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G:\NAS All TENDERS-31-01-2019\BIAL Phase 2 -TFS Domestic Lounge at Lvl 4-T1 -  10-04-2024\Submited\"/>
    </mc:Choice>
  </mc:AlternateContent>
  <xr:revisionPtr revIDLastSave="0" documentId="13_ncr:1_{4A1EE77F-9AD9-4492-8D08-F9636766D5CE}" xr6:coauthVersionLast="47" xr6:coauthVersionMax="47" xr10:uidLastSave="{00000000-0000-0000-0000-000000000000}"/>
  <bookViews>
    <workbookView xWindow="-120" yWindow="-120" windowWidth="29040" windowHeight="15840" tabRatio="820" xr2:uid="{00000000-000D-0000-FFFF-FFFF00000000}"/>
  </bookViews>
  <sheets>
    <sheet name="PH2-summary" sheetId="20" r:id="rId1"/>
    <sheet name="0 Overall" sheetId="13" r:id="rId2"/>
    <sheet name="welcome zone" sheetId="14" r:id="rId3"/>
    <sheet name="fine dine &amp; live kitchen" sheetId="15" r:id="rId4"/>
    <sheet name="tea lounge" sheetId="25" r:id="rId5"/>
    <sheet name="sports &amp; relax lounge" sheetId="17" r:id="rId6"/>
    <sheet name="SPA" sheetId="18" r:id="rId7"/>
    <sheet name="Water Lounge" sheetId="19" r:id="rId8"/>
    <sheet name="CIVIL-WET WORK" sheetId="26" r:id="rId9"/>
    <sheet name="SHIFTING AND CLEARING" sheetId="27" r:id="rId10"/>
  </sheets>
  <definedNames>
    <definedName name="___xlnm.Print_Titles_2">#REF!</definedName>
    <definedName name="___xlnm.Print_Titles_3">#REF!</definedName>
    <definedName name="__xlnm.Print_Titles_2" localSheetId="8">#REF!</definedName>
    <definedName name="__xlnm.Print_Titles_2" localSheetId="4">#REF!</definedName>
    <definedName name="__xlnm.Print_Titles_2">#REF!</definedName>
    <definedName name="__xlnm.Print_Titles_3" localSheetId="8">#REF!</definedName>
    <definedName name="__xlnm.Print_Titles_3" localSheetId="4">#REF!</definedName>
    <definedName name="__xlnm.Print_Titles_3">#REF!</definedName>
    <definedName name="_xlnm._FilterDatabase" localSheetId="1" hidden="1">'0 Overall'!#REF!</definedName>
    <definedName name="_xlnm.Print_Area" localSheetId="0">'PH2-summary'!$A$1:$D$44</definedName>
    <definedName name="_xlnm.Print_Area" localSheetId="9">'SHIFTING AND CLEARING'!$A$1:$G$46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6" i="27" l="1"/>
  <c r="G35" i="27"/>
  <c r="G38" i="27"/>
  <c r="G29" i="27" l="1"/>
  <c r="G28" i="27"/>
  <c r="G27" i="27"/>
  <c r="G26" i="27"/>
  <c r="G25" i="27"/>
  <c r="G24" i="27"/>
  <c r="G23" i="27"/>
  <c r="G17" i="27"/>
  <c r="G16" i="27"/>
  <c r="G10" i="27"/>
  <c r="D9" i="27"/>
  <c r="G9" i="27" s="1"/>
  <c r="G8" i="27"/>
  <c r="G7" i="27"/>
  <c r="G6" i="27"/>
  <c r="G31" i="27" l="1"/>
  <c r="G42" i="27" s="1"/>
  <c r="G19" i="27"/>
  <c r="F21" i="27" s="1"/>
  <c r="G21" i="27" s="1"/>
  <c r="G12" i="27"/>
  <c r="H111" i="15" l="1"/>
  <c r="H71" i="15"/>
  <c r="H55" i="15"/>
  <c r="H52" i="15"/>
  <c r="H49" i="15"/>
  <c r="H46" i="15"/>
  <c r="H30" i="15"/>
  <c r="H24" i="15"/>
  <c r="H21" i="15"/>
  <c r="H9" i="15"/>
  <c r="H61" i="13"/>
  <c r="H19" i="13"/>
  <c r="H15" i="13"/>
  <c r="H12" i="13"/>
  <c r="K170" i="26" l="1"/>
  <c r="K169" i="26"/>
  <c r="N166" i="26"/>
  <c r="N157" i="26"/>
  <c r="I145" i="26"/>
  <c r="I141" i="26"/>
  <c r="N138" i="26"/>
  <c r="N135" i="26"/>
  <c r="I126" i="26"/>
  <c r="N124" i="26"/>
  <c r="N111" i="26"/>
  <c r="I109" i="26"/>
  <c r="I97" i="26"/>
  <c r="N95" i="26"/>
  <c r="N94" i="26"/>
  <c r="N93" i="26"/>
  <c r="N82" i="26"/>
  <c r="N81" i="26"/>
  <c r="N80" i="26"/>
  <c r="N34" i="26"/>
  <c r="N10" i="26"/>
  <c r="I41" i="25"/>
  <c r="I38" i="25"/>
  <c r="I36" i="25"/>
  <c r="I35" i="25"/>
  <c r="I32" i="25"/>
  <c r="I29" i="25"/>
  <c r="I26" i="25"/>
  <c r="I21" i="25"/>
  <c r="I11" i="25"/>
  <c r="I6" i="25"/>
  <c r="J124" i="15"/>
  <c r="J122" i="15"/>
  <c r="J121" i="15"/>
  <c r="K21" i="25" l="1"/>
  <c r="K38" i="25"/>
  <c r="K41" i="25"/>
  <c r="K32" i="25"/>
  <c r="N97" i="26"/>
  <c r="N109" i="26"/>
  <c r="N141" i="26"/>
  <c r="N145" i="26"/>
  <c r="N126" i="26"/>
  <c r="K6" i="25" l="1"/>
  <c r="K29" i="25"/>
  <c r="K26" i="25"/>
  <c r="K35" i="25" l="1"/>
  <c r="N169" i="26"/>
  <c r="K11" i="25" l="1"/>
  <c r="K51" i="25" s="1"/>
  <c r="C11" i="20" s="1"/>
  <c r="N57" i="26" l="1"/>
  <c r="N45" i="26" l="1"/>
  <c r="N22" i="26" l="1"/>
  <c r="N172" i="26" s="1"/>
  <c r="C15" i="20" s="1"/>
  <c r="J15" i="15" l="1"/>
  <c r="J61" i="13" l="1"/>
  <c r="H31" i="18"/>
  <c r="J191" i="18"/>
  <c r="J188" i="18"/>
  <c r="J185" i="18"/>
  <c r="J159" i="18"/>
  <c r="J155" i="18" l="1"/>
  <c r="J144" i="18"/>
  <c r="J133" i="18"/>
  <c r="J130" i="18"/>
  <c r="J127" i="18"/>
  <c r="J124" i="18"/>
  <c r="J121" i="18"/>
  <c r="J118" i="18"/>
  <c r="J115" i="18"/>
  <c r="H112" i="18"/>
  <c r="H109" i="18"/>
  <c r="H106" i="18"/>
  <c r="J106" i="18" l="1"/>
  <c r="J109" i="18"/>
  <c r="J112" i="18"/>
  <c r="H103" i="18"/>
  <c r="H100" i="18"/>
  <c r="H97" i="18"/>
  <c r="H94" i="18"/>
  <c r="J94" i="18" l="1"/>
  <c r="J103" i="18"/>
  <c r="J97" i="18"/>
  <c r="J100" i="18"/>
  <c r="H82" i="18"/>
  <c r="J85" i="18"/>
  <c r="J84" i="18"/>
  <c r="J83" i="18"/>
  <c r="J87" i="18"/>
  <c r="H77" i="18"/>
  <c r="H74" i="18"/>
  <c r="H66" i="18"/>
  <c r="J63" i="18"/>
  <c r="H69" i="18"/>
  <c r="H48" i="18"/>
  <c r="J77" i="18" l="1"/>
  <c r="J66" i="18"/>
  <c r="J74" i="18"/>
  <c r="J82" i="18"/>
  <c r="J44" i="18"/>
  <c r="J27" i="18"/>
  <c r="H11" i="18"/>
  <c r="H15" i="18"/>
  <c r="H9" i="18"/>
  <c r="H13" i="18" l="1"/>
  <c r="J176" i="18"/>
  <c r="J175" i="18"/>
  <c r="J174" i="18"/>
  <c r="J173" i="18"/>
  <c r="J172" i="18"/>
  <c r="J171" i="18"/>
  <c r="J170" i="18"/>
  <c r="J169" i="18"/>
  <c r="J168" i="18"/>
  <c r="J167" i="18"/>
  <c r="J166" i="18"/>
  <c r="J165" i="18"/>
  <c r="J91" i="18"/>
  <c r="J69" i="18"/>
  <c r="J48" i="18"/>
  <c r="J40" i="18"/>
  <c r="J37" i="18"/>
  <c r="J34" i="18"/>
  <c r="J31" i="18"/>
  <c r="J24" i="18"/>
  <c r="J19" i="18"/>
  <c r="J17" i="18"/>
  <c r="J15" i="18"/>
  <c r="J13" i="18"/>
  <c r="J11" i="18"/>
  <c r="J6" i="18"/>
  <c r="J182" i="18" l="1"/>
  <c r="J57" i="18"/>
  <c r="J180" i="18"/>
  <c r="J9" i="18"/>
  <c r="J54" i="18"/>
  <c r="J60" i="18"/>
  <c r="J194" i="18" l="1"/>
  <c r="C13" i="20" s="1"/>
  <c r="H241" i="19"/>
  <c r="H239" i="19"/>
  <c r="J235" i="19"/>
  <c r="J234" i="19"/>
  <c r="J233" i="19"/>
  <c r="J232" i="19"/>
  <c r="J231" i="19"/>
  <c r="J230" i="19"/>
  <c r="J229" i="19"/>
  <c r="J228" i="19"/>
  <c r="J227" i="19"/>
  <c r="J226" i="19"/>
  <c r="J225" i="19"/>
  <c r="J224" i="19"/>
  <c r="J223" i="19"/>
  <c r="J222" i="19"/>
  <c r="J221" i="19"/>
  <c r="J220" i="19"/>
  <c r="J219" i="19"/>
  <c r="J218" i="19"/>
  <c r="J217" i="19"/>
  <c r="J216" i="19"/>
  <c r="J215" i="19"/>
  <c r="J214" i="19"/>
  <c r="J213" i="19"/>
  <c r="J212" i="19"/>
  <c r="J211" i="19"/>
  <c r="J210" i="19"/>
  <c r="J209" i="19"/>
  <c r="J208" i="19"/>
  <c r="J199" i="19"/>
  <c r="H194" i="19"/>
  <c r="J186" i="19"/>
  <c r="J178" i="19"/>
  <c r="J171" i="19"/>
  <c r="H164" i="19"/>
  <c r="J151" i="19"/>
  <c r="J140" i="19"/>
  <c r="H136" i="19"/>
  <c r="H133" i="19"/>
  <c r="H130" i="19"/>
  <c r="H127" i="19"/>
  <c r="H125" i="19"/>
  <c r="H120" i="19"/>
  <c r="H117" i="19"/>
  <c r="H114" i="19"/>
  <c r="H111" i="19"/>
  <c r="H108" i="19"/>
  <c r="J101" i="19"/>
  <c r="J97" i="19"/>
  <c r="J92" i="19"/>
  <c r="J87" i="19"/>
  <c r="H78" i="19"/>
  <c r="H75" i="19"/>
  <c r="J68" i="19"/>
  <c r="J54" i="19"/>
  <c r="H46" i="19"/>
  <c r="H38" i="19"/>
  <c r="J34" i="19"/>
  <c r="H31" i="19"/>
  <c r="H26" i="19"/>
  <c r="H24" i="19"/>
  <c r="H22" i="19"/>
  <c r="H20" i="19"/>
  <c r="J6" i="19"/>
  <c r="J114" i="19" l="1"/>
  <c r="J78" i="19"/>
  <c r="J164" i="19"/>
  <c r="J120" i="19"/>
  <c r="J125" i="19"/>
  <c r="J127" i="19"/>
  <c r="J239" i="19"/>
  <c r="J136" i="19"/>
  <c r="J117" i="19"/>
  <c r="J46" i="19"/>
  <c r="J241" i="19"/>
  <c r="J108" i="19"/>
  <c r="J133" i="19"/>
  <c r="J194" i="19"/>
  <c r="J24" i="19"/>
  <c r="J57" i="19"/>
  <c r="J64" i="19"/>
  <c r="J82" i="19"/>
  <c r="J9" i="19"/>
  <c r="J20" i="19"/>
  <c r="J38" i="19"/>
  <c r="J22" i="19"/>
  <c r="J51" i="19"/>
  <c r="J11" i="19"/>
  <c r="J31" i="19"/>
  <c r="J130" i="19"/>
  <c r="J13" i="19"/>
  <c r="J17" i="19"/>
  <c r="J26" i="19"/>
  <c r="J42" i="19"/>
  <c r="H15" i="19"/>
  <c r="J61" i="19"/>
  <c r="J75" i="19"/>
  <c r="J111" i="19"/>
  <c r="J72" i="19"/>
  <c r="J15" i="19" l="1"/>
  <c r="J244" i="19" s="1"/>
  <c r="C14" i="20" s="1"/>
  <c r="J100" i="17"/>
  <c r="J99" i="17"/>
  <c r="J98" i="17"/>
  <c r="J97" i="17"/>
  <c r="J96" i="17"/>
  <c r="J95" i="17"/>
  <c r="J94" i="17"/>
  <c r="J93" i="17"/>
  <c r="J92" i="17"/>
  <c r="J91" i="17"/>
  <c r="J90" i="17"/>
  <c r="J89" i="17"/>
  <c r="J88" i="17"/>
  <c r="J87" i="17"/>
  <c r="J86" i="17"/>
  <c r="J85" i="17"/>
  <c r="J84" i="17"/>
  <c r="J83" i="17"/>
  <c r="J82" i="17"/>
  <c r="J81" i="17"/>
  <c r="J80" i="17"/>
  <c r="J79" i="17"/>
  <c r="H78" i="17"/>
  <c r="J78" i="17" s="1"/>
  <c r="J77" i="17"/>
  <c r="J76" i="17"/>
  <c r="J75" i="17"/>
  <c r="J74" i="17"/>
  <c r="J73" i="17"/>
  <c r="J72" i="17"/>
  <c r="J71" i="17"/>
  <c r="J70" i="17"/>
  <c r="J69" i="17"/>
  <c r="J68" i="17"/>
  <c r="J67" i="17"/>
  <c r="J66" i="17"/>
  <c r="J65" i="17"/>
  <c r="H63" i="17"/>
  <c r="J63" i="17" s="1"/>
  <c r="H60" i="17"/>
  <c r="J60" i="17" s="1"/>
  <c r="J57" i="17"/>
  <c r="H53" i="17"/>
  <c r="J53" i="17" s="1"/>
  <c r="J50" i="17"/>
  <c r="J49" i="17"/>
  <c r="J48" i="17"/>
  <c r="H47" i="17"/>
  <c r="J47" i="17" s="1"/>
  <c r="H41" i="17"/>
  <c r="J41" i="17" s="1"/>
  <c r="J36" i="17"/>
  <c r="J26" i="17"/>
  <c r="J21" i="17"/>
  <c r="J18" i="17"/>
  <c r="H15" i="17"/>
  <c r="J15" i="17" s="1"/>
  <c r="J12" i="17"/>
  <c r="H9" i="17"/>
  <c r="J9" i="17" s="1"/>
  <c r="J6" i="17"/>
  <c r="L57" i="17" l="1"/>
  <c r="L36" i="17"/>
  <c r="L81" i="17"/>
  <c r="L97" i="17"/>
  <c r="L60" i="17"/>
  <c r="L66" i="17"/>
  <c r="L15" i="17"/>
  <c r="L49" i="17"/>
  <c r="L75" i="17"/>
  <c r="L78" i="17"/>
  <c r="L9" i="17"/>
  <c r="L18" i="17"/>
  <c r="L84" i="17"/>
  <c r="L100" i="17"/>
  <c r="L72" i="17"/>
  <c r="L12" i="17"/>
  <c r="L53" i="17"/>
  <c r="L41" i="17"/>
  <c r="L69" i="17"/>
  <c r="L26" i="17"/>
  <c r="L48" i="17"/>
  <c r="L21" i="17"/>
  <c r="L63" i="17"/>
  <c r="L6" i="17"/>
  <c r="L50" i="17"/>
  <c r="L47" i="17"/>
  <c r="L103" i="17" l="1"/>
  <c r="C12" i="20" s="1"/>
  <c r="J136" i="15"/>
  <c r="J133" i="15"/>
  <c r="J130" i="15"/>
  <c r="J108" i="15"/>
  <c r="J105" i="15"/>
  <c r="J102" i="15"/>
  <c r="J99" i="15"/>
  <c r="J88" i="15"/>
  <c r="J84" i="15"/>
  <c r="J81" i="15"/>
  <c r="J78" i="15"/>
  <c r="J75" i="15"/>
  <c r="J69" i="15"/>
  <c r="J67" i="15"/>
  <c r="J66" i="15"/>
  <c r="J62" i="15"/>
  <c r="J58" i="15"/>
  <c r="J41" i="15"/>
  <c r="J38" i="15"/>
  <c r="J33" i="15"/>
  <c r="J27" i="15"/>
  <c r="J18" i="15"/>
  <c r="J12" i="15"/>
  <c r="J49" i="15" l="1"/>
  <c r="J52" i="15"/>
  <c r="J55" i="15"/>
  <c r="J111" i="15"/>
  <c r="J30" i="15"/>
  <c r="J21" i="15"/>
  <c r="J71" i="15"/>
  <c r="J9" i="15"/>
  <c r="J24" i="15"/>
  <c r="J46" i="15"/>
  <c r="J139" i="15" l="1"/>
  <c r="C10" i="20" s="1"/>
  <c r="J156" i="14"/>
  <c r="O156" i="14" s="1"/>
  <c r="H153" i="14"/>
  <c r="J153" i="14" s="1"/>
  <c r="O153" i="14" s="1"/>
  <c r="H150" i="14"/>
  <c r="J150" i="14" s="1"/>
  <c r="O150" i="14" s="1"/>
  <c r="H147" i="14"/>
  <c r="J147" i="14" s="1"/>
  <c r="O147" i="14" s="1"/>
  <c r="J144" i="14"/>
  <c r="O144" i="14" s="1"/>
  <c r="J141" i="14"/>
  <c r="O141" i="14" s="1"/>
  <c r="J130" i="14"/>
  <c r="O130" i="14" s="1"/>
  <c r="J123" i="14"/>
  <c r="O123" i="14" s="1"/>
  <c r="J113" i="14"/>
  <c r="O113" i="14" s="1"/>
  <c r="J110" i="14"/>
  <c r="O110" i="14" s="1"/>
  <c r="J107" i="14"/>
  <c r="O107" i="14" s="1"/>
  <c r="I104" i="14"/>
  <c r="H104" i="14"/>
  <c r="I101" i="14"/>
  <c r="H101" i="14"/>
  <c r="H97" i="14"/>
  <c r="J97" i="14" s="1"/>
  <c r="O97" i="14" s="1"/>
  <c r="H93" i="14"/>
  <c r="J93" i="14" s="1"/>
  <c r="O93" i="14" s="1"/>
  <c r="J89" i="14"/>
  <c r="O89" i="14" s="1"/>
  <c r="J85" i="14"/>
  <c r="O85" i="14" s="1"/>
  <c r="J82" i="14"/>
  <c r="O82" i="14" s="1"/>
  <c r="I81" i="14"/>
  <c r="J81" i="14" s="1"/>
  <c r="O81" i="14" s="1"/>
  <c r="J76" i="14"/>
  <c r="O76" i="14" s="1"/>
  <c r="J75" i="14"/>
  <c r="O75" i="14" s="1"/>
  <c r="J74" i="14"/>
  <c r="O74" i="14" s="1"/>
  <c r="I73" i="14"/>
  <c r="I67" i="14"/>
  <c r="J67" i="14" s="1"/>
  <c r="O67" i="14" s="1"/>
  <c r="I63" i="14"/>
  <c r="I58" i="14"/>
  <c r="J56" i="14"/>
  <c r="O56" i="14" s="1"/>
  <c r="I55" i="14"/>
  <c r="J49" i="14"/>
  <c r="O49" i="14" s="1"/>
  <c r="I45" i="14"/>
  <c r="J40" i="14"/>
  <c r="O40" i="14" s="1"/>
  <c r="J37" i="14"/>
  <c r="O37" i="14" s="1"/>
  <c r="I34" i="14"/>
  <c r="J34" i="14" s="1"/>
  <c r="O34" i="14" s="1"/>
  <c r="I30" i="14"/>
  <c r="J27" i="14"/>
  <c r="O27" i="14" s="1"/>
  <c r="I23" i="14"/>
  <c r="I18" i="14"/>
  <c r="H18" i="14"/>
  <c r="I16" i="14"/>
  <c r="I14" i="14"/>
  <c r="J12" i="14"/>
  <c r="O12" i="14" s="1"/>
  <c r="I10" i="14"/>
  <c r="J6" i="14"/>
  <c r="O6" i="14" s="1"/>
  <c r="J30" i="14" l="1"/>
  <c r="O30" i="14" s="1"/>
  <c r="J63" i="14"/>
  <c r="O63" i="14" s="1"/>
  <c r="J101" i="14"/>
  <c r="O101" i="14" s="1"/>
  <c r="J14" i="14"/>
  <c r="O14" i="14" s="1"/>
  <c r="J23" i="14"/>
  <c r="O23" i="14" s="1"/>
  <c r="J58" i="14"/>
  <c r="O58" i="14" s="1"/>
  <c r="J73" i="14"/>
  <c r="O73" i="14" s="1"/>
  <c r="J104" i="14"/>
  <c r="O104" i="14" s="1"/>
  <c r="J16" i="14"/>
  <c r="O16" i="14" s="1"/>
  <c r="J10" i="14"/>
  <c r="O10" i="14" s="1"/>
  <c r="L18" i="14"/>
  <c r="J45" i="14"/>
  <c r="O45" i="14" s="1"/>
  <c r="J55" i="14"/>
  <c r="O55" i="14" s="1"/>
  <c r="J18" i="14"/>
  <c r="O18" i="14" s="1"/>
  <c r="J70" i="13" l="1"/>
  <c r="J68" i="13"/>
  <c r="J66" i="13"/>
  <c r="J28" i="13"/>
  <c r="O159" i="14" l="1"/>
  <c r="C9" i="20" s="1"/>
  <c r="J12" i="13"/>
  <c r="J84" i="13" l="1"/>
  <c r="J87" i="13"/>
  <c r="J57" i="13"/>
  <c r="J48" i="13"/>
  <c r="J46" i="13"/>
  <c r="J45" i="13"/>
  <c r="J44" i="13"/>
  <c r="J43" i="13"/>
  <c r="J35" i="13"/>
  <c r="J31" i="13"/>
  <c r="J23" i="13"/>
  <c r="J8" i="13"/>
  <c r="J90" i="13" l="1"/>
  <c r="J81" i="13"/>
  <c r="J53" i="13"/>
  <c r="J19" i="13"/>
  <c r="J15" i="13"/>
  <c r="J92" i="13" s="1"/>
  <c r="C8" i="20" l="1"/>
  <c r="C20" i="20" s="1"/>
  <c r="C22" i="20" l="1"/>
  <c r="C23" i="20" s="1"/>
</calcChain>
</file>

<file path=xl/sharedStrings.xml><?xml version="1.0" encoding="utf-8"?>
<sst xmlns="http://schemas.openxmlformats.org/spreadsheetml/2006/main" count="2088" uniqueCount="942">
  <si>
    <t>Service / Materials Code</t>
  </si>
  <si>
    <t>WBS</t>
  </si>
  <si>
    <t>WBS Level 2</t>
  </si>
  <si>
    <t>Short  Item Description</t>
  </si>
  <si>
    <t>Qty. of Items</t>
  </si>
  <si>
    <t>Amount in INR. (Without Taxes)</t>
  </si>
  <si>
    <t>CVL/FLR</t>
  </si>
  <si>
    <t>smt</t>
  </si>
  <si>
    <t>rmt</t>
  </si>
  <si>
    <t>CVL/LDG</t>
  </si>
  <si>
    <t>FP</t>
  </si>
  <si>
    <t>IV</t>
  </si>
  <si>
    <t>V</t>
  </si>
  <si>
    <t>PNT</t>
  </si>
  <si>
    <t>Painting to ceiling in acrylic emulsion paint</t>
  </si>
  <si>
    <t>I</t>
  </si>
  <si>
    <t>II</t>
  </si>
  <si>
    <t>III</t>
  </si>
  <si>
    <t>FRENCH PLASTER WORK</t>
  </si>
  <si>
    <t>CARPENTRY WORK</t>
  </si>
  <si>
    <t>Sr No</t>
  </si>
  <si>
    <t>Description</t>
  </si>
  <si>
    <t>Unit</t>
  </si>
  <si>
    <t xml:space="preserve">Total Rate / Unit (Materials + Fixing) </t>
  </si>
  <si>
    <t>CIVIL WORK</t>
  </si>
  <si>
    <t>Smt</t>
  </si>
  <si>
    <t>Marble flooring</t>
  </si>
  <si>
    <t>CVL/WCD</t>
  </si>
  <si>
    <t>Rmt</t>
  </si>
  <si>
    <t>POP plaster punning</t>
  </si>
  <si>
    <t>CP-SKIN</t>
  </si>
  <si>
    <t>PLY</t>
  </si>
  <si>
    <t>VENEER</t>
  </si>
  <si>
    <t>Veneer skin</t>
  </si>
  <si>
    <t>CP-SS</t>
  </si>
  <si>
    <t>SS PROFILE</t>
  </si>
  <si>
    <t>SS Skirting</t>
  </si>
  <si>
    <t>SS Bronze Satin finish skirting 50mm high</t>
  </si>
  <si>
    <t>MISCELLANOUS WORK</t>
  </si>
  <si>
    <t>MISC</t>
  </si>
  <si>
    <t>Painting</t>
  </si>
  <si>
    <t>LS</t>
  </si>
  <si>
    <t>PAINTING WORK</t>
  </si>
  <si>
    <t>Wall Paint</t>
  </si>
  <si>
    <t>Highlight Painting to walls</t>
  </si>
  <si>
    <t>Sanding and preparing surface for receiving paint, One coat of cement primer in solvent base, Two coats of putty in oil / synthetic enamel base, Three coats of luster paint. Complete as per manufacturer's specifications</t>
  </si>
  <si>
    <t>Ceiling Paint</t>
  </si>
  <si>
    <t>Sanding and preparing surface for receiving paint, One coat of cement primer in solvent base. Two coats of putty ,Three coats of acrylic emulsion paint, Complete as per manufacturer's specifications</t>
  </si>
  <si>
    <t>Average 12 mm thk Universal plaster punning by Gyproc Stucco, Tile bullmarks to be used for channel gliding tracks,  Bull marks to be removed before apply punning, Surface to be in perfect plum, line and level, Include pencil rounding to wall corners as instructed, Smooth finished to receive finishing coating, Exclude painting work</t>
  </si>
  <si>
    <t>16 SWG, 304 Grade SS skirting over existing ply, Fixed with epoxy adhesive</t>
  </si>
  <si>
    <t>Signage</t>
  </si>
  <si>
    <t>Marble Skirting</t>
  </si>
  <si>
    <t>(Basic cost of veneer up to Rs. 125/-sft )</t>
  </si>
  <si>
    <t>Signages</t>
  </si>
  <si>
    <t>CEILING</t>
  </si>
  <si>
    <t>Duco Paint to Walls/Partition</t>
  </si>
  <si>
    <t>Concrete Paint</t>
  </si>
  <si>
    <t>ZONE -0 OVERALL  BOQ</t>
  </si>
  <si>
    <t>Refer drawing no-B00B01-TFS-I_ID-DOM-05-DWG-0005</t>
  </si>
  <si>
    <t>Texture tile Cladding</t>
  </si>
  <si>
    <t>Designer/Texture Tile Cladding</t>
  </si>
  <si>
    <t>refer Drawing no- B01-TFS-DOM02-ID-00-13</t>
  </si>
  <si>
    <t>Jamb line</t>
  </si>
  <si>
    <t>Marble  Jamb line</t>
  </si>
  <si>
    <t>CVL/SKT</t>
  </si>
  <si>
    <t>Marble Skirting Boxing -Openable</t>
  </si>
  <si>
    <t>French Plaster</t>
  </si>
  <si>
    <t>SS Satin Bronze finish Floor Insert in Curved Profile</t>
  </si>
  <si>
    <t>Art paintings &amp; atrifacts</t>
  </si>
  <si>
    <t>Attendance</t>
  </si>
  <si>
    <t>Attendance for MEPF works</t>
  </si>
  <si>
    <t>Including all Other services</t>
  </si>
  <si>
    <t>Sanding and preparing surface for receiving paint, Final coats of Dcuot paint. Complete as per manufacturer's specifications</t>
  </si>
  <si>
    <t>Concrete texture finish Paint</t>
  </si>
  <si>
    <t xml:space="preserve"> On Electrical &amp; Lighting &amp; allied Works </t>
  </si>
  <si>
    <t xml:space="preserve"> On IT Works </t>
  </si>
  <si>
    <t xml:space="preserve"> On Fire Protection System Works </t>
  </si>
  <si>
    <t xml:space="preserve"> On HVAC Works </t>
  </si>
  <si>
    <t xml:space="preserve"> On Plumbing Works </t>
  </si>
  <si>
    <t xml:space="preserve"> On Kitchen Works </t>
  </si>
  <si>
    <t>Paint By Evolve-mumbai ( basic cost of Pait Rs 250/sqft )</t>
  </si>
  <si>
    <t>As per drawing -Size up to 600 mm wide x 1850 mm high, Using 50mm x 36 mm, 16 SWG aluminum framework at 600 mm c/c Fixed on existing Structural Framework, Frame to be covered with 18 mm thick marine ply,  For Curve surface use 6+6+6 mm flexi ply, 12 mm thick HDF to be fixed on Ply, For Curve surface use 6+6 mm flexi HDF, All joints shall be filled with suitable fillers and reinforcement tape, 50 mm wide  x 25 mm thick  HDF flutting to be fixed on HDF surface with 25 mm gap, Base and HDF moulding surface shall be finished n Water cut enamal Paint finish,  as approved by Architect, include 450 mm wide x 100 mm thick veneer finish Band at bottom, Veneer to be finished in Approved Melamine polish . Including 2 layers of light Pelmet with Led strip light provision. (Basic cost of veneer up to Rs. 125/-sft )</t>
  </si>
  <si>
    <t>Bulk Head in Profile- In Flat Water cut Paint finish</t>
  </si>
  <si>
    <t>18 mm thick Italian Marble flooring</t>
  </si>
  <si>
    <t>FRP Ply Paneling</t>
  </si>
  <si>
    <t>Clean existing wall surface before fixing Texture designer tile Before starting, carefully read the suppliers laying plan and instructions.DecorativeTexture tiles shall be fixed and finished as per manufacturers instructions, preferably by a nominated contractor. Basic cost of Texture tiles at Rs.400/sft without tax</t>
  </si>
  <si>
    <t>Marble Wall Cladding</t>
  </si>
  <si>
    <t>18 mm thick Italian Marble Dado on Lift wall including Jambline</t>
  </si>
  <si>
    <t>Fire line Gypsum board ceiling</t>
  </si>
  <si>
    <r>
      <t xml:space="preserve">All G.I framework for ceiling to be used manufactured by "GYPSteel" only at 400 mm c/c  &amp; suspenders, closer at 1200 mm c/c, 12.5 mm thk Gypsum board to be used manufactured by "Saint Gobain Gypsum Board" or "La Farge" only, Gypsum Board sheets shall be fitted &amp; finished as per manufacturer's specification, All joints to be filled with jointing compound including fiber tape reinforcement, Include finished cutouts for light fixtures, AC grills  including necessary framework/ply support , Include horizontal structural member to span below HVAC ducting for ceiling suspenders ( </t>
    </r>
    <r>
      <rPr>
        <b/>
        <sz val="11"/>
        <rFont val="Calibri"/>
        <family val="2"/>
      </rPr>
      <t>Note</t>
    </r>
    <r>
      <rPr>
        <sz val="11"/>
        <rFont val="Calibri"/>
        <family val="2"/>
      </rPr>
      <t xml:space="preserve"> - existing structural ceilling height is 4300 mm )</t>
    </r>
  </si>
  <si>
    <t>ZONE -13 PHASE 2- WELCOME LOUNGE BOQ</t>
  </si>
  <si>
    <t>Qty. Main Welcom lounge</t>
  </si>
  <si>
    <t>Qty. Service Lift Welcom lounge</t>
  </si>
  <si>
    <t>Total QTY</t>
  </si>
  <si>
    <t>Basic Rate of Materials / Unit</t>
  </si>
  <si>
    <t>Supply Rate of Materials / Unit</t>
  </si>
  <si>
    <t>Fixing Rate of Materials / Unit</t>
  </si>
  <si>
    <t>REMARKS</t>
  </si>
  <si>
    <t>DEMOLITION WORK</t>
  </si>
  <si>
    <t>PS</t>
  </si>
  <si>
    <t>MASONRY WORK</t>
  </si>
  <si>
    <t>Solid Concrete Block</t>
  </si>
  <si>
    <t>CVL</t>
  </si>
  <si>
    <t>CVL-Wall / Partition</t>
  </si>
  <si>
    <t>Building 150 mm thk. Aerocon block wall / Partition of 4300mm height up to Mother Slab .</t>
  </si>
  <si>
    <t>Sq. Mtr.</t>
  </si>
  <si>
    <t xml:space="preserve">Building 100 mm thk. Aerocon block wall / Partition of 4300mm height at Toilet Areas. </t>
  </si>
  <si>
    <t>Plaster</t>
  </si>
  <si>
    <t>CVL-Wall Plaster</t>
  </si>
  <si>
    <t>12/15mm thick Wall Plaster on the both surfaces Block Wall / Partition up to 4300mm height .</t>
  </si>
  <si>
    <r>
      <t xml:space="preserve">P&amp;A of </t>
    </r>
    <r>
      <rPr>
        <b/>
        <sz val="11"/>
        <rFont val="Calibri"/>
        <family val="2"/>
      </rPr>
      <t>single coat backing plaster of 12/ 15 mm thick</t>
    </r>
    <r>
      <rPr>
        <sz val="11"/>
        <rFont val="Calibri"/>
        <family val="2"/>
      </rPr>
      <t xml:space="preserve"> in CM 1:4 proportion to the walls &amp; others concrete &amp; masonry surfaces including raking out joints, hacking concrete surfaces and applying approved chemical bonding agent for receiving  cement finished  / dash coat plaster and applying a scratch coat over concrete surfaces by bonding / adhesive chemical coat as directed by approved manufacturer to create a key, cleaning / grooving deep junctions of concrete &amp; masonry, grouting then back by mortar mixed with non shrinking compound along with packing of clean, fresh square cut aggregate; also providing and fixing  approved metal mesh (18 gauge) @ 150/200mm wide to junctions of concrete and masonry, preparing  jambs, sills, grooves, pattas, wattas, rounding of corners, all complete as per architectural drawings, specifications and finished smooth with wooden rundha or  rough to take specified cladding or as specified, depth and lifts, doing independent double-legged scaffolding, cleaning of surfaces, curing. complete as per specification and to the approval of the PM scaffolding, curing the joints, seven days water treatment as anti crack of plaster, etc.. Complete as per site engineer's instruction. These are for all the both surfaces of new constructed masonry walls/ rcc wall &amp; columns/ beams etc.</t>
    </r>
  </si>
  <si>
    <t xml:space="preserve">CVL- Plaster on the Existing Wall </t>
  </si>
  <si>
    <t xml:space="preserve">12/15mm thick Wall Plaster on the surfaces of Existing Masonry Works Surfaces up to 4300mm height . Inclding removing old plaster </t>
  </si>
  <si>
    <t xml:space="preserve"> Screeding</t>
  </si>
  <si>
    <t>CVL- Coba / Screeding.</t>
  </si>
  <si>
    <t xml:space="preserve">50mm / 75mm thick Coba / Screeding </t>
  </si>
  <si>
    <t xml:space="preserve">P&amp;C of  50mm / 75mm thick screed in cement concrete mix of 1:2:4 (1 cement : 2 sand : 4 aggregate 20mm) well vibrated, compacted, fixed  to correct level and finished smooth and cured by keeping surfaces well- covered and protected against excesses of any type, all complete at all heights and leads to the satisfaction. Laying the same in proper line &amp; level on the seating area's floor to maintain the floor leveling &amp; to get the smooth surface to lay the finishing floor materials on the said surface. Complete as per architectural detail drawings &amp; instruction by the site engineer. </t>
  </si>
  <si>
    <t>18 mm thick Italian Marble flooring - Dark</t>
  </si>
  <si>
    <t>Kota Stone</t>
  </si>
  <si>
    <t>CVL-FLR</t>
  </si>
  <si>
    <t>Kota Flooring</t>
  </si>
  <si>
    <t>Kota Stone Flooring for Corridor</t>
  </si>
  <si>
    <t>P&amp;F of 19mm thick Kota Stone flooring (selected &amp; approved grey colour - size, 550mm x550mm, basic cost INR. 538.00 / SM), stone to be machine cut, machine polished, laid in pattern and sizes as detailed in drawing, bedded over cement sand mortar of mix ratio of 1:6 (1 cement : 6 sand) including cleaning and preparing the surface for bedding, Kotah to be laid with tight hairline joints , joints to be cleaned and grouted with matching colour approved quality Epoxy based readymade grout, curing, machine polishing, cleaning, etc. complete at all depths, heights and leads to the satisfactions, necessary cut out for services purpose, etc. Complete in proper line &amp; level as per site engineer's instruction. It is considered for  service area.</t>
  </si>
  <si>
    <t>18 mm thick Exotic  Italian Marble Cladding on signage wall</t>
  </si>
  <si>
    <t>Planter Box</t>
  </si>
  <si>
    <t>Marble finish Planter Box</t>
  </si>
  <si>
    <t>nos</t>
  </si>
  <si>
    <t>CVL-SKR</t>
  </si>
  <si>
    <t>Kota Skirting</t>
  </si>
  <si>
    <t>Kota Stone Skirting 150 mm high</t>
  </si>
  <si>
    <t>P&amp;F of 19mm thick Kota Stone Skirting (selected &amp; approved grey colour - size, 550mm x550mm, basic cost INR. 538.00 / SM), stone to be machine cut, machine polished, Fix as detailed in drawing, fix with tight hairline joints , joints to be cleaned and grouted with matching colour approved quality Epoxy based readymade grout, curing, machine polishing, cleaning, etc.  necessary cut out for services purpose, etc. Complete in proper line &amp; level as per site engineer's instruction. It is considered for  service area.</t>
  </si>
  <si>
    <t xml:space="preserve">DECORATIVE CEILING </t>
  </si>
  <si>
    <t>Curved Feature ceiling with  facia in Water cut Enamal Paint finish</t>
  </si>
  <si>
    <t>All MS framework for ceiling to be used,  50mm x 50 mm, MS Box framework at 600 mm c/c fixed to  Existing MS framework/Wall and Partition frame work  with proper welding &amp; bolting ,  Including anti rust paint ,ceiling frame to be covered with 12 mm thick ply from all side and 6+6 mm thick Flexi ply for curved profile, Ply to be covered with 12mm thk MDF board to be used to Received Water cut Enamal PaintFinish Including  6+6 mm thick for curved profile, All joints to be filled with jointing compound , Include finished cutouts for light fixtures, AC grills .</t>
  </si>
  <si>
    <t>Gypsum cove light</t>
  </si>
  <si>
    <t>FR Gypsum board Cove for indirect light</t>
  </si>
  <si>
    <t xml:space="preserve">In L shape with 150 mm deep up to 300mm high and 50 mm wide fascia, All G.I framework for ceiling to be used manufactured by "GYPSteel" only, 12.5 mm thk Gypsum board to be used manufactured by "Saint Gobain Gypsum Board" or "La Farge" only, Gypsum Board sheets shall be fitted &amp; finished as per manufacturer's specification, All joints to be filled with jointing compound including fiber tape reinforcement, Include finished cutouts for, AC grills  including necessary framework / ply support  required, Exclude painting, Only fire line Gypsum </t>
  </si>
  <si>
    <t>*in Straight Profile</t>
  </si>
  <si>
    <t>*In Curved Profile</t>
  </si>
  <si>
    <t>French plaster</t>
  </si>
  <si>
    <t>Average 12 mm thk Universal plaster punning by Gyproc Stucco, Tile bull marks to be used for channel gliding tracks,  Bull marks to be removed before apply punning, Surface to be in perfect plum, line and level, Include pencil rounding to wall corners as instructed, Smooth finished to receive finishing coating, Exclude painting work</t>
  </si>
  <si>
    <t>CP-FR</t>
  </si>
  <si>
    <t>ALUMINIUM FRAME WORK</t>
  </si>
  <si>
    <t>Aluminum frame work In Profile for Art work</t>
  </si>
  <si>
    <t xml:space="preserve">36mm x 36 mm, 16 SWG aluminum framework at 600 mm c/c on wall/column , 18 mm x 18mm, 3 mm aluminum angle to be used for assembling paneling framework, Only round head, full thread, sheet metal screws to be used, Framework to be fixed to wall in perfect plum, line and level, Suitable bracket to be provided behind framework for correct alignment, including provision for  Electrical Conduit and slot for Digital screen  as shown in drawing </t>
  </si>
  <si>
    <t>Aluminum frame work For Paneling</t>
  </si>
  <si>
    <t>Ply Paneling</t>
  </si>
  <si>
    <t>a</t>
  </si>
  <si>
    <t>b</t>
  </si>
  <si>
    <t>c</t>
  </si>
  <si>
    <t>d</t>
  </si>
  <si>
    <t>HDF Paneling</t>
  </si>
  <si>
    <t>providing and fixing HDF Panel to existing framework /pop wall surface with flat head, full thread, sheet metal screws, Edges of HDF to end at center of framework. Edges to be tightly screwed to  framework at 300 mm c/c. Edges to be planed properly to receive finish material</t>
  </si>
  <si>
    <t>12 mm thk HDF</t>
  </si>
  <si>
    <t>6 mm thk Flexi HDF</t>
  </si>
  <si>
    <t>CP-PNL</t>
  </si>
  <si>
    <t>Feature wall Paneling</t>
  </si>
  <si>
    <t>Fluted Wall paneling in Metallic Duco paint finish</t>
  </si>
  <si>
    <t>Using 12 mm thk HDF to be fixed on Existing ply as base , All joints shall be planed and smoothened before installing fluting mouldings.All joints shall be filled with suitable fillers and reinforcement tape, if required. HDF Moldings to be fixed  as per drawing ( min 25 mm wide &amp; deep ), shall be installed on HDF back surface in perfect plumb, line and level. base and HDF moulding surface shall be finished in metallic duco paint, as approved by Architect</t>
  </si>
  <si>
    <t>Backlit Feature Wall Paneling in SS Gold Finish</t>
  </si>
  <si>
    <t>CP-FIN</t>
  </si>
  <si>
    <t>Fins</t>
  </si>
  <si>
    <t>Concrete Finish Fins- in Profile</t>
  </si>
  <si>
    <t>SQmt</t>
  </si>
  <si>
    <t>As per Drawing - Size  upto 650 mm wide x 3600 mm high, Fins frame work to be made out of 38mm x 38 mm MS Box framework , fixed to Floor slab &amp; wall with adequate anchor bolts and plates, Including anti rust paint , Frame to be covered with 12 mm thick Marin Ply ,  4 mm thick HDF to be Fix on ply to received Concrete finish Coating, including Vertical Light Pelmet provision for  Led strip light and Electrical Conduit. Include 16 SWG, 304 Grade SS skirting.  ( basic cost of Pait Rs 250/sqft )</t>
  </si>
  <si>
    <t>CP-PRT</t>
  </si>
  <si>
    <t>PORTAL</t>
  </si>
  <si>
    <t>400 mm wide Veneer /SS finish Portal</t>
  </si>
  <si>
    <t>Providing and fixing  4 mm thick Venner and 16 G SS 304 cladding as portal, finish in PU and PVD coating</t>
  </si>
  <si>
    <t>CP-MR</t>
  </si>
  <si>
    <t>MIRROR PANELING</t>
  </si>
  <si>
    <t>Providing and fixing  8 mm thick Tinted Mirror on exisitng ply , Fixed with Approved adhesive</t>
  </si>
  <si>
    <t>CP-FUR</t>
  </si>
  <si>
    <t>LECTURN</t>
  </si>
  <si>
    <t>Reception Desk - Lecturn for Main Enterance</t>
  </si>
  <si>
    <t>Nos</t>
  </si>
  <si>
    <t>Providing and fixing  1000 mm wide x 2000 mm length Reception (Lectrun )desk , finish in Marble /SS/Veneer. As per detail drawings</t>
  </si>
  <si>
    <t>Reception Desk - Lecturn for Service lift Entry</t>
  </si>
  <si>
    <t>CP-DR</t>
  </si>
  <si>
    <t xml:space="preserve">DOOR </t>
  </si>
  <si>
    <t>Service room &amp; Spa room  Door in Fluted design matching to fluted paneling in metallic Paint Finish</t>
  </si>
  <si>
    <t>No</t>
  </si>
  <si>
    <t>Size : 1000mm x 2250mm</t>
  </si>
  <si>
    <t>Door Frame :</t>
  </si>
  <si>
    <t>Shutter :</t>
  </si>
  <si>
    <t>Hardware :</t>
  </si>
  <si>
    <t>125 mm x 50 mm x 4 mm thk bearing type SS hinges fixed between frame and shutter with SS screws. At least 4 nos. hinges per shutter, Dead lock with suitable cover plate, Concealed door closer by 'Hafele/Dorma as per required capacity,  1 set of handle as approved by Architect</t>
  </si>
  <si>
    <t>Glass Door</t>
  </si>
  <si>
    <t>Fire Hose reel Double leaf Glass  Door</t>
  </si>
  <si>
    <t>Shutter-Size : 1200mm x 2250mm</t>
  </si>
  <si>
    <t>As per drawing, Using 6 mm toughened glass Door with Powder coated Aluminum frame , all edges CNC machine polished</t>
  </si>
  <si>
    <t>The shutter shall be mounted on min. 3 nos. bearing SS copper finished hinges with proprietary screws, made by Hafele/Dorma or equivalent approved by Architect. handle  with locking arrangement, by Hafele or equivalent approved,</t>
  </si>
  <si>
    <t>Service Door_Dining Area</t>
  </si>
  <si>
    <t>Size : 1500mm x 2250mm Double Leaf</t>
  </si>
  <si>
    <t>Heavy duty floor Spring by Hafle or Dorma, Dead lock with suitable cover plate,  including 300 mm wide SS kick plate from both side of shutter,  1 set of handle as approved by Architect</t>
  </si>
  <si>
    <t>VI</t>
  </si>
  <si>
    <t>Sanding and preparing surface for receiving paint, Final coats of Duco paint. Complete as per manufacturer's specifications</t>
  </si>
  <si>
    <t>Concrete texture finish Coating</t>
  </si>
  <si>
    <t>Metallic leafing</t>
  </si>
  <si>
    <t>Artificial Silver/Gold leafing on  ceiling</t>
  </si>
  <si>
    <t>Surface to be ready with putty and primer, to receive metal leaf, Metal leafing to be applied over surface by skilled labour, Metal leaf to be installed as per approved sample, Stain coating to be applied as per approved sample, 2 coats of protective coating in matt / glossy finish, as instructed by Architect</t>
  </si>
  <si>
    <t>Luster Painting to walls</t>
  </si>
  <si>
    <t>Black Paint</t>
  </si>
  <si>
    <t>Black matt paint to walls, beams structural frame and ceiling above false ceiling</t>
  </si>
  <si>
    <t>Sanding and preparing surface for receiving paint, Oil based, black matt paint to be applied in two coats, Clean surface before applying</t>
  </si>
  <si>
    <t>TOTAL I TO VI</t>
  </si>
  <si>
    <r>
      <t xml:space="preserve">P&amp;C of 150mm thick block masonry conforming to IS: 2185 (Part-I), walls to start from floor slab up to true ceiling, suitably anchored to back / existing wall / existing columns in cement mortar in 1 : 4 ratio, minimum 12/15mm thick, only 43 or 53 grade </t>
    </r>
    <r>
      <rPr>
        <sz val="11"/>
        <color rgb="FFFF0000"/>
        <rFont val="Calibri"/>
        <family val="2"/>
      </rPr>
      <t>cement/Adhesive</t>
    </r>
    <r>
      <rPr>
        <sz val="11"/>
        <rFont val="Calibri"/>
        <family val="2"/>
      </rPr>
      <t xml:space="preserve"> to be used. Constructed in perfect plum, line and level. Wall to be cured for at least 3 days. Rate inclusive of required scaffolding, ranking out the joints, cutting, providing &amp; fixing of including providing </t>
    </r>
    <r>
      <rPr>
        <sz val="11"/>
        <color rgb="FFFF0000"/>
        <rFont val="Calibri"/>
        <family val="2"/>
      </rPr>
      <t xml:space="preserve">RCC Patli to be after every 5 layers </t>
    </r>
    <r>
      <rPr>
        <sz val="11"/>
        <rFont val="Calibri"/>
        <family val="2"/>
      </rPr>
      <t xml:space="preserve"> and lintel work for the doors &amp; windows / curved windows opening of 100mm x 100mm at every 1.00m C/C with 2 nos. 8mm dia Tor bars and 6mm dia links at 300 c/c in cement concrete of mix M 20, required formwork complete with raking out joints, curing, doing independent double legged scaffolding as per specifications etc. at all heights, depths and leads as directed, exclude cement plaster. Complete as per site engineer's instruction and Architectural detail drawings. All external divider walls</t>
    </r>
    <r>
      <rPr>
        <b/>
        <sz val="11"/>
        <rFont val="Calibri"/>
        <family val="2"/>
      </rPr>
      <t xml:space="preserve"> up to 4300mm ht</t>
    </r>
    <r>
      <rPr>
        <sz val="11"/>
        <rFont val="Calibri"/>
        <family val="2"/>
      </rPr>
      <t xml:space="preserve"> up to mother slab level.                       </t>
    </r>
  </si>
  <si>
    <r>
      <t xml:space="preserve">P&amp;C of 100mm  thick block masonry conforming to IS: 2185 (Part-I), walls to start from floor slab up to true ceiling, suitably anchored to back / existing wall / existing columns in cement mortar in 1 : 4 ratio, minimum 12/15mm thick, only 43 or 53 grade </t>
    </r>
    <r>
      <rPr>
        <sz val="11"/>
        <color rgb="FFFF0000"/>
        <rFont val="Calibri"/>
        <family val="2"/>
      </rPr>
      <t>cement/Adhesive</t>
    </r>
    <r>
      <rPr>
        <sz val="11"/>
        <rFont val="Calibri"/>
        <family val="2"/>
      </rPr>
      <t xml:space="preserve"> to be used. Constructed in perfect plum, line and level. Wall to be cured for at least 3 days. Rate inclusive of required scaffolding, ranking out the joints, cutting, providing &amp; fixing of including providing </t>
    </r>
    <r>
      <rPr>
        <sz val="11"/>
        <color rgb="FFFF0000"/>
        <rFont val="Calibri"/>
        <family val="2"/>
      </rPr>
      <t>RCC Patli to be after every 5 layers</t>
    </r>
    <r>
      <rPr>
        <sz val="11"/>
        <rFont val="Calibri"/>
        <family val="2"/>
      </rPr>
      <t xml:space="preserve">  and lintel work for the doors &amp; windows / curved windows opening of 100mm x 100mm at every 1.00m C/C with 2 nos. 8mm dia Tor bars and 6mm dia links at 300 c/c in cement concrete of mix M 20, required formwork complete with raking out joints, curing, doing independent double legged scaffolding as per specifications etc. at all heights, depths and leads as directed, exclude cement plaster. Complete as per site engineer's instruction and Architectural detail drawings. All external divider walls up to 4300mm ht up to mother slab level.                       </t>
    </r>
  </si>
  <si>
    <r>
      <t xml:space="preserve">Flooring shall consist of Marble  as per drawing, At least  50 mm thk bedding mortar in 1:4 ratio, At least 18 mm  thk marble to be fixed in white cement only,  Marble shall be mirror polished, Marble to be cut as per size and laid with tight hairline joints, Joints to be filled Joint sealant, matching to marble in TIM-X or equivalent joint filler, </t>
    </r>
    <r>
      <rPr>
        <sz val="10"/>
        <color rgb="FFFF0000"/>
        <rFont val="Calibri"/>
        <family val="2"/>
      </rPr>
      <t xml:space="preserve">including Approved sealer to be applied on all sides </t>
    </r>
    <r>
      <rPr>
        <sz val="10"/>
        <rFont val="Calibri"/>
        <family val="2"/>
      </rPr>
      <t xml:space="preserve">, with edge polish etc., complete, Including using plastic/Pvc  sheet and POP to protect on marble flooring  as  protection , Include removal and disposing of protection materials before handover, Basic cost of marble Rs 450/sft </t>
    </r>
  </si>
  <si>
    <r>
      <t xml:space="preserve">At least 18 mm thk polished marble fixed to Plastered masonry, Marble shall be cut from slabs of even thickness, Marble shall be installed with white cement paste,  Include all finished marble niches, with V groove edge polish etc. complete, All joints of Marble shall be filled with matching colour TIM-X or equivalent grout filler, </t>
    </r>
    <r>
      <rPr>
        <sz val="10"/>
        <color rgb="FFFF0000"/>
        <rFont val="Calibri"/>
        <family val="2"/>
      </rPr>
      <t>including Approved sealer to be applied on all sides,</t>
    </r>
    <r>
      <rPr>
        <sz val="10"/>
        <rFont val="Calibri"/>
        <family val="2"/>
      </rPr>
      <t xml:space="preserve"> All visible edges of Marble shall be mirror polished, Basic cost of marble Rs 450/sft </t>
    </r>
  </si>
  <si>
    <r>
      <t>At least 18 mm thk polished marble fixed to Plastered masonry, Marble shall be cut from slabs of even thickness, Marble shall be installed with white cement paste,  Include all finished marble niches, with V groove edge polish etc. complete, All joints of Marble shall be filled with matching colour TIM-X or equivalent grout filler,</t>
    </r>
    <r>
      <rPr>
        <sz val="10"/>
        <color rgb="FFFF0000"/>
        <rFont val="Calibri"/>
        <family val="2"/>
      </rPr>
      <t xml:space="preserve"> including Approved sealer to be applied on all sides</t>
    </r>
    <r>
      <rPr>
        <sz val="10"/>
        <rFont val="Calibri"/>
        <family val="2"/>
      </rPr>
      <t xml:space="preserve">, All visible edges of Marble shall be mirror polished, Basic cost of marble Rs 1000/sft </t>
    </r>
  </si>
  <si>
    <t>1.1a</t>
  </si>
  <si>
    <t>18 mm thick Italian Marble flooring in Various Marble shade  and in strip form Pattern - for Dining</t>
  </si>
  <si>
    <t>1.1b</t>
  </si>
  <si>
    <t>Vitrified flooring</t>
  </si>
  <si>
    <t>CVL-TILE</t>
  </si>
  <si>
    <t>Tile Cladding</t>
  </si>
  <si>
    <t>Joint less ceramic tiles cladding ( behind Buffet counter )</t>
  </si>
  <si>
    <t>Vitrified tile For Live Kitchen</t>
  </si>
  <si>
    <t>CVL/CLD</t>
  </si>
  <si>
    <t>marble wall cladding</t>
  </si>
  <si>
    <t>Italian Marble Wall Cladding</t>
  </si>
  <si>
    <t>Italian Marble Finish Band</t>
  </si>
  <si>
    <t>Marble Architrave</t>
  </si>
  <si>
    <t>Marble Portal /Architrave ( 50 mm wide 400 mm deep )</t>
  </si>
  <si>
    <t>GYPSUM -CEINLING</t>
  </si>
  <si>
    <r>
      <t xml:space="preserve">All G.I framework for ceiling to be used manufactured by "GYPSteel" only at 400 mm c/c  &amp; suspenders, closer at 1200 mm c/c, 12.5 mm thk Gypsum board to be used manufactured by "Saint Gobain Gypsum Board" or "La Farge" only, Gypsum Board sheets shall be fitted &amp; finished as per manufacturer's specification, All joints to be filled with jointing compound including fibre tape reinforcement, Include finished cut-outs for light fixtures, AC grills  including necessary framework/ply support , Include horizontal structural member to span below HVAC ducting for ceiling suspenders ( </t>
    </r>
    <r>
      <rPr>
        <b/>
        <sz val="10"/>
        <rFont val="Calibri"/>
        <family val="2"/>
      </rPr>
      <t>Note</t>
    </r>
    <r>
      <rPr>
        <sz val="10"/>
        <rFont val="Calibri"/>
        <family val="2"/>
      </rPr>
      <t xml:space="preserve"> - existing structural ceiling height is 4300 mm )</t>
    </r>
  </si>
  <si>
    <t>GYP-CEL</t>
  </si>
  <si>
    <t>Aluminium framework  for panelling :</t>
  </si>
  <si>
    <t>50mm x 25 mm, 16 SWG aluminium framework at 600 mm c/c fixed to wall, 18 mm x 18mm, 3 mm aluminium angle to be used for assembling panelling framework, Only round head, full thread, sheet metal screws to be used, Framework to be fixed to wall in perfect plum, line and level, Suitable packing to be provided behind framework for correct alignment,</t>
  </si>
  <si>
    <t>Wooden Strip panelling</t>
  </si>
  <si>
    <t>Veneer finish Panelling in batten form - Vertical and Horizontal</t>
  </si>
  <si>
    <t>CP-Part</t>
  </si>
  <si>
    <t>Wooden Partition</t>
  </si>
  <si>
    <t>Free standing low height Partition in Curved Profile- 1350 mm High</t>
  </si>
  <si>
    <t>Free standing low height Partition in straight Profile-1350 mm high</t>
  </si>
  <si>
    <t>Glass-Screen</t>
  </si>
  <si>
    <t>Fluted glass screen with SS Flat trim- 300 mm high</t>
  </si>
  <si>
    <t>10 mm thick Fluted Glass panel with 6 mm thick SS flat band around the glass , SS in bronze satin finish, Fixed to marble top  Trim ,  as shown in drawing, including fluted glass film</t>
  </si>
  <si>
    <t>Serving counter</t>
  </si>
  <si>
    <t>Buffet serving counter - in U shape</t>
  </si>
  <si>
    <t>Size : 11500mm length x 800mm depth x 950mm ht.</t>
  </si>
  <si>
    <t>Coffee station</t>
  </si>
  <si>
    <t xml:space="preserve">Coffee Station </t>
  </si>
  <si>
    <t>Size : 1800mm length x 750mm depth x 950mm ht.</t>
  </si>
  <si>
    <t>CP-GL</t>
  </si>
  <si>
    <t>SS Jali</t>
  </si>
  <si>
    <t>SS Screen in Satin Bronze finish</t>
  </si>
  <si>
    <t xml:space="preserve">Overall size- 4500 mm wide x 1000 mm height,  304 grade SS screen to be made out of  3 mm thick Sheet  ( cris-cross  pattern ),  SS frame in Satin Bronze finish  as approved by Architect, frame fixed to Wall and above ceiling Bulkhead, </t>
  </si>
  <si>
    <t>TV Frame</t>
  </si>
  <si>
    <t>TV/FIDS surround frame</t>
  </si>
  <si>
    <t>Size up to  ( 1200 mm x 1350 mm ), Using 3/4" thick ply carcass as TV surround, like a picture frame including 50 to 75  mm wide surround finished in 4 mm thick veneer to receive polycot paint, Rear portion of TV surround covered with 1 mm thick laminate, To be fixed on wall/panelling with adequate supports</t>
  </si>
  <si>
    <t>Glass Shelf</t>
  </si>
  <si>
    <t xml:space="preserve">18 mm thick Glass Shelf </t>
  </si>
  <si>
    <t>size - 1500MMX350MM- using 18 mm thick toughen glass shelf including SS Patch fittings ( Haffle or Dorma )</t>
  </si>
  <si>
    <t>Glass Box</t>
  </si>
  <si>
    <t>Glass Display BOX with SS pipe  in Satin Bronze - 300 mm ht.</t>
  </si>
  <si>
    <t xml:space="preserve">nos </t>
  </si>
  <si>
    <t>size - 300MM X4500MM- Made of Box frame using 25 x25 x2.5 mm thick SS box pipe in Satin bronze finish, and frame to be covered  with 12 mm thick  toughen Glass as per detail drawing</t>
  </si>
  <si>
    <t>Glass Display BOX with SS pipe  in Satin Bronze - 200 mm ht.</t>
  </si>
  <si>
    <t>size - 200MM X4500MM- Made of Box frame using 25 x25 x2.5 mm thick SS box pipe in Satin bronze finish, and frame to be covered  with 12 mm thick  toughen Glass  as per detail drawing</t>
  </si>
  <si>
    <t xml:space="preserve"> DOOR D-8</t>
  </si>
  <si>
    <t>Service door-Veneer/laminate finish including top fixed panel</t>
  </si>
  <si>
    <t>Size : 900mm x 2250mm</t>
  </si>
  <si>
    <t>Overall size:800 mm wide x 2250 mm ht. x  1 leaf, up to 40 mm thk. Using 35 mm thick readymade fireproof shutter covered with  4 mm thick  approved veneer from Lounge  side and other side 1 mm thick approved Laminate, (basic cost of veneer up to Rs. 125/sft) &amp; (basic cost of laminate Rs 1600 / sheet)</t>
  </si>
  <si>
    <t xml:space="preserve">Polish: </t>
  </si>
  <si>
    <t>125 mm x 50 mm x 4 mm thk bearing type SS hinges fixed between frame and shutter with SS screws. At least 4 nos. hinges per shutter, Dead lock with suitable cover plate , and Magnetic latch, 1 set of handle as approved by architect</t>
  </si>
  <si>
    <t>Wooden Capital</t>
  </si>
  <si>
    <t>Wooden finish Capital for Column</t>
  </si>
  <si>
    <t>As per drawing -Size up to 600 mm wide x 1850 mm high, Using 50mm x 36 mm, 16 SWG aluminium framework at 600 mm c/c Fixed on existing Structural Framework, Frame to be covered with 18 mm thick marine ply,  For Curve surface use 6+6+6 mm flexi ply, 12 mm thick HDF to be fixed on Ply, For Curve surface use 6+6 mm flexi HDF, All joints shall be filled with suitable fillers and reinforcement tape, 50 mm wide  x 25 mm thick  HDF fluting to be fixed on HDF surface with 25 mm gap, Base and HDF moulding surface shall be finished n Water cut enamal Paint finish,  as approved by Architect, include 450 mm wide x 100 mm thick veneer finish Band at bottom, Veneer to be finished in Approved Melamine polish . Including 2 layers of light Pelmet with Led strip light provision. (Basic cost of veneer up to Rs. 125/-sft )</t>
  </si>
  <si>
    <t>Veneer finish Ceiling</t>
  </si>
  <si>
    <t>Sqmt</t>
  </si>
  <si>
    <t>Corian finish fluted panelling</t>
  </si>
  <si>
    <t>Brick Cladding on Existing taper column</t>
  </si>
  <si>
    <t>Clean existing wall/Ply surface before fixing  brick tile cladding Before starting, carefully read the suppliers laying plan and instructions. Decorative Brick tiles shall be fixed and finished as per manufacturers instructions, preferably by a nominated contractor. Basic cost of mosaic tiles at Rs.120/sft without tax</t>
  </si>
  <si>
    <t>TOTAL AMOUNT - I TO VI</t>
  </si>
  <si>
    <t>FINE DINING &amp; LIVE KITCHEN AREA BOQ</t>
  </si>
  <si>
    <r>
      <t xml:space="preserve">Marble strip size up to  50 to 225 mm wide in various length, Flooring shall consist of Marble  as per drawing, At least  50 mm thk bedding mortar in 1:4 ratio, At least 18 mm  thk marble to be fixed in white cement only,  Marble shall be mirror polished, Marble to be cut as per size and laid with tight hairline joints, Joints to be filled Joint sealant, matching to marble in TIM-X or equivalent joint filler, </t>
    </r>
    <r>
      <rPr>
        <sz val="10"/>
        <color rgb="FFFF0000"/>
        <rFont val="Calibri"/>
        <family val="2"/>
      </rPr>
      <t xml:space="preserve">including Approved sealer to be applied on all sides </t>
    </r>
    <r>
      <rPr>
        <sz val="10"/>
        <rFont val="Calibri"/>
        <family val="2"/>
      </rPr>
      <t xml:space="preserve">, with edge polish etc., complete, Including using plastic/Pvc  sheet and POP to protect on marble flooring  as  protection , Include removal and disposing of protection materials before handover, Basic cost of marble Rs 450/sft </t>
    </r>
  </si>
  <si>
    <t>SUPPLYING AND LAYING VITRIFIED FLOOR TILES OF 600 X 600 MM SIZE OF FIRST QUALITY,CONFIRMING TO IS:13006 PL-LBE OF RAK CERAMICS/EURO/NITCO/KAJARIA OR EQUIVALENT,DESIGN AND SHADE AS APPROVED, FIXED OVER 30 MM AVERAGE THICK BASE OF CEMENT MARTOR 1:4 (1 CEMENT:4 COARSE SAND)LAID WITH CEMENT SLURRY,INCLUDING PREPAIRING THE BASE,FILLING WITH WHITE CEMENT PASTE OF APPROVED MATCHING COLOUR AND SHADE ETC.CLEANING ALL COMPLETE AS PER DIRECTION OF ENGINEER-IN- CHARGE. basic cost of tile Rs.150/sft without tax</t>
  </si>
  <si>
    <t>P&amp;F of 19mm thick Kota Stone flooring (selected &amp; approved grey colour - size, 550mm x550mm, basic cost INR. 538.00 / SM), stone to be machine cut, machine polished, laid in pattern and sizes as detailed in drawing, bedded over cement sand mortar of mix ratio of 1:6 (1 cement : 6 sand) including cleaning and preparing the surface for bedding, Kotah to be laid with tight hairline joints , joints to be cleaned and grouted with matching colour approved quality Epoxy based readymade grout, curing, machine polishing, cleaning, etc. complete at all depths, heights and leads to the satisfactions, necessary cut out for services purpose, etc. Complete in proper line &amp; level as per site engineer's instruction. It is considered for  kitchen &amp; service area.</t>
  </si>
  <si>
    <t>Kotah tile Flooring for Live Kitchen</t>
  </si>
  <si>
    <r>
      <t xml:space="preserve">Cladding shall comprise of ceramic tile of 300 mm x 300 mm, Tiles to be fixed in ordinary Portland cement only, Tiles to be put with </t>
    </r>
    <r>
      <rPr>
        <sz val="10"/>
        <color rgb="FFFF0000"/>
        <rFont val="Calibri"/>
        <family val="2"/>
      </rPr>
      <t>Spacer required with Leticrete grout in  joints</t>
    </r>
    <r>
      <rPr>
        <sz val="10"/>
        <rFont val="Calibri"/>
        <family val="2"/>
      </rPr>
      <t xml:space="preserve"> in plumb, Joints to be filled with  matching grout.(Basic cost of ceramic tiles at Rs.30/sft) make: Johnson / Somany / Kajaria / Nitco</t>
    </r>
  </si>
  <si>
    <r>
      <t xml:space="preserve">Clean existing wall surface before fixing  tile, Before starting, carefully read the suppliers laying plan and instructions. Decorative mosaic tiles shall be fixed and finished as per manufacturers instructions, </t>
    </r>
    <r>
      <rPr>
        <sz val="10"/>
        <color rgb="FFFF0000"/>
        <rFont val="Calibri"/>
        <family val="2"/>
      </rPr>
      <t>Tiles to be put with Spacer required with Leticrete grout in  joints in plumb</t>
    </r>
    <r>
      <rPr>
        <sz val="10"/>
        <rFont val="Calibri"/>
        <family val="2"/>
      </rPr>
      <t>, Joints to be filled with  matching grout.  preferably by a nominated contractor. Basic cost of mosaic tiles at Rs.150/sft without tax</t>
    </r>
  </si>
  <si>
    <r>
      <t xml:space="preserve">All around in 'C' profile Pasted over existing ply surface with epoxy adhesive &amp; brass pins, Ply surface shall be cleaned before installing marble, At least 18mm thk marble to be fixed, Marble shall be cut as per size &amp; laid with tight hairline joints, Edge of marble shall be polished before installation, Joints to be filled with Tim-X or equivalent joint filler, Special care to be taken to fix marble on horizontal surface. Shall rest over ply at one end and vertical marble on the other, The vertical marble over 50 mm shall be fixed using brass pins . </t>
    </r>
    <r>
      <rPr>
        <sz val="10"/>
        <color rgb="FFFF0000"/>
        <rFont val="Calibri"/>
        <family val="2"/>
      </rPr>
      <t xml:space="preserve">including Approved sealer to be applied on all sides </t>
    </r>
    <r>
      <rPr>
        <sz val="10"/>
        <rFont val="Calibri"/>
        <family val="2"/>
      </rPr>
      <t>(Basic cost of Marble at Rs.450/sft )</t>
    </r>
  </si>
  <si>
    <r>
      <t xml:space="preserve">up to 150 mm high Skirting  with 18 MM thick Italian Marble including Edge Moulding, etc. complete, All joints of Marble shall be filled with matching colour TIM-X or equivalent grout filler, All visible edges of Marble shall be mirror polished, </t>
    </r>
    <r>
      <rPr>
        <sz val="10"/>
        <color rgb="FFFF0000"/>
        <rFont val="Calibri"/>
        <family val="2"/>
      </rPr>
      <t xml:space="preserve">including Approved sealer to be applied on all sides </t>
    </r>
    <r>
      <rPr>
        <sz val="10"/>
        <rFont val="Calibri"/>
        <family val="2"/>
      </rPr>
      <t>(  Basic cost of marble Rs 450/sft )</t>
    </r>
  </si>
  <si>
    <t>As per Drawing - Size  up to 3600 mm wide x 3600 mm high, Feature wall frame work to be made out of 50mm x 100 mm MS Box framework , fixed to Floor slab &amp; wall with adequate anchor bolts and plates, Including anti rust paint , Frame to be covered 6 mm thick FRP Flexi Ply, 6+6 mm thick FRP Flexi ply bttens to be made and  fix on 6 mm thick base ply with 30 mm Gap,Batten to be covered with 16G, 304 grade SS sheet in C shape Profile ( as per approved design ) sheet in Gold Finish  ,  30 mm x 40 mm SS Gold finish box insert in Perforated sheet as per drawing, including Vertical  provision for  Led strip light and Electrical Conduit. Include  SS sheet insert in Groove</t>
  </si>
  <si>
    <t>Overall finish size 250mm x 50 mm thk without rebate,Door frame to be Made up Using 18 mm thick FRP ply as rough ground, fixed to masonry wall in perfect plumb,  line and level by using 6" long Hilti Anchor bolt (total 6 nos - 3 nos each side), Clad with 4 mm thk HDF, Rebate to be separately put in CP wood, including , Wood to be treated with anti-termite medicine, Frame to be finish in Approved Metallic Duco paint finish</t>
  </si>
  <si>
    <t>Overall size:900 mm wide x 2250 mm ht. x  1 leaf, up to 67 mm thk. Using 38 mm thick readymade fireproof shutter covered with 12 mm thick FRP ply on both sides. The shutter shall be clad with 4 mm thick  mdf on one side Laminate on other side including NBTW beading all around. including 25x25mm HDF strip press on HDF side on shutter as per drawings, Shutter and MDF strip be finish in Approved Metallic duco paint finish</t>
  </si>
  <si>
    <t>Overall finish size 250mm x 50 mm thk without rebate, Door frame to be Made up Using 18 mm thick FRP ply as rough ground, fixed to masonry wall in perfect plumb,  line and level by using 6" long Hilti Anchor bolt (total 6 nos - 3 nos each side), Clad with 12 mm thk New burma teak wood, Rebate to be separately put in rough ground frame, Wood to be treated with anti-termite medicine, Frame to be finish  in  Approved Melamine polish</t>
  </si>
  <si>
    <t>Overall size:750 mm wide x 2250 mm ht. x 2 leaf, up to 67 mm thk. Using 38 mm thick readymade fireproof shutter covered with 12 mm thick FRP ply on both sides. The shutter shall be clad with 4 mm thick  Veneer from lounge side and other side 1 mm thick approved Laminate, including NBTW beading all around. Shutter to be finish  in  Approved Melamine polish , Including Vision panel as per drawing.</t>
  </si>
  <si>
    <t>SPROTS BAR</t>
  </si>
  <si>
    <t xml:space="preserve">Description </t>
  </si>
  <si>
    <t>Qty. of Items Sports bar</t>
  </si>
  <si>
    <t>Qty. of Items Relax lounge</t>
  </si>
  <si>
    <t>Total Quantity</t>
  </si>
  <si>
    <t xml:space="preserve">18 mm thick Italian Marble flooring </t>
  </si>
  <si>
    <t>18 mm thick Italian Marble flooring in Various Marble shade  and in Pattern - for Sports Bar</t>
  </si>
  <si>
    <t>Vitrified tile Flooring for Bar &amp; Store room</t>
  </si>
  <si>
    <t>Joint less ceramic tiles cladding ( behind Display screen and store room)</t>
  </si>
  <si>
    <t>Vitrified tile Cladding for Inside Bar wall</t>
  </si>
  <si>
    <t>COUNTER AND LEDGES</t>
  </si>
  <si>
    <t>CVL/FUR</t>
  </si>
  <si>
    <t>Bar Counter</t>
  </si>
  <si>
    <t>Sports  Bar counter in Profile</t>
  </si>
  <si>
    <t>Size : 11500mm length x 1050mm depth x 1150mm ht.</t>
  </si>
  <si>
    <t>Apron partition:</t>
  </si>
  <si>
    <t>Preparation counter:</t>
  </si>
  <si>
    <t>Serving counter top in profile:</t>
  </si>
  <si>
    <t>Bar Back unit</t>
  </si>
  <si>
    <t>Marble finish Bar Back unit</t>
  </si>
  <si>
    <t>Size : 3500mm length x 750mm depth x 975 mm ht.</t>
  </si>
  <si>
    <t>REFER DRAWING-00B01-TFS-DOM02-ID-07-03/11 &amp; 12</t>
  </si>
  <si>
    <t>VENEER Skin</t>
  </si>
  <si>
    <t>Veneer skin for Straight &amp; curved surfaces</t>
  </si>
  <si>
    <t>(Basic cost of veneer upto Rs. 150/-sft )</t>
  </si>
  <si>
    <t>SS -WRK</t>
  </si>
  <si>
    <t>L.H. Partition</t>
  </si>
  <si>
    <t>Low height Curved Partition ( 1100 mm high )</t>
  </si>
  <si>
    <t>Furniture</t>
  </si>
  <si>
    <t>Community table ( 1600 mm long  x 650 mm wide)</t>
  </si>
  <si>
    <t>SS Bronze Satin finish 50 mm high skirting</t>
  </si>
  <si>
    <t>Foot Rail</t>
  </si>
  <si>
    <t>SS Foot Rail</t>
  </si>
  <si>
    <r>
      <t xml:space="preserve">up to 200 mm high -Providing and fixing in position 304 grade </t>
    </r>
    <r>
      <rPr>
        <b/>
        <sz val="10"/>
        <rFont val="Tahoma"/>
        <family val="2"/>
      </rPr>
      <t>S.S</t>
    </r>
    <r>
      <rPr>
        <sz val="10"/>
        <rFont val="Tahoma"/>
        <family val="2"/>
      </rPr>
      <t xml:space="preserve"> Satin Bronze finish </t>
    </r>
    <r>
      <rPr>
        <b/>
        <sz val="10"/>
        <rFont val="Tahoma"/>
        <family val="2"/>
      </rPr>
      <t xml:space="preserve">foot rail </t>
    </r>
    <r>
      <rPr>
        <sz val="10"/>
        <rFont val="Tahoma"/>
        <family val="2"/>
      </rPr>
      <t>of 38mm diameter with horizontal &amp; vertical members, Grouting in concrete, etc. complete, as specified and as directed by Architect</t>
    </r>
  </si>
  <si>
    <t>Wicked Door</t>
  </si>
  <si>
    <t>Corian finish Wicked door</t>
  </si>
  <si>
    <t>Size : 950mm x 2250mm</t>
  </si>
  <si>
    <t>125 mm x 50 mm x 4 mm thk bearing type SS hinges fixed between frame and shutter with SS screws. At least 4 nos. hinges per shutter, Dead lock with suitable cover plate , and Magnetic latch, 1 set of handle as approved by architect ( Make Dorma / Hafle )</t>
  </si>
  <si>
    <t>TOTAL AMOUNT I TO III</t>
  </si>
  <si>
    <t>Note:</t>
  </si>
  <si>
    <t xml:space="preserve">1) All plywood to be fire rated </t>
  </si>
  <si>
    <t>2) Approved make to be specified</t>
  </si>
  <si>
    <t>3) All polish to  be water based PU</t>
  </si>
  <si>
    <t>5) Profile to be check</t>
  </si>
  <si>
    <r>
      <t xml:space="preserve">Marble strip size up to  50 to 225 mm wide in various length, Flooring shall consist of Marble  as per drawing, At least  50 mm thk bedding mortar in 1:4 ratio, At least 18 mm  thk marble to be fixed in white cement only,  Marble shall be mirror polished, Marble to be cut as per size and laid with tight hairline joints, Joints to be filled Joint sealant, matching to marble in TIM-X or equivalent joint filler, </t>
    </r>
    <r>
      <rPr>
        <sz val="10"/>
        <color rgb="FFFF0000"/>
        <rFont val="Tahoma"/>
        <family val="2"/>
      </rPr>
      <t>including Approved sealer to be applied on all sides</t>
    </r>
    <r>
      <rPr>
        <sz val="10"/>
        <rFont val="Tahoma"/>
        <family val="2"/>
      </rPr>
      <t xml:space="preserve"> , with edge polish etc., complete, Including using plastic/Pvc  sheet and POP to protect on marble flooring  as  protection , Include removal and disposing of protection materials before handover, Basic cost of marble Rs 450/sft </t>
    </r>
  </si>
  <si>
    <t>Aluminum frame work  ( for Paneling  &amp; Cladding )</t>
  </si>
  <si>
    <t>50mm x 36 mm, 16 SWG aluminum framework at 600 mm c/c on wall/column , 18 mm x 18mm, 3 mm aluminum angle to be used for assembling paneling framework, Only round head, full thread, sheet metal screws to be used, Framework to be fixed to wall in perfect plumb, line and level, Suitable bracket to be provided behind framework for correct alignment,</t>
  </si>
  <si>
    <t>PLY Paneling</t>
  </si>
  <si>
    <t>Community Tabel</t>
  </si>
  <si>
    <t>4) Apporved sealer to be applied in all 6 sides of marble</t>
  </si>
  <si>
    <r>
      <t xml:space="preserve">Marble strip size up to  50 to 225 mm wide in various length, Flooring shall consist of Marble  as per drawing, At least  50 mm thk bedding mortar in 1:4 ratio, At least 18 mm  thk marble to be fixed in white cement only,  Marble shall be mirror polished, Marble to be cut as per size and laid with tight hairline joints, Joints to be filled Joint sealant, matching to marble in TIM-X or equivalent joint filler, </t>
    </r>
    <r>
      <rPr>
        <sz val="10"/>
        <color rgb="FFFF0000"/>
        <rFont val="Tahoma"/>
        <family val="2"/>
      </rPr>
      <t>including Approved sealer to be applied on all sides</t>
    </r>
    <r>
      <rPr>
        <sz val="10"/>
        <rFont val="Tahoma"/>
        <family val="2"/>
      </rPr>
      <t xml:space="preserve">, with edge polish etc., complete, Including using plastic/Pvc  sheet and POP to protect on marble flooring  as  protection , Include removal and disposing of protection materials before handover, Basic cost of marble Rs 450/sft </t>
    </r>
  </si>
  <si>
    <r>
      <t xml:space="preserve">Cladding shall comprise of ceramic tile of 300 mm x 600 mm, Tiles to be fixed in ordinary Portland cement only, Tiles to be put with </t>
    </r>
    <r>
      <rPr>
        <sz val="10"/>
        <color rgb="FFFF0000"/>
        <rFont val="Tahoma"/>
        <family val="2"/>
      </rPr>
      <t>Spacer required with Leticrete grout in  joints</t>
    </r>
    <r>
      <rPr>
        <sz val="10"/>
        <rFont val="Tahoma"/>
        <family val="2"/>
      </rPr>
      <t xml:space="preserve"> , in plumb, Joints to be filled with  matching grout . (Basic cost of ceramic tiles at Rs.60/sft) make: Johnson / Somany / Kajaria / Nitco</t>
    </r>
  </si>
  <si>
    <r>
      <t xml:space="preserve">Cladding shall comprise of vitrified tile of 600 mm x 600 mm, Tiles to be fixed in ordinary Portland cement only, Tiles to be put with </t>
    </r>
    <r>
      <rPr>
        <sz val="10"/>
        <color rgb="FFFF0000"/>
        <rFont val="Tahoma"/>
        <family val="2"/>
      </rPr>
      <t xml:space="preserve">Spacer required with Leticrete grout in  joints </t>
    </r>
    <r>
      <rPr>
        <sz val="10"/>
        <rFont val="Tahoma"/>
        <family val="2"/>
      </rPr>
      <t>in plumb, Joints to be filled with  matching grout . (Basic cost of vitrified tiles at Rs.60/sft) make: Johnson / Somany / Kajaria / Nitco</t>
    </r>
  </si>
  <si>
    <t>COMP - Wet Works/civil &amp; Interior finishes</t>
  </si>
  <si>
    <t>Long  Item Description</t>
  </si>
  <si>
    <t>Units</t>
  </si>
  <si>
    <t>Building 200 mm thk. Aerocon block wall / Partition of 4300mm height up to Mother Slab .</t>
  </si>
  <si>
    <t>12/15mm thick Wall Plaster on the surfaces of Existing Masonry Works Surfaces up to 4300mm height .</t>
  </si>
  <si>
    <t>CVL/ Ramp Construction</t>
  </si>
  <si>
    <t>Construction of ramp using Aerocon block</t>
  </si>
  <si>
    <t>Ramp flooring- Gradient of slope in 1 to 12 ratio, Floor surface to be cleaned of any dust particles, Surface to be watered well before laying blocks,OPC Only 43 grade cement to be used ( make- ACC / Bharthi/ Ultratech / Grasim Industries / Coromandel ),Cement mortar in 1"4 ratio, minimum 12mm thk, Ramp block shall start from slab level &amp; height shall increase gradually &amp; match raised flooring height, Blocks shall be laid with alternate joints, Cured for at least 3 days,</t>
  </si>
  <si>
    <t>0 to 300 mm thick</t>
  </si>
  <si>
    <t>Brickbat Coba / Screeding</t>
  </si>
  <si>
    <t>150mm thick Brickbat Coba / Screeding at Raised flooring.</t>
  </si>
  <si>
    <t xml:space="preserve">P&amp;C of 150mm thick screed with 100mm thick broken AAC (Siporex) Block, broken siporex block to be laid on the waterproofing treated floor in proper leveling, after laying of the siporex block, void area to be filled up with Siporex or equivalent light weight materials including making of 50mm thick IPS flooring in cement concrete mix of 1:2:4 (1 cement : 2 sand : 4 aggregate 20mm) well vibrated, compacted, fixed  to correct level and finished smooth and cured by keeping surfaces well- covered and protected against excesses of any type, all complete at all heights and leads to the satisfaction. Complete as per instruction by the site engineer. </t>
  </si>
  <si>
    <t>300mm thick Brickbat Coba / Screeding at Raised flooring.</t>
  </si>
  <si>
    <t xml:space="preserve">P&amp;C of 300mm thick screed with 100/200/250mm thick broken AAC (Siporex) Block, broken siporex block to be laid on the waterproofing treated floor in proper leveling, after laying of the siporex block, void area to be filled up with Siporex or equivalent light weight materials including making of 50mm thick IPS flooring in cement concrete mix of 1:2:4 (1 cement : 2 sand : 4 aggregate 20mm) well vibrated, compacted, fixed  to correct level and finished smooth and cured by keeping surfaces well- covered and protected against excesses of any type, all complete at all heights and leads to the satisfaction. Laying the same in proper line &amp; level on the seating area's floor to maintain the floor leveling &amp; to get the smooth surface to lay the finishing floor materials on the said surface. Complete as per architectural detail drawings &amp; instruction by the site engineer. </t>
  </si>
  <si>
    <t>CIVIL FINISHES WORK</t>
  </si>
  <si>
    <t>FLOORING</t>
  </si>
  <si>
    <t>marble flooring</t>
  </si>
  <si>
    <t xml:space="preserve">Italian Marble Flooring </t>
  </si>
  <si>
    <t>Ramp-marble flooring</t>
  </si>
  <si>
    <t xml:space="preserve">Italian Marble Flooring on Ramp in Strip Form </t>
  </si>
  <si>
    <t>Vitrified tile flooring</t>
  </si>
  <si>
    <t>Vitrified tile Flooring for staff toilet</t>
  </si>
  <si>
    <t>Clean existing sub floor thoroughly before fixing Vitrified tile, Before starting, carefully read the suppliers laying plan and instructions. Decorative mosaic tiles shall be fixed and finished as per manufacturers instructions, preferably by a nominated contractor. Basic cost of mosaic tiles at Rs.150/sft without tax</t>
  </si>
  <si>
    <t>Kota Stone Flooring for Corridor  &amp; service Area</t>
  </si>
  <si>
    <t>Granite Stone</t>
  </si>
  <si>
    <t>Granite Stone Ramp at Kitchen Entrance.</t>
  </si>
  <si>
    <t>Granite Stone Ramp Flooring for Service corridor</t>
  </si>
  <si>
    <t>P&amp;F of 18mm thick leather finished jet black granite flooring on the ramp with 100mm wide (selected &amp; approved make, basic cost INR. 2690.00/SM) in stroke pattern to get the desired grip. Stone to be machine cut, machine polished, laid in pattern and sizes as detailed in drawing, bedded over cement sand mortar of mix ratio of 1:6 (1 cement : 6 sand) including cleaning and preparing the surface for bedding, joints to be cleaned and grouted with matching colour approved quality Epoxy based readymade grout, curing, cleaning, etc. to required line, level, etc. all complete at all depths, heights and leads to the satisfactions, necessary cut out for services purpose, chamfer of edges, etc. Complete in proper line &amp; level as per site engineer's instruction. It is for the back kitchen entrance area</t>
  </si>
  <si>
    <t>CLADDING</t>
  </si>
  <si>
    <t>Marble wall cladding</t>
  </si>
  <si>
    <t xml:space="preserve">Synthetic Marble Wall Cladding with Grooves </t>
  </si>
  <si>
    <t>Italian Marble Wall Cladding for in strip format</t>
  </si>
  <si>
    <t>Jointless ceramic tiles cladding ( for staff toilet &amp; Service Corridor )</t>
  </si>
  <si>
    <t>Glass mosaic tile cladding</t>
  </si>
  <si>
    <t>Decorative Glass Mosaic Tiles In General Toilets  ( customize design )</t>
  </si>
  <si>
    <t>Clean existing wall surface before fixing Glass Mosaic tile, Before starting, carefully read the suppliers laying plan and instructions. Decorative mosaic tiles shall be fixed and finished as per manufacturers instructions, preferably by a nominated contractor. Basic cost of mosaic tiles at Rs.1200/sft without tax</t>
  </si>
  <si>
    <t xml:space="preserve">Plain Glass Mosaic Tile Wall Cladding </t>
  </si>
  <si>
    <t>Clean existing wall surface before fixing Glass Mosaic tile, Before starting, carefully read the suppliers laying plan and instructions. Decorative mosaic tiles shall be fixed and finished as per manufacturers instructions, preferably by a nominated contractor. (Basic cost of mosaic tiles at Rs.450/sft without tax)</t>
  </si>
  <si>
    <t>CVL/JAMB</t>
  </si>
  <si>
    <t>Door jamb line</t>
  </si>
  <si>
    <t>Synthetic Marble Jamb lining for common Toilet Door Openings</t>
  </si>
  <si>
    <t>Granite jamb lining  Door Openings</t>
  </si>
  <si>
    <t>Granite for kitchen doors including rebate, up to 250 mm wide, up to 2250 mm ht all around, At least 18 mm thk per-polished Granite to be used. Granite to be cut as per approved size / drawings. Include mitre joints at all junctions as per Architects instructions, Granite shall be installed as per tech specs on  plastered siporex / block work, Moulding to Granite edge as approved including polish, Joint filling and finishing and mirror polishing as per tech specs. (Basic cost of Granite at Rs.200/sft without tax)</t>
  </si>
  <si>
    <t>Granite Architrave  for Door Openings</t>
  </si>
  <si>
    <t>50 mm wide Granite Architrave for kitchen / back office doors , At least 18 mm thk per-polished Granite to be used. Include mitre joints at all junctions as per Architects instructions, Granite shall be installed as per tech specs on  plastered siporex / block work, Moulding to Granite edge as approved including polish, Joint filling and finishing and mirror polishing as per tech specs. (Basic cost of Granite at Rs.200/sft without tax)</t>
  </si>
  <si>
    <t>3.13a</t>
  </si>
  <si>
    <t>Kotah Skirting</t>
  </si>
  <si>
    <t>150 mm high Kotah Finish Skirting</t>
  </si>
  <si>
    <t>P&amp;F of 19mm thick Kota Stone Skirting , stone to be machine cut, machine polished, fixed with cement paste  including cleaning and preparing the surface of wall, Kotah to be fixed with tight hairline joints , joints to be cleaned and grouted with matching colour approved quality Epoxy based readymade grout, curing, machine polishing, cleaning, etc. as per site engineer's instruction. It is considered for  service area.</t>
  </si>
  <si>
    <t>CVL/CNTR</t>
  </si>
  <si>
    <t>Wash basin counter</t>
  </si>
  <si>
    <t>Italian Marble Finish Wash Basin Counter for Common toilet</t>
  </si>
  <si>
    <t>(Basic cost of marble at Rs.450/sft including fiber filling &amp; polish)</t>
  </si>
  <si>
    <t>Marble Ledge</t>
  </si>
  <si>
    <t xml:space="preserve">Synthetic Marble  Ledges for all WC </t>
  </si>
  <si>
    <t xml:space="preserve"> (Basic cost of Synthetic Marble at Rs.275/sft without tax)</t>
  </si>
  <si>
    <t>Synthetic Marble  Dressing Vanity Ledge  in Common Ladies toilet</t>
  </si>
  <si>
    <t>CVL/DVR</t>
  </si>
  <si>
    <t>Marble divider</t>
  </si>
  <si>
    <t>Urinal Divider for Gents Toilet</t>
  </si>
  <si>
    <t>Granite Ledge</t>
  </si>
  <si>
    <t>Granite Ledge  in Janitor room</t>
  </si>
  <si>
    <t xml:space="preserve"> (Basic cost of Synthetic Marble at Rs.200/sft without tax)</t>
  </si>
  <si>
    <t>Ceiling</t>
  </si>
  <si>
    <t>Gypsum Board Ceiling</t>
  </si>
  <si>
    <r>
      <t xml:space="preserve">All G.I framework for ceiling to be used manufactured by "GYPSteel" only at 400 mm c/c  &amp; suspenders, closer at 1200 mm c/c, 12.5 mm thk Gypsum board to be used manufactured by "Saint Gobain Gypsum Board" or "La Farge" only, Gypsum Board sheets shall be fitted &amp; finished as per manufacturer's specification, All joints to be filled with jointing compound including fiber tape reinforcement, Include finished cutouts for light fixtures, AC grills  including necessary framework/ply support , Include horizontal structural member to span below HVAC ducting for ceiling suspenders ( </t>
    </r>
    <r>
      <rPr>
        <b/>
        <sz val="11"/>
        <rFont val="Calibri"/>
        <family val="2"/>
      </rPr>
      <t>Note</t>
    </r>
    <r>
      <rPr>
        <sz val="11"/>
        <rFont val="Calibri"/>
        <family val="2"/>
      </rPr>
      <t xml:space="preserve"> - existing structural ceiling height is 4300 mm )</t>
    </r>
  </si>
  <si>
    <t>Ceiling drop</t>
  </si>
  <si>
    <t>Gypsum board Facia Band 50 mm</t>
  </si>
  <si>
    <t>All G.I framework for ceiling to be used manufactured by "GYPSteel" only, 12.5 mm thk Gypsum board to be used manufactured by "India Gypsum Board" or "La Farge" only, Gypsum Board sheets shall be fitted &amp; finished as per manufacturer's specification, All joints to be filled with jointing compound including fiber tape reinforcement, Include finished cutouts for, AC grills  including necessary framework / ply support  required, Exclude painting, Only fire line Gypsum</t>
  </si>
  <si>
    <t>Ceiling light cove</t>
  </si>
  <si>
    <t>Indirect Light Coves in Ceiling</t>
  </si>
  <si>
    <t>In L shape with 100 mm deep up to 300mm high and 50 mm wide fascia, All G.I framework for ceiling to be used manufactured by "GYPSteel" only, 12.5 mm thk Gypsum board to be used manufactured by "India Gypsum Board" or "La Farge" only, Gypsum Board sheets shall be fitted &amp; finished as per manufacturer's specification, All joints to be filled with jointing compound including fiber tape reinforcement, Include finished cutouts for, AC grills  including necessary framework / ply support  required, Exclude painting, Only fire line Gypsum</t>
  </si>
  <si>
    <t>Shadow groove</t>
  </si>
  <si>
    <t>Shadow groove in  ceiling</t>
  </si>
  <si>
    <t>providing and Fixing  ready made powder coated aluminium profile up to 18 mm x 18 mm as approved by Architect</t>
  </si>
  <si>
    <t>Wall Punning</t>
  </si>
  <si>
    <t>Universal plaster punning on wall</t>
  </si>
  <si>
    <t>Average 12 mm thk Universal plaster punning by Gyproc Stucco, Tile bullmarks to be used for channel gliding tracks, Bull marks to be removed before apply punning, Surface to be in perfect plum, line and level, Include pencil rounding to wall corners as instructed, Smooth finished to receive finishing coating, Exclude painting work.</t>
  </si>
  <si>
    <t>SS Corner Guard</t>
  </si>
  <si>
    <t>CVL-Edge Protection</t>
  </si>
  <si>
    <t>30mm x 30mm x 3mm thick SS 'L' Edge Guard Profile.</t>
  </si>
  <si>
    <t>P&amp;F of 304 grade 3mm thick SS Corner guard (30mm x 30mm, hairline matt finished as per approved sample) fixing with SS full thread screws on each corner of the kitchen's wall after cladding of tiles, so that the corner may be protected from the damages, including cleaning,  etc. Complete in proper line &amp; level as per site engineer's instruction. It is for the back kitchen area.</t>
  </si>
  <si>
    <t>CW</t>
  </si>
  <si>
    <t>GL-SCR</t>
  </si>
  <si>
    <t>Glass Screen</t>
  </si>
  <si>
    <t>Frosted Glass Screen with satin/Glossy Copper Finish SS Frame in Toilets</t>
  </si>
  <si>
    <t>Frosted, textured, toughened and laminated glass overall 10 mm thick, as per samples approved by Architect. All glass edges to be fine cut and polished and sealed. The glass shall be fitted into a rebate of special fabricated 16G 304 grade SS copper finish frame of 50mmx50mm, as approved by Architect. The entire assembly shall be fitted on wall and floor with proper accessories and protected till handover.</t>
  </si>
  <si>
    <t>SS-CLD</t>
  </si>
  <si>
    <t>SS band</t>
  </si>
  <si>
    <t>SS satin/Glossy Copper Finish Band in Toilets</t>
  </si>
  <si>
    <t>SS satin/Glossy Copper finish sheet 304 grade, minimum 16 gauge thk. cladding on the ply with joints as required by Architect. The C shape SS band shall be 50 mm wide with turned in sides up to 25 mm and shall be fixed on 12 mm marine ply band fixed to wall and jambs. SS sheets fixed with recommended adhesive including protection film till handover</t>
  </si>
  <si>
    <t>Mirror</t>
  </si>
  <si>
    <t>Vanity Mirror</t>
  </si>
  <si>
    <t>Decorative Toilet Vanity Mirrors in  Oval /Circular/Rectangular Shapes</t>
  </si>
  <si>
    <t>The mirrors shall be mounted on a backing of aluminium framework and marine ply of overall 30 to 40 mm thickness, which shall be fixed to the wall. Including provision for LED strip light. Mirror shall be 8 mm thick to receive beveling and shall be laminated at the back for protection, and backed with felt lining. All Mirrors shall have 18-25 mm beveling on all edges. All edges of mirror shall have CNC edge polish, Mirrors shall be fixed to the backing  ply with recommended adhesive or tape as approved by the Architect. exclude cost of LED strip lighting</t>
  </si>
  <si>
    <t>Plain mirror paneling ( dressing room )</t>
  </si>
  <si>
    <t>The mirrors shall be mounted on a backing of  marine ply of overall 18 mm thickness, which shall be fixed to the wall. Including L shape SS finish Angle profile covering on All around the mirror. Mirror shall be 8 mm thick to receive beveling and shall be laminated at the back for protection, and backed with felt lining. All Mirrors shall have 18-25 mm beveling on all edges. All edges of mirror shall have CNC edge polish. Mirrors shall be fixed to the backing  ply with recommended adhesive or tape as approved by the Architect.</t>
  </si>
  <si>
    <t>DOORS</t>
  </si>
  <si>
    <t>VNR/DOR</t>
  </si>
  <si>
    <t>Door</t>
  </si>
  <si>
    <t>Toilet Main Doors in Timber and Veneer Finish- D1</t>
  </si>
  <si>
    <t xml:space="preserve">Overall size: 1000 mm x 2250 mm ht  &amp; 900 mm x 2250 mm ht </t>
  </si>
  <si>
    <t>Door frame</t>
  </si>
  <si>
    <t>Overall size: 275 mm wide x 50 mm thick x 2250 ht Door frame to be Made up Using 18 mm thick marine ply as rough  ground, fixed to masonry wall in perfect plumb, line and level by using 6" long Hilti Anchor bolt (total 6 nos - 3 nos each side), Clad with 12 mm thk NBTW wood, Rebate to be separately put in NBTW wood, Wood to be treated with anti-termite medicine,</t>
  </si>
  <si>
    <t>Overall size:900 mm wide x 2200 mm ht. x  1 leaf, up to 59 mm thk, Using 35 mm thick readymade fireproof shutter covered with 8 mm thick marine ply on both sides , The shutter shall be clad with 4 mm thick  approved veneer on both sides including NBTW beading all around. basic cost of veneer up to Rs. 125/sft</t>
  </si>
  <si>
    <t>Hardware:</t>
  </si>
  <si>
    <t>The shutter shall be mounted on min. 3 nos. bearing SS  finished hinges with proprietary screws, made by Hafele/Dorma or equivalent approved by Architect. The shutter shall have a “Dorma” concealed door closer. Include a set of lock and approved handle,( basic cost of handle  Rs. 8,000/pair )</t>
  </si>
  <si>
    <t>Sliding Door</t>
  </si>
  <si>
    <t>Disabled Toilet Entrance Door (Sliding) D-3 ( electronic operated )</t>
  </si>
  <si>
    <t>Size : 1050mm x 2250mm</t>
  </si>
  <si>
    <t>Overall size: 275 mm wide x 50 mm thick x 2250 ht Using Door frame to be Made up Using 18 mm thick marine ply as rough  ground, fixed to masonry wall in perfect plumb, line and level by using 6" long Hilti Anchor bolt (total 6 nos - 3 nos each side), Clad with 12 mm thk NBTW wood, Rebate to be separately put in NBTW wood, Wood to be treated with anti-termite medicine,</t>
  </si>
  <si>
    <t>Openable Pelmet</t>
  </si>
  <si>
    <t>Pelmet to be made out of Using 18 mm thick  ply with Pelmet to be covered with 4 mm thk approved  veneer with 0.50 mm thk wooden face pressed on outside and approved 1 mm thk laminate  pressed inside, including matching</t>
  </si>
  <si>
    <t>Overall size:950 mm wide x 2250 mm ht. x  1 leaf, up to 59 mm thk. Using 35 mm thick readymade fireproof shutter covered with 8 mm thick marine ply on both sides , The shutter shall be clad with 4 mm thick  approved veneer on both sides including NBTW beading all around. basic cost of veneer up to Rs. 125/sft</t>
  </si>
  <si>
    <t xml:space="preserve">Sliding channel system by HAWA /hafle/dorma with bottom guide concealed within sliding shutter (Note: No guide shall
be fixed on floor), Concealed handle for sliding shutter, as approved, Concealed sliding lock with knob on inside, (Basic cost of concealed sliding handle at Rs.2500/- per set), </t>
  </si>
  <si>
    <t>LAM/DOR</t>
  </si>
  <si>
    <t>Laminate door</t>
  </si>
  <si>
    <t>WC Cubicle Shutter in Laminate Finish in Toilets D-2</t>
  </si>
  <si>
    <t>Overall size:700 mm wide x 2250 mm ht.x 53 mm thick, Using 35 mm thick readymade fireproof shutter to be covered with 8 mm thick ply from both side including NBTW beading all around. The shutter shall be clad with 1 mm thick approved Laminate from both side ( basci cost of laminate sheet Rs 1600 /sheet )</t>
  </si>
  <si>
    <t>Min. 3nos. SS hinges, and lock, handle and indicator set with 1 double robe hook, by Hafele/Dorma or equivalent approved,</t>
  </si>
  <si>
    <t>WC Cubicle Shutter in Laminate Finish in Toilets D-2a</t>
  </si>
  <si>
    <t>Overall size:800 mm wide x 2250 mm ht.x 53 mm thick, Using 35 mm thick readymade fireproof shutter to be covered with 8 mm thick ply from both side including NBTW beading all around. The shutter shall be clad with 1 mm thick approved Laminate from both side ( basci cost of laminate sheet Rs 1600 /sheet )</t>
  </si>
  <si>
    <t xml:space="preserve"> 2 Way Double Door in Laminate Finish with Vision Panel D-7 ( for Kitchen &amp; toilet Corridor )</t>
  </si>
  <si>
    <t>Shutter</t>
  </si>
  <si>
    <t>Overall size:1500 mm wide x 2250 mm ht.x 53 mm thick, Using 35 mm thick readymade fireproof shutter to be covered with 8 mm thick ply from both side including NBTW beading all around. The shutter shall be clad with 1 mm thick approved Laminate from both side. ( basci cost of laminate sheet Rs 1600 /sheet )</t>
  </si>
  <si>
    <t>Vision panel:</t>
  </si>
  <si>
    <t>400 mm dia, 8 mm thk toughened glass vision panel including 16SWG 304 grade SS finish Profile as approved by architect</t>
  </si>
  <si>
    <t>300 mm x 200 mm x 2 nos Handle push plate. hafle/dorma Heavy duty floor spring. 300 mm high, 16 G 304 grade SS  Kick plate fixed to door on both side with suitable adhesive Including locks, etc. complete</t>
  </si>
  <si>
    <t xml:space="preserve"> Door in Laminate Finish with Vision Panel ( for Garbage &amp; Janitor room )</t>
  </si>
  <si>
    <t>Overall size:900 mm wide x 2250 mm ht.x 53 mm thick, Using 35 mm thick readymade fireproof shutter to be covered with 8 mm thick ply from both side including NBTW beading all around. The shutter shall be clad with 1 mm thick approved Laminate from both side. ( basci cost of laminate sheet Rs 1600 /sheet )</t>
  </si>
  <si>
    <t>STG</t>
  </si>
  <si>
    <t>Lockers</t>
  </si>
  <si>
    <t>sqmt</t>
  </si>
  <si>
    <t>OVERALL SIZE : 2100 MM HIGH X 350 M DEEP</t>
  </si>
  <si>
    <t xml:space="preserve">size 400x400 mm division - CARCASS &amp; SHUTTER : 18 MM thk. Prelaminated PB  board  with PVC Edge band With openable Shutter including handle as approved by architect, lock  etc. completed     . BACK  : 12 MM thk. Prelaminated  PB  board  with PVC Edge band.   </t>
  </si>
  <si>
    <t>Shaft Door</t>
  </si>
  <si>
    <t>Overall size:600 mm wide x 1800 mm ht.x 37 mm thick, Using 35 mm thick readymade fireproof shutter to be used including NBTW beading all around. The shutter shall be clad with 1 mm thick approved Laminate from both side ( basci cost of laminate sheet Rs 1600 /sheet )</t>
  </si>
  <si>
    <t>Min. 3nos. SS hinges, and lock, handle</t>
  </si>
  <si>
    <t>SANITARY &amp; CP FITTINGS - ONLY FIXING</t>
  </si>
  <si>
    <t>COMMON LADIES AND GENTS TOILET</t>
  </si>
  <si>
    <t>SAN</t>
  </si>
  <si>
    <t>SAN/WR</t>
  </si>
  <si>
    <t>WC for common toilet</t>
  </si>
  <si>
    <t>Flush tank</t>
  </si>
  <si>
    <t>Flush plate</t>
  </si>
  <si>
    <t>Wash basin - Gents</t>
  </si>
  <si>
    <t>Wash basin - Ladies</t>
  </si>
  <si>
    <t>health faucet for WC</t>
  </si>
  <si>
    <t>wash basin faucet</t>
  </si>
  <si>
    <t>toilet paper holder</t>
  </si>
  <si>
    <t>hand dryer</t>
  </si>
  <si>
    <t>tissue paper holder</t>
  </si>
  <si>
    <t>Napi change ledge</t>
  </si>
  <si>
    <t>Urinals</t>
  </si>
  <si>
    <t>Urinals censor plates</t>
  </si>
  <si>
    <t>Soap dispenser</t>
  </si>
  <si>
    <t>Robe hook</t>
  </si>
  <si>
    <t>Dust bin</t>
  </si>
  <si>
    <t>handicap WC</t>
  </si>
  <si>
    <t>Wash basin - Handicap</t>
  </si>
  <si>
    <t>wash basin faucet for handicap</t>
  </si>
  <si>
    <t>Grab bar for handicap toilet</t>
  </si>
  <si>
    <t>VII</t>
  </si>
  <si>
    <t>PAINTING WORKS</t>
  </si>
  <si>
    <t>WL/PT</t>
  </si>
  <si>
    <t>Wall painting</t>
  </si>
  <si>
    <t xml:space="preserve">Painting to walls in pearl luster </t>
  </si>
  <si>
    <t>Sanding and preparing surface for receiving primer, One coat of cement primer in solvent base, Two coats of putty in water / synthetic enamel base, Three coats of luster paint in approved shed, Complete as per manufacturer's specifications</t>
  </si>
  <si>
    <t>CL/PT</t>
  </si>
  <si>
    <t>Ceiling painting</t>
  </si>
  <si>
    <t>Sanding and preparing surface for receiving primer, One coat of cement primer in solvent base, Two coats of putty in water/ synthetic enamel, Three coats of acrylic emulsion paint in approved shed, Complete as per manufacturer's specifications</t>
  </si>
  <si>
    <t>TOTAL - I TO VII</t>
  </si>
  <si>
    <t>Zone  19</t>
  </si>
  <si>
    <t>A</t>
  </si>
  <si>
    <t>SR.NO</t>
  </si>
  <si>
    <t>LOUNGES PHASE-1</t>
  </si>
  <si>
    <t>AMT</t>
  </si>
  <si>
    <t>CONTENGENCY 10 %</t>
  </si>
  <si>
    <t>GRAND TOTAL</t>
  </si>
  <si>
    <t>EXCLUSION</t>
  </si>
  <si>
    <t>ALL TAXES</t>
  </si>
  <si>
    <t>WHITE GOODS</t>
  </si>
  <si>
    <t>LIASONIG WORKS</t>
  </si>
  <si>
    <t>COMERCIAL KISOK @ ENTERANCE</t>
  </si>
  <si>
    <t>DIRECT ORDERS BY TFS</t>
  </si>
  <si>
    <t>MEPF WORKS</t>
  </si>
  <si>
    <t>ARCHIETURAL LIGHTS</t>
  </si>
  <si>
    <t>STRUCTURAL WORKS ( SLAB EXTENSION/NEW COLUMNS/BULK HEAD SUPPORTING FRAME/DECORATIVE CEILING FRAME/FIRE STRUCTURE)</t>
  </si>
  <si>
    <t>SANITARY &amp; CP FITTINGS &amp; TOILET ACCESSORIES</t>
  </si>
  <si>
    <t>KITCHEN &amp; BAR EQUIPMENTS</t>
  </si>
  <si>
    <t>LOOSE FURNITURE -SOFA SEATING AND CHAIRS</t>
  </si>
  <si>
    <t>LOOSE FURNITURE ( LIKE CENTER AND SIDE TABLE/DINNING TABLE )</t>
  </si>
  <si>
    <t>FIDS AND TV SCREENS</t>
  </si>
  <si>
    <t>DIGITAL BRANDING AND PROMO AREA SCREENS</t>
  </si>
  <si>
    <t>CARPET AND RUGS</t>
  </si>
  <si>
    <t>SIGNAGES</t>
  </si>
  <si>
    <t>SUMMARY - DOMESTIC LOUNGE PHASE-2 - INTERIOR WORKS</t>
  </si>
  <si>
    <t>OVERALL COMMON SPACES</t>
  </si>
  <si>
    <t>WELCOME LOUNGES</t>
  </si>
  <si>
    <t>FINE DINE AND LIVE KITCHEN</t>
  </si>
  <si>
    <t>TEA LOUNGE</t>
  </si>
  <si>
    <t>SPORTS AND RELAX LOUNGE</t>
  </si>
  <si>
    <t xml:space="preserve">SPA </t>
  </si>
  <si>
    <t>WATER LOUNGE</t>
  </si>
  <si>
    <t>BASEWORK CIVIL WORK</t>
  </si>
  <si>
    <t>DEMOLITION AND BARRICATION WORK</t>
  </si>
  <si>
    <r>
      <t xml:space="preserve">providing and fixing </t>
    </r>
    <r>
      <rPr>
        <sz val="10"/>
        <color rgb="FFFF0000"/>
        <rFont val="Tahoma"/>
        <family val="2"/>
      </rPr>
      <t>Fire rated plywood</t>
    </r>
    <r>
      <rPr>
        <sz val="10"/>
        <rFont val="Tahoma"/>
        <family val="2"/>
      </rPr>
      <t xml:space="preserve">  to existing framework /pop wall surface with flat head, full thread, sheet metal screws, Edges of plywood to end at center of aluminum framework. Edges to be tightly screwed to aluminum framework at 300 mm c/c. Edges to be planed properly to receive finish material</t>
    </r>
  </si>
  <si>
    <r>
      <t xml:space="preserve">12 mm thk </t>
    </r>
    <r>
      <rPr>
        <sz val="10"/>
        <color rgb="FFFF0000"/>
        <rFont val="Tahoma"/>
        <family val="2"/>
      </rPr>
      <t>Fire rated</t>
    </r>
    <r>
      <rPr>
        <sz val="10"/>
        <rFont val="Tahoma"/>
        <family val="2"/>
      </rPr>
      <t xml:space="preserve"> plywood</t>
    </r>
  </si>
  <si>
    <r>
      <t xml:space="preserve">providing and fixing </t>
    </r>
    <r>
      <rPr>
        <sz val="11"/>
        <color rgb="FFFF0000"/>
        <rFont val="Calibri"/>
        <family val="2"/>
      </rPr>
      <t>Fire rated</t>
    </r>
    <r>
      <rPr>
        <sz val="11"/>
        <rFont val="Calibri"/>
        <family val="2"/>
      </rPr>
      <t xml:space="preserve"> plywood  to existing framework /pop wall surface with flat head, full thread, sheet metal screws, Edges of plywood to end at center of aluminum framework. Edges to be tightly screwed to aluminum framework at 300 mm c/c. Edges to be planed properly to receive finish material</t>
    </r>
  </si>
  <si>
    <r>
      <t xml:space="preserve">12 mm thk </t>
    </r>
    <r>
      <rPr>
        <sz val="11"/>
        <color rgb="FFFF0000"/>
        <rFont val="Calibri"/>
        <family val="2"/>
      </rPr>
      <t>Fire rated</t>
    </r>
    <r>
      <rPr>
        <sz val="11"/>
        <rFont val="Calibri"/>
        <family val="2"/>
      </rPr>
      <t xml:space="preserve"> plywood</t>
    </r>
  </si>
  <si>
    <r>
      <t xml:space="preserve">15 mm thk </t>
    </r>
    <r>
      <rPr>
        <sz val="11"/>
        <color rgb="FFFF0000"/>
        <rFont val="Calibri"/>
        <family val="2"/>
      </rPr>
      <t>Fire rated</t>
    </r>
    <r>
      <rPr>
        <sz val="11"/>
        <rFont val="Calibri"/>
        <family val="2"/>
      </rPr>
      <t xml:space="preserve"> plywood</t>
    </r>
  </si>
  <si>
    <r>
      <t xml:space="preserve">18 mm thk </t>
    </r>
    <r>
      <rPr>
        <sz val="11"/>
        <color rgb="FFFF0000"/>
        <rFont val="Calibri"/>
        <family val="2"/>
      </rPr>
      <t>Fire rated</t>
    </r>
    <r>
      <rPr>
        <sz val="11"/>
        <rFont val="Calibri"/>
        <family val="2"/>
      </rPr>
      <t xml:space="preserve"> plywood</t>
    </r>
  </si>
  <si>
    <r>
      <t xml:space="preserve">6 mm thk Flexi </t>
    </r>
    <r>
      <rPr>
        <sz val="11"/>
        <color rgb="FFFF0000"/>
        <rFont val="Calibri"/>
        <family val="2"/>
      </rPr>
      <t>Fire rated</t>
    </r>
    <r>
      <rPr>
        <sz val="11"/>
        <rFont val="Calibri"/>
        <family val="2"/>
      </rPr>
      <t xml:space="preserve"> plywood</t>
    </r>
  </si>
  <si>
    <r>
      <t xml:space="preserve">providing and fixing </t>
    </r>
    <r>
      <rPr>
        <sz val="10"/>
        <color rgb="FFFF0000"/>
        <rFont val="Calibri"/>
        <family val="2"/>
      </rPr>
      <t>Fire rated</t>
    </r>
    <r>
      <rPr>
        <sz val="10"/>
        <rFont val="Calibri"/>
        <family val="2"/>
      </rPr>
      <t xml:space="preserve"> plywood  to existing framework /pop wall surface with flat head, full thread, sheet metal screws, Edges of plywood to end at center of aluminum framework. Edges to be tightly screwed to aluminum framework at 300 mm c/c. Edges to be planed properly to receive finish material</t>
    </r>
  </si>
  <si>
    <r>
      <t xml:space="preserve">12 mm thk </t>
    </r>
    <r>
      <rPr>
        <sz val="10"/>
        <color rgb="FFFF0000"/>
        <rFont val="Calibri"/>
        <family val="2"/>
      </rPr>
      <t>Fire rated</t>
    </r>
    <r>
      <rPr>
        <sz val="10"/>
        <rFont val="Calibri"/>
        <family val="2"/>
      </rPr>
      <t xml:space="preserve"> plywood</t>
    </r>
  </si>
  <si>
    <r>
      <t xml:space="preserve">15 mm thk </t>
    </r>
    <r>
      <rPr>
        <sz val="10"/>
        <color rgb="FFFF0000"/>
        <rFont val="Calibri"/>
        <family val="2"/>
      </rPr>
      <t>Fire rated</t>
    </r>
    <r>
      <rPr>
        <sz val="10"/>
        <rFont val="Calibri"/>
        <family val="2"/>
      </rPr>
      <t xml:space="preserve"> plywood</t>
    </r>
  </si>
  <si>
    <r>
      <t xml:space="preserve">18 mm thk </t>
    </r>
    <r>
      <rPr>
        <sz val="10"/>
        <color rgb="FFFF0000"/>
        <rFont val="Calibri"/>
        <family val="2"/>
      </rPr>
      <t>Fire rated</t>
    </r>
    <r>
      <rPr>
        <sz val="10"/>
        <rFont val="Calibri"/>
        <family val="2"/>
      </rPr>
      <t xml:space="preserve"> plywood</t>
    </r>
  </si>
  <si>
    <r>
      <t xml:space="preserve">6 mm thk Flexi </t>
    </r>
    <r>
      <rPr>
        <sz val="10"/>
        <color rgb="FFFF0000"/>
        <rFont val="Calibri"/>
        <family val="2"/>
      </rPr>
      <t>Fire rated</t>
    </r>
    <r>
      <rPr>
        <sz val="10"/>
        <rFont val="Calibri"/>
        <family val="2"/>
      </rPr>
      <t xml:space="preserve"> plywood</t>
    </r>
  </si>
  <si>
    <r>
      <t xml:space="preserve">Clean existing wall surface before fixing wall cladding, Marble shall be minimum 18 mm thick fixed to </t>
    </r>
    <r>
      <rPr>
        <sz val="10"/>
        <color rgb="FFFF0000"/>
        <rFont val="Calibri"/>
        <family val="2"/>
      </rPr>
      <t xml:space="preserve">fire rated </t>
    </r>
    <r>
      <rPr>
        <sz val="10"/>
        <color indexed="8"/>
        <rFont val="Calibri"/>
        <family val="2"/>
      </rPr>
      <t>plywood panelling / plastered wall siporex / block work, Marble shall be cut from slabs of even thickness, Marble shall be installed  with suitable adhesive, if installed on plywood, Marble shall be installed as per tech specs on  plastered siporex / block work, Joint filling and finishing and mirror polishing as per tech specs. Including up to  3 mm V grooves, mirror polished and finished.</t>
    </r>
    <r>
      <rPr>
        <sz val="10"/>
        <color rgb="FFFF0000"/>
        <rFont val="Calibri"/>
        <family val="2"/>
      </rPr>
      <t xml:space="preserve"> including Approved sealer to be applied on all sides</t>
    </r>
    <r>
      <rPr>
        <sz val="10"/>
        <color indexed="8"/>
        <rFont val="Calibri"/>
        <family val="2"/>
      </rPr>
      <t xml:space="preserve"> (On site cost of Italian marble @ Rs.450/sft without tax)</t>
    </r>
  </si>
  <si>
    <r>
      <t xml:space="preserve">Size up to 400 Mm high, Clean existing wall surface before fixing wall cladding, Marble shall be minimum 18 mm thick fixed to </t>
    </r>
    <r>
      <rPr>
        <sz val="10"/>
        <color rgb="FFFF0000"/>
        <rFont val="Calibri"/>
        <family val="2"/>
      </rPr>
      <t>Fire rated</t>
    </r>
    <r>
      <rPr>
        <sz val="10"/>
        <color indexed="8"/>
        <rFont val="Calibri"/>
        <family val="2"/>
      </rPr>
      <t xml:space="preserve"> plywood panelling / plastered wall siporex / block work, Marble shall be cut from slabs of even thickness, Marble shall be installed  with suitable adhesive, if installed on plywood, Marble shall be installed as per tech specs on  plastered siporex / block work, Joint filling and finishing and mirror polishing as per tech specs. Including up to  3 mm V grooves, mirror polished and finished. </t>
    </r>
    <r>
      <rPr>
        <sz val="10"/>
        <color rgb="FFFF0000"/>
        <rFont val="Calibri"/>
        <family val="2"/>
      </rPr>
      <t>including Approved sealer to be applied on all sides</t>
    </r>
    <r>
      <rPr>
        <sz val="10"/>
        <color indexed="8"/>
        <rFont val="Calibri"/>
        <family val="2"/>
      </rPr>
      <t xml:space="preserve"> (On site cost of Italian marble @ Rs.450/sft without tax)</t>
    </r>
  </si>
  <si>
    <r>
      <t xml:space="preserve">50mm x 50 mm, MS Box framework at 600 mm c/c fixed to Floor slab with adequate anchor bolts and plates, 25 mm x 25mm, 4 mm thick MS angle to be used for assembling Partition framework, with proper welding , Framework to be fixed to Floor in perfect plum, line and level, Including anti rust paint, Frame to be covered with 12 mm thick </t>
    </r>
    <r>
      <rPr>
        <sz val="10"/>
        <color rgb="FFFF0000"/>
        <rFont val="Calibri"/>
        <family val="2"/>
      </rPr>
      <t>Fire rated</t>
    </r>
    <r>
      <rPr>
        <sz val="10"/>
        <rFont val="Calibri"/>
        <family val="2"/>
      </rPr>
      <t xml:space="preserve"> plywood , Ply to be covered with 4 mm thick veneer, 232 mm high x 38 mm thick Veneer finish Fins to be fixed on veneer surface with 50 mm gap,  including 50 mm high SS bronze satin finish Band in L &amp; C shape as per drawings, Veneer to be Finished in Approved Melamine Polish, including 18 mm thick 125 mm wide  Italian Marble top band to be fixed on the Ply with edge moulding and polishing. Provision to be made for fixing partition bracket light (Basic cost of veneer at Rs.125/sft) (Basic cost of Marble at Rs. 550 /sft)</t>
    </r>
  </si>
  <si>
    <r>
      <t xml:space="preserve">As per drawing, Serving counter structure constructed out of 18 mm thk  </t>
    </r>
    <r>
      <rPr>
        <sz val="10"/>
        <color rgb="FFFF0000"/>
        <rFont val="Calibri"/>
        <family val="2"/>
      </rPr>
      <t>Fire rated</t>
    </r>
    <r>
      <rPr>
        <sz val="10"/>
        <rFont val="Calibri"/>
        <family val="2"/>
      </rPr>
      <t xml:space="preserve"> plywood, At least 18 mm thk approved Marble fixed to top with fascia in profile shown in drawing - including Mirror polish. Marble  to be tightly placed together and shall have mitre joints on edges including moulding as approved by Architect. All joints to be filled with matching colour TIM-X or equivalent grout filler. Ventilation space to be created within carcass as per drawing and all internal non visible surfaces shall be in  Black matt paint. Carcass to be covered with 12mm thk DuPont Corian fluted panel on all exposed surfaces including Led strip light provision,150 mm high skirting boxing to be made in 18 mm thick ply covered with Italian marble. Ventilation space fascia to be covered with 8 mm thick SS jali. SS jali in Bronze Satin finish, as per  approved design. Including all cut-outs for electrical points, induction plates and temperature devices. (Basic cost of Marble at Rs. 450/sft ) (Basic cost of Corian at Rs. 850/sft )</t>
    </r>
  </si>
  <si>
    <r>
      <t xml:space="preserve">As per drawing, counter structure constructed out of 18 mm thk </t>
    </r>
    <r>
      <rPr>
        <sz val="10"/>
        <color rgb="FFFF0000"/>
        <rFont val="Calibri"/>
        <family val="2"/>
      </rPr>
      <t xml:space="preserve">Fire rated </t>
    </r>
    <r>
      <rPr>
        <sz val="10"/>
        <rFont val="Calibri"/>
        <family val="2"/>
      </rPr>
      <t>plywood, At least 18 mm thk approved marble fixed to TOP with 50 mm high fascia, At least 18 mm thk approved marble fixed to skirting up to 200 mm high, Marble pieces to be tightly placed together and shall have mitre joints on edges, All joints to be filled with matching colour TIM-X or equivalent joint filler, 30 mm thick shelf to made, shelf to be covered with 4 mm thk veneer from top &amp; bottom with 0.40 mm thk wooden face pressed on front side, All Internal Surface to be covered with 4 mm thick veneer, Veneer &amp; Wood to be Finished in Approved Melamine Polish, 200 mm high skirting boxing to be made in 18 mm thick marine ply covered with marble, with openable  panel, Provision to be made in counter for water inlet point &amp; drain outlet,  Including all cut-outs for electrical points. (Basic cost of veneer at Rs.125sft) (Basic cost of Marble at Rs. 450 /sft)</t>
    </r>
  </si>
  <si>
    <r>
      <t xml:space="preserve">Providing and fixing  up to 50 mm  wide x 600 umm high Corian batten form, Using 12 mm thk approved  Corian sheet , pressed over 12 mm thick  backing </t>
    </r>
    <r>
      <rPr>
        <sz val="10"/>
        <color rgb="FFFF0000"/>
        <rFont val="Calibri"/>
        <family val="2"/>
      </rPr>
      <t>Fire rated</t>
    </r>
    <r>
      <rPr>
        <sz val="10"/>
        <rFont val="Calibri"/>
        <family val="2"/>
      </rPr>
      <t xml:space="preserve"> plywood as per approved design, with 12 mm x 6 mm finish groove as per design, Pressing shall be free of defects, Basic cost of Corian at Rs.900/sft without tax</t>
    </r>
  </si>
  <si>
    <r>
      <t xml:space="preserve">Clean existing wall surface before fixing wall cladding, Marble shall be minimum 18 mm thick fixed to </t>
    </r>
    <r>
      <rPr>
        <sz val="10"/>
        <color rgb="FFFF0000"/>
        <rFont val="Tahoma"/>
        <family val="2"/>
      </rPr>
      <t>Fire rated</t>
    </r>
    <r>
      <rPr>
        <sz val="10"/>
        <color indexed="8"/>
        <rFont val="Tahoma"/>
        <family val="2"/>
      </rPr>
      <t xml:space="preserve"> plywood panelling / plastered wall siporex / block work, Marble shall be cut from slabs of even thickness, Marble shall be installed  with suitable adhesive, including Approved sealer to be applied on all sides,  if installed on plywood, Marble shall be installed as per tech specs on  plastered siporex / block work, Joint filling and finishing and mirror polishing as per tech specs. Including up to  3 mm V grooves, mirror polished and finished. </t>
    </r>
    <r>
      <rPr>
        <sz val="10"/>
        <color rgb="FFFF0000"/>
        <rFont val="Tahoma"/>
        <family val="2"/>
      </rPr>
      <t xml:space="preserve">including Approved sealer to be applied on all sides </t>
    </r>
    <r>
      <rPr>
        <sz val="10"/>
        <color indexed="8"/>
        <rFont val="Tahoma"/>
        <family val="2"/>
      </rPr>
      <t>(On site cost of Italian marble @ Rs.450/sft without tax)</t>
    </r>
  </si>
  <si>
    <r>
      <t xml:space="preserve">50 mm x 50 Aluminum Box framework made up thickness up to 150 mm wide, frame to be covered with 18 mm thk </t>
    </r>
    <r>
      <rPr>
        <sz val="10"/>
        <color rgb="FFFF0000"/>
        <rFont val="Tahoma"/>
        <family val="2"/>
      </rPr>
      <t>Fire rated</t>
    </r>
    <r>
      <rPr>
        <sz val="10"/>
        <rFont val="Tahoma"/>
        <family val="2"/>
      </rPr>
      <t xml:space="preserve"> plywood  on both sides on straight surfaces including 6+6 mm thick flexi FRP ply for curved profile,18 mm thk plywood boxing fixed over partition with FRP plywood frame grid at regular intervals,  At least 18 mm thk Flutted Marble  fixed to apron In Approved design pattern and in profile, Marble to be tightly placed together and shall have seamless joints on edges, including sealer coat of all side, Marble joint should not be visible, Bartender side of Apron partition shall have 12 mm thick Corian fixed above preparation counter and 1.5 mm thk approved laminate below counter top, Including 200 mm high 16G 304 grade SS satin Bronze  finish Skirting  (Basic cost of solid surface (Corian)  at Rs.850/sft)  (Basic cost of Marble  at Rs.1000/Sft)</t>
    </r>
  </si>
  <si>
    <r>
      <t xml:space="preserve">Size up to 650 mm wide Preparation counter structure constructed out of 18 mm thk </t>
    </r>
    <r>
      <rPr>
        <sz val="10"/>
        <color rgb="FFFF0000"/>
        <rFont val="Tahoma"/>
        <family val="2"/>
      </rPr>
      <t>Fire rated</t>
    </r>
    <r>
      <rPr>
        <sz val="10"/>
        <rFont val="Tahoma"/>
        <family val="2"/>
      </rPr>
      <t xml:space="preserve"> plywood In laminate finish, Include matching wood beading on all exposed plywood edges, Beading to be polished and coated with 1 coat sealer and 2 coats of PU finish in approved matt / glossy ratio, 12 mm thk Corian counter tops with 32 mm thk top edge on all sides, (Basic cost of solid surface (Corian)  at Rs.850/sft) (Basic cost of laminate at Rs.1500/sheet)</t>
    </r>
  </si>
  <si>
    <r>
      <t xml:space="preserve">Upto 450 mm wide Serving Counter top, 100 mm facia Including provision for Led strip light, comprising of 1st quality CP teakwood framework with </t>
    </r>
    <r>
      <rPr>
        <sz val="10"/>
        <color rgb="FFFF0000"/>
        <rFont val="Tahoma"/>
        <family val="2"/>
      </rPr>
      <t>Fire rated</t>
    </r>
    <r>
      <rPr>
        <sz val="10"/>
        <rFont val="Tahoma"/>
        <family val="2"/>
      </rPr>
      <t xml:space="preserve"> plywood on bottom side, At least 18 mm thk approved Onyx stone fixed to on counter Ply top, Bottom ply of serving top shall have 1.5 mm thk approved laminate on bottom side, Include 100 mm x 10 mm thk SS Satin Bronze  edges Facia fixed to serving top edges on both sides (with one side openable for maintaining LEd strip Light ), with suitable adhesive, Exclude electrical point wiring &amp; light source within counter top, (Basic cost of Onyx Rs 1500/sft ) </t>
    </r>
  </si>
  <si>
    <r>
      <t xml:space="preserve">Back unit structure constructed out of 18 mm thk </t>
    </r>
    <r>
      <rPr>
        <sz val="10"/>
        <color rgb="FFFF0000"/>
        <rFont val="Tahoma"/>
        <family val="2"/>
      </rPr>
      <t xml:space="preserve">Fire rated </t>
    </r>
    <r>
      <rPr>
        <sz val="10"/>
        <rFont val="Tahoma"/>
        <family val="2"/>
      </rPr>
      <t>plywood with vertical support in the center, Plywood to be covered with 18 mm thick Marble top  and back wall, with 50 mm thick marble Facia, with mitre joints ,  Marble pieces to be tightly placed together and shall have mitre joints on edges, All joints to be filled with matching colour TIM-X or equivalent joint filler, All edges of stone to be mirror edge polished. including 75x75 mm SS Satin Bronz finish Architrave as per detail drawing, Side panel to be finish with 4 mm thick veneer with 12 mm thick back ply  Figure of veneer to be matched as per design, Pressing shall be free of defects, Veneer to be Finished in Approved waterbase PU Polish, 8 mm thick tinted mirro paneling with 12 mm thick FRP back ply and including  12 mm thick Glass shelve as per disign including  1 mm thick laminate  finish paneling   behind TV back   (Basic cost of veneer at Rs.150/sft) (Basic cost of marble Rs 450/sft )</t>
    </r>
  </si>
  <si>
    <r>
      <t xml:space="preserve">15 mm thk </t>
    </r>
    <r>
      <rPr>
        <sz val="10"/>
        <color rgb="FFFF0000"/>
        <rFont val="Tahoma"/>
        <family val="2"/>
      </rPr>
      <t>Fire rated</t>
    </r>
    <r>
      <rPr>
        <sz val="10"/>
        <rFont val="Tahoma"/>
        <family val="2"/>
      </rPr>
      <t xml:space="preserve"> plywood</t>
    </r>
  </si>
  <si>
    <r>
      <t xml:space="preserve">18 mm thk </t>
    </r>
    <r>
      <rPr>
        <sz val="10"/>
        <color rgb="FFFF0000"/>
        <rFont val="Tahoma"/>
        <family val="2"/>
      </rPr>
      <t>Fire rated</t>
    </r>
    <r>
      <rPr>
        <sz val="10"/>
        <rFont val="Tahoma"/>
        <family val="2"/>
      </rPr>
      <t xml:space="preserve"> plywood</t>
    </r>
  </si>
  <si>
    <r>
      <t xml:space="preserve">6 mm thk Flexi </t>
    </r>
    <r>
      <rPr>
        <sz val="10"/>
        <color rgb="FFFF0000"/>
        <rFont val="Tahoma"/>
        <family val="2"/>
      </rPr>
      <t>Fire rated</t>
    </r>
    <r>
      <rPr>
        <sz val="10"/>
        <rFont val="Tahoma"/>
        <family val="2"/>
      </rPr>
      <t xml:space="preserve"> plywood</t>
    </r>
  </si>
  <si>
    <r>
      <t xml:space="preserve">Door size 950mm wide x 1150 height, 50 mm x 50 Aluminum  framework for shutter, frame to be covered with 12 mm thk </t>
    </r>
    <r>
      <rPr>
        <sz val="10"/>
        <color rgb="FFFF0000"/>
        <rFont val="Tahoma"/>
        <family val="2"/>
      </rPr>
      <t>Fire rated</t>
    </r>
    <r>
      <rPr>
        <sz val="10"/>
        <rFont val="Tahoma"/>
        <family val="2"/>
      </rPr>
      <t xml:space="preserve"> plywood  from all sides ,  At least 12 mm thk Corian fixed  In Approved design pattern ( mixed of 2 Corian finishes )From guest side and in side plain, Corian to be tightly placed together and shall have seamless joints on edges, Corian joint should not be visible, Including 200 mm high 16G 304 grade SS satin Bronze  finish band at door bottom matching to bar counter skirting . (Basic cost of solid surface (Corian)  at Rs.850/sft)</t>
    </r>
  </si>
  <si>
    <r>
      <t>Flooring shall consist of Marble  as per drawing, At least  50 mm thk bedding mortar in 1:4 ratio, At least 18 mm  thk marble to be fixed in white cement only,  Marble shall be mirror polished, Marble to be cut as per size and laid with tight hairline joints, Joints to be filled Joint sealent, matching to marble in TIM-X or equivalent joint filler,</t>
    </r>
    <r>
      <rPr>
        <sz val="11"/>
        <color rgb="FFFF0000"/>
        <rFont val="Calibri"/>
        <family val="2"/>
      </rPr>
      <t>including approved sealer to be applied on all sides,</t>
    </r>
    <r>
      <rPr>
        <sz val="11"/>
        <rFont val="Calibri"/>
        <family val="2"/>
      </rPr>
      <t xml:space="preserve"> with edge polish etc., complete, Including using plastic/Pvc  sheet and POP to protect on marble flooring  as  protection , Include removal and disposing of protection materials before handover, Basic cost of marble Rs 450/sft </t>
    </r>
  </si>
  <si>
    <r>
      <t xml:space="preserve">At least 18 mm thk polished marble fixed to Plastered masonry, Marble shall be cut from slabs of even thickness, Marble shall be installed with white cement paste,  Include all finished marble niches, with V groove edge polish etc. complete, All joints of Marble shall be filled with matching colour TIM-X or equivalent grout filler, All visible edges of Marble shall be mirror polished, </t>
    </r>
    <r>
      <rPr>
        <sz val="11"/>
        <color rgb="FFFF0000"/>
        <rFont val="Calibri"/>
        <family val="2"/>
      </rPr>
      <t>including approved sealer to be applied on all sides</t>
    </r>
    <r>
      <rPr>
        <sz val="11"/>
        <rFont val="Calibri"/>
        <family val="2"/>
      </rPr>
      <t xml:space="preserve"> , Basic cost of marble Rs 450/sft </t>
    </r>
  </si>
  <si>
    <r>
      <t xml:space="preserve">All around the Opening Up to 250 mm Wide ,polished Italian marble fixed to existing  masonry Plastered wall,  Marble shall be installed with white cement paste, if installed  on masonry work, with edge Moulding etc. complete, All joints of Marble shall be filled with matching colour TIM-X or equivalent grout filler, All visible edges of Marble shall be mirror polished, </t>
    </r>
    <r>
      <rPr>
        <sz val="11"/>
        <color rgb="FFFF0000"/>
        <rFont val="Calibri"/>
        <family val="2"/>
      </rPr>
      <t>including approved sealer to be applied on all sides</t>
    </r>
    <r>
      <rPr>
        <sz val="11"/>
        <rFont val="Calibri"/>
        <family val="2"/>
      </rPr>
      <t xml:space="preserve"> , Special care to be taken to fix marble on horizontal surface. Shall rest over ply at one end and vertical marble on the other, ( Basic cost of marble Rs 450/sft )</t>
    </r>
  </si>
  <si>
    <r>
      <t xml:space="preserve">up to 150 mm high x 200 mm wide ,Skirting Boxing to be made out of 18 mm thick Marine ply, Ply to be covered with 18 MM thick Italian Marble including Edge Moulding, etc. complete, All joints of Marble shall be filled with matching colour TIM-X or equivalent grout filler, All visible edges of Marble shall be mirror polished, </t>
    </r>
    <r>
      <rPr>
        <sz val="11"/>
        <color rgb="FFFF0000"/>
        <rFont val="Calibri"/>
        <family val="2"/>
      </rPr>
      <t>approved sealer to be applied on all sides</t>
    </r>
    <r>
      <rPr>
        <sz val="11"/>
        <rFont val="Calibri"/>
        <family val="2"/>
      </rPr>
      <t xml:space="preserve"> (  Basic cost of marble Rs 450/sft )</t>
    </r>
  </si>
  <si>
    <r>
      <t xml:space="preserve">As per Drawing- Size up to 1800 mm in length x 600 mm wide &amp; 600 mm high, Planter box Frame to be made 50 mm x 38 mm MS box Frame,  Planter Skirting Base to be Covered with  12 mm thick FRP Ply and 50 mm high 16g 304  grade SS satin Bronze finish Skirting, Frame Vertical surfaces to be covered with At least 18 mm thk Onyx marble fixed to MS box frame with SS clamps/pins and Adhesive from outside ,  and From in side  Base to be finish in ordinary marble and Vertical Surfaces to be covered with 12 mm thick FRP Ply and Laminate with Mirror Screw ( openable Panel ), Including 6  mm thick 304 grade SS satin Bronze finish  top Trim,  etc. complete, All joints of Marble shall be filled with matching colour TIM-X or equivalent grout filler, </t>
    </r>
    <r>
      <rPr>
        <sz val="10"/>
        <color rgb="FFFF0000"/>
        <rFont val="Calibri"/>
        <family val="2"/>
      </rPr>
      <t>including Approved sealer to be applied on all sides</t>
    </r>
    <r>
      <rPr>
        <sz val="10"/>
        <rFont val="Calibri"/>
        <family val="2"/>
      </rPr>
      <t xml:space="preserve">, All visible edges of Marble shall be mirror polished, Basic cost of marble Rs 1500/sft </t>
    </r>
  </si>
  <si>
    <r>
      <t xml:space="preserve">Clean existing sub floor thoroughly. Flooring shall consist of Marble as per drawing, Up to 50 mm thick bedding mortar as per tech specs. Marble slabs shall be minimum 18 mm thick, laid as per tech specs, Marble to be cut as per size and laid with tight hairline joints. Joint filling and finishing as per tech specs.(On site cost of Italian marble @ Rs.450/sft without tax) </t>
    </r>
    <r>
      <rPr>
        <sz val="11"/>
        <color rgb="FFFF0000"/>
        <rFont val="Calibri"/>
        <family val="2"/>
      </rPr>
      <t>including Approved sealer to be applied on all sides</t>
    </r>
    <r>
      <rPr>
        <sz val="11"/>
        <rFont val="Calibri"/>
        <family val="2"/>
      </rPr>
      <t>, Including sealer coat , Including using plastic/Pvc  sheet and POP to protect on marble flooring  as  protection , Include removal and disposing of protection materials before handover</t>
    </r>
  </si>
  <si>
    <r>
      <t>Clean existing sub floor thoroughly. Flooring shall consist of Marble in strips form as per drawing, At least  50 mm thk bedding mortar as per tech specs.  Marble slabs shall be minimum 18 mm thick, laid as per tech specs. Marble to be cut as per size and laid with tight hairline joints. Joint filling and finishing and mirror polishing as per tech specs. Including 4mm thick x12 mm wide SS satin copper finish strip inserts in the flooring at 75/100 mm c/c ,(On site cost of Italian marble @ Rs.450/sft without tax)</t>
    </r>
    <r>
      <rPr>
        <sz val="11"/>
        <color rgb="FFFF0000"/>
        <rFont val="Calibri"/>
        <family val="2"/>
      </rPr>
      <t xml:space="preserve"> including Approved sealer to be applied on all sides</t>
    </r>
    <r>
      <rPr>
        <sz val="11"/>
        <rFont val="Calibri"/>
        <family val="2"/>
      </rPr>
      <t>, Including sealer coat, Including using plastic/Pvc  sheet and POP to protect on marble flooring  as  protection , Include removal and disposing of protection materials before handover</t>
    </r>
  </si>
  <si>
    <r>
      <t xml:space="preserve">Clean existing wall surface before fixing wall cladding. Slabs shall be min. 18 mm thick fixed to plastered  siporex / block work, Slabs shall be  installed as per tech specs  on  plastered wall siporex / block work, Joint filling and finishing and mirror polishing as per tech specs. Including up to 3mm V grooves, mirror polished and finished. </t>
    </r>
    <r>
      <rPr>
        <sz val="11"/>
        <color rgb="FFFF0000"/>
        <rFont val="Calibri"/>
        <family val="2"/>
      </rPr>
      <t xml:space="preserve">including Approved sealer to be applied on all sides </t>
    </r>
    <r>
      <rPr>
        <sz val="11"/>
        <rFont val="Calibri"/>
        <family val="2"/>
      </rPr>
      <t>(On site cost of Synthetic marble @ Rs.275/sft without tax)</t>
    </r>
  </si>
  <si>
    <r>
      <t xml:space="preserve">Clean existing wall surface before fixing wall cladding, Marble shall be minimum 18 mm thick fixed to </t>
    </r>
    <r>
      <rPr>
        <sz val="11"/>
        <color rgb="FFFF0000"/>
        <rFont val="Calibri"/>
        <family val="2"/>
      </rPr>
      <t>Fire rated</t>
    </r>
    <r>
      <rPr>
        <sz val="11"/>
        <rFont val="Calibri"/>
        <family val="2"/>
      </rPr>
      <t xml:space="preserve"> plywood paneling / plastered wall siporex / block work, Marble shall be cut from slabs of even thickness, Marble shall be installed  with suitable adhesive, if installed on plywood, Marble shall be installed as per tech specs on  plastered siporex / block work, Joint filling and finishing and mirror polishing as per tech specs. Including up to  3 mm V grooves/chamfer edge moulding, mirror polished and finished. </t>
    </r>
    <r>
      <rPr>
        <sz val="11"/>
        <color rgb="FFFF0000"/>
        <rFont val="Calibri"/>
        <family val="2"/>
      </rPr>
      <t xml:space="preserve">including Approved sealer to be applied on all sides </t>
    </r>
    <r>
      <rPr>
        <sz val="11"/>
        <rFont val="Calibri"/>
        <family val="2"/>
      </rPr>
      <t>(On site cost of Italian marble @ Rs.450/sft without tax)</t>
    </r>
  </si>
  <si>
    <r>
      <t xml:space="preserve">Marble jamb lining for EWC doors including rebate, up to 230 mm wide, up to 2250 mm ht all around, At least 18 mm thk per-polished slabs to be used, Slabs to be cut as per approved size / drawings, Include mitre joints at all junctions as per Architects instructions, Including V groove to match wall cladding, Marble to be fitted with white cement only, Marble shall be installed as per tech specs on  plastered siporex / block work, Joint filling and finishing and mirror polishing as per tech specs. </t>
    </r>
    <r>
      <rPr>
        <sz val="11"/>
        <color rgb="FFFF0000"/>
        <rFont val="Calibri"/>
        <family val="2"/>
      </rPr>
      <t>including Approved sealer to be applied on all sides</t>
    </r>
    <r>
      <rPr>
        <sz val="11"/>
        <rFont val="Calibri"/>
        <family val="2"/>
      </rPr>
      <t xml:space="preserve">  (Basic cost of Synthetic Marble at Rs.275/sft without tax)</t>
    </r>
  </si>
  <si>
    <r>
      <t xml:space="preserve">The counter shall be supported on 38mm x 38mm x 5mm thk MS angle fixed to block work. Brackets shall be inserted within wall by at least 125mm, MS brackets shall be coated with 2 coats of anti-corrosive paint and 3 coats of synthetic enamel paint, 18mm thk ordinary Indian marble placed within bracket and screwed through bracket, At least 20mm thk cement mortar bedding in 1:4 ratio, Pre-finished and pre-polished marble slabs shall be fixed as per tech specs. Counter shall have up to 300 mm wide fascia marble with mitre joints All top edges of counter shall have chamfer moulding. Joint filling and finishing and mirror polishing as per tech specs. including </t>
    </r>
    <r>
      <rPr>
        <sz val="11"/>
        <color rgb="FFFF0000"/>
        <rFont val="Calibri"/>
        <family val="2"/>
      </rPr>
      <t>Approved sealer to be applied on all sides</t>
    </r>
    <r>
      <rPr>
        <sz val="11"/>
        <rFont val="Calibri"/>
        <family val="2"/>
      </rPr>
      <t>.  Including all plumbing cutout as shown in drawing</t>
    </r>
  </si>
  <si>
    <r>
      <t>Using 18mm thick marble top, Including 2" high Marble fascia, Pre-polished finish marble shall be installed as per tech specs. Joint filling and finishing and mirror polishing as per tech specs. including</t>
    </r>
    <r>
      <rPr>
        <sz val="11"/>
        <color rgb="FFFF0000"/>
        <rFont val="Calibri"/>
        <family val="2"/>
      </rPr>
      <t xml:space="preserve"> Approved sealer to be applied on all sides</t>
    </r>
    <r>
      <rPr>
        <sz val="11"/>
        <rFont val="Calibri"/>
        <family val="2"/>
      </rPr>
      <t>.</t>
    </r>
  </si>
  <si>
    <r>
      <t xml:space="preserve">Using 18 mm thick marble top, including  2" high Marble fascia, Pre-polished finish marble shall be installed as per tech specs. Joint filling and finishing and mirror polishing as per tech specs. </t>
    </r>
    <r>
      <rPr>
        <sz val="11"/>
        <color rgb="FFFF0000"/>
        <rFont val="Calibri"/>
        <family val="2"/>
      </rPr>
      <t>including Approved sealer to be applied on all sides</t>
    </r>
  </si>
  <si>
    <r>
      <t xml:space="preserve">Overall size: 2000 mm x 400 mm, in approved profile. Frame in 25mmx25mm SS finish pipe in glossy/matt copper finish in profile to be approved by Architects, Insert of 18 mm synthetic marble slabs pre-polished on both sides </t>
    </r>
    <r>
      <rPr>
        <sz val="11"/>
        <color rgb="FFFF0000"/>
        <rFont val="Calibri"/>
        <family val="2"/>
      </rPr>
      <t>including Approved sealer to be applied on all sides</t>
    </r>
    <r>
      <rPr>
        <sz val="11"/>
        <rFont val="Calibri"/>
        <family val="2"/>
      </rPr>
      <t xml:space="preserve"> (Basic cost of Marble at Rs.275/sft without tax)</t>
    </r>
  </si>
  <si>
    <r>
      <t xml:space="preserve">Cladding shall comprise of ceramic tile of 600 mm x 300 mm, Tiles to be fixed in ordinary Portland cement only, Tiles to be put with </t>
    </r>
    <r>
      <rPr>
        <sz val="11"/>
        <color rgb="FFFF0000"/>
        <rFont val="Calibri"/>
        <family val="2"/>
      </rPr>
      <t xml:space="preserve">Spacer required with Leticrete grout in  joints </t>
    </r>
    <r>
      <rPr>
        <sz val="11"/>
        <rFont val="Calibri"/>
        <family val="2"/>
      </rPr>
      <t>in plumb, including levelling coat if any , Joints to be filled with  matching groute.(Basic cost of ceramic tiles at Rs.60/sft) make: Johnson / Somany / Kajaria / Nitco</t>
    </r>
  </si>
  <si>
    <r>
      <t xml:space="preserve">Providing and fixing 150 mm wide batten form, Using 4 mm thk approved veneer sheet with 0.4 mm thick wooden face, pressed over 12 mm thick  backing </t>
    </r>
    <r>
      <rPr>
        <sz val="10"/>
        <color rgb="FFFF0000"/>
        <rFont val="Calibri"/>
        <family val="2"/>
      </rPr>
      <t>Fire rated</t>
    </r>
    <r>
      <rPr>
        <sz val="10"/>
        <rFont val="Calibri"/>
        <family val="2"/>
      </rPr>
      <t xml:space="preserve"> plywood including matching wood beading as per approved design, with 12 mm x 12mm finish groove as per design, Figure of veneer to be matched as per design, Pressing shall be free of defects, Veneer to be Finished in </t>
    </r>
    <r>
      <rPr>
        <sz val="10"/>
        <color rgb="FFFF0000"/>
        <rFont val="Calibri"/>
        <family val="2"/>
      </rPr>
      <t>Approved waterbase PU polish</t>
    </r>
  </si>
  <si>
    <r>
      <t xml:space="preserve">Overall finish size 200mm x 50 mm thk without rebate, Door frame to be Made up Using 18 mm thick marine ply as rough ground,, fixed to masonry wall in perfect plumb,  line and level by using 6" long Hilti Anchor bolt (total 6 nos - 3 nos each side), Clad with 12 mm thk  marine ply &amp; 4 mm thick Approved Veneer, Rebate to be separately put in  wood, Wood to be treated with anti-termite medicine, Frame to be finished in </t>
    </r>
    <r>
      <rPr>
        <sz val="10"/>
        <color rgb="FFFF0000"/>
        <rFont val="Calibri"/>
        <family val="2"/>
      </rPr>
      <t>Approved waterbase PU polish</t>
    </r>
  </si>
  <si>
    <r>
      <t xml:space="preserve">size up to 300 mm Deep- Providing and fixing 75  mm thick Veneer finish Capital including adequate MS frame and 12 mm thick </t>
    </r>
    <r>
      <rPr>
        <sz val="10"/>
        <color rgb="FFFF0000"/>
        <rFont val="Calibri"/>
        <family val="2"/>
      </rPr>
      <t>Fire rated</t>
    </r>
    <r>
      <rPr>
        <sz val="10"/>
        <rFont val="Calibri"/>
        <family val="2"/>
      </rPr>
      <t xml:space="preserve"> plywood, ply to be covered with  4 mm thk approved veneer sheet with 0.4 mm thick wooden face,  including matching wood beading as per approved design, Figure of veneer to be matched as per design, Pressing shall be free of defects, Veneer to be Finished in </t>
    </r>
    <r>
      <rPr>
        <sz val="10"/>
        <color rgb="FFFF0000"/>
        <rFont val="Calibri"/>
        <family val="2"/>
      </rPr>
      <t>Approved waterbase PU polish</t>
    </r>
  </si>
  <si>
    <r>
      <t>As per drawing - Using 50mm x 36 mm, 16 SWG aluminium framework at 600 mm c/c Fixed on existing Structural Framework, Frame to be covered with 18 mm thick marine ply,  ply to be covered with 4 mm thick approved Veneer, Veneer to be Finished in</t>
    </r>
    <r>
      <rPr>
        <sz val="10"/>
        <color rgb="FFFF0000"/>
        <rFont val="Calibri"/>
        <family val="2"/>
      </rPr>
      <t xml:space="preserve"> Approved waterbase PU polish </t>
    </r>
    <r>
      <rPr>
        <sz val="10"/>
        <rFont val="Calibri"/>
        <family val="2"/>
      </rPr>
      <t>.  (Basic cost of veneer up to Rs. 125/-sft )</t>
    </r>
  </si>
  <si>
    <r>
      <t xml:space="preserve">Using 4 mm thk approved veneer sheet with 0.4 mm thick wooden face, pressed over backing plywood including matching wood beading as per approved design, with 3 mm x 3mm finish groove as per design, Figure of veneer to be matched as per design, Pressing shall be free of defects, Veneer to be finished in </t>
    </r>
    <r>
      <rPr>
        <sz val="11"/>
        <color rgb="FFFF0000"/>
        <rFont val="Calibri"/>
        <family val="2"/>
      </rPr>
      <t xml:space="preserve"> Approved Waterbase PU polish</t>
    </r>
  </si>
  <si>
    <r>
      <t xml:space="preserve">Frame &amp; entire door  to be  to be Finished in </t>
    </r>
    <r>
      <rPr>
        <sz val="10"/>
        <color rgb="FFFF0000"/>
        <rFont val="Calibri"/>
        <family val="2"/>
      </rPr>
      <t>Approved waterbase PU polish</t>
    </r>
  </si>
  <si>
    <r>
      <t xml:space="preserve">Using 4 mm thk approved veneer sheet with 0.4 mm thick wooden face, pressed over backing plywood including matching wood beading as per approved design, with 3 mm x 3mm finish groove as per design including on column surface, Figure of veneer to be matched as per design, Pressing shall be free of defects, Veneer to be </t>
    </r>
    <r>
      <rPr>
        <sz val="10"/>
        <color rgb="FFFF0000"/>
        <rFont val="Tahoma"/>
        <family val="2"/>
      </rPr>
      <t>Finished in Approved waterbase PU polish</t>
    </r>
  </si>
  <si>
    <r>
      <t xml:space="preserve">size up to 300 mm Deep- Providing and fixing 75  mm thick Veneer finish Capital including adequate MS frame and 12 mm thick </t>
    </r>
    <r>
      <rPr>
        <sz val="10"/>
        <color rgb="FFFF0000"/>
        <rFont val="Tahoma"/>
        <family val="2"/>
      </rPr>
      <t>Fire rated</t>
    </r>
    <r>
      <rPr>
        <sz val="10"/>
        <rFont val="Tahoma"/>
        <family val="2"/>
      </rPr>
      <t xml:space="preserve">  plywood, ply to be covered with  4 mm thk approved veneer sheet with 0.4 mm thick wooden face,  including matching wood beading as per approved design, Figure of veneer to be matched as per design, Pressing shall be free of defects, Veneer to be finished in </t>
    </r>
    <r>
      <rPr>
        <sz val="10"/>
        <color rgb="FFFF0000"/>
        <rFont val="Tahoma"/>
        <family val="2"/>
      </rPr>
      <t>Approved waterbase PU polish</t>
    </r>
  </si>
  <si>
    <r>
      <t>Providing and fixing 50 to 100 mm wide batten form, Using 4 mm thk approved veneer sheet with 0.4 mm thick wooden face, pressed over 12 mm thick  backing</t>
    </r>
    <r>
      <rPr>
        <sz val="10"/>
        <color rgb="FFFF0000"/>
        <rFont val="Tahoma"/>
        <family val="2"/>
      </rPr>
      <t xml:space="preserve"> fire rated</t>
    </r>
    <r>
      <rPr>
        <sz val="10"/>
        <rFont val="Tahoma"/>
        <family val="2"/>
      </rPr>
      <t xml:space="preserve"> plywood including matching wood beading as per approved design, with 12 mm x 12mm finish groove as per design, Figure of veneer to be matched as per design, Pressing shall be free of defects, Veneer to be finished in </t>
    </r>
    <r>
      <rPr>
        <sz val="10"/>
        <color rgb="FFFF0000"/>
        <rFont val="Tahoma"/>
        <family val="2"/>
      </rPr>
      <t>Approved waterbase PU polish</t>
    </r>
  </si>
  <si>
    <r>
      <t xml:space="preserve">As per drawing, 50mm x 50 mm  MS framework, 6+6  mm thk Flexi </t>
    </r>
    <r>
      <rPr>
        <sz val="10"/>
        <color rgb="FFFF0000"/>
        <rFont val="Tahoma"/>
        <family val="2"/>
      </rPr>
      <t>Fire rated</t>
    </r>
    <r>
      <rPr>
        <sz val="10"/>
        <rFont val="Tahoma"/>
        <family val="2"/>
      </rPr>
      <t xml:space="preserve"> plywood fixed to Aluminum framework from all side, Ply to be covered with 4 mm thick veneer finish with Approved waterbase PU polish, 10 mm thick x 250 high Curved rib Glass to be fix in the partition including 6 mm thick 304 grade  SS bronze satin finish Top trim including 50 mm wide vertical support, veneer to beFinished in </t>
    </r>
    <r>
      <rPr>
        <sz val="10"/>
        <color rgb="FFFF0000"/>
        <rFont val="Tahoma"/>
        <family val="2"/>
      </rPr>
      <t>Approved waterbase PU polish</t>
    </r>
    <r>
      <rPr>
        <sz val="10"/>
        <rFont val="Tahoma"/>
        <family val="2"/>
      </rPr>
      <t>, (Basic cost of veneer at Rs.125/sft)</t>
    </r>
  </si>
  <si>
    <r>
      <t xml:space="preserve">as per drawing Using 50 x 50 mm SS Base Frame in satin bronze finish,  Frame top to be covered with 18 mm thick sleeper wooden plank,  to beFinished in </t>
    </r>
    <r>
      <rPr>
        <sz val="10"/>
        <color rgb="FFFF0000"/>
        <rFont val="Tahoma"/>
        <family val="2"/>
      </rPr>
      <t>Approved waterbase PU polish</t>
    </r>
  </si>
  <si>
    <r>
      <t xml:space="preserve">Overall finish size 200mm x 50 mm thk without rebate, Door frame to be Made up Using 18 mm thick FRP ply as rough ground,, fixed to masonry wall in perfect plumb,  line and level by using 6" long Hilti Anchor bolt (total 6 nos - 3 nos each side), Clad with 12 mm thk  FRP ply &amp; 4 mm thick Approved Veneer, Rebate to be separately put in  wood, Wood to be treated with anti-termite medicine, Frame to be finished in </t>
    </r>
    <r>
      <rPr>
        <sz val="10"/>
        <color rgb="FFFF0000"/>
        <rFont val="Tahoma"/>
        <family val="2"/>
      </rPr>
      <t>Approved waterbase PU polish</t>
    </r>
  </si>
  <si>
    <r>
      <t xml:space="preserve">Overall size:850 mm wide x 2250 mm ht. x  1 leaf, up to 40 mm thk. Using 35 mm thick readymade fireproof shutter covered with  4 mm thick  approved veneer from Lounge  side and Above veener fix 50 mm wide wooden batten as per drawing  and store room  side 1 mm thick approved Laminate, Veneer and wood to be finish in </t>
    </r>
    <r>
      <rPr>
        <sz val="10"/>
        <color rgb="FFFF0000"/>
        <rFont val="Tahoma"/>
        <family val="2"/>
      </rPr>
      <t>approved waterbase PU polish</t>
    </r>
    <r>
      <rPr>
        <sz val="10"/>
        <rFont val="Tahoma"/>
        <family val="2"/>
      </rPr>
      <t xml:space="preserve"> (basic cost of veneer up to Rs. 150/sft) &amp; (basic cost of laminate Rs 1600 / sheet)</t>
    </r>
  </si>
  <si>
    <r>
      <t xml:space="preserve">Frame &amp; entire door  to be  to be finish  in </t>
    </r>
    <r>
      <rPr>
        <sz val="10"/>
        <color rgb="FFFF0000"/>
        <rFont val="Tahoma"/>
        <family val="2"/>
      </rPr>
      <t>Approved waterbase PU polish</t>
    </r>
  </si>
  <si>
    <t>Providing and fixing  1000 mm wide x 1000 mm length Reception (Lectrun )desk , finish in Marble /SS/Veneer. As per detail drawings</t>
  </si>
  <si>
    <r>
      <t xml:space="preserve">P&amp;C of </t>
    </r>
    <r>
      <rPr>
        <b/>
        <sz val="11"/>
        <rFont val="Calibri"/>
        <family val="2"/>
      </rPr>
      <t>200mm</t>
    </r>
    <r>
      <rPr>
        <sz val="11"/>
        <rFont val="Calibri"/>
        <family val="2"/>
      </rPr>
      <t xml:space="preserve"> thick  block masonry conforming to IS: 2185 (Part-I), walls to start from floor slab up to true ceiling, suitably anchored to back / existing wall / existing columns in cement mortar in 1 : 4 ratio, minimum 12/15mm thick, only 43 or 53 grade </t>
    </r>
    <r>
      <rPr>
        <sz val="11"/>
        <color rgb="FFFF0000"/>
        <rFont val="Calibri"/>
        <family val="2"/>
      </rPr>
      <t>cement/Adhesive</t>
    </r>
    <r>
      <rPr>
        <sz val="11"/>
        <rFont val="Calibri"/>
        <family val="2"/>
      </rPr>
      <t xml:space="preserve"> to be used. Constructed in perfect plum, line and level. Wall to be cured for at least 3 days. Rate inclusive of required scaffolding, ranking out the joints, cutting, providing &amp; fixing of including providing  </t>
    </r>
    <r>
      <rPr>
        <sz val="11"/>
        <color rgb="FFFF0000"/>
        <rFont val="Calibri"/>
        <family val="2"/>
      </rPr>
      <t xml:space="preserve">RCC Patli to be after every 5 layers </t>
    </r>
    <r>
      <rPr>
        <sz val="11"/>
        <rFont val="Calibri"/>
        <family val="2"/>
      </rPr>
      <t>and lintel work for the doors &amp; windows / curved windows opening of 100mm x 100mm at every 1.00m C/C with 2 nos. 8mm dia Tor bars and 6mm dia links at 300 c/c in cement concrete of mix M 20, required formwork complete with raking out joints, curing, doing independent double legged scaffolding as per specifications etc. at all heights, depths and leads as directed, exclude cement plaster. Complete as per site engineer's instruction and Architectural detail drawings. All external divider walls</t>
    </r>
    <r>
      <rPr>
        <b/>
        <sz val="11"/>
        <rFont val="Calibri"/>
        <family val="2"/>
      </rPr>
      <t xml:space="preserve"> up to 4300mm ht</t>
    </r>
    <r>
      <rPr>
        <sz val="11"/>
        <rFont val="Calibri"/>
        <family val="2"/>
      </rPr>
      <t xml:space="preserve"> up to mother slab level.                                                                                      </t>
    </r>
  </si>
  <si>
    <r>
      <t xml:space="preserve">P&amp;C of </t>
    </r>
    <r>
      <rPr>
        <b/>
        <sz val="11"/>
        <rFont val="Calibri"/>
        <family val="2"/>
      </rPr>
      <t>150mm</t>
    </r>
    <r>
      <rPr>
        <sz val="11"/>
        <rFont val="Calibri"/>
        <family val="2"/>
      </rPr>
      <t xml:space="preserve"> thick  block masonry conforming to IS: 2185 (Part-I), walls to start from floor slab up to true ceiling, suitably anchored to back / existing wall / existing columns in cement mortar in 1 : 4 ratio, minimum 12/15mm thick, only 43 or 53 grade </t>
    </r>
    <r>
      <rPr>
        <sz val="11"/>
        <color rgb="FFFF0000"/>
        <rFont val="Calibri"/>
        <family val="2"/>
      </rPr>
      <t xml:space="preserve">cement/Adhesive </t>
    </r>
    <r>
      <rPr>
        <sz val="11"/>
        <rFont val="Calibri"/>
        <family val="2"/>
      </rPr>
      <t xml:space="preserve">to be used. Constructed in perfect plum, line and level. Wall to be cured for at least 3 days. Rate inclusive of required scaffolding, ranking out the joints, cutting, providing &amp; fixing of including providing  </t>
    </r>
    <r>
      <rPr>
        <sz val="11"/>
        <color rgb="FFFF0000"/>
        <rFont val="Calibri"/>
        <family val="2"/>
      </rPr>
      <t>RCC Patli to be after every 5 layers</t>
    </r>
    <r>
      <rPr>
        <sz val="11"/>
        <rFont val="Calibri"/>
        <family val="2"/>
      </rPr>
      <t xml:space="preserve"> and lintel work for the doors &amp; windows / curved windows opening of 100mm x 100mm at every 1.00m C/C with 2 nos. 8mm dia Tor bars and 6mm dia links at 300 c/c in cement concrete of mix M 20, required formwork complete with raking out joints, curing, doing independent double legged scaffolding as per specifications etc. at all heights, depths and leads as directed, exclude cement plaster. Complete as per site engineer's instruction and Architectural detail drawings. All external divider walls up to 4300mm ht up to mother slab level.                                                                                      </t>
    </r>
  </si>
  <si>
    <r>
      <t>P&amp;C of</t>
    </r>
    <r>
      <rPr>
        <b/>
        <sz val="11"/>
        <rFont val="Calibri"/>
        <family val="2"/>
      </rPr>
      <t xml:space="preserve"> 100mm</t>
    </r>
    <r>
      <rPr>
        <sz val="11"/>
        <rFont val="Calibri"/>
        <family val="2"/>
      </rPr>
      <t xml:space="preserve"> solid concrete block masonry made of solid concrete blocks conforming to IS: 2185 (Part-I), walls to start from floor slab up to true ceiling, suitably anchored to back / existing wall / existing columns in cement mortar in 1 : 4 ratio, minimum 12/15mm thick, only 43 or 53 grade </t>
    </r>
    <r>
      <rPr>
        <sz val="11"/>
        <color rgb="FFFF0000"/>
        <rFont val="Calibri"/>
        <family val="2"/>
      </rPr>
      <t>cement/Adhesive</t>
    </r>
    <r>
      <rPr>
        <sz val="11"/>
        <rFont val="Calibri"/>
        <family val="2"/>
      </rPr>
      <t xml:space="preserve"> to be used. Constructed in perfect plum, line and level. Wall to be cured for at least 3 days. Rate inclusive of required scaffolding, ranking out the joints, cutting, providing &amp; fixing of including providing </t>
    </r>
    <r>
      <rPr>
        <sz val="11"/>
        <color rgb="FFFF0000"/>
        <rFont val="Calibri"/>
        <family val="2"/>
      </rPr>
      <t xml:space="preserve">RCC Patli to be after every 5 layers </t>
    </r>
    <r>
      <rPr>
        <sz val="11"/>
        <rFont val="Calibri"/>
        <family val="2"/>
      </rPr>
      <t xml:space="preserve"> and lintel work for the doors &amp; windows / curved windows opening of 100mm x 100mm at every 1.00m C/C with 2 nos. 8mm dia Tor bars and 6mm dia links at 300 c/c in cement concrete of mix M 20, required formwork complete with raking out joints, curing, doing independent double legged scaffolding as per specifications etc. at all heights, depths and leads as directed, exclude cement plaster. Complete as per site engineer's instruction and Architectural detail drawings. All divider walls </t>
    </r>
    <r>
      <rPr>
        <b/>
        <sz val="11"/>
        <rFont val="Calibri"/>
        <family val="2"/>
      </rPr>
      <t>up to 4300mm ht</t>
    </r>
    <r>
      <rPr>
        <sz val="11"/>
        <rFont val="Calibri"/>
        <family val="2"/>
      </rPr>
      <t xml:space="preserve"> of internal divider walls at toilet area.                                                                                      </t>
    </r>
  </si>
  <si>
    <r>
      <t xml:space="preserve">Frame &amp; entire door  to be  Finished in </t>
    </r>
    <r>
      <rPr>
        <sz val="11"/>
        <color rgb="FFFF0000"/>
        <rFont val="Calibri"/>
        <family val="2"/>
      </rPr>
      <t>Approved waterbase PU polish</t>
    </r>
  </si>
  <si>
    <r>
      <t xml:space="preserve">Frame , All wood &amp; Veneer  to be Veneer to be Finished in </t>
    </r>
    <r>
      <rPr>
        <sz val="11"/>
        <color rgb="FFFF0000"/>
        <rFont val="Calibri"/>
        <family val="2"/>
      </rPr>
      <t>Approved waterbase PU polish</t>
    </r>
  </si>
  <si>
    <t>SPA - Wet Works/civil &amp; Interior finishes</t>
  </si>
  <si>
    <t>WC for  toilet</t>
  </si>
  <si>
    <t>Italian Marble Finish Wash Basin Counter for toilet</t>
  </si>
  <si>
    <t>Synthetic Marble  Portal 450 mm wide</t>
  </si>
  <si>
    <r>
      <t>Using 16mm thick marble Pasted over existing ply surface with epoxy adhesive &amp; brass pins, Ply surface shall be cleaned before installing marble, At least 16mm thk marble to be fixed, Marble shall be cut as per size &amp; laid with tight hairline joints, Edge of marble shall be polished before installation, Joints to be filled with Tim-X or equivalent joint filler, Including 2" high Marble fascia,</t>
    </r>
    <r>
      <rPr>
        <sz val="11"/>
        <color rgb="FFFF0000"/>
        <rFont val="Calibri"/>
        <family val="2"/>
      </rPr>
      <t xml:space="preserve"> Approved sealer to be applied on all sides.</t>
    </r>
    <r>
      <rPr>
        <sz val="11"/>
        <rFont val="Calibri"/>
        <family val="2"/>
      </rPr>
      <t xml:space="preserve"> Special care to be taken to fix marble on horizontal surface. Shall rest over ply at one end and vertical marble on the other, The vertical marble over 50 mm shall be fixed using brass pins</t>
    </r>
  </si>
  <si>
    <t>Size : 1800mm length x 450mm depth x 850mm ht.</t>
  </si>
  <si>
    <t>sink counter</t>
  </si>
  <si>
    <t>Gypsum board Facia Band 50 mm TO 100 mm</t>
  </si>
  <si>
    <t>Ceiling slit</t>
  </si>
  <si>
    <t>Gypsum board slit 100 mm TO 150 mm wide</t>
  </si>
  <si>
    <t>Gypsum board slit 50 mm  wide for curtain</t>
  </si>
  <si>
    <t>12 mm thk plywood</t>
  </si>
  <si>
    <t>15 mm thk plywood</t>
  </si>
  <si>
    <t>18 mm thk plywood</t>
  </si>
  <si>
    <t>6 mm thk Flexi plywood</t>
  </si>
  <si>
    <t>SS Jali in Satin Bronze finish with fixed glass partition</t>
  </si>
  <si>
    <t xml:space="preserve">Overall size- 1200 mm wide x 3000 mm height, Outer frame in  SS hollow frame of 38 mm x50mm x 2.5 mm thickness all around each jali panel, all welded and polished joints, SS frame in Satin Bronze finish  as approved by Architect, Outer frame fixed to floor and above false ceiling, using 8 mm thick MS plate with anchor bolt.  including 10 mm thk 304 grade SS pipe jali as per approved design and in Satin Bronze finish,  </t>
  </si>
  <si>
    <t xml:space="preserve">Decorative Toilet Vanity Mirrors </t>
  </si>
  <si>
    <t>Using 12 mm thk HDF to be fixed on 12 mm thick HDF ply  base , All joints shall be planed and smoothened before installing fluting mouldings.All joints shall be filled with suitable fillers and reinforcement tape, if required. HDF Moldings to be fixed  as per drawing ( min 25 mm wide &amp; 12 mm deep ), shall be installed on HDF back surface in perfect plumb, line and level. base and HDF moulding surface shall be finished in duco paint, as approved by Architect</t>
  </si>
  <si>
    <t xml:space="preserve">Providing and fixing 25 mm wide x 12mm thick NBTW wooden strip as shown in drawing, Fixing shall be free of defects, Wooden strip to be  Finished in Approved Melamine Polish </t>
  </si>
  <si>
    <t>Frame &amp; entire door  to be Finished in Approved Melamine Polish</t>
  </si>
  <si>
    <t>125 mm x 50 mm x 4 mm thk bearing type SS hinges fixed between frame and shutter with SS screws. At least  4 nos. hinges per shutter, with  lock, Concealed door closer by 'Hafele' as per required capacity, 1 set of handle as approved by Architect</t>
  </si>
  <si>
    <t>Size : 1000mm x 2400mm</t>
  </si>
  <si>
    <t>Reception Display unit</t>
  </si>
  <si>
    <t>Veneer finish Retail Display Behind reception table ( 2600 L x450 D x3000 H)</t>
  </si>
  <si>
    <t>Duco paint  finish Salon unit ( 3200 L x400 D x3000 H)</t>
  </si>
  <si>
    <t>The mirrors shall be mounted on a backing of  marine ply of overall 12 mm thickness, which shall be fixed to the wall. Including SS inserts as per drawings, including 50 mm wide C shape profile covering on All around the mirror. Mirror shall be 8 mm thick and shall be laminated at the back for protection, and backed with felt lining. All edges of mirror shall have CNC edge polish. Mirrors shall be fixed to the backing  ply with recommended adhesive or tape as approved by the Architect.</t>
  </si>
  <si>
    <t>Salon wall unit</t>
  </si>
  <si>
    <t>Duco paint  finish Salon unit ( 2800 L x150 D x3000 H)</t>
  </si>
  <si>
    <t>CP-NICH</t>
  </si>
  <si>
    <t xml:space="preserve">As per drawing, Carcase to be made out of 12 mm thick ply, Ply to be covered with 16g SS bronze finish with 50 mm wide cover border in SS bronze finish as shown in drawings, </t>
  </si>
  <si>
    <t>TINTED Mirror PANELING</t>
  </si>
  <si>
    <t>Nail bar counter</t>
  </si>
  <si>
    <t>Nail Bar counter in profile ( 1250 L x400 D x750 H)</t>
  </si>
  <si>
    <t>CP-FURN</t>
  </si>
  <si>
    <t>Reception table</t>
  </si>
  <si>
    <t>Spa reception table in profile ( 2500 L x 600 D x1100 H)</t>
  </si>
  <si>
    <t>CP-LD</t>
  </si>
  <si>
    <t>CP-FRM</t>
  </si>
  <si>
    <t>Picture Frame</t>
  </si>
  <si>
    <t>1000 mm dia Circular Picture frame in duco paint</t>
  </si>
  <si>
    <t>Overall finish size 100mm x 50 mm thk without rebate, Door frame to be Made up Using 18 mm thick marine ply as rough  ground, fixed to masonry wall in perfect plumb, line and level using 6" long Hilti Anchor bolt (total 6 nos - 3 nos each side), Clad with 12 mm thk NBTW wood, Rebate to be separately put in NBTW wood, Wood to be treated with anti-termite medicine, Frame to be Finished in Approved Melamine Polish</t>
  </si>
  <si>
    <t>Overall size:900 mm wide x 2400 mm ht. x  1 leaf, up to 82 mm thk. Using 38 mm thick readymade fireproof shutter covered with 8 mm thick marine ply on both sides , The shutter shall be clad with 4 mm thick  approved veneer , including NBTW beading all around, 25 mm x 12 mm thick wooden strip to be fix on Veneer surface from inside and 25 mm x 12 mm thick HDF strip from lounge side with  in duco paint as shown in drawings.  basic cost of veneer up to Rs. 125/sft</t>
  </si>
  <si>
    <t>Toilet door Wooden strip</t>
  </si>
  <si>
    <t>Overall finish size 250mm x 50 mm thk without rebate, Door frame to be Made up Using 18 mm thick marine ply as rough  ground, fixed to masonry wall in perfect plumb, line and level using 6" long Hilti Anchor bolt (total 6 nos - 3 nos each side), Clad with 12 mm thk NBTW wood, Rebate to be separately put in NBTW wood, Wood to be treated with anti-termite medicine, Frame to be Finished in Approved Melamine Polish</t>
  </si>
  <si>
    <t>Overall size:800 mm wide x 2400 mm ht. x  1 leaf, up to 82 mm thk. Using 38 mm thick readymade fireproof shutter covered with 8 mm thick marine ply on both sides , The shutter shall be clad with 4 mm thick  approved veneer from both side , including NBTW beading all around, 25 mm x 12 mm thick wooden strip from out side, to be fix on Veneer surface  as shown in drawings.  basic cost of veneer up to Rs. 125/sft</t>
  </si>
  <si>
    <t>GL-DOR</t>
  </si>
  <si>
    <t>Sliding Glass door with SS Jali in Satin Bronze finish</t>
  </si>
  <si>
    <t>Surface Preparation</t>
  </si>
  <si>
    <t>Surface preparation for wall paper</t>
  </si>
  <si>
    <t>Include cement primer, 2 coats of putty, touch up putty and primer with water base, Surface to be made ready to receive wall paper</t>
  </si>
  <si>
    <t>Built-in seating -Seat</t>
  </si>
  <si>
    <t>SEAT</t>
  </si>
  <si>
    <t>Seating Bench</t>
  </si>
  <si>
    <t>Wall paper</t>
  </si>
  <si>
    <t>Providing and fixing approved wall paper by -Marshal /Ego wall paper, as approved by architect, Include protection till handover,  (Basic cost of wall paper @ Rs.350/sft )</t>
  </si>
  <si>
    <t>WL/WP</t>
  </si>
  <si>
    <t>Wash basin</t>
  </si>
  <si>
    <t xml:space="preserve">  Sink counter including under counter shutter </t>
  </si>
  <si>
    <t xml:space="preserve">Supply and application of 10mm thick Epoxy Resin Terrazzo flooring system (12 mm laid &amp; grinded to 10 mm) Flexural strength: ≥ 25MPa as per ASTM D790,Tensile strength: ≥ 14 MPa as per ASTM D638. The product must have elongation: ≥ 5%, when tested as per ASTM D638. Hardness of the floor must be ≥ 75, when tested as per Shore D hardness test. Co-efficient of linear thermal expansion of the product will be approximately 13.3x10-6. This product should have flammability of not more than 0.025inch/minute when tested as per ASTM D 635. IGBC certified product. Typical properties of the resin needs to be achieved in laboratory tests at 50% Relative Humidity. Fire Resistance BS476-7: Spread of Flame : Class 2Slip Resistance  :   TRRL  Pendulum Slip Test Dry    &gt; 40 low  slip potential. Temperature Resistance : Tolerant up to 60 C .Water Permeability : Nil – Karsten Test(Impermeable) Abrasion Resistance      :    Taber Abrader -  50 mg loss per  1000  cycles(1kg load using CS17 wheels). Compressive Strength : &gt; 55 N/mm2 (BS6319), Bond  Strength Greater than cohesive strength of 25 N / mm2 concrete.: &gt;1.5 MPa. Toxicity (when cured) : Taint Free to sensitive foodstuffs. Epoxy terrazzo layer to be applied over Epoxy high build primer  and needs to be properly finished, grinded and polished with suitable transparent abrasion resistant material. The complete system of Epoxy Resin Terrazzo flooring needs to be executed by an authorized applicator of the manufacturer and as per the approved method statement of the manufacturer. Providing and application of Divider/termination Trim of 2mm- 2.5mm thick L SS , Providing and application of Momex Joint , Providing and application of PU Sealant at terminations                                                                </t>
  </si>
  <si>
    <r>
      <t xml:space="preserve">Clean existing wall surface before fixing wall cladding, Marble shall be minimum 18 mm thick fixed to </t>
    </r>
    <r>
      <rPr>
        <sz val="11"/>
        <color rgb="FFFF0000"/>
        <rFont val="Calibri"/>
        <family val="2"/>
      </rPr>
      <t>Fire rated</t>
    </r>
    <r>
      <rPr>
        <sz val="11"/>
        <rFont val="Calibri"/>
        <family val="2"/>
      </rPr>
      <t xml:space="preserve"> plywood panelling / plastered wall siporex / block work, Marble shall be cut from slabs of even thickness, Marble shall be installed  with suitable adhesive, if installed on plywood, Marble shall be installed as per tech specs on  plastered siporex / block work, Joint filling and finishing and mirror polishing as per tech specs. Including up to  3 mm V grooves/chamfer edge moulding, mirror polished and finished. </t>
    </r>
    <r>
      <rPr>
        <sz val="11"/>
        <color rgb="FFFF0000"/>
        <rFont val="Calibri"/>
        <family val="2"/>
      </rPr>
      <t xml:space="preserve">including Approved sealer to be applied on all sides </t>
    </r>
    <r>
      <rPr>
        <sz val="11"/>
        <rFont val="Calibri"/>
        <family val="2"/>
      </rPr>
      <t>(On site cost of Italian marble @ Rs.450/sft without tax)</t>
    </r>
  </si>
  <si>
    <t>(Basic cost of marble at Rs.450/sft including fibre filling &amp; polish)</t>
  </si>
  <si>
    <r>
      <t xml:space="preserve">As per drawing, Sink counter structure constructed out of 18 mm thk  plywood, At least 16 mm thk approved Terrazzo Stone fixed to top with 50 mm thick front fascia and back flash in profile shown in drawing - including  polish. stone  to be tightly placed together and shall have mitre joints on edges including moulding as approved by Architect. All joints to be filled with matching colour TIM-X or equivalent grout filler.  Carcass internal surface to be covered with 1mm thk approved laminate , all exposed  surfaces including shutter to be finished in approved veneer, Veneer to be Finished in </t>
    </r>
    <r>
      <rPr>
        <sz val="11"/>
        <color rgb="FFFF0000"/>
        <rFont val="Calibri"/>
        <family val="2"/>
      </rPr>
      <t>Approved water base PU polish</t>
    </r>
    <r>
      <rPr>
        <sz val="11"/>
        <rFont val="Calibri"/>
        <family val="2"/>
      </rPr>
      <t>, including 50 mm high SS skirting , as per  approved design. Including all cutouts for electrical points,  (Basic cost of Terrazzo at Rs. 750/sft ) (Basic cost of Veneer at Rs. 150/sft ) excluding sink</t>
    </r>
  </si>
  <si>
    <r>
      <t xml:space="preserve">All G.I framework for ceiling to be used manufactured by "GYPSteel" only at 400 mm c/c  &amp; suspenders, closer at 1200 mm c/c, 12.5 mm thk Gypsum board to be used manufactured by "Saint Gobain Gypsum Board" or "La Farge" only, Gypsum Board sheets shall be fitted &amp; finished as per manufacturer's specification, All joints to be filled with jointing compound including fibre tape reinforcement, Include finished cutouts for light fixtures, AC grills  including necessary framework/ply support , Include horizontal structural member to span below HVAC ducting for ceiling suspenders ( </t>
    </r>
    <r>
      <rPr>
        <b/>
        <sz val="11"/>
        <rFont val="Calibri"/>
        <family val="2"/>
      </rPr>
      <t>Note</t>
    </r>
    <r>
      <rPr>
        <sz val="11"/>
        <rFont val="Calibri"/>
        <family val="2"/>
      </rPr>
      <t xml:space="preserve"> - existing structural ceiling height is 4300 mm )</t>
    </r>
  </si>
  <si>
    <t>All G.I framework for ceiling to be used manufactured by "GYPSteel" only, 12.5 mm thk Gypsum board to be used manufactured by "India Gypsum Board" or "La Farge" only, Gypsum Board sheets shall be fitted &amp; finished as per manufacturer's specification, All joints to be filled with jointing compound including fibre tape reinforcement, Include finished cutouts for, AC grills  including necessary framework / ply support  required, Exclude painting, Only fire line Gypsum</t>
  </si>
  <si>
    <t>In L shape with 100 mm deep up to 300mm high and 50 mm wide fascia, All G.I framework for ceiling to be used manufactured by "GYPSteel" only, 12.5 mm thk Gypsum board to be used manufactured by "India Gypsum Board" or "La Farge" only, Gypsum Board sheets shall be fitted &amp; finished as per manufacturer's specification, All joints to be filled with jointing compound including fibre tape reinforcement, Include finished cutouts for, AC grills  including necessary framework / ply support  required, Exclude painting, Only fire line Gypsum</t>
  </si>
  <si>
    <t>Aluminium frame work for Partition</t>
  </si>
  <si>
    <t>50mm x 36 mm, 16 SWG aluminium framework at 600 mm c/c on wall/column , 18 mm x 18mm, 3 mm aluminium angle to be used for assembling panelling framework, Only round head, full thread, sheet metal screws to be used, Framework to be fixed to wall in perfect plum, line and level, Suitable bracket to be provided behind framework for correct alignment.</t>
  </si>
  <si>
    <t>Aluminium frame work For Panelling boxing</t>
  </si>
  <si>
    <t xml:space="preserve">36mm x 36 mm, 16 SWG aluminium framework at 600 mm c/c on wall/column , 18 mm x 18mm, 3 mm aluminium angle to be used for assembling panelling framework, Only round head, full thread, sheet metal screws to be used, Framework to be fixed to wall in perfect plum, line and level, Suitable bracket to be provided behind framework for correct alignment, including provision for  Electrical Conduit and slot for Digital screen  as shown in drawing </t>
  </si>
  <si>
    <t>Ply Panelling</t>
  </si>
  <si>
    <t>providing and fixing marine plywood  to existing framework /pop wall surface with flat head, full thread, sheet metal screws, Edges of plywood to end at center of aluminium framework. Edges to be tightly screwed to aluminium framework at 300 mm c/c. Edges to be planed properly to receive finish material</t>
  </si>
  <si>
    <t>providing and fixing 10 mm thick toughen fix glass panel with 12 mm wide SS Beading around glass</t>
  </si>
  <si>
    <t>The mirrors shall be mounted on a backing of marine ply of overall 20 to 25 mm thickness, which shall be fixed to the wall. Including provision for LED strip light. Mirror shall be 8 mm thick to receive bevelling and shall be laminated at the back for protection, and backed with felt lining. All Mirrors shall have 18-25 mm bevelling on all edges. All edges of mirror shall have CNC edge polish, Mirrors shall be fixed to the backing  ply with recommended adhesive or tape as approved by the Architect. exclude cost of LED strip lighting</t>
  </si>
  <si>
    <t>Plain mirror panelling</t>
  </si>
  <si>
    <t>The mirrors shall be mounted on a backing of  marine ply of overall 18 mm thickness, which shall be fixed to the wall. Including L shape SS finish Angle profile covering on All around the mirror. Mirror shall be 8 mm thick to receive bevelling and shall be laminated at the back for protection, and backed with felt lining. All Mirrors shall have 18-25 mm bevelling on all edges. All edges of mirror shall have CNC edge polish. Mirrors shall be fixed to the backing  ply with recommended adhesive or tape as approved by the Architect.</t>
  </si>
  <si>
    <t>Tinted  mirror panelling</t>
  </si>
  <si>
    <t>HDF wall Panelling</t>
  </si>
  <si>
    <t>Fluted Wall panelling in Duco paint finish</t>
  </si>
  <si>
    <t>Wooden strip panelling</t>
  </si>
  <si>
    <t>As per drawing, 12 mm thick plywood fixed to wall, Ply to be covered with 4 mm thick HDF , 36 mm thick Shelf ( 18 +12mm ply + 6 mm thick Corian ) with provision for Led strip lights, Storage unit at bottom, carcus to be made in 18 mm thick ply, internal surface covered with 1mm thick approved laminate, including veneer finish shutter and drawers, including 50 mm high 16G 304 grade  SS bronze satin finish Skirting, Veneer to be Finished in Approved Melamine Polish  (Basic cost of veneer upto Rs. 125/-sft )</t>
  </si>
  <si>
    <t xml:space="preserve">As per drawing, Carcase to be made out of 18 mm thick ply, Ply to be covered with 6 mm thick HDF , 36 mm thick HDF made-up Shelf  with provision for Led strip lights as shown in drawings, Drawer unit at mirror  bottom, internal surface covered with 1mm thick approved laminate, 50 mm wide half round duco finish moulding in arch shaped as per drawings, including 50 mm high 16G 304 grade  SS bronze satin finish Skirting, </t>
  </si>
  <si>
    <t xml:space="preserve">As per drawing, Carcase to be made out of 12 mm thick ply, Ply to be covered with 6 mm thick HDF , 36 mm thick HDF made-up Shelf  with provision for Led strip lights as shown in drawings, 50 mm wide half round duco finish moulding in arch shaped as per drawings, including 50 mm high 16G 304 grade  SS bronze satin finish Skirting, </t>
  </si>
  <si>
    <t>SS Bronze finish niche for Nail bar  ( 1600 L x100 D x500 H)</t>
  </si>
  <si>
    <t xml:space="preserve">Providing and fixing  Nail Bar counter desk in profile  , up to 100 mm thick Top finish in Terrazzo , with SS bronze finish base  As per detail drawings. </t>
  </si>
  <si>
    <t xml:space="preserve">Providing and fixing  Reception counter desk in profile  , SS bronze finish top , with Fluted Apron finish in Duco paint, including drawer and storage As per detail drawings. </t>
  </si>
  <si>
    <t>Corian Ledge</t>
  </si>
  <si>
    <t>30 mm thick x 400 mm deep Corian finish ledge,</t>
  </si>
  <si>
    <t>Using 18 mm thick marine ply covered with 6 mm thick approved Corian on both side with 30 mm wide Facia.</t>
  </si>
  <si>
    <t>Main Ent door -Wooden strip/fluted  panel door in Polish and Duco paint</t>
  </si>
  <si>
    <t xml:space="preserve">Overall size- 1200 mm wide x 3000 mm height, Outer frame in  SS hollow frame of 38 mm x50mm x 2.5 mm thickness all around with top hung Sliding channel , SS frame in Satin Bronze finish  as approved by Architect, Sliding channel fixed to false ceiling frame, using 8 mm thick MS plate with anchor bolt.  including 10 mm thk 304 grade SS pipe jali door panel as per approved design and in Satin Bronze finish,  </t>
  </si>
  <si>
    <t>Carcus to be made out of  38mm x 38 mm  Aluminium framework and 18 mm thk plywood  , up to 100 mm thk foam rubber seat pasted to 18 mm thk ply base , 25 mm thk., 32 density PU foam to cover rubber seat, PU foam to be covered with 6 mm thk. sheet before finishing seat in white cloth, Final fabric / leather shall be nailed on bottom side of plywood base, Including Wooden finish band, Wood to be Finished in Approved Melamine Polish,(Basic cost of fabric at Rs.2500/rmt)</t>
  </si>
  <si>
    <t>Hand painted / Customised Wall paper</t>
  </si>
  <si>
    <t xml:space="preserve">P&amp;C of 150mm thick screed with 100mm thick broken AAC (Siporex) Block, broken siporex block to be laid on the waterproofing treated floor in proper levelling, after laying of the siporex block, void area to be filled up with Siporex or equivalent light weight materials including making of 50mm thick IPS flooring in cement concrete mix of 1:2:4 (1 cement : 2 sand : 4 aggregate 20mm) well vibrated, compacted, fixed  to correct level and finished smooth and cured by keeping surfaces well- covered and protected against excesses of any type, all complete at all heights and leads to the satisfaction. Complete as per instruction by the site engineer. </t>
  </si>
  <si>
    <t xml:space="preserve">P&amp;C of  50mm / 75mm thick screed in cement concrete mix of 1:2:4 (1 cement : 2 sand : 4 aggregate 20mm) well vibrated, compacted, fixed  to correct level and finished smooth and cured by keeping surfaces well- covered and protected against excesses of any type, all complete at all heights and leads to the satisfaction. Laying the same in proper line &amp; level on the seating area's floor to maintain the floor levelling &amp; to get the smooth surface to lay the finishing floor materials on the said surface. Complete as per architectural detail drawings &amp; instruction by the site engineer. </t>
  </si>
  <si>
    <t>Terrazzo Flooring</t>
  </si>
  <si>
    <t>10 mm thick Terrazzo Flooring</t>
  </si>
  <si>
    <t>Paneling</t>
  </si>
  <si>
    <t>View Cutter Paneling up to 2500 mm high above Deck Slab</t>
  </si>
  <si>
    <t>Req location, Drg No</t>
  </si>
  <si>
    <t>Ceiling detail was diff in Phase I</t>
  </si>
  <si>
    <t>Used HDHMR in Phase 1</t>
  </si>
  <si>
    <t>Used HDHMR &amp; Metalic PU paint in Phase 1</t>
  </si>
  <si>
    <t>Supply &amp; Installation of Led Lights to be clarify.In Ph 1 Nas Supplied &amp; Installed Led lights</t>
  </si>
  <si>
    <t>Used HDHMR  in Phase 1</t>
  </si>
  <si>
    <t>Req Drg</t>
  </si>
  <si>
    <t>Rate</t>
  </si>
  <si>
    <t>B</t>
  </si>
  <si>
    <t>NA</t>
  </si>
  <si>
    <t>R/O PER DAY</t>
  </si>
  <si>
    <r>
      <t xml:space="preserve">Req Making top round nosing with mirror finish polish to Exotic marble edge.
Exotic marble dado in </t>
    </r>
    <r>
      <rPr>
        <b/>
        <sz val="10"/>
        <rFont val="Calibri"/>
        <family val="2"/>
      </rPr>
      <t>book match pattern</t>
    </r>
    <r>
      <rPr>
        <sz val="10"/>
        <rFont val="Calibri"/>
        <family val="2"/>
      </rPr>
      <t xml:space="preserve">, Marble shall be installed with white cement paste All joints of Marble shall be filled with matching colour TIM-X or equivalent grout filler
</t>
    </r>
    <r>
      <rPr>
        <b/>
        <sz val="10"/>
        <rFont val="Calibri"/>
        <family val="2"/>
      </rPr>
      <t>Basic Rate @ Rs. 2000/- Per Sft</t>
    </r>
  </si>
  <si>
    <t>Req  10 mm Thk acrylic for support to marble, need to change the detail in Drg &amp; BOQ,
Marble edge to be round nosing with mirror polish. Basic rate of marble considered Rs. 1300/- per Sft</t>
  </si>
  <si>
    <t>CP-Seat</t>
  </si>
  <si>
    <t>Built in Sofa Seating</t>
  </si>
  <si>
    <t>Built In seating In Profile- for Dining Area ( Part of Phase-1 )</t>
  </si>
  <si>
    <t>Partition in Curved Profile</t>
  </si>
  <si>
    <t>50mm x 50 mm, MS Box framework at 600 mm c/c fixed to Floor slab with adequate anchor bolts and plates, 25 mm x 25mm, 4 mm thick MS angle to be used for assembling Partition framework, with proper welding , Framework to be fixed to Floor in perfect plum, line and level, Including anti rust paint, Frame to be covered with 12 mm thick plywood and 6+6 mm thick ply for Curved Profile , Ply to be covered with 4 mm thick veneer, 232 mm high x 38 mm thick Veneer finish Fins to be fixed on veneer surface with 50 mm gap,  including 50 mm high SS bronze satin finish Band in L &amp; C shape as per drawings, Veneer to be Finished in Approved Melamine Polish, including 18 mm thick 125 mm wide  Italian Marble top band to be fixed on the Ply with edge moulding and polishing. Provision to be made for fixing partition barcket light (Basic cost of veneer at Rs.125/sft) (Basic cost of Marble at Rs. 2000 /sft)</t>
  </si>
  <si>
    <t>up to 100 mm thk foam rubber seat pasted to 18 mm thk ply base , 25 mm thk., 32 density PU foam to cover rubber seat, PU foam to be covered with 6 mm thk. sheet before finishing seat in white cloth,Final  finished in approved fabric / leatherite (Basic cost of fabric at Rs.2500/rmt)</t>
  </si>
  <si>
    <t>Built-in seating- Back</t>
  </si>
  <si>
    <t>Back rest to be fixed to rear partition .Up to 25mm thk. Foam rubber pasted to back rest, in Fluted profile, 25 mm thk., 32 density PU foam to cover rubber sheet, PU foam to be covered with 6 mm thk sheet before finishing in white cloth,Final  finished in approved fabric / leatherite (Basic cost of fabric at Rs.2500/rmt)</t>
  </si>
  <si>
    <t>Fixed Seating Sofa  - Size - 9650 mm length x860 mm deep x 1200 mm height</t>
  </si>
  <si>
    <t>Fixed Seating Sofa  - Size -7200 mm length x860 mm deep x 1200 mm height</t>
  </si>
  <si>
    <t>CP-Fur</t>
  </si>
  <si>
    <t>Standy</t>
  </si>
  <si>
    <t>Standy Tall Table - In profile</t>
  </si>
  <si>
    <t>Size : 65 mm thick  1050mm length x 450 deep x1140 mm ht.</t>
  </si>
  <si>
    <t>Using 35mmx25mm Aluminium frame, 400x400 mm c/c both ways, Frame to be covered with 8 mm thick ply, Top  ply including 200 mm drop to be covered with 12 mm thick corian, Bottom ply to be covered with 1 mm thick laminate with balance vertical ply to be covered with 4 mm thick veneer with additional 12 mm ply backing to match the thickness, Provision to be made to pass conduit for electrical points, including boxing to receive pop up box and SS finish Foot rail, Veneer to be Finished in Approved Melamine Polish , including 50 mm wide 6 mm thick 304 grade SS Base in Satin Bronze finish (Basic cost veneer Rs.125/sft) (Basic cost of corian Rs.850/sft)</t>
  </si>
  <si>
    <t>1.1c</t>
  </si>
  <si>
    <t>18 mm thick Italian Marble flooring black and white tile form- for Dining</t>
  </si>
  <si>
    <r>
      <t xml:space="preserve">Marble tile size up to 600 mm x 600 mm- Flooring shall consist of Marble  as per drawing, At least  50 mm thk bedding mortar in 1:4 ratio, At least 18 mm  thk marble to be fixed in white cement only,  Marble shall be mirror polished, Marble to be cut as per size and laid with tight hairline joints, Joints to be filled Joint sealent, matching to marble in TIM-X or equivalent joint filler, </t>
    </r>
    <r>
      <rPr>
        <sz val="10"/>
        <color rgb="FFFF0000"/>
        <rFont val="Calibri"/>
        <family val="2"/>
      </rPr>
      <t>including Approved sealer to be applied on all sides,</t>
    </r>
    <r>
      <rPr>
        <sz val="10"/>
        <rFont val="Calibri"/>
        <family val="2"/>
      </rPr>
      <t xml:space="preserve"> with edge polish etc., complete, Including using plastic/Pvc  sheet and POP to protect on marble flooring  as  protection , Include removal and disposing of protection materials before handover, Basic cost of marble Rs 550/sft </t>
    </r>
  </si>
  <si>
    <t>Qty. of Items Tea Garden</t>
  </si>
  <si>
    <t>Terrazo Flooring</t>
  </si>
  <si>
    <t xml:space="preserve">Supply and application of 10mm thick Epoxy Resin Terrazzo flooring system (12 mm laid &amp; grinded to 10 mm) Flexural strength: ≥ 25MPa as per ASTM D790,Tensile strength: ≥ 14 MPa as per ASTM D638. The product must have elongation: ≥ 5%, when tested as per ASTM D638. Hardness of the floor must be ≥ 75, when tested as per Shore D hardness test. Co-efficient of linear thermal expansion of the product will be approximately 13.3x10-6. This product should have flammability of not more than 0.025inch/minute when tested as per ASTM D 635. IGBC certified product.Typical properties of the resin needs to be achieved in laboratory tests at 50% Relative Humidity. Fire Resistance BS476-7: Spread of Flame : Class 2Slip Resistance  :   TRRL  Pendulum Slip Test Dry    &gt; 40 low  slip potential.Temperature Resistance : Tolerant up to 60 C .Water Permeability : Nil – Karsten Test(Impermeable) Abrasion Resistance      :    Taber Abrader -  50 mg loss per  1000  cycles(1kg load using CS17 wheels). Compressive Strength : &gt; 55 N/mm2 (BS6319), Bond  Strength Greater than cohesive strength of 25 N / mm2 concrete.: &gt;1.5 MPa. Toxicity (when cured) : Taint Free to sensitive foodstuffs. Epoxy terrazzo layer to be applied over Epoxy high build primer  and needs to be properly finished, grinded and polished with suitable transparent abrasion resistant material. The complete system of Epoxy Resin Terrazzo flooring needs to be executed by an authorized applicator of the manufacturer and as per the approved method statement of the manufacturer. Providing and application of Divider/termination Trim of 2mm- 2.5mm thick L SS , Providing and application of Momex Joint , Providing and application of PU Sealant at terminations                                                                </t>
  </si>
  <si>
    <t>Tea  Bar counter in Curved  Profile</t>
  </si>
  <si>
    <t>Size : 9000mm length x 650 mm depth x 1100mm ht.</t>
  </si>
  <si>
    <r>
      <t xml:space="preserve">38 mm x 38 Aluminum Box framework made up thickness up to 100 mm wide, frame to be covered with 6+6 mm thick flexi </t>
    </r>
    <r>
      <rPr>
        <sz val="10"/>
        <color rgb="FFFF0000"/>
        <rFont val="Tahoma"/>
        <family val="2"/>
      </rPr>
      <t>Fire rated</t>
    </r>
    <r>
      <rPr>
        <sz val="10"/>
        <rFont val="Tahoma"/>
        <family val="2"/>
      </rPr>
      <t xml:space="preserve"> plywood  on both sides  for curved profile,  At least 12 mm thk Corean fixed to apron In Approved design pattern and in profile, Corean to be tightly placed together and shall have seamless joints on edges, Bartender side of Apron partition shall have  1.5 mm thk approved laminate below counter top, Including 200 mm high 16G 304 grade SS satin Bronze  finish Skirting . Including provision for Food Display unit (Basic cost of Corean  at Rs.800/sft)</t>
    </r>
  </si>
  <si>
    <r>
      <t xml:space="preserve">Size up to 600 mm wide Preparation counter structure constructed out of 18 mm thk </t>
    </r>
    <r>
      <rPr>
        <sz val="10"/>
        <color rgb="FFFF0000"/>
        <rFont val="Tahoma"/>
        <family val="2"/>
      </rPr>
      <t>Fire rated</t>
    </r>
    <r>
      <rPr>
        <sz val="10"/>
        <rFont val="Tahoma"/>
        <family val="2"/>
      </rPr>
      <t xml:space="preserve"> plywood In laminate finish, 18 mm thick Veneer finish Shutter Including matching wood beading on all exposed plywood edges, Venner &amp; Beading to be finish in approved Duco paint, 16 mm thk Terrazo counter tops with 50 mm thk top edge on all sides, (Basic cost of Terrazo  at Rs.750/sft)  (Basic cost Veneer at Rs.100/sft)</t>
    </r>
  </si>
  <si>
    <r>
      <t xml:space="preserve">Upto 350 mm wide Serving Counter top,75 mm facia Including provision for Led strip profile light, comprising of 38x38 mm Aluminium framework covered with </t>
    </r>
    <r>
      <rPr>
        <sz val="10"/>
        <color rgb="FFFF0000"/>
        <rFont val="Tahoma"/>
        <family val="2"/>
      </rPr>
      <t>Fire rated</t>
    </r>
    <r>
      <rPr>
        <sz val="10"/>
        <rFont val="Tahoma"/>
        <family val="2"/>
      </rPr>
      <t xml:space="preserve"> plywood , At least 16 mm thk approved Terrazo stone fixed to on counter Ply top, Bottom ply of serving top shall have 1.5 mm thk approved laminate on bottom side, Exclude electrical point wiring &amp; light source within counter top, (Basic cost of Terrazo  at Rs.750/sft) </t>
    </r>
  </si>
  <si>
    <t>Terrazo finish Bar Back unit</t>
  </si>
  <si>
    <t>Size : 6500mm length x 600mm depth x 900 mm ht.</t>
  </si>
  <si>
    <r>
      <t xml:space="preserve">Back unit structure constructed out of 18 mm thk </t>
    </r>
    <r>
      <rPr>
        <sz val="10"/>
        <color rgb="FFFF0000"/>
        <rFont val="Tahoma"/>
        <family val="2"/>
      </rPr>
      <t xml:space="preserve">Fire rated </t>
    </r>
    <r>
      <rPr>
        <sz val="10"/>
        <rFont val="Tahoma"/>
        <family val="2"/>
      </rPr>
      <t xml:space="preserve">plywood with vertical support in the center, Plywood to be covered with 18 mm thick Terrazo top  and back wall, with 50 mm thick Terrazo Facia, with mitre joints ,  Marble pieces to be tightly placed together and shall have mitre joints on edges, All joints to be filled with matching colour  joint filler, All edges of stone to be polished. including 18 mm thick duco paint finish Shutter  (Basic cost of Terrazo  at Rs.750/sft) </t>
    </r>
  </si>
  <si>
    <t>Low height Curved Partition ( 1500 mm high ) Attached to  Built in Seating</t>
  </si>
  <si>
    <r>
      <t xml:space="preserve">As per drawing, overall thichness up to 100 mm, using 50mm x 50 mm  MS box  framework, 6+6  mm thk Flexi </t>
    </r>
    <r>
      <rPr>
        <sz val="10"/>
        <color rgb="FFFF0000"/>
        <rFont val="Tahoma"/>
        <family val="2"/>
      </rPr>
      <t>Fire rated</t>
    </r>
    <r>
      <rPr>
        <sz val="10"/>
        <rFont val="Tahoma"/>
        <family val="2"/>
      </rPr>
      <t xml:space="preserve"> plywood fixed to framework from all side, Ply to be covered with 4 mm thick approved veneer finish with Approved waterbase PU polish from outer side ( corridor side ), and approved duco paint finish from in side ( tea lounge side ),  10 mm thick x 250 high Curved rib Glass to be fix in the partition including 6 mm thick 304 grade  SS bronze satin finish Top trim including 50 mm wide vertical support as shown in drawing, all veneer to be Finished in </t>
    </r>
    <r>
      <rPr>
        <sz val="10"/>
        <color rgb="FFFF0000"/>
        <rFont val="Tahoma"/>
        <family val="2"/>
      </rPr>
      <t>Approved waterbase PU polish</t>
    </r>
    <r>
      <rPr>
        <sz val="10"/>
        <rFont val="Tahoma"/>
        <family val="2"/>
      </rPr>
      <t>, including provision for pole light (Basic cost of veneer at Rs.150/sft)</t>
    </r>
  </si>
  <si>
    <t>Low height Curved Partition ( 1500 mm high ) with moulding panel behind counter</t>
  </si>
  <si>
    <r>
      <t xml:space="preserve">As per drawing, overall thichness up to 100 mm, using 50mm x 50 mm  MS box  framework, 6+6  mm thk Flexi </t>
    </r>
    <r>
      <rPr>
        <sz val="10"/>
        <color rgb="FFFF0000"/>
        <rFont val="Tahoma"/>
        <family val="2"/>
      </rPr>
      <t>Fire rated</t>
    </r>
    <r>
      <rPr>
        <sz val="10"/>
        <rFont val="Tahoma"/>
        <family val="2"/>
      </rPr>
      <t xml:space="preserve"> plywood fixed to framework from all side, Ply to be covered with 4 mm thick approved veneer finish with Approved waterbase PU polish from outer side ( corridor side ), and approved duco paint finish from in side including half round moulding panel ( tea lounge side ),  10 mm thick x 250 high Curved rib Glass to be fix in the partition including 6 mm thick 304 grade  SS bronze satin finish Top trim including 50 mm wide vertical support as shown in drawing, all veneer to be Finished in </t>
    </r>
    <r>
      <rPr>
        <sz val="10"/>
        <color rgb="FFFF0000"/>
        <rFont val="Tahoma"/>
        <family val="2"/>
      </rPr>
      <t>Approved waterbase PU polish</t>
    </r>
    <r>
      <rPr>
        <sz val="10"/>
        <rFont val="Tahoma"/>
        <family val="2"/>
      </rPr>
      <t>, including provision for pole light (Basic cost of veneer at Rs.150/sft)</t>
    </r>
  </si>
  <si>
    <t xml:space="preserve">Low height Curved Partition ( 600 mm high ) for Planter </t>
  </si>
  <si>
    <r>
      <t xml:space="preserve">As per drawing, overall thichness up to 100 mm, using 50mm x 50 mm  MS box  framework, 6+6  mm thk Flexi </t>
    </r>
    <r>
      <rPr>
        <sz val="10"/>
        <color rgb="FFFF0000"/>
        <rFont val="Tahoma"/>
        <family val="2"/>
      </rPr>
      <t>Fire rated</t>
    </r>
    <r>
      <rPr>
        <sz val="10"/>
        <rFont val="Tahoma"/>
        <family val="2"/>
      </rPr>
      <t xml:space="preserve"> plywood fixed to framework from all side, Ply to be covered with 4 mm thick approved veneer finish with Approved waterbase PU polish from outer side ( corridor side ), and approved Marble cladding from in side , including 6 mm thick 304 grade  SS bronze satin finish Top trim  as shown in drawing, all veneer to be Finished in </t>
    </r>
    <r>
      <rPr>
        <sz val="10"/>
        <color rgb="FFFF0000"/>
        <rFont val="Tahoma"/>
        <family val="2"/>
      </rPr>
      <t>Approved waterbase PU polish</t>
    </r>
    <r>
      <rPr>
        <sz val="10"/>
        <rFont val="Tahoma"/>
        <family val="2"/>
      </rPr>
      <t xml:space="preserve">,  (Basic cost of veneer at Rs.150/sft) (Basic cost of marble  at Rs.450/sft) </t>
    </r>
  </si>
  <si>
    <t>CW SEAT</t>
  </si>
  <si>
    <t xml:space="preserve">Built in Seating </t>
  </si>
  <si>
    <t>Carcus to be made out of  38mm x 38 mm  Aluminium framework and 18 mm thk plywood  , up to 100 mm thk foam rubber seat pasted to 18 mm thk ply base , 25 mm thk., 32 density PU foam to cover rubber seat, PU foam to be covered with 6 mm thk. sheet before finishing seat in white cloth, Final fabric / leather shall be nailed on bottom side of plywood base, Including reccesed SS Skirting ,(Basic cost of fabric at Rs.2500/rmt)</t>
  </si>
  <si>
    <t>Tea Garden Roof</t>
  </si>
  <si>
    <t>Tea Garden Tree with Roof in Oval Profile</t>
  </si>
  <si>
    <t>Size : 6300mm dia x 1800mm wide x 3600mm ht.</t>
  </si>
  <si>
    <t>Main Tree Base</t>
  </si>
  <si>
    <t xml:space="preserve">Using 50 mm x 50 MS Box framework , frame to be covered with  6+6 mm thick flexi HDF for curved profile,  ply to be covered with 50 mm wide x 150 mm deep Vertical fins in profile as shown in drawings, 50 mm wide horizontal band to be provide at every 500 mm as shown in drawing , All expose surface of Metal and HDF to be finish in Approve Duco paint, Including providion for Electrcial wire manger and light and light handing system  </t>
  </si>
  <si>
    <t xml:space="preserve">Roof </t>
  </si>
  <si>
    <t xml:space="preserve">Roof to be made Using 50 mm x 50 MS Box framework as per drawing, frame all side to be covered with  6 mm thick  HDF in profile,  use 10 mm thick rib glass roof  panel as shown in drawing  , All expose surface of Metal and HDF to be finish in Approve Duco paint,  </t>
  </si>
  <si>
    <t>Capical ring</t>
  </si>
  <si>
    <t>On existing roof frame Upto 300 mm high Roof top band to be made using 6mm thick HDF, HDF  to be coverd with Bronze finish SS as aproved by architect</t>
  </si>
  <si>
    <t>TOTAL AMOUNT I TO II</t>
  </si>
  <si>
    <t>BOQ OF WET WORK PHASE -2</t>
  </si>
  <si>
    <t xml:space="preserve">BIAL DOMESTIC LOUNGE </t>
  </si>
  <si>
    <t>SR.NO.</t>
  </si>
  <si>
    <t>SERVICE / MATERAL CODE</t>
  </si>
  <si>
    <t>WBS Level2</t>
  </si>
  <si>
    <t xml:space="preserve">SHORT ITEM DESCRIPTION </t>
  </si>
  <si>
    <t xml:space="preserve">LONG ITEM DESCRIPTION </t>
  </si>
  <si>
    <t>UNIT</t>
  </si>
  <si>
    <t>QTY</t>
  </si>
  <si>
    <t>BASIC RATE OF MATERIAL</t>
  </si>
  <si>
    <t>SUPPLY RATE</t>
  </si>
  <si>
    <t>FIXING RATE</t>
  </si>
  <si>
    <t>TOTAL RATE INCLUDING SUPPLY &amp; FIXING</t>
  </si>
  <si>
    <t>TOTAL AMOUNT</t>
  </si>
  <si>
    <t>CVL-PRT</t>
  </si>
  <si>
    <t>Masonary Works</t>
  </si>
  <si>
    <t>200 mm thick solid concrete block work</t>
  </si>
  <si>
    <t>SQM</t>
  </si>
  <si>
    <t>Walls to start from floor slab up to 4300 mm height</t>
  </si>
  <si>
    <t>Include 100 mm high RCC lintel at 1.5m, 3.0m  with 6nos x 8 mm MS twisted bars and 6 mm MS rod rings at 150 mm c/c. Concrete in 1:2:4 ratio, incl. shuttering. ( including door opening lintel )</t>
  </si>
  <si>
    <t xml:space="preserve">8 mm MS bar grade FE 500 </t>
  </si>
  <si>
    <r>
      <t xml:space="preserve">Only 43 or 53 grade </t>
    </r>
    <r>
      <rPr>
        <sz val="11"/>
        <color rgb="FFFF0000"/>
        <rFont val="Helvetica"/>
        <family val="2"/>
        <scheme val="minor"/>
      </rPr>
      <t>Cement/Adhesive</t>
    </r>
    <r>
      <rPr>
        <sz val="11"/>
        <rFont val="Helvetica"/>
        <family val="2"/>
        <scheme val="minor"/>
      </rPr>
      <t xml:space="preserve"> to be used</t>
    </r>
  </si>
  <si>
    <t>Cement mortar in 1 : 4 ratio, minimum 12mm thk</t>
  </si>
  <si>
    <t>Constructed In perfect plum, line and level</t>
  </si>
  <si>
    <t>Wall to be cured for atleast 3 days</t>
  </si>
  <si>
    <t>including scaffolding and staging etc. complete.</t>
  </si>
  <si>
    <t>25 mm gap between block wall and slab shall be filled with expandable foam</t>
  </si>
  <si>
    <t>B00B01-TFS-I_ID-DOM-0A-DWG-0001</t>
  </si>
  <si>
    <t>200 mm thick Aerocon block wall</t>
  </si>
  <si>
    <r>
      <t xml:space="preserve">Include 200 mm high </t>
    </r>
    <r>
      <rPr>
        <sz val="11"/>
        <color rgb="FFFF0000"/>
        <rFont val="Helvetica"/>
        <family val="2"/>
        <scheme val="minor"/>
      </rPr>
      <t>RCC Patli to be after every 5 layers</t>
    </r>
    <r>
      <rPr>
        <sz val="11"/>
        <rFont val="Helvetica"/>
        <family val="2"/>
        <scheme val="minor"/>
      </rPr>
      <t xml:space="preserve"> &amp; above doors with 6nos x 8 mm MS twisted bars and 6 mm MS rod rings at 150 mm c/c. Concrete in 1:2:4 ratio, incl. shuttering. ( including door opening lintel )</t>
    </r>
  </si>
  <si>
    <r>
      <t xml:space="preserve">Only 43 or 53 grade </t>
    </r>
    <r>
      <rPr>
        <sz val="11"/>
        <color rgb="FFFF0000"/>
        <rFont val="Helvetica"/>
        <family val="2"/>
        <scheme val="minor"/>
      </rPr>
      <t>cement/Adhesive</t>
    </r>
    <r>
      <rPr>
        <sz val="11"/>
        <rFont val="Helvetica"/>
        <family val="2"/>
        <scheme val="minor"/>
      </rPr>
      <t xml:space="preserve"> to be used</t>
    </r>
  </si>
  <si>
    <t>150 mm thick solid concrete block work</t>
  </si>
  <si>
    <t>Include 150 mm high RCC lintel at 1.8m, 3.6m &amp; above doors with 4nos x 8 mm MS twisted bars and 6 mm MS rod rings at 150 mm c/c. Concrete in 1:2:4 ratio, incl. shuttering. ( including door opening lintel )</t>
  </si>
  <si>
    <t>150 mm thick solid Aerocon block wall</t>
  </si>
  <si>
    <r>
      <t xml:space="preserve">Include 150 mm high RCC </t>
    </r>
    <r>
      <rPr>
        <sz val="11"/>
        <color rgb="FFFF0000"/>
        <rFont val="Helvetica"/>
        <family val="2"/>
        <scheme val="minor"/>
      </rPr>
      <t>Patli to be after every 5 layers</t>
    </r>
    <r>
      <rPr>
        <sz val="11"/>
        <rFont val="Helvetica"/>
        <family val="2"/>
        <scheme val="minor"/>
      </rPr>
      <t xml:space="preserve"> &amp; above doors with 4nos x 8 mm MS twisted bars and 6 mm MS rod rings at 100 mm c/c. Concrete in 1:2:4 ratio, incl. shuttering. ( including door opening lintel )</t>
    </r>
  </si>
  <si>
    <t>Building 100 mm thk. Aerocon block wall</t>
  </si>
  <si>
    <t>*</t>
  </si>
  <si>
    <r>
      <t xml:space="preserve">Include 100 mm high </t>
    </r>
    <r>
      <rPr>
        <sz val="11"/>
        <color rgb="FFFF0000"/>
        <rFont val="Helvetica"/>
        <family val="2"/>
        <scheme val="minor"/>
      </rPr>
      <t>RCC Patli to be after every 5 layers</t>
    </r>
    <r>
      <rPr>
        <sz val="11"/>
        <rFont val="Helvetica"/>
        <family val="2"/>
        <scheme val="minor"/>
      </rPr>
      <t xml:space="preserve"> &amp; above doors with 4nos x 8 mm MS twisted bars and 6 mm MS rod rings at 150 mm c/c. Concrete in 1:2:4 ratio, incl. shuttering. ( including door opening lintel )</t>
    </r>
  </si>
  <si>
    <r>
      <t xml:space="preserve">Only 43 or 53 grade </t>
    </r>
    <r>
      <rPr>
        <sz val="11"/>
        <color rgb="FFFF0000"/>
        <rFont val="Helvetica"/>
        <family val="2"/>
        <scheme val="minor"/>
      </rPr>
      <t xml:space="preserve">Cement/Adhesive </t>
    </r>
    <r>
      <rPr>
        <sz val="11"/>
        <rFont val="Helvetica"/>
        <family val="2"/>
        <scheme val="minor"/>
      </rPr>
      <t>to be used</t>
    </r>
  </si>
  <si>
    <t>CVL-RFL</t>
  </si>
  <si>
    <t>Raised Flooring</t>
  </si>
  <si>
    <t>Raised flooring in Brick bat Coba</t>
  </si>
  <si>
    <r>
      <t xml:space="preserve">Providing waterproofing treatment to Slab (India water proofing or alike) </t>
    </r>
    <r>
      <rPr>
        <sz val="11"/>
        <color rgb="FFFF0000"/>
        <rFont val="Helvetica"/>
        <family val="2"/>
        <scheme val="minor"/>
      </rPr>
      <t>Light weight block filling with cement mortar. Top to be finished with 60-70mm 1:2:4 screed</t>
    </r>
    <r>
      <rPr>
        <sz val="11"/>
        <rFont val="Helvetica"/>
        <family val="2"/>
        <scheme val="minor"/>
      </rPr>
      <t>, mixed with water proofing compound etc.</t>
    </r>
  </si>
  <si>
    <t>Floor surface to be cleaned of any dust particles</t>
  </si>
  <si>
    <t>Surface to be watered well before laying blocks</t>
  </si>
  <si>
    <t>Only 43 or 53 grade cement to be used</t>
  </si>
  <si>
    <t>Cement mortar in 1:4 ratio, minimum 12mm thk</t>
  </si>
  <si>
    <t>Blocks shall be laid with alternate joints</t>
  </si>
  <si>
    <t>Cured for atleast 3 days</t>
  </si>
  <si>
    <t>Slope to be maintined as per drawing</t>
  </si>
  <si>
    <t>150 mm thick</t>
  </si>
  <si>
    <t>250 mm thick</t>
  </si>
  <si>
    <t>300 mm thick</t>
  </si>
  <si>
    <t>CVL-RMP</t>
  </si>
  <si>
    <t>Ramp flooring</t>
  </si>
  <si>
    <t>Cement mortar in 1"4 ratio, minimum 12mm thk</t>
  </si>
  <si>
    <t xml:space="preserve">Ramp block shall start from slab level &amp; height shall increase gradually &amp; match raised flooring height </t>
  </si>
  <si>
    <t>0 to 150 mm thick</t>
  </si>
  <si>
    <t>0 to 250 mm thick</t>
  </si>
  <si>
    <t>CVL- PLR</t>
  </si>
  <si>
    <t>Applying cement plaster to NEW wall</t>
  </si>
  <si>
    <t xml:space="preserve">Wall surface to be free from any loose particles before plastering </t>
  </si>
  <si>
    <t>Surface to be watered well before plastering</t>
  </si>
  <si>
    <t>Only river sand to be used free of minerals / salts</t>
  </si>
  <si>
    <t>Sand shall be fine fibreed before using</t>
  </si>
  <si>
    <t>Cement mortar in 1 : 4 ratio, upto 20mm thk.</t>
  </si>
  <si>
    <t>Include  600 m wide PVC chicken mesh  on junctions of RCC and brick / siporex wall</t>
  </si>
  <si>
    <t>In perfect plum, line and level</t>
  </si>
  <si>
    <t>Smooth / lined surface as instructed</t>
  </si>
  <si>
    <t>Plaster to be cured for at least 3 days</t>
  </si>
  <si>
    <t>Applying cement plaster to EXISTING wall</t>
  </si>
  <si>
    <t>CVL-PCC</t>
  </si>
  <si>
    <t>PCC flooring</t>
  </si>
  <si>
    <t>PCC screed on slab ( grade M15 )</t>
  </si>
  <si>
    <t>Clean slab surface before laying mortar</t>
  </si>
  <si>
    <t>Aggregate of 0 and 1 no. size to be used</t>
  </si>
  <si>
    <t>Atleast average 75 mm thk  (min. 50 mm ) mortar in 1:2:4 ratio</t>
  </si>
  <si>
    <t>Coba shall not cover raceway junction box</t>
  </si>
  <si>
    <t>Coba to be cured for atleast 3 days</t>
  </si>
  <si>
    <t>CVL-WTF</t>
  </si>
  <si>
    <t>Water proofing</t>
  </si>
  <si>
    <t>Chemical waterproofing over  walls</t>
  </si>
  <si>
    <t>Providing and laying proprietary chemical water proofing system consisting of polymer modified acrylic base coating in two coats in form of slurry (total consumption of 1.5 Kg/Sqm) as approved by the PM and as directed by the approved manufacturer of waterproofing coating, with sandwiched fibre mesh and protective screed. The work shall include cleaning of surface, grouting porous surfaces including making ‘V’ grooves at junctions, cracks with non shrink crystalline base cementitious grout etc. Further including horizontal and vertical surfaces protected with 20mm screeding in 1:4 mortar (1 cement : 4 sand), finished in ready to receive Architectural finish, in correct line, level and plumb, curing, grouting, testing, etc. all complete to entire satisfaction of the PM, contractor to provide guarantee for 10 years Rs.100/- stamp paper in approved proforma. MAKE: WPM 002-AROEX ENDURA. CONTRCTING HAS TO FOLLOW THE DETAILED METHODOLOGY OF THE MANUFCATURERS INSTRUCTION. ONLY FOR WET AREA.</t>
  </si>
  <si>
    <t>Waterproofing to wrap up on the walls upto 900 mm height</t>
  </si>
  <si>
    <t>Vendor to submit brand specifications for approval</t>
  </si>
  <si>
    <t>Waterproofing shall be done within plumbing chases before installing pipes and after filling chases with cement plaster</t>
  </si>
  <si>
    <t>For Toilet and Kitchen</t>
  </si>
  <si>
    <t>Membrane waterproofing on floor &amp; walls in Kitchen &amp; toilets</t>
  </si>
  <si>
    <t>Upto 3mm thk. membrane sheet, manufactured by reputed brand</t>
  </si>
  <si>
    <t>Slab to be dust free before starting process</t>
  </si>
  <si>
    <t>1:4 ratio cement mortar with waterproofing compound</t>
  </si>
  <si>
    <t>Membrane to be installed by bonafide/approved installer</t>
  </si>
  <si>
    <t>Installation to be carried strictly as per manufacturer's specifications</t>
  </si>
  <si>
    <t>Waterproofing to wrap up on the wall, upto 900 mm ht</t>
  </si>
  <si>
    <t>Waterproofing shall be warranted for 10 years on Rs.100/- stamp paper</t>
  </si>
  <si>
    <t>Jointless ceramic tiles cladding ( for  Garbage station )</t>
  </si>
  <si>
    <r>
      <t xml:space="preserve">Cladding shall comprise of ceramic tile of 600 mm x 300 mm,Tiles to be fixed in ordinary Portland cement only, </t>
    </r>
    <r>
      <rPr>
        <sz val="11"/>
        <color rgb="FFFF0000"/>
        <rFont val="Helvetica"/>
        <family val="2"/>
        <scheme val="minor"/>
      </rPr>
      <t>Spacer required with Leticrete grout in joints</t>
    </r>
    <r>
      <rPr>
        <sz val="11"/>
        <rFont val="Helvetica"/>
        <family val="2"/>
        <scheme val="minor"/>
      </rPr>
      <t>. in plumb,including levelling coat if any , Joints to be filled with  matching groute.(Basic cost of ceramic tiles at Rs.60/sft) make: Johnson / Somany / Kajaria / Nitco</t>
    </r>
  </si>
  <si>
    <t>B00B01-TFS-I_ID-DOM2-0A-DWG-0004</t>
  </si>
  <si>
    <t>50mm x 50mm x 2mm thick SS 'L' Edge Guard Profile.</t>
  </si>
  <si>
    <r>
      <t xml:space="preserve">P&amp;F of 304 grade 3mm thick SS Corner guard </t>
    </r>
    <r>
      <rPr>
        <sz val="11"/>
        <color rgb="FFFF0000"/>
        <rFont val="Helvetica"/>
        <family val="2"/>
        <scheme val="minor"/>
      </rPr>
      <t>(50x50x2mmthick SS angles)</t>
    </r>
    <r>
      <rPr>
        <sz val="11"/>
        <rFont val="Helvetica"/>
        <family val="2"/>
        <scheme val="minor"/>
      </rPr>
      <t xml:space="preserve"> fixing with SS full thread screws on each corner of the kitchen's wall after cladding of tiles, so that the corner may be protected from the damages, including cleaning,  etc. Complete in proper line &amp; level as per site engineer's instruction. It is for the back kitchen area.</t>
    </r>
  </si>
  <si>
    <t>CEILING AND POP</t>
  </si>
  <si>
    <t>Fire line  Gypsum Board ceiling</t>
  </si>
  <si>
    <t>All G.I framework for ceiling to be used manufactured by "GYPSteel" only at 400 mm c/c &amp; suspenders, closer at 1200 mm c/c</t>
  </si>
  <si>
    <t>12.5 mm thk Gypsum board to be used manufactured by "India Gypsum Board" or "La Farge" only</t>
  </si>
  <si>
    <t>Gypsum Board sheets shall be fitted &amp; finished as per manufacturer's specification</t>
  </si>
  <si>
    <t>All joints to be fillled with jointing compound including fibre tape reinforcement</t>
  </si>
  <si>
    <t>Include finished cutouts for light fixtures, AC grills including necessary framework/ply support</t>
  </si>
  <si>
    <t>Include 3 mm thk gyp veneer coat on gypsum board (3 mm thk jointing compound filled like punning on wall)</t>
  </si>
  <si>
    <t>Include horizontal structural member to span below HVAC ducting for ceiling suspenders</t>
  </si>
  <si>
    <t>Exclude painting</t>
  </si>
  <si>
    <t>Only fire line Gypsum</t>
  </si>
  <si>
    <t>B00B01-TFS-I_ID-DOM-0A-DWG-0006</t>
  </si>
  <si>
    <t>Average 12 mm thk Universal plaster punning by Gyproc Stucco</t>
  </si>
  <si>
    <t>Tile bullmarks to be used for channel gliding tracks</t>
  </si>
  <si>
    <t>Bull marks to be removed before apply punning</t>
  </si>
  <si>
    <t>Surface to be in perfect plum, line and level</t>
  </si>
  <si>
    <t>Include pencil rounding to wall corners as instructed</t>
  </si>
  <si>
    <t>Smooth finished to receive finishing coating</t>
  </si>
  <si>
    <t>Exclude painting work</t>
  </si>
  <si>
    <t>False Ceiling</t>
  </si>
  <si>
    <t>False Ceiling-Metal</t>
  </si>
  <si>
    <t>Ivory Colour 600mm x 600mm metal sheet ceiling of Armstrong make</t>
  </si>
  <si>
    <t>P&amp;F of metalized grid ceiling with selected &amp; approved Armstrong or eqv. make metal sheet (suspended lay-in square Armstrong metal ceiling, standard plain square tiles of 600mm x 600mm in off white colour, exposed grid white Armstrong metal false ceiling, thickness: 0.5 mm, surface treatment in galvanized, off white color coated, features -water proof, corrosion resistant - basic cost INR. 1345.00 / SM) and section (as per approved sample) with grid section framework, frame work should be hanged from the existing slab as per manufacture's instruction, including scaffolding, all necessary hardware fittings etc., making provision for lighting, including opening for ventilation grills, duct, etc. as required on site. Complete as per architectural detail drawing &amp; site engineer's instruction. It is for kitchen area.</t>
  </si>
  <si>
    <r>
      <t xml:space="preserve">up to 200 mm high -Providing and fixing in position 304 grade </t>
    </r>
    <r>
      <rPr>
        <b/>
        <sz val="11"/>
        <rFont val="Helvetica"/>
        <family val="2"/>
        <scheme val="minor"/>
      </rPr>
      <t>S.S</t>
    </r>
    <r>
      <rPr>
        <sz val="11"/>
        <rFont val="Helvetica"/>
        <family val="2"/>
        <scheme val="minor"/>
      </rPr>
      <t xml:space="preserve"> Satin Bronze finish </t>
    </r>
    <r>
      <rPr>
        <b/>
        <sz val="11"/>
        <rFont val="Helvetica"/>
        <family val="2"/>
        <scheme val="minor"/>
      </rPr>
      <t xml:space="preserve">foot rail </t>
    </r>
    <r>
      <rPr>
        <sz val="11"/>
        <rFont val="Helvetica"/>
        <family val="2"/>
        <scheme val="minor"/>
      </rPr>
      <t>of 38mm diameter with horizontal &amp; vertical members, Grouting in concrete, etc. complete, as specified and as directed by Architect</t>
    </r>
  </si>
  <si>
    <t>TOTAL - II</t>
  </si>
  <si>
    <t xml:space="preserve">up to 18 mm wide, 4 mm thick 304 grade  Insert in Two Floorings ,  Fixed with epoxy adhesive </t>
  </si>
  <si>
    <t>Proividin and fixing using 36 x36 mm MS partition frame work  with cross bracing, Frame Anchor to Deck slab, Exoposed side of frame to be covered with 12 mm thick HDF base ,additional  6 mm HDF to be fixed on 12 mm thick base with 12 mm Groove pattern, Finish in apporoved Lustur paint</t>
  </si>
  <si>
    <t>50mm x 50 mm, MS Box framework at 600 mm c/c fixed to Floor slab with adequate anchor bolts and plates, 25 mm x 25mm, 4 mm thick MS angle to be used for assembling Partition framework, with proper welding , Framework to be fixed to Floor in perfect plum, line and level, Including anti rust paint, Frame to be covered with 6+6 mm thick ply for Curved Profile , Ply to be covered with 4 mm thick veneer, 232 mm high x 38 mm thick Veneer finish Fins to be fixed on veneer surface with 50 mm gap,  including 50 mm high SS bronze satin finish Band in L &amp; C shape as per drawings, Veneer to be Finished in Approved Melamine Polish, including 18 mm thick 125 mm wide  Italian Marble top band to be fixed on the Ply with edge moulding and polishing. Provision to be made for fixing partition bracket light (Basic cost of veneer at Rs.125/sft) (Basic cost of Marble at Rs. 550 /sft)</t>
  </si>
  <si>
    <t>10 mm thick Terrazzo Flooring in Pattern</t>
  </si>
  <si>
    <t xml:space="preserve">                                                             </t>
  </si>
  <si>
    <t>S. No.</t>
  </si>
  <si>
    <t>UOM</t>
  </si>
  <si>
    <t>Qty/day</t>
  </si>
  <si>
    <t>Qty/month</t>
  </si>
  <si>
    <t>Amount/ month</t>
  </si>
  <si>
    <t>Shifting of materials by trucks to forest belt.</t>
  </si>
  <si>
    <t>Nos.</t>
  </si>
  <si>
    <t xml:space="preserve">Shifting of heavy materials by crane from L0 to L3 garden area. </t>
  </si>
  <si>
    <t>Shiting of heavy material from L3 garden area to Domestic site. Manually via staircase. (marble slab and other equipments by special team)</t>
  </si>
  <si>
    <t>Extra manpower for loading/unloading of materials at various points.</t>
  </si>
  <si>
    <t xml:space="preserve">Extra supervisors </t>
  </si>
  <si>
    <t>Total</t>
  </si>
  <si>
    <t>Month</t>
  </si>
  <si>
    <t>Attendence/Day</t>
  </si>
  <si>
    <t>Wages per person per day</t>
  </si>
  <si>
    <t>Food per person</t>
  </si>
  <si>
    <t>Per day labour expenses</t>
  </si>
  <si>
    <t>Per month labour cost</t>
  </si>
  <si>
    <t>Labour/day</t>
  </si>
  <si>
    <t>1st Month</t>
  </si>
  <si>
    <t>2nd Month</t>
  </si>
  <si>
    <t>3rd month</t>
  </si>
  <si>
    <t>4th Month</t>
  </si>
  <si>
    <t>5th Month</t>
  </si>
  <si>
    <t>6th Month</t>
  </si>
  <si>
    <t>7th Month</t>
  </si>
  <si>
    <t>Trucks</t>
  </si>
  <si>
    <r>
      <t xml:space="preserve">TOTAL COST FOR 7 MONTH   - </t>
    </r>
    <r>
      <rPr>
        <b/>
        <sz val="10"/>
        <color rgb="FF000000"/>
        <rFont val="Verdana"/>
        <family val="2"/>
      </rPr>
      <t>A</t>
    </r>
  </si>
  <si>
    <t xml:space="preserve">Carting away debris Clearing existing scrap,debries from site and disposing as directed </t>
  </si>
  <si>
    <r>
      <t xml:space="preserve">B
</t>
    </r>
    <r>
      <rPr>
        <sz val="10"/>
        <color rgb="FF000000"/>
        <rFont val="Verdana"/>
        <family val="2"/>
      </rPr>
      <t xml:space="preserve">Carting away debris Clearing existing scrap,debries from site and disposing as directed </t>
    </r>
  </si>
  <si>
    <t>C</t>
  </si>
  <si>
    <t>Temporary Electrical works</t>
  </si>
  <si>
    <t>L.S.</t>
  </si>
  <si>
    <t>N/a</t>
  </si>
  <si>
    <t>Will be reimbursed on actuals</t>
  </si>
  <si>
    <t>TOTAL A- 1 TO 10 ( Net of Tax )</t>
  </si>
  <si>
    <t>NAS</t>
  </si>
  <si>
    <t>SHIFTING AND CLEARING OF DEBRIES LABOUR AND TRUCK</t>
  </si>
  <si>
    <t xml:space="preserve">LEAD,LIFT, SHIFTING OF MATERIAL </t>
  </si>
  <si>
    <t>LABOUR FOR SHIFTING, CLEARING OF DEBRIES  AND DEBRIES TRUCK CHARGES</t>
  </si>
  <si>
    <t xml:space="preserve">                            NAS QUOTATION R2 
                                 Dt:-20/07/2024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</si>
</sst>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 #,##0.00_ ;_ * \-#,##0.00_ ;_ * &quot;-&quot;??_ ;_ @_ "/>
    <numFmt numFmtId="164" formatCode="_(* #,##0.00_);_(* \(#,##0.00\);_(* &quot;-&quot;??_);_(@_)"/>
    <numFmt numFmtId="165" formatCode="0.0"/>
    <numFmt numFmtId="166" formatCode="_(* #,##0_);_(* \(#,##0\);_(* \-??_);_(@_)"/>
    <numFmt numFmtId="167" formatCode="_(* #,##0.00_);_(* \(#,##0.00\);_(* \-??_);_(@_)"/>
    <numFmt numFmtId="168" formatCode="_ * #,##0_ ;_ * \-#,##0_ ;_ * &quot;-&quot;??_ ;_ @_ "/>
    <numFmt numFmtId="169" formatCode="&quot; &quot;* #,##0.00&quot; &quot;;&quot; &quot;* \(#,##0.00\);&quot; &quot;* &quot;-&quot;??&quot; &quot;"/>
    <numFmt numFmtId="170" formatCode="_(* #,##0_);_(* \(#,##0\);_(* &quot;-&quot;??_);_(@_)"/>
  </numFmts>
  <fonts count="45">
    <font>
      <sz val="10"/>
      <color indexed="8"/>
      <name val="Verdana"/>
      <family val="2"/>
    </font>
    <font>
      <sz val="11"/>
      <color theme="1"/>
      <name val="Helvetica"/>
      <family val="2"/>
      <scheme val="minor"/>
    </font>
    <font>
      <sz val="11"/>
      <color theme="1"/>
      <name val="Helvetica"/>
      <family val="2"/>
      <scheme val="minor"/>
    </font>
    <font>
      <sz val="11"/>
      <color theme="1"/>
      <name val="Helvetica"/>
      <family val="2"/>
      <scheme val="minor"/>
    </font>
    <font>
      <sz val="11"/>
      <color theme="1"/>
      <name val="Helvetica"/>
      <family val="2"/>
      <scheme val="minor"/>
    </font>
    <font>
      <sz val="11"/>
      <color theme="1"/>
      <name val="Helvetica"/>
      <family val="2"/>
      <scheme val="minor"/>
    </font>
    <font>
      <sz val="11"/>
      <color theme="1"/>
      <name val="Helvetica"/>
      <family val="2"/>
      <scheme val="minor"/>
    </font>
    <font>
      <sz val="12"/>
      <color indexed="8"/>
      <name val="Verdana"/>
      <family val="2"/>
    </font>
    <font>
      <b/>
      <sz val="11"/>
      <name val="Calibri"/>
      <family val="2"/>
    </font>
    <font>
      <sz val="10"/>
      <name val="Calibri"/>
      <family val="2"/>
    </font>
    <font>
      <sz val="10"/>
      <name val="Arial"/>
      <family val="2"/>
    </font>
    <font>
      <b/>
      <sz val="10"/>
      <name val="Calibri"/>
      <family val="2"/>
    </font>
    <font>
      <sz val="11"/>
      <name val="Calibri"/>
      <family val="2"/>
    </font>
    <font>
      <b/>
      <sz val="12"/>
      <name val="Calibri"/>
      <family val="2"/>
    </font>
    <font>
      <sz val="11"/>
      <color rgb="FFFF0000"/>
      <name val="Calibri"/>
      <family val="2"/>
    </font>
    <font>
      <sz val="10"/>
      <color rgb="FFFF0000"/>
      <name val="Calibri"/>
      <family val="2"/>
    </font>
    <font>
      <sz val="10"/>
      <color indexed="8"/>
      <name val="Calibri"/>
      <family val="2"/>
    </font>
    <font>
      <b/>
      <sz val="11"/>
      <name val="Helvetica"/>
      <family val="2"/>
      <scheme val="minor"/>
    </font>
    <font>
      <sz val="11"/>
      <name val="Helvetica"/>
      <family val="2"/>
      <scheme val="minor"/>
    </font>
    <font>
      <sz val="10"/>
      <name val="Tahoma"/>
      <family val="2"/>
    </font>
    <font>
      <b/>
      <sz val="10"/>
      <name val="Tahoma"/>
      <family val="2"/>
    </font>
    <font>
      <sz val="10"/>
      <color rgb="FFFF0000"/>
      <name val="Tahoma"/>
      <family val="2"/>
    </font>
    <font>
      <b/>
      <sz val="11"/>
      <name val="Tahoma"/>
      <family val="2"/>
    </font>
    <font>
      <sz val="10"/>
      <color indexed="8"/>
      <name val="Tahoma"/>
      <family val="2"/>
    </font>
    <font>
      <b/>
      <sz val="10"/>
      <color indexed="8"/>
      <name val="Tahoma"/>
      <family val="2"/>
    </font>
    <font>
      <sz val="11"/>
      <color indexed="8"/>
      <name val="Calibri"/>
      <family val="2"/>
    </font>
    <font>
      <sz val="11"/>
      <color theme="1"/>
      <name val="Calibri"/>
      <family val="2"/>
    </font>
    <font>
      <b/>
      <sz val="11"/>
      <color theme="1"/>
      <name val="Calibri"/>
      <family val="2"/>
    </font>
    <font>
      <b/>
      <sz val="14"/>
      <color theme="1"/>
      <name val="Calibri"/>
      <family val="2"/>
    </font>
    <font>
      <sz val="10"/>
      <color theme="1"/>
      <name val="Calibri"/>
      <family val="2"/>
    </font>
    <font>
      <b/>
      <sz val="12"/>
      <color theme="1"/>
      <name val="Calibri"/>
      <family val="2"/>
    </font>
    <font>
      <sz val="12"/>
      <color theme="1"/>
      <name val="Calibri"/>
      <family val="2"/>
    </font>
    <font>
      <b/>
      <u/>
      <sz val="10"/>
      <color rgb="FFFF0000"/>
      <name val="Calibri"/>
      <family val="2"/>
    </font>
    <font>
      <sz val="11"/>
      <color rgb="FF000000"/>
      <name val="Calibri"/>
      <family val="2"/>
    </font>
    <font>
      <sz val="10"/>
      <name val="Times New Roman"/>
      <family val="1"/>
    </font>
    <font>
      <b/>
      <sz val="10"/>
      <color rgb="FF000000"/>
      <name val="Verdana"/>
      <family val="2"/>
    </font>
    <font>
      <b/>
      <sz val="10"/>
      <color indexed="8"/>
      <name val="Verdana"/>
      <family val="2"/>
    </font>
    <font>
      <sz val="11"/>
      <color rgb="FFFF0000"/>
      <name val="Helvetica"/>
      <family val="2"/>
      <scheme val="minor"/>
    </font>
    <font>
      <b/>
      <sz val="11"/>
      <color theme="1"/>
      <name val="Helvetica"/>
      <family val="2"/>
      <scheme val="minor"/>
    </font>
    <font>
      <sz val="10.35"/>
      <color rgb="FF000000"/>
      <name val="Helvetica"/>
      <charset val="134"/>
      <scheme val="minor"/>
    </font>
    <font>
      <b/>
      <sz val="11"/>
      <color indexed="8"/>
      <name val="Helvetica"/>
      <family val="2"/>
      <scheme val="minor"/>
    </font>
    <font>
      <sz val="11"/>
      <color indexed="8"/>
      <name val="Helvetica"/>
      <family val="2"/>
      <scheme val="minor"/>
    </font>
    <font>
      <sz val="8"/>
      <name val="Verdana"/>
      <family val="2"/>
    </font>
    <font>
      <sz val="10"/>
      <color rgb="FF000000"/>
      <name val="Verdana"/>
      <family val="2"/>
    </font>
    <font>
      <b/>
      <sz val="18"/>
      <color theme="1"/>
      <name val="Calibri"/>
      <family val="2"/>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0">
    <xf numFmtId="0" fontId="0" fillId="0" borderId="0" applyNumberFormat="0" applyFill="0" applyBorder="0" applyProtection="0">
      <alignment vertical="top" wrapText="1"/>
    </xf>
    <xf numFmtId="43" fontId="7" fillId="0" borderId="0" applyFont="0" applyFill="0" applyBorder="0" applyAlignment="0" applyProtection="0"/>
    <xf numFmtId="0" fontId="6" fillId="0" borderId="0"/>
    <xf numFmtId="0" fontId="10" fillId="0" borderId="0"/>
    <xf numFmtId="164" fontId="6" fillId="0" borderId="0" applyFont="0" applyFill="0" applyBorder="0" applyAlignment="0" applyProtection="0"/>
    <xf numFmtId="0" fontId="10" fillId="0" borderId="0"/>
    <xf numFmtId="0" fontId="10" fillId="0" borderId="0"/>
    <xf numFmtId="0" fontId="10" fillId="0" borderId="0"/>
    <xf numFmtId="167" fontId="10" fillId="0" borderId="0"/>
    <xf numFmtId="0" fontId="10" fillId="0" borderId="0"/>
    <xf numFmtId="0" fontId="5" fillId="0" borderId="0"/>
    <xf numFmtId="164" fontId="5" fillId="0" borderId="0" applyFont="0" applyFill="0" applyBorder="0" applyAlignment="0" applyProtection="0"/>
    <xf numFmtId="0" fontId="4" fillId="0" borderId="0"/>
    <xf numFmtId="0" fontId="10" fillId="0" borderId="0"/>
    <xf numFmtId="43" fontId="3" fillId="0" borderId="0" applyFont="0" applyFill="0" applyBorder="0" applyAlignment="0" applyProtection="0"/>
    <xf numFmtId="0" fontId="10" fillId="0" borderId="0"/>
    <xf numFmtId="0" fontId="34" fillId="0" borderId="0"/>
    <xf numFmtId="0" fontId="10" fillId="0" borderId="0" applyFont="0" applyFill="0" applyBorder="0" applyAlignment="0" applyProtection="0"/>
    <xf numFmtId="0" fontId="34" fillId="0" borderId="0"/>
    <xf numFmtId="164" fontId="10" fillId="0" borderId="0" applyFont="0" applyFill="0" applyBorder="0" applyAlignment="0" applyProtection="0"/>
    <xf numFmtId="0" fontId="33" fillId="0" borderId="0"/>
    <xf numFmtId="164" fontId="33" fillId="0" borderId="0" applyFont="0" applyFill="0" applyBorder="0" applyAlignment="0" applyProtection="0"/>
    <xf numFmtId="0" fontId="10" fillId="0" borderId="0"/>
    <xf numFmtId="0" fontId="10" fillId="0" borderId="0"/>
    <xf numFmtId="0" fontId="10" fillId="0" borderId="0"/>
    <xf numFmtId="0" fontId="2" fillId="0" borderId="0"/>
    <xf numFmtId="164" fontId="2" fillId="0" borderId="0" applyFont="0" applyFill="0" applyBorder="0" applyAlignment="0" applyProtection="0"/>
    <xf numFmtId="0" fontId="2" fillId="0" borderId="0"/>
    <xf numFmtId="0" fontId="10" fillId="0" borderId="0"/>
    <xf numFmtId="0" fontId="1" fillId="0" borderId="0"/>
  </cellStyleXfs>
  <cellXfs count="651">
    <xf numFmtId="0" fontId="0" fillId="0" borderId="0" xfId="0">
      <alignment vertical="top" wrapText="1"/>
    </xf>
    <xf numFmtId="0" fontId="9" fillId="0" borderId="1" xfId="3" applyFont="1" applyBorder="1" applyAlignment="1">
      <alignment horizontal="center" vertical="center"/>
    </xf>
    <xf numFmtId="166" fontId="9" fillId="0" borderId="1" xfId="11" applyNumberFormat="1" applyFont="1" applyFill="1" applyBorder="1" applyAlignment="1" applyProtection="1">
      <alignment horizontal="center" vertical="center"/>
    </xf>
    <xf numFmtId="166" fontId="9" fillId="0" borderId="1" xfId="11" applyNumberFormat="1" applyFont="1" applyFill="1" applyBorder="1" applyAlignment="1" applyProtection="1">
      <alignment horizontal="center" vertical="center" wrapText="1"/>
    </xf>
    <xf numFmtId="165" fontId="9" fillId="0" borderId="1" xfId="3" applyNumberFormat="1" applyFont="1" applyBorder="1" applyAlignment="1">
      <alignment horizontal="center" vertical="center" wrapText="1"/>
    </xf>
    <xf numFmtId="1" fontId="9" fillId="0" borderId="1" xfId="3" applyNumberFormat="1" applyFont="1" applyBorder="1" applyAlignment="1">
      <alignment horizontal="center" vertical="center"/>
    </xf>
    <xf numFmtId="0" fontId="9" fillId="0" borderId="0" xfId="3" applyFont="1" applyAlignment="1">
      <alignment horizontal="center" vertical="center"/>
    </xf>
    <xf numFmtId="0" fontId="11" fillId="0" borderId="0" xfId="3" applyFont="1" applyAlignment="1">
      <alignment horizontal="center" vertical="center" wrapText="1"/>
    </xf>
    <xf numFmtId="0" fontId="11" fillId="0" borderId="1" xfId="3" applyFont="1" applyBorder="1" applyAlignment="1">
      <alignment horizontal="center" vertical="center" wrapText="1"/>
    </xf>
    <xf numFmtId="0" fontId="9" fillId="0" borderId="0" xfId="3" applyFont="1" applyAlignment="1">
      <alignment horizontal="center" vertical="center" wrapText="1"/>
    </xf>
    <xf numFmtId="0" fontId="9" fillId="0" borderId="1" xfId="10" applyFont="1" applyBorder="1" applyAlignment="1">
      <alignment horizontal="center" vertical="center"/>
    </xf>
    <xf numFmtId="165" fontId="11" fillId="0" borderId="1" xfId="3" applyNumberFormat="1" applyFont="1" applyBorder="1" applyAlignment="1">
      <alignment horizontal="center" vertical="center" wrapText="1"/>
    </xf>
    <xf numFmtId="0" fontId="9" fillId="0" borderId="1" xfId="10" applyFont="1" applyBorder="1" applyAlignment="1">
      <alignment horizontal="left" vertical="center" wrapText="1"/>
    </xf>
    <xf numFmtId="0" fontId="9" fillId="0" borderId="1" xfId="3" applyFont="1" applyBorder="1" applyAlignment="1">
      <alignment vertical="center" wrapText="1"/>
    </xf>
    <xf numFmtId="0" fontId="9" fillId="0" borderId="1" xfId="6" applyFont="1" applyBorder="1" applyAlignment="1">
      <alignment horizontal="left" vertical="center" wrapText="1"/>
    </xf>
    <xf numFmtId="0" fontId="11" fillId="0" borderId="1" xfId="10" applyFont="1" applyBorder="1" applyAlignment="1">
      <alignment horizontal="left" vertical="center" wrapText="1"/>
    </xf>
    <xf numFmtId="0" fontId="11" fillId="0" borderId="1" xfId="3" applyFont="1" applyBorder="1" applyAlignment="1">
      <alignment horizontal="left" vertical="center" wrapText="1"/>
    </xf>
    <xf numFmtId="164" fontId="9" fillId="0" borderId="1" xfId="11" applyFont="1" applyFill="1" applyBorder="1" applyAlignment="1" applyProtection="1">
      <alignment horizontal="right" vertical="center" wrapText="1"/>
    </xf>
    <xf numFmtId="166" fontId="9" fillId="0" borderId="1" xfId="11" applyNumberFormat="1" applyFont="1" applyFill="1" applyBorder="1" applyAlignment="1" applyProtection="1">
      <alignment horizontal="right" vertical="center" wrapText="1"/>
    </xf>
    <xf numFmtId="0" fontId="9" fillId="0" borderId="1" xfId="3" applyFont="1" applyBorder="1" applyAlignment="1">
      <alignment horizontal="center" vertical="center" wrapText="1"/>
    </xf>
    <xf numFmtId="0" fontId="11" fillId="0" borderId="1" xfId="10" applyFont="1" applyBorder="1" applyAlignment="1">
      <alignment horizontal="center" vertical="center" wrapText="1"/>
    </xf>
    <xf numFmtId="0" fontId="9" fillId="0" borderId="1" xfId="10" applyFont="1" applyBorder="1" applyAlignment="1">
      <alignment horizontal="center" vertical="center" wrapText="1"/>
    </xf>
    <xf numFmtId="168" fontId="8" fillId="0" borderId="1" xfId="1" applyNumberFormat="1" applyFont="1" applyFill="1" applyBorder="1" applyAlignment="1">
      <alignment horizontal="center" vertical="center"/>
    </xf>
    <xf numFmtId="0" fontId="9" fillId="0" borderId="1" xfId="3" applyFont="1" applyBorder="1" applyAlignment="1">
      <alignment horizontal="left" vertical="center" wrapText="1"/>
    </xf>
    <xf numFmtId="0" fontId="9" fillId="0" borderId="0" xfId="3" applyFont="1" applyAlignment="1">
      <alignment horizontal="left" vertical="center" wrapText="1"/>
    </xf>
    <xf numFmtId="1" fontId="11" fillId="0" borderId="0" xfId="3" applyNumberFormat="1" applyFont="1" applyAlignment="1">
      <alignment horizontal="center" vertical="center"/>
    </xf>
    <xf numFmtId="0" fontId="11" fillId="0" borderId="1" xfId="5" applyFont="1" applyBorder="1" applyAlignment="1">
      <alignment horizontal="left" vertical="center" wrapText="1"/>
    </xf>
    <xf numFmtId="0" fontId="9" fillId="0" borderId="1" xfId="5" applyFont="1" applyBorder="1" applyAlignment="1">
      <alignment horizontal="left" vertical="center" wrapText="1"/>
    </xf>
    <xf numFmtId="1" fontId="9" fillId="0" borderId="1" xfId="3" applyNumberFormat="1" applyFont="1" applyBorder="1" applyAlignment="1">
      <alignment vertical="center" wrapText="1"/>
    </xf>
    <xf numFmtId="0" fontId="11" fillId="0" borderId="1" xfId="3" applyFont="1" applyBorder="1" applyAlignment="1">
      <alignment vertical="center" wrapText="1"/>
    </xf>
    <xf numFmtId="1" fontId="9" fillId="0" borderId="1" xfId="11" applyNumberFormat="1" applyFont="1" applyFill="1" applyBorder="1" applyAlignment="1" applyProtection="1">
      <alignment horizontal="center" vertical="center" wrapText="1"/>
    </xf>
    <xf numFmtId="1" fontId="12" fillId="0" borderId="4" xfId="0" applyNumberFormat="1" applyFont="1" applyFill="1" applyBorder="1" applyAlignment="1">
      <alignment horizontal="center" vertical="center" wrapText="1"/>
    </xf>
    <xf numFmtId="3" fontId="9" fillId="0" borderId="1" xfId="3" applyNumberFormat="1" applyFont="1" applyBorder="1" applyAlignment="1">
      <alignment horizontal="center" vertical="center" wrapText="1"/>
    </xf>
    <xf numFmtId="1" fontId="9" fillId="0" borderId="1" xfId="3" applyNumberFormat="1" applyFont="1" applyBorder="1" applyAlignment="1">
      <alignment horizontal="center" vertical="center" wrapText="1"/>
    </xf>
    <xf numFmtId="0" fontId="9" fillId="0" borderId="1" xfId="10" applyFont="1" applyBorder="1" applyAlignment="1">
      <alignment vertical="center" wrapText="1"/>
    </xf>
    <xf numFmtId="0" fontId="11" fillId="0" borderId="1" xfId="3" applyFont="1" applyBorder="1" applyAlignment="1">
      <alignment horizontal="justify" vertical="center" wrapText="1"/>
    </xf>
    <xf numFmtId="0" fontId="12" fillId="0" borderId="1" xfId="2" applyFont="1" applyBorder="1" applyAlignment="1">
      <alignment horizontal="center" vertical="center" wrapText="1"/>
    </xf>
    <xf numFmtId="0" fontId="9" fillId="0" borderId="0" xfId="3" applyFont="1" applyAlignment="1">
      <alignment vertical="center" wrapText="1"/>
    </xf>
    <xf numFmtId="1" fontId="11" fillId="0" borderId="0" xfId="3" applyNumberFormat="1" applyFont="1" applyAlignment="1">
      <alignment horizontal="center" vertical="center" wrapText="1"/>
    </xf>
    <xf numFmtId="165" fontId="11" fillId="0" borderId="5" xfId="3" applyNumberFormat="1" applyFont="1" applyBorder="1" applyAlignment="1">
      <alignment horizontal="center" vertical="center" wrapText="1"/>
    </xf>
    <xf numFmtId="0" fontId="11" fillId="0" borderId="6" xfId="10" applyFont="1" applyBorder="1" applyAlignment="1">
      <alignment horizontal="center" vertical="center" wrapText="1"/>
    </xf>
    <xf numFmtId="0" fontId="11" fillId="0" borderId="6" xfId="3" applyFont="1" applyBorder="1" applyAlignment="1">
      <alignment horizontal="center" vertical="center" wrapText="1"/>
    </xf>
    <xf numFmtId="1" fontId="11" fillId="0" borderId="6" xfId="10" applyNumberFormat="1" applyFont="1" applyBorder="1" applyAlignment="1">
      <alignment horizontal="center" vertical="center" wrapText="1"/>
    </xf>
    <xf numFmtId="0" fontId="11" fillId="0" borderId="7" xfId="10" applyFont="1" applyBorder="1" applyAlignment="1">
      <alignment horizontal="center" vertical="center" wrapText="1"/>
    </xf>
    <xf numFmtId="0" fontId="11" fillId="0" borderId="0" xfId="3" applyFont="1" applyAlignment="1">
      <alignment vertical="center" wrapText="1"/>
    </xf>
    <xf numFmtId="165" fontId="11" fillId="0" borderId="8" xfId="3" applyNumberFormat="1" applyFont="1" applyBorder="1" applyAlignment="1">
      <alignment horizontal="center" vertical="center" wrapText="1"/>
    </xf>
    <xf numFmtId="0" fontId="11" fillId="0" borderId="8" xfId="10" applyFont="1" applyBorder="1" applyAlignment="1">
      <alignment horizontal="center" vertical="center" wrapText="1"/>
    </xf>
    <xf numFmtId="0" fontId="11" fillId="0" borderId="8" xfId="3" applyFont="1" applyBorder="1" applyAlignment="1">
      <alignment horizontal="center" vertical="center" wrapText="1"/>
    </xf>
    <xf numFmtId="1" fontId="11" fillId="0" borderId="8" xfId="10" applyNumberFormat="1" applyFont="1" applyBorder="1" applyAlignment="1">
      <alignment horizontal="center" vertical="center" wrapText="1"/>
    </xf>
    <xf numFmtId="0" fontId="8" fillId="0" borderId="5" xfId="0" applyNumberFormat="1" applyFont="1" applyFill="1" applyBorder="1" applyAlignment="1">
      <alignment horizontal="center" vertical="center" wrapText="1"/>
    </xf>
    <xf numFmtId="0" fontId="8" fillId="0" borderId="6" xfId="0" applyNumberFormat="1" applyFont="1" applyFill="1" applyBorder="1" applyAlignment="1">
      <alignment horizontal="center" vertical="center" wrapText="1"/>
    </xf>
    <xf numFmtId="0" fontId="8" fillId="0" borderId="6" xfId="0" applyFont="1" applyBorder="1" applyAlignment="1">
      <alignment horizontal="center" vertical="center" wrapText="1"/>
    </xf>
    <xf numFmtId="43" fontId="12" fillId="0" borderId="6" xfId="1" applyFont="1" applyFill="1" applyBorder="1" applyAlignment="1">
      <alignment horizontal="center" vertical="center" wrapText="1"/>
    </xf>
    <xf numFmtId="1" fontId="12" fillId="0" borderId="6" xfId="0" applyNumberFormat="1" applyFont="1" applyFill="1" applyBorder="1" applyAlignment="1">
      <alignment horizontal="center" vertical="center" wrapText="1"/>
    </xf>
    <xf numFmtId="165" fontId="12" fillId="0" borderId="6" xfId="0" applyNumberFormat="1" applyFont="1" applyFill="1" applyBorder="1" applyAlignment="1">
      <alignment horizontal="center" vertical="center" wrapText="1"/>
    </xf>
    <xf numFmtId="0" fontId="12" fillId="0" borderId="6" xfId="10" applyFont="1" applyBorder="1" applyAlignment="1">
      <alignment horizontal="center" vertical="center" wrapText="1"/>
    </xf>
    <xf numFmtId="3" fontId="11" fillId="0" borderId="6" xfId="3" applyNumberFormat="1" applyFont="1" applyBorder="1" applyAlignment="1">
      <alignment horizontal="center" vertical="center" wrapText="1"/>
    </xf>
    <xf numFmtId="3" fontId="11" fillId="0" borderId="7" xfId="3" applyNumberFormat="1" applyFont="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4" xfId="0" applyFont="1" applyBorder="1" applyAlignment="1">
      <alignment horizontal="center" vertical="center" wrapText="1"/>
    </xf>
    <xf numFmtId="1" fontId="8" fillId="0" borderId="4" xfId="0" applyNumberFormat="1" applyFont="1" applyFill="1" applyBorder="1" applyAlignment="1">
      <alignment horizontal="center" vertical="center" wrapText="1"/>
    </xf>
    <xf numFmtId="0" fontId="8" fillId="0" borderId="4" xfId="10" applyFont="1" applyBorder="1" applyAlignment="1">
      <alignment horizontal="center" vertical="center" wrapText="1"/>
    </xf>
    <xf numFmtId="0" fontId="12" fillId="0" borderId="0" xfId="0" applyNumberFormat="1" applyFont="1" applyFill="1" applyBorder="1" applyAlignment="1">
      <alignment horizontal="center" vertical="center" wrapText="1"/>
    </xf>
    <xf numFmtId="0" fontId="11" fillId="0" borderId="4" xfId="10" applyFont="1" applyBorder="1" applyAlignment="1">
      <alignment horizontal="center" vertical="center" wrapText="1"/>
    </xf>
    <xf numFmtId="165" fontId="11" fillId="0" borderId="9" xfId="3" applyNumberFormat="1" applyFont="1" applyBorder="1" applyAlignment="1">
      <alignment horizontal="center" vertical="center" wrapText="1"/>
    </xf>
    <xf numFmtId="0" fontId="11" fillId="0" borderId="9" xfId="10" applyFont="1" applyBorder="1" applyAlignment="1">
      <alignment horizontal="center" vertical="center" wrapText="1"/>
    </xf>
    <xf numFmtId="0" fontId="11" fillId="0" borderId="9" xfId="3" applyFont="1" applyBorder="1" applyAlignment="1">
      <alignment horizontal="center" vertical="center" wrapText="1"/>
    </xf>
    <xf numFmtId="1" fontId="11" fillId="0" borderId="9" xfId="10" applyNumberFormat="1" applyFont="1" applyBorder="1" applyAlignment="1">
      <alignment horizontal="center" vertical="center" wrapText="1"/>
    </xf>
    <xf numFmtId="0" fontId="8" fillId="0" borderId="6" xfId="0" applyFont="1" applyFill="1" applyBorder="1" applyAlignment="1">
      <alignment horizontal="center" vertical="center" wrapText="1"/>
    </xf>
    <xf numFmtId="1" fontId="8" fillId="0" borderId="6" xfId="0" applyNumberFormat="1" applyFont="1" applyFill="1" applyBorder="1" applyAlignment="1">
      <alignment horizontal="center" vertical="center" wrapText="1"/>
    </xf>
    <xf numFmtId="0" fontId="8" fillId="0" borderId="6" xfId="10" applyFont="1" applyBorder="1" applyAlignment="1">
      <alignment horizontal="center" vertical="center" wrapText="1"/>
    </xf>
    <xf numFmtId="0" fontId="12" fillId="0" borderId="4" xfId="0" applyFont="1" applyFill="1" applyBorder="1" applyAlignment="1">
      <alignment horizontal="center" vertical="top" wrapText="1"/>
    </xf>
    <xf numFmtId="0" fontId="12" fillId="0" borderId="4" xfId="0" applyFont="1" applyFill="1" applyBorder="1" applyAlignment="1">
      <alignment horizontal="center" vertical="center" wrapText="1"/>
    </xf>
    <xf numFmtId="43" fontId="12" fillId="0" borderId="4" xfId="1" applyFont="1" applyFill="1" applyBorder="1" applyAlignment="1">
      <alignment horizontal="center" vertical="center" wrapText="1"/>
    </xf>
    <xf numFmtId="0" fontId="12" fillId="0" borderId="4" xfId="10" applyFont="1" applyBorder="1" applyAlignment="1">
      <alignment horizontal="center" vertical="center" wrapText="1"/>
    </xf>
    <xf numFmtId="3" fontId="11" fillId="0" borderId="4" xfId="3" applyNumberFormat="1" applyFont="1" applyBorder="1" applyAlignment="1">
      <alignment horizontal="center" vertical="center" wrapText="1"/>
    </xf>
    <xf numFmtId="0" fontId="8" fillId="0" borderId="1" xfId="0" applyNumberFormat="1" applyFont="1" applyFill="1" applyBorder="1" applyAlignment="1">
      <alignment horizontal="center" vertical="center" wrapText="1"/>
    </xf>
    <xf numFmtId="1" fontId="12" fillId="0" borderId="1" xfId="0" applyNumberFormat="1" applyFont="1" applyFill="1" applyBorder="1" applyAlignment="1">
      <alignment horizontal="center" vertical="center" wrapText="1"/>
    </xf>
    <xf numFmtId="0" fontId="12" fillId="0" borderId="1" xfId="10" applyFont="1" applyBorder="1" applyAlignment="1">
      <alignment horizontal="center" vertical="center" wrapText="1"/>
    </xf>
    <xf numFmtId="3" fontId="11" fillId="0" borderId="1" xfId="3" applyNumberFormat="1" applyFont="1" applyBorder="1" applyAlignment="1">
      <alignment horizontal="center" vertical="center" wrapText="1"/>
    </xf>
    <xf numFmtId="0" fontId="12" fillId="0" borderId="1" xfId="0" applyFont="1" applyFill="1" applyBorder="1" applyAlignment="1">
      <alignment horizontal="center" vertical="top" wrapText="1"/>
    </xf>
    <xf numFmtId="0" fontId="12" fillId="0" borderId="1" xfId="0" applyFont="1" applyFill="1" applyBorder="1" applyAlignment="1">
      <alignment horizontal="center" vertical="center" wrapText="1"/>
    </xf>
    <xf numFmtId="43" fontId="12" fillId="0" borderId="1" xfId="1" applyFont="1" applyFill="1" applyBorder="1" applyAlignment="1">
      <alignment horizontal="center" vertical="center" wrapText="1"/>
    </xf>
    <xf numFmtId="164" fontId="12" fillId="0" borderId="4" xfId="10" applyNumberFormat="1" applyFont="1" applyBorder="1" applyAlignment="1">
      <alignment horizontal="center" vertical="center" wrapText="1"/>
    </xf>
    <xf numFmtId="0" fontId="12" fillId="0" borderId="9" xfId="0" applyFont="1" applyFill="1" applyBorder="1" applyAlignment="1">
      <alignment horizontal="center" vertical="top" wrapText="1"/>
    </xf>
    <xf numFmtId="0" fontId="12" fillId="0" borderId="9" xfId="0" applyFont="1" applyFill="1" applyBorder="1" applyAlignment="1">
      <alignment horizontal="center" vertical="center" wrapText="1"/>
    </xf>
    <xf numFmtId="43" fontId="12" fillId="0" borderId="9" xfId="1" applyFont="1" applyFill="1" applyBorder="1" applyAlignment="1">
      <alignment horizontal="center" vertical="center" wrapText="1"/>
    </xf>
    <xf numFmtId="1" fontId="12" fillId="0" borderId="9" xfId="0" applyNumberFormat="1" applyFont="1" applyFill="1" applyBorder="1" applyAlignment="1">
      <alignment horizontal="center" vertical="center" wrapText="1"/>
    </xf>
    <xf numFmtId="0" fontId="12" fillId="0" borderId="9" xfId="10" applyFont="1" applyBorder="1" applyAlignment="1">
      <alignment horizontal="center" vertical="center" wrapText="1"/>
    </xf>
    <xf numFmtId="3" fontId="11" fillId="0" borderId="9" xfId="3" applyNumberFormat="1" applyFont="1" applyBorder="1" applyAlignment="1">
      <alignment horizontal="center" vertical="center" wrapText="1"/>
    </xf>
    <xf numFmtId="165" fontId="9" fillId="0" borderId="8" xfId="3" applyNumberFormat="1" applyFont="1" applyBorder="1" applyAlignment="1">
      <alignment horizontal="center" vertical="center" wrapText="1"/>
    </xf>
    <xf numFmtId="0" fontId="9" fillId="0" borderId="8" xfId="3" applyFont="1" applyBorder="1" applyAlignment="1">
      <alignment horizontal="center" vertical="center" wrapText="1"/>
    </xf>
    <xf numFmtId="1" fontId="11" fillId="0" borderId="8" xfId="11" applyNumberFormat="1" applyFont="1" applyFill="1" applyBorder="1" applyAlignment="1" applyProtection="1">
      <alignment horizontal="center" vertical="center" wrapText="1"/>
    </xf>
    <xf numFmtId="3" fontId="11" fillId="0" borderId="8" xfId="3" applyNumberFormat="1" applyFont="1" applyBorder="1" applyAlignment="1">
      <alignment horizontal="center" vertical="center" wrapText="1"/>
    </xf>
    <xf numFmtId="165" fontId="9" fillId="0" borderId="5" xfId="3" applyNumberFormat="1" applyFont="1" applyBorder="1" applyAlignment="1">
      <alignment horizontal="center" vertical="center" wrapText="1"/>
    </xf>
    <xf numFmtId="0" fontId="9" fillId="0" borderId="6" xfId="3" applyFont="1" applyBorder="1" applyAlignment="1">
      <alignment horizontal="center" vertical="center" wrapText="1"/>
    </xf>
    <xf numFmtId="0" fontId="11" fillId="0" borderId="6" xfId="3" applyFont="1" applyBorder="1" applyAlignment="1">
      <alignment horizontal="justify" vertical="center" wrapText="1"/>
    </xf>
    <xf numFmtId="1" fontId="9" fillId="0" borderId="6" xfId="11" applyNumberFormat="1" applyFont="1" applyFill="1" applyBorder="1" applyAlignment="1" applyProtection="1">
      <alignment horizontal="center" vertical="center" wrapText="1"/>
    </xf>
    <xf numFmtId="3" fontId="9" fillId="0" borderId="6" xfId="3" applyNumberFormat="1" applyFont="1" applyBorder="1" applyAlignment="1">
      <alignment horizontal="center" vertical="center" wrapText="1"/>
    </xf>
    <xf numFmtId="3" fontId="9" fillId="0" borderId="7" xfId="3" applyNumberFormat="1" applyFont="1" applyBorder="1" applyAlignment="1">
      <alignment horizontal="center" vertical="center" wrapText="1"/>
    </xf>
    <xf numFmtId="165" fontId="9" fillId="0" borderId="4" xfId="3" applyNumberFormat="1" applyFont="1" applyBorder="1" applyAlignment="1">
      <alignment horizontal="center" vertical="center" wrapText="1"/>
    </xf>
    <xf numFmtId="0" fontId="9" fillId="0" borderId="4" xfId="3" applyFont="1" applyBorder="1" applyAlignment="1">
      <alignment horizontal="center" vertical="center" wrapText="1"/>
    </xf>
    <xf numFmtId="0" fontId="11" fillId="0" borderId="4" xfId="3" applyFont="1" applyBorder="1" applyAlignment="1">
      <alignment horizontal="justify" vertical="center" wrapText="1"/>
    </xf>
    <xf numFmtId="1" fontId="9" fillId="0" borderId="4" xfId="11" applyNumberFormat="1" applyFont="1" applyFill="1" applyBorder="1" applyAlignment="1" applyProtection="1">
      <alignment horizontal="center" vertical="center" wrapText="1"/>
    </xf>
    <xf numFmtId="3" fontId="9" fillId="0" borderId="4" xfId="3" applyNumberFormat="1" applyFont="1" applyBorder="1" applyAlignment="1">
      <alignment horizontal="center" vertical="center" wrapText="1"/>
    </xf>
    <xf numFmtId="165" fontId="12" fillId="0" borderId="1" xfId="0" applyNumberFormat="1" applyFont="1" applyBorder="1" applyAlignment="1">
      <alignment horizontal="left" vertical="top"/>
    </xf>
    <xf numFmtId="0" fontId="8" fillId="0" borderId="1" xfId="0" applyFont="1" applyFill="1" applyBorder="1" applyAlignment="1">
      <alignment horizontal="left" vertical="top"/>
    </xf>
    <xf numFmtId="0" fontId="12" fillId="0" borderId="1" xfId="0" applyFont="1" applyFill="1" applyBorder="1" applyAlignment="1">
      <alignment horizontal="left" vertical="top"/>
    </xf>
    <xf numFmtId="0" fontId="8" fillId="0" borderId="1" xfId="0" applyFont="1" applyFill="1" applyBorder="1" applyAlignment="1">
      <alignment horizontal="center" vertical="top"/>
    </xf>
    <xf numFmtId="0" fontId="9" fillId="0" borderId="1" xfId="0" applyFont="1" applyFill="1" applyBorder="1" applyAlignment="1">
      <alignment horizontal="left" vertical="center" wrapText="1"/>
    </xf>
    <xf numFmtId="165" fontId="9" fillId="0" borderId="9" xfId="3" applyNumberFormat="1" applyFont="1" applyBorder="1" applyAlignment="1">
      <alignment horizontal="center" vertical="center" wrapText="1"/>
    </xf>
    <xf numFmtId="0" fontId="9" fillId="0" borderId="9" xfId="3" applyFont="1" applyBorder="1" applyAlignment="1">
      <alignment horizontal="center" vertical="center" wrapText="1"/>
    </xf>
    <xf numFmtId="0" fontId="9" fillId="0" borderId="9" xfId="3" applyFont="1" applyBorder="1" applyAlignment="1">
      <alignment vertical="center" wrapText="1"/>
    </xf>
    <xf numFmtId="1" fontId="9" fillId="0" borderId="9" xfId="11" applyNumberFormat="1" applyFont="1" applyFill="1" applyBorder="1" applyAlignment="1" applyProtection="1">
      <alignment horizontal="center" vertical="center" wrapText="1"/>
    </xf>
    <xf numFmtId="3" fontId="9" fillId="0" borderId="9" xfId="3" applyNumberFormat="1" applyFont="1" applyBorder="1" applyAlignment="1">
      <alignment horizontal="center" vertical="center" wrapText="1"/>
    </xf>
    <xf numFmtId="1" fontId="9" fillId="0" borderId="9" xfId="3" applyNumberFormat="1" applyFont="1" applyBorder="1" applyAlignment="1">
      <alignment horizontal="center" vertical="center" wrapText="1"/>
    </xf>
    <xf numFmtId="1" fontId="11" fillId="0" borderId="6" xfId="11" applyNumberFormat="1" applyFont="1" applyFill="1" applyBorder="1" applyAlignment="1" applyProtection="1">
      <alignment horizontal="center" vertical="center" wrapText="1"/>
    </xf>
    <xf numFmtId="1" fontId="11" fillId="0" borderId="6" xfId="3" applyNumberFormat="1" applyFont="1" applyBorder="1" applyAlignment="1">
      <alignment horizontal="center" vertical="center" wrapText="1"/>
    </xf>
    <xf numFmtId="1" fontId="11" fillId="0" borderId="7" xfId="3" applyNumberFormat="1" applyFont="1" applyBorder="1" applyAlignment="1">
      <alignment horizontal="center" vertical="center" wrapText="1"/>
    </xf>
    <xf numFmtId="1" fontId="9" fillId="0" borderId="8" xfId="3" applyNumberFormat="1" applyFont="1" applyBorder="1" applyAlignment="1">
      <alignment horizontal="center" vertical="center" wrapText="1"/>
    </xf>
    <xf numFmtId="1" fontId="9" fillId="0" borderId="6" xfId="3" applyNumberFormat="1" applyFont="1" applyBorder="1" applyAlignment="1">
      <alignment horizontal="center" vertical="center" wrapText="1"/>
    </xf>
    <xf numFmtId="1" fontId="9" fillId="0" borderId="7" xfId="3" applyNumberFormat="1" applyFont="1" applyBorder="1" applyAlignment="1">
      <alignment horizontal="center" vertical="center" wrapText="1"/>
    </xf>
    <xf numFmtId="1" fontId="9" fillId="0" borderId="4" xfId="3" applyNumberFormat="1" applyFont="1" applyBorder="1" applyAlignment="1">
      <alignment horizontal="center" vertical="center" wrapText="1"/>
    </xf>
    <xf numFmtId="0" fontId="8" fillId="0" borderId="1" xfId="3" applyFont="1" applyBorder="1" applyAlignment="1">
      <alignment horizontal="center" vertical="center" wrapText="1"/>
    </xf>
    <xf numFmtId="0" fontId="12" fillId="0" borderId="1" xfId="3" applyFont="1" applyBorder="1" applyAlignment="1">
      <alignment horizontal="center" vertical="center" wrapText="1"/>
    </xf>
    <xf numFmtId="1" fontId="12" fillId="0" borderId="1" xfId="3" applyNumberFormat="1" applyFont="1" applyBorder="1" applyAlignment="1">
      <alignment horizontal="center" vertical="center" wrapText="1"/>
    </xf>
    <xf numFmtId="0" fontId="11" fillId="0" borderId="6" xfId="3" applyFont="1" applyBorder="1" applyAlignment="1">
      <alignment horizontal="left" vertical="center" wrapText="1"/>
    </xf>
    <xf numFmtId="0" fontId="11" fillId="0" borderId="4" xfId="3" applyFont="1" applyBorder="1" applyAlignment="1">
      <alignment horizontal="left" vertical="center" wrapText="1"/>
    </xf>
    <xf numFmtId="0" fontId="11" fillId="0" borderId="1" xfId="5" applyFont="1" applyBorder="1" applyAlignment="1">
      <alignment horizontal="justify" vertical="center" wrapText="1"/>
    </xf>
    <xf numFmtId="0" fontId="9" fillId="0" borderId="1" xfId="5" applyFont="1" applyBorder="1" applyAlignment="1">
      <alignment horizontal="justify" vertical="center" wrapText="1"/>
    </xf>
    <xf numFmtId="2" fontId="9" fillId="0" borderId="1" xfId="3" applyNumberFormat="1" applyFont="1" applyBorder="1" applyAlignment="1">
      <alignment horizontal="center" vertical="center" wrapText="1"/>
    </xf>
    <xf numFmtId="0" fontId="9" fillId="0" borderId="1" xfId="3" applyFont="1" applyBorder="1" applyAlignment="1">
      <alignment horizontal="justify" vertical="center" wrapText="1"/>
    </xf>
    <xf numFmtId="1" fontId="9" fillId="0" borderId="1" xfId="10" applyNumberFormat="1" applyFont="1" applyBorder="1" applyAlignment="1">
      <alignment horizontal="center" vertical="center" wrapText="1"/>
    </xf>
    <xf numFmtId="2" fontId="9" fillId="0" borderId="9" xfId="3" applyNumberFormat="1" applyFont="1" applyBorder="1" applyAlignment="1">
      <alignment horizontal="center" vertical="center" wrapText="1"/>
    </xf>
    <xf numFmtId="1" fontId="9" fillId="0" borderId="9" xfId="10" applyNumberFormat="1" applyFont="1" applyBorder="1" applyAlignment="1">
      <alignment horizontal="center" vertical="center" wrapText="1"/>
    </xf>
    <xf numFmtId="2" fontId="11" fillId="0" borderId="5" xfId="3" applyNumberFormat="1" applyFont="1" applyBorder="1" applyAlignment="1">
      <alignment horizontal="center" vertical="center" wrapText="1"/>
    </xf>
    <xf numFmtId="2" fontId="11" fillId="0" borderId="1" xfId="3" applyNumberFormat="1" applyFont="1" applyBorder="1" applyAlignment="1">
      <alignment horizontal="center" vertical="center" wrapText="1"/>
    </xf>
    <xf numFmtId="1" fontId="11" fillId="0" borderId="1" xfId="3" applyNumberFormat="1" applyFont="1" applyBorder="1" applyAlignment="1">
      <alignment horizontal="center" vertical="center" wrapText="1"/>
    </xf>
    <xf numFmtId="164" fontId="12" fillId="0" borderId="1" xfId="4" applyFont="1" applyFill="1" applyBorder="1" applyAlignment="1" applyProtection="1">
      <alignment horizontal="center" vertical="center" wrapText="1"/>
    </xf>
    <xf numFmtId="0" fontId="8" fillId="0" borderId="1" xfId="2" applyFont="1" applyBorder="1" applyAlignment="1">
      <alignment horizontal="center" vertical="center" wrapText="1"/>
    </xf>
    <xf numFmtId="166" fontId="12" fillId="0" borderId="1" xfId="4" applyNumberFormat="1" applyFont="1" applyFill="1" applyBorder="1" applyAlignment="1" applyProtection="1">
      <alignment horizontal="center" vertical="center" wrapText="1"/>
    </xf>
    <xf numFmtId="166" fontId="12" fillId="0" borderId="9" xfId="4" applyNumberFormat="1" applyFont="1" applyFill="1" applyBorder="1" applyAlignment="1" applyProtection="1">
      <alignment horizontal="center" vertical="center" wrapText="1"/>
    </xf>
    <xf numFmtId="0" fontId="9" fillId="0" borderId="5" xfId="3" applyFont="1" applyBorder="1" applyAlignment="1">
      <alignment vertical="center" wrapText="1"/>
    </xf>
    <xf numFmtId="0" fontId="9" fillId="0" borderId="6" xfId="3" applyFont="1" applyBorder="1" applyAlignment="1">
      <alignment vertical="center" wrapText="1"/>
    </xf>
    <xf numFmtId="1" fontId="9" fillId="0" borderId="6" xfId="3" applyNumberFormat="1" applyFont="1" applyBorder="1" applyAlignment="1">
      <alignment vertical="center" wrapText="1"/>
    </xf>
    <xf numFmtId="3" fontId="11" fillId="0" borderId="6" xfId="3" applyNumberFormat="1" applyFont="1" applyBorder="1" applyAlignment="1">
      <alignment vertical="center" wrapText="1"/>
    </xf>
    <xf numFmtId="0" fontId="9" fillId="0" borderId="7" xfId="3" applyFont="1" applyBorder="1" applyAlignment="1">
      <alignment vertical="center" wrapText="1"/>
    </xf>
    <xf numFmtId="1" fontId="9" fillId="0" borderId="0" xfId="3" applyNumberFormat="1" applyFont="1" applyAlignment="1">
      <alignment vertical="center" wrapText="1"/>
    </xf>
    <xf numFmtId="1" fontId="9" fillId="0" borderId="0" xfId="3" applyNumberFormat="1" applyFont="1" applyAlignment="1">
      <alignment horizontal="center" vertical="center" wrapText="1"/>
    </xf>
    <xf numFmtId="1" fontId="11" fillId="0" borderId="9" xfId="3" applyNumberFormat="1" applyFont="1" applyBorder="1" applyAlignment="1">
      <alignment horizontal="center" vertical="center" wrapText="1"/>
    </xf>
    <xf numFmtId="1" fontId="11" fillId="0" borderId="7" xfId="10" applyNumberFormat="1" applyFont="1" applyBorder="1" applyAlignment="1">
      <alignment horizontal="center" vertical="center" wrapText="1"/>
    </xf>
    <xf numFmtId="164" fontId="11" fillId="0" borderId="8" xfId="11" applyFont="1" applyFill="1" applyBorder="1" applyAlignment="1" applyProtection="1">
      <alignment horizontal="center" vertical="center" wrapText="1"/>
    </xf>
    <xf numFmtId="164" fontId="11" fillId="0" borderId="6" xfId="11" applyFont="1" applyFill="1" applyBorder="1" applyAlignment="1" applyProtection="1">
      <alignment horizontal="center" vertical="center" wrapText="1"/>
    </xf>
    <xf numFmtId="0" fontId="11" fillId="0" borderId="4" xfId="3" applyFont="1" applyBorder="1" applyAlignment="1">
      <alignment horizontal="center" vertical="center" wrapText="1"/>
    </xf>
    <xf numFmtId="164" fontId="9" fillId="0" borderId="4" xfId="11" applyFont="1" applyFill="1" applyBorder="1" applyAlignment="1" applyProtection="1">
      <alignment horizontal="center" vertical="center" wrapText="1"/>
    </xf>
    <xf numFmtId="165" fontId="9" fillId="0" borderId="1" xfId="10" applyNumberFormat="1" applyFont="1" applyBorder="1" applyAlignment="1">
      <alignment horizontal="center" vertical="center" wrapText="1"/>
    </xf>
    <xf numFmtId="165" fontId="11" fillId="0" borderId="1" xfId="10" applyNumberFormat="1" applyFont="1" applyBorder="1" applyAlignment="1">
      <alignment horizontal="center" vertical="center" wrapText="1"/>
    </xf>
    <xf numFmtId="0" fontId="11" fillId="0" borderId="1" xfId="10" applyFont="1" applyBorder="1" applyAlignment="1">
      <alignment horizontal="center" vertical="center"/>
    </xf>
    <xf numFmtId="0" fontId="16" fillId="0" borderId="1" xfId="0" applyNumberFormat="1" applyFont="1" applyFill="1" applyBorder="1" applyAlignment="1">
      <alignment horizontal="center" vertical="center" wrapText="1"/>
    </xf>
    <xf numFmtId="1" fontId="16" fillId="0" borderId="1" xfId="0" applyNumberFormat="1" applyFont="1" applyFill="1" applyBorder="1" applyAlignment="1">
      <alignment horizontal="center" vertical="center" wrapText="1"/>
    </xf>
    <xf numFmtId="0" fontId="9" fillId="0" borderId="1" xfId="6" applyFont="1" applyBorder="1" applyAlignment="1">
      <alignment horizontal="center" vertical="center" wrapText="1"/>
    </xf>
    <xf numFmtId="0" fontId="11" fillId="0" borderId="1" xfId="5" applyFont="1" applyBorder="1" applyAlignment="1">
      <alignment horizontal="center" vertical="center" wrapText="1"/>
    </xf>
    <xf numFmtId="166" fontId="9" fillId="0" borderId="1" xfId="8" applyNumberFormat="1" applyFont="1" applyBorder="1" applyAlignment="1">
      <alignment horizontal="center" vertical="center" wrapText="1"/>
    </xf>
    <xf numFmtId="0" fontId="9" fillId="0" borderId="1" xfId="5" applyFont="1" applyBorder="1" applyAlignment="1">
      <alignment horizontal="center" vertical="center" wrapText="1"/>
    </xf>
    <xf numFmtId="0" fontId="9" fillId="0" borderId="9" xfId="10" applyFont="1" applyBorder="1" applyAlignment="1">
      <alignment horizontal="center" vertical="center" wrapText="1"/>
    </xf>
    <xf numFmtId="166" fontId="9" fillId="0" borderId="9" xfId="11" applyNumberFormat="1" applyFont="1" applyFill="1" applyBorder="1" applyAlignment="1" applyProtection="1">
      <alignment horizontal="center" vertical="center" wrapText="1"/>
    </xf>
    <xf numFmtId="166" fontId="9" fillId="0" borderId="6" xfId="11" applyNumberFormat="1" applyFont="1" applyFill="1" applyBorder="1" applyAlignment="1" applyProtection="1">
      <alignment horizontal="center" vertical="center" wrapText="1"/>
    </xf>
    <xf numFmtId="165" fontId="8" fillId="0" borderId="5" xfId="3" applyNumberFormat="1" applyFont="1" applyBorder="1" applyAlignment="1">
      <alignment horizontal="center" vertical="center" wrapText="1"/>
    </xf>
    <xf numFmtId="1" fontId="8" fillId="0" borderId="6" xfId="3" applyNumberFormat="1" applyFont="1" applyBorder="1" applyAlignment="1">
      <alignment horizontal="center" vertical="center" wrapText="1"/>
    </xf>
    <xf numFmtId="0" fontId="8" fillId="0" borderId="6" xfId="3" applyFont="1" applyBorder="1" applyAlignment="1">
      <alignment horizontal="center" vertical="center" wrapText="1"/>
    </xf>
    <xf numFmtId="166" fontId="8" fillId="0" borderId="6" xfId="4" applyNumberFormat="1" applyFont="1" applyFill="1" applyBorder="1" applyAlignment="1" applyProtection="1">
      <alignment horizontal="center" vertical="center" wrapText="1"/>
    </xf>
    <xf numFmtId="0" fontId="12" fillId="0" borderId="7" xfId="3" applyFont="1" applyBorder="1" applyAlignment="1">
      <alignment horizontal="center" vertical="center" wrapText="1"/>
    </xf>
    <xf numFmtId="165" fontId="12" fillId="0" borderId="4" xfId="3" applyNumberFormat="1" applyFont="1" applyBorder="1" applyAlignment="1">
      <alignment horizontal="center" vertical="center" wrapText="1"/>
    </xf>
    <xf numFmtId="1" fontId="12" fillId="0" borderId="4" xfId="3" applyNumberFormat="1" applyFont="1" applyBorder="1" applyAlignment="1">
      <alignment horizontal="center" vertical="center" wrapText="1"/>
    </xf>
    <xf numFmtId="0" fontId="8" fillId="0" borderId="4" xfId="3" applyFont="1" applyBorder="1" applyAlignment="1">
      <alignment horizontal="center" vertical="center" wrapText="1"/>
    </xf>
    <xf numFmtId="0" fontId="12" fillId="0" borderId="4" xfId="3" applyFont="1" applyBorder="1" applyAlignment="1">
      <alignment horizontal="center" vertical="center" wrapText="1"/>
    </xf>
    <xf numFmtId="166" fontId="12" fillId="0" borderId="4" xfId="4" applyNumberFormat="1" applyFont="1" applyFill="1" applyBorder="1" applyAlignment="1" applyProtection="1">
      <alignment horizontal="center" vertical="center" wrapText="1"/>
    </xf>
    <xf numFmtId="165" fontId="12" fillId="0" borderId="1" xfId="3" applyNumberFormat="1" applyFont="1" applyBorder="1" applyAlignment="1">
      <alignment horizontal="center" vertical="center" wrapText="1"/>
    </xf>
    <xf numFmtId="0" fontId="9" fillId="0" borderId="1" xfId="2" applyFont="1" applyBorder="1" applyAlignment="1">
      <alignment horizontal="center" vertical="center" wrapText="1"/>
    </xf>
    <xf numFmtId="165" fontId="12" fillId="0" borderId="10" xfId="3" applyNumberFormat="1" applyFont="1" applyBorder="1" applyAlignment="1">
      <alignment horizontal="center" vertical="center" wrapText="1"/>
    </xf>
    <xf numFmtId="1" fontId="12" fillId="0" borderId="8" xfId="3" applyNumberFormat="1" applyFont="1" applyBorder="1" applyAlignment="1">
      <alignment horizontal="center" vertical="center" wrapText="1"/>
    </xf>
    <xf numFmtId="0" fontId="12" fillId="0" borderId="8" xfId="3" applyFont="1" applyBorder="1" applyAlignment="1">
      <alignment horizontal="center" vertical="center" wrapText="1"/>
    </xf>
    <xf numFmtId="0" fontId="12" fillId="0" borderId="8" xfId="2" applyFont="1" applyBorder="1" applyAlignment="1">
      <alignment horizontal="center" vertical="center" wrapText="1"/>
    </xf>
    <xf numFmtId="166" fontId="12" fillId="0" borderId="8" xfId="4" applyNumberFormat="1" applyFont="1" applyFill="1" applyBorder="1" applyAlignment="1" applyProtection="1">
      <alignment horizontal="center" vertical="center" wrapText="1"/>
    </xf>
    <xf numFmtId="0" fontId="12" fillId="0" borderId="11" xfId="3" applyFont="1" applyBorder="1" applyAlignment="1">
      <alignment horizontal="center" vertical="center" wrapText="1"/>
    </xf>
    <xf numFmtId="165" fontId="12" fillId="0" borderId="9" xfId="3" applyNumberFormat="1" applyFont="1" applyBorder="1" applyAlignment="1">
      <alignment horizontal="center" vertical="center" wrapText="1"/>
    </xf>
    <xf numFmtId="1" fontId="12" fillId="0" borderId="9" xfId="3" applyNumberFormat="1" applyFont="1" applyBorder="1" applyAlignment="1">
      <alignment horizontal="center" vertical="center" wrapText="1"/>
    </xf>
    <xf numFmtId="0" fontId="12" fillId="0" borderId="9" xfId="3" applyFont="1" applyBorder="1" applyAlignment="1">
      <alignment horizontal="center" vertical="center" wrapText="1"/>
    </xf>
    <xf numFmtId="0" fontId="12" fillId="0" borderId="9" xfId="2" applyFont="1" applyBorder="1" applyAlignment="1">
      <alignment horizontal="center" vertical="center" wrapText="1"/>
    </xf>
    <xf numFmtId="165" fontId="11" fillId="0" borderId="4" xfId="3" applyNumberFormat="1" applyFont="1" applyBorder="1" applyAlignment="1">
      <alignment horizontal="center" vertical="center" wrapText="1"/>
    </xf>
    <xf numFmtId="1" fontId="11" fillId="0" borderId="4" xfId="3" applyNumberFormat="1" applyFont="1" applyBorder="1" applyAlignment="1">
      <alignment horizontal="center" vertical="center" wrapText="1"/>
    </xf>
    <xf numFmtId="166" fontId="11" fillId="0" borderId="4" xfId="11" applyNumberFormat="1" applyFont="1" applyFill="1" applyBorder="1" applyAlignment="1" applyProtection="1">
      <alignment horizontal="center" vertical="center" wrapText="1"/>
    </xf>
    <xf numFmtId="0" fontId="17" fillId="0" borderId="1" xfId="2" applyFont="1" applyBorder="1" applyAlignment="1">
      <alignment horizontal="center" vertical="center" wrapText="1"/>
    </xf>
    <xf numFmtId="0" fontId="18" fillId="0" borderId="1" xfId="2" applyFont="1" applyBorder="1" applyAlignment="1">
      <alignment horizontal="center" vertical="center" wrapText="1"/>
    </xf>
    <xf numFmtId="166" fontId="11" fillId="0" borderId="1" xfId="11" applyNumberFormat="1" applyFont="1" applyFill="1" applyBorder="1" applyAlignment="1" applyProtection="1">
      <alignment horizontal="center" vertical="center" wrapText="1"/>
    </xf>
    <xf numFmtId="1" fontId="15" fillId="0" borderId="1" xfId="3" applyNumberFormat="1" applyFont="1" applyBorder="1" applyAlignment="1">
      <alignment horizontal="center" vertical="center" wrapText="1"/>
    </xf>
    <xf numFmtId="0" fontId="9" fillId="0" borderId="1" xfId="9" applyFont="1" applyBorder="1" applyAlignment="1">
      <alignment horizontal="center" vertical="center" wrapText="1"/>
    </xf>
    <xf numFmtId="0" fontId="9" fillId="0" borderId="1" xfId="7" applyFont="1" applyBorder="1" applyAlignment="1">
      <alignment horizontal="center" vertical="center" wrapText="1"/>
    </xf>
    <xf numFmtId="1" fontId="9" fillId="0" borderId="9" xfId="3" applyNumberFormat="1" applyFont="1" applyBorder="1" applyAlignment="1">
      <alignment vertical="center" wrapText="1"/>
    </xf>
    <xf numFmtId="2" fontId="8" fillId="0" borderId="5" xfId="3" applyNumberFormat="1" applyFont="1" applyBorder="1" applyAlignment="1">
      <alignment horizontal="center" vertical="center" wrapText="1"/>
    </xf>
    <xf numFmtId="164" fontId="8" fillId="0" borderId="6" xfId="4" applyFont="1" applyFill="1" applyBorder="1" applyAlignment="1" applyProtection="1">
      <alignment horizontal="center" vertical="center" wrapText="1"/>
    </xf>
    <xf numFmtId="2" fontId="12" fillId="0" borderId="4" xfId="3" applyNumberFormat="1" applyFont="1" applyBorder="1" applyAlignment="1">
      <alignment horizontal="center" vertical="center" wrapText="1"/>
    </xf>
    <xf numFmtId="164" fontId="12" fillId="0" borderId="4" xfId="4" applyFont="1" applyFill="1" applyBorder="1" applyAlignment="1" applyProtection="1">
      <alignment horizontal="center" vertical="center" wrapText="1"/>
    </xf>
    <xf numFmtId="0" fontId="19" fillId="0" borderId="1" xfId="10" applyFont="1" applyBorder="1" applyAlignment="1">
      <alignment horizontal="left" vertical="center" wrapText="1"/>
    </xf>
    <xf numFmtId="0" fontId="18" fillId="0" borderId="1" xfId="0" applyFont="1" applyFill="1" applyBorder="1" applyAlignment="1">
      <alignment horizontal="left" vertical="top" wrapText="1"/>
    </xf>
    <xf numFmtId="0" fontId="19" fillId="0" borderId="1" xfId="3" applyFont="1" applyBorder="1" applyAlignment="1">
      <alignment horizontal="center" vertical="center" wrapText="1"/>
    </xf>
    <xf numFmtId="0" fontId="19" fillId="0" borderId="1" xfId="10" applyFont="1" applyBorder="1" applyAlignment="1">
      <alignment horizontal="center" vertical="center" wrapText="1"/>
    </xf>
    <xf numFmtId="0" fontId="20" fillId="0" borderId="1" xfId="10" applyFont="1" applyBorder="1" applyAlignment="1">
      <alignment horizontal="left" vertical="center" wrapText="1"/>
    </xf>
    <xf numFmtId="168" fontId="19" fillId="0" borderId="1" xfId="1" applyNumberFormat="1" applyFont="1" applyFill="1" applyBorder="1" applyAlignment="1">
      <alignment horizontal="center" vertical="center" wrapText="1"/>
    </xf>
    <xf numFmtId="0" fontId="21" fillId="0" borderId="1" xfId="3" applyFont="1" applyBorder="1" applyAlignment="1">
      <alignment horizontal="center" vertical="center" wrapText="1"/>
    </xf>
    <xf numFmtId="0" fontId="19" fillId="0" borderId="0" xfId="3" applyFont="1" applyAlignment="1">
      <alignment horizontal="center" vertical="center" wrapText="1"/>
    </xf>
    <xf numFmtId="0" fontId="19" fillId="0" borderId="1" xfId="3" applyFont="1" applyBorder="1" applyAlignment="1">
      <alignment horizontal="left" vertical="center" wrapText="1"/>
    </xf>
    <xf numFmtId="165" fontId="20" fillId="0" borderId="1" xfId="3" applyNumberFormat="1" applyFont="1" applyBorder="1" applyAlignment="1">
      <alignment horizontal="center" vertical="center" wrapText="1"/>
    </xf>
    <xf numFmtId="0" fontId="20" fillId="0" borderId="1" xfId="10" applyFont="1" applyBorder="1" applyAlignment="1">
      <alignment horizontal="center" vertical="center" wrapText="1"/>
    </xf>
    <xf numFmtId="0" fontId="20" fillId="0" borderId="1" xfId="3" applyFont="1" applyBorder="1" applyAlignment="1">
      <alignment horizontal="left" vertical="center" wrapText="1"/>
    </xf>
    <xf numFmtId="0" fontId="20" fillId="0" borderId="1" xfId="3" applyFont="1" applyBorder="1" applyAlignment="1">
      <alignment horizontal="center" vertical="center" wrapText="1"/>
    </xf>
    <xf numFmtId="168" fontId="20" fillId="0" borderId="1" xfId="1" applyNumberFormat="1" applyFont="1" applyFill="1" applyBorder="1" applyAlignment="1">
      <alignment horizontal="center" vertical="center" wrapText="1"/>
    </xf>
    <xf numFmtId="0" fontId="20" fillId="0" borderId="0" xfId="3" applyFont="1" applyAlignment="1">
      <alignment horizontal="center" vertical="center" wrapText="1"/>
    </xf>
    <xf numFmtId="165" fontId="19" fillId="0" borderId="1" xfId="3" applyNumberFormat="1" applyFont="1" applyBorder="1" applyAlignment="1">
      <alignment horizontal="center" vertical="center" wrapText="1"/>
    </xf>
    <xf numFmtId="166" fontId="20" fillId="0" borderId="1" xfId="11" applyNumberFormat="1" applyFont="1" applyFill="1" applyBorder="1" applyAlignment="1" applyProtection="1">
      <alignment horizontal="center" vertical="center" wrapText="1"/>
    </xf>
    <xf numFmtId="164" fontId="20" fillId="0" borderId="1" xfId="11" applyFont="1" applyFill="1" applyBorder="1" applyAlignment="1" applyProtection="1">
      <alignment horizontal="center" vertical="center" wrapText="1"/>
    </xf>
    <xf numFmtId="166" fontId="19" fillId="0" borderId="1" xfId="11" applyNumberFormat="1" applyFont="1" applyFill="1" applyBorder="1" applyAlignment="1" applyProtection="1">
      <alignment horizontal="center" vertical="center" wrapText="1"/>
    </xf>
    <xf numFmtId="0" fontId="19" fillId="0" borderId="1" xfId="10" applyFont="1" applyBorder="1" applyAlignment="1">
      <alignment horizontal="left" vertical="top" wrapText="1"/>
    </xf>
    <xf numFmtId="0" fontId="19" fillId="0" borderId="1" xfId="10" applyFont="1" applyBorder="1" applyAlignment="1">
      <alignment horizontal="center" vertical="center"/>
    </xf>
    <xf numFmtId="165" fontId="19" fillId="0" borderId="1" xfId="10" applyNumberFormat="1" applyFont="1" applyBorder="1" applyAlignment="1">
      <alignment horizontal="center" vertical="center" wrapText="1"/>
    </xf>
    <xf numFmtId="0" fontId="20" fillId="0" borderId="1" xfId="10" applyFont="1" applyBorder="1" applyAlignment="1">
      <alignment horizontal="center" vertical="center"/>
    </xf>
    <xf numFmtId="0" fontId="23" fillId="0" borderId="1" xfId="0" applyNumberFormat="1" applyFont="1" applyFill="1" applyBorder="1" applyAlignment="1">
      <alignment horizontal="center" vertical="center" wrapText="1"/>
    </xf>
    <xf numFmtId="0" fontId="24" fillId="0" borderId="1" xfId="0" applyNumberFormat="1" applyFont="1" applyFill="1" applyBorder="1" applyAlignment="1">
      <alignment horizontal="left" vertical="center" wrapText="1"/>
    </xf>
    <xf numFmtId="2" fontId="23" fillId="0" borderId="1" xfId="0" applyNumberFormat="1" applyFont="1" applyFill="1" applyBorder="1" applyAlignment="1">
      <alignment horizontal="center" vertical="center" wrapText="1"/>
    </xf>
    <xf numFmtId="1" fontId="23" fillId="0" borderId="1" xfId="0" applyNumberFormat="1" applyFont="1" applyFill="1" applyBorder="1" applyAlignment="1">
      <alignment horizontal="center" vertical="center" wrapText="1"/>
    </xf>
    <xf numFmtId="0" fontId="23" fillId="0" borderId="1" xfId="0" applyNumberFormat="1" applyFont="1" applyFill="1" applyBorder="1" applyAlignment="1">
      <alignment horizontal="left" vertical="top" wrapText="1"/>
    </xf>
    <xf numFmtId="1" fontId="19" fillId="0" borderId="1" xfId="3" applyNumberFormat="1" applyFont="1" applyBorder="1" applyAlignment="1">
      <alignment horizontal="center" vertical="center" wrapText="1"/>
    </xf>
    <xf numFmtId="165" fontId="21" fillId="0" borderId="1" xfId="3" applyNumberFormat="1" applyFont="1" applyBorder="1" applyAlignment="1">
      <alignment horizontal="center" vertical="center" wrapText="1"/>
    </xf>
    <xf numFmtId="1" fontId="21" fillId="0" borderId="1" xfId="3" applyNumberFormat="1" applyFont="1" applyBorder="1" applyAlignment="1">
      <alignment horizontal="center" vertical="center" wrapText="1"/>
    </xf>
    <xf numFmtId="166" fontId="21" fillId="0" borderId="1" xfId="11" applyNumberFormat="1" applyFont="1" applyFill="1" applyBorder="1" applyAlignment="1" applyProtection="1">
      <alignment horizontal="center" vertical="center" wrapText="1"/>
    </xf>
    <xf numFmtId="0" fontId="21" fillId="0" borderId="0" xfId="3" applyFont="1" applyAlignment="1">
      <alignment horizontal="center" vertical="center" wrapText="1"/>
    </xf>
    <xf numFmtId="1" fontId="20" fillId="0" borderId="1" xfId="3" applyNumberFormat="1" applyFont="1" applyBorder="1" applyAlignment="1">
      <alignment horizontal="center" vertical="center" wrapText="1"/>
    </xf>
    <xf numFmtId="164" fontId="19" fillId="0" borderId="1" xfId="11" applyFont="1" applyFill="1" applyBorder="1" applyAlignment="1" applyProtection="1">
      <alignment horizontal="center" vertical="center" wrapText="1"/>
    </xf>
    <xf numFmtId="0" fontId="19" fillId="0" borderId="1" xfId="6" applyFont="1" applyBorder="1" applyAlignment="1">
      <alignment horizontal="left" vertical="center" wrapText="1"/>
    </xf>
    <xf numFmtId="166" fontId="19" fillId="0" borderId="1" xfId="11" applyNumberFormat="1" applyFont="1" applyFill="1" applyBorder="1" applyAlignment="1" applyProtection="1">
      <alignment horizontal="center" vertical="center"/>
    </xf>
    <xf numFmtId="0" fontId="20" fillId="0" borderId="1" xfId="5" applyFont="1" applyBorder="1" applyAlignment="1">
      <alignment horizontal="left" vertical="center" wrapText="1"/>
    </xf>
    <xf numFmtId="2" fontId="19" fillId="0" borderId="1" xfId="3" applyNumberFormat="1" applyFont="1" applyBorder="1" applyAlignment="1">
      <alignment horizontal="center" vertical="center" wrapText="1"/>
    </xf>
    <xf numFmtId="0" fontId="19" fillId="0" borderId="1" xfId="5" applyFont="1" applyBorder="1" applyAlignment="1">
      <alignment horizontal="left" vertical="center" wrapText="1"/>
    </xf>
    <xf numFmtId="0" fontId="19" fillId="0" borderId="1" xfId="3" applyFont="1" applyBorder="1" applyAlignment="1">
      <alignment horizontal="center" vertical="center"/>
    </xf>
    <xf numFmtId="1" fontId="19" fillId="0" borderId="1" xfId="3" applyNumberFormat="1" applyFont="1" applyBorder="1" applyAlignment="1">
      <alignment horizontal="center" vertical="center"/>
    </xf>
    <xf numFmtId="2" fontId="20" fillId="0" borderId="1" xfId="3" applyNumberFormat="1" applyFont="1" applyBorder="1" applyAlignment="1">
      <alignment horizontal="center" vertical="center" wrapText="1"/>
    </xf>
    <xf numFmtId="168" fontId="19" fillId="0" borderId="0" xfId="1" applyNumberFormat="1" applyFont="1" applyFill="1" applyAlignment="1">
      <alignment horizontal="center" vertical="center" wrapText="1"/>
    </xf>
    <xf numFmtId="0" fontId="19" fillId="0" borderId="0" xfId="3" applyFont="1" applyAlignment="1">
      <alignment horizontal="left" vertical="center" wrapText="1"/>
    </xf>
    <xf numFmtId="0" fontId="12" fillId="0" borderId="3" xfId="0" applyNumberFormat="1" applyFont="1" applyFill="1" applyBorder="1" applyAlignment="1">
      <alignment horizontal="center" vertical="center" wrapText="1"/>
    </xf>
    <xf numFmtId="0" fontId="12" fillId="0" borderId="12"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8" xfId="0" applyNumberFormat="1" applyFont="1" applyFill="1" applyBorder="1" applyAlignment="1">
      <alignment horizontal="center" vertical="center" wrapText="1"/>
    </xf>
    <xf numFmtId="0" fontId="8" fillId="0" borderId="13" xfId="0" applyNumberFormat="1" applyFont="1" applyFill="1" applyBorder="1" applyAlignment="1">
      <alignment horizontal="center" vertical="center" wrapText="1"/>
    </xf>
    <xf numFmtId="0" fontId="8" fillId="0" borderId="14" xfId="0" applyNumberFormat="1" applyFont="1" applyFill="1" applyBorder="1" applyAlignment="1">
      <alignment horizontal="center" vertical="center" wrapText="1"/>
    </xf>
    <xf numFmtId="0" fontId="8" fillId="0" borderId="7" xfId="10" applyFont="1" applyBorder="1" applyAlignment="1">
      <alignment horizontal="center" vertical="center" wrapText="1"/>
    </xf>
    <xf numFmtId="0" fontId="8" fillId="0" borderId="8" xfId="0" applyNumberFormat="1" applyFont="1" applyFill="1" applyBorder="1" applyAlignment="1">
      <alignment horizontal="center" vertical="center" wrapText="1"/>
    </xf>
    <xf numFmtId="0" fontId="12" fillId="0" borderId="8" xfId="10" applyFont="1" applyBorder="1" applyAlignment="1">
      <alignment horizontal="center" vertical="center" wrapText="1"/>
    </xf>
    <xf numFmtId="0" fontId="12" fillId="0" borderId="16" xfId="0" applyNumberFormat="1" applyFont="1" applyBorder="1" applyAlignment="1">
      <alignment horizontal="center" vertical="top"/>
    </xf>
    <xf numFmtId="2" fontId="12" fillId="0" borderId="16" xfId="0" applyNumberFormat="1" applyFont="1" applyFill="1" applyBorder="1" applyAlignment="1">
      <alignment horizontal="center" vertical="top"/>
    </xf>
    <xf numFmtId="0" fontId="25" fillId="0" borderId="16" xfId="0" applyFont="1" applyFill="1" applyBorder="1" applyAlignment="1">
      <alignment horizontal="left" vertical="top" wrapText="1"/>
    </xf>
    <xf numFmtId="0" fontId="12" fillId="0" borderId="16" xfId="0" applyFont="1" applyFill="1" applyBorder="1" applyAlignment="1">
      <alignment horizontal="left" vertical="top"/>
    </xf>
    <xf numFmtId="0" fontId="25" fillId="0" borderId="16" xfId="0" applyFont="1" applyFill="1" applyBorder="1" applyAlignment="1">
      <alignment horizontal="center" vertical="top" wrapText="1"/>
    </xf>
    <xf numFmtId="0" fontId="8" fillId="0" borderId="16" xfId="0" applyFont="1" applyBorder="1" applyAlignment="1">
      <alignment horizontal="center" vertical="center" wrapText="1"/>
    </xf>
    <xf numFmtId="0" fontId="12" fillId="0" borderId="16" xfId="0" applyFont="1" applyFill="1" applyBorder="1" applyAlignment="1">
      <alignment horizontal="center" vertical="center"/>
    </xf>
    <xf numFmtId="43" fontId="12" fillId="0" borderId="16" xfId="1" applyFont="1" applyFill="1" applyBorder="1" applyAlignment="1">
      <alignment horizontal="center" vertical="center" wrapText="1"/>
    </xf>
    <xf numFmtId="0" fontId="8" fillId="0" borderId="16" xfId="10" applyFont="1" applyBorder="1" applyAlignment="1">
      <alignment horizontal="center" vertical="center" wrapText="1"/>
    </xf>
    <xf numFmtId="0" fontId="12" fillId="0" borderId="1" xfId="0" applyNumberFormat="1" applyFont="1" applyFill="1" applyBorder="1" applyAlignment="1">
      <alignment horizontal="center" vertical="center" wrapText="1"/>
    </xf>
    <xf numFmtId="164"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top"/>
    </xf>
    <xf numFmtId="0" fontId="12" fillId="0" borderId="1" xfId="0" applyFont="1" applyFill="1" applyBorder="1" applyAlignment="1">
      <alignment horizontal="center"/>
    </xf>
    <xf numFmtId="0" fontId="12" fillId="0" borderId="1" xfId="0" applyFont="1" applyFill="1" applyBorder="1" applyAlignment="1">
      <alignment horizontal="center" vertical="center"/>
    </xf>
    <xf numFmtId="0" fontId="12" fillId="0" borderId="1" xfId="0" applyNumberFormat="1" applyFont="1" applyBorder="1" applyAlignment="1">
      <alignment vertical="top"/>
    </xf>
    <xf numFmtId="0" fontId="12" fillId="0" borderId="9" xfId="0" applyNumberFormat="1" applyFont="1" applyFill="1" applyBorder="1" applyAlignment="1">
      <alignment horizontal="center" vertical="center" wrapText="1"/>
    </xf>
    <xf numFmtId="164" fontId="12" fillId="0" borderId="8" xfId="10" applyNumberFormat="1" applyFont="1" applyBorder="1" applyAlignment="1">
      <alignment horizontal="center" vertical="center" wrapText="1"/>
    </xf>
    <xf numFmtId="0" fontId="12" fillId="0" borderId="8" xfId="0" applyNumberFormat="1" applyFont="1" applyBorder="1" applyAlignment="1">
      <alignment vertical="top"/>
    </xf>
    <xf numFmtId="0" fontId="12" fillId="0" borderId="8" xfId="0" applyNumberFormat="1" applyFont="1" applyBorder="1" applyAlignment="1">
      <alignment horizontal="center" vertical="center"/>
    </xf>
    <xf numFmtId="0" fontId="8" fillId="0" borderId="8" xfId="10" applyFont="1" applyBorder="1" applyAlignment="1">
      <alignment horizontal="center" vertical="center" wrapText="1"/>
    </xf>
    <xf numFmtId="0" fontId="12" fillId="0" borderId="6" xfId="0" applyNumberFormat="1" applyFont="1" applyFill="1" applyBorder="1" applyAlignment="1">
      <alignment horizontal="center" vertical="center" wrapText="1"/>
    </xf>
    <xf numFmtId="0" fontId="12" fillId="0" borderId="7" xfId="0" applyNumberFormat="1"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166" fontId="12" fillId="0" borderId="1" xfId="11" applyNumberFormat="1" applyFont="1" applyFill="1" applyBorder="1" applyAlignment="1" applyProtection="1">
      <alignment horizontal="center" vertical="center" wrapText="1"/>
    </xf>
    <xf numFmtId="0" fontId="8" fillId="0" borderId="1" xfId="10" applyFont="1" applyBorder="1" applyAlignment="1">
      <alignment horizontal="center" vertical="center" wrapText="1"/>
    </xf>
    <xf numFmtId="0" fontId="12" fillId="0" borderId="1" xfId="10" applyFont="1" applyBorder="1" applyAlignment="1">
      <alignment horizontal="center" vertical="center"/>
    </xf>
    <xf numFmtId="0" fontId="12" fillId="0" borderId="1" xfId="3" applyFont="1" applyBorder="1" applyAlignment="1">
      <alignment vertical="center" wrapText="1"/>
    </xf>
    <xf numFmtId="0" fontId="12" fillId="0" borderId="1" xfId="10" applyFont="1" applyBorder="1" applyAlignment="1">
      <alignment horizontal="left" vertical="center" wrapText="1"/>
    </xf>
    <xf numFmtId="0" fontId="26" fillId="0" borderId="1" xfId="0" applyFont="1" applyFill="1" applyBorder="1" applyAlignment="1">
      <alignment horizontal="center" vertical="top" wrapText="1"/>
    </xf>
    <xf numFmtId="0" fontId="26" fillId="0" borderId="1" xfId="0" applyFont="1" applyFill="1" applyBorder="1">
      <alignment vertical="top" wrapText="1"/>
    </xf>
    <xf numFmtId="0" fontId="27" fillId="0" borderId="1" xfId="0" applyFont="1" applyFill="1" applyBorder="1" applyAlignment="1">
      <alignment horizontal="center" vertical="top" wrapText="1"/>
    </xf>
    <xf numFmtId="0" fontId="26" fillId="0" borderId="1" xfId="0" applyFont="1" applyFill="1" applyBorder="1" applyAlignment="1">
      <alignment horizontal="center" vertical="top"/>
    </xf>
    <xf numFmtId="0" fontId="27" fillId="0" borderId="1" xfId="0" applyNumberFormat="1" applyFont="1" applyFill="1" applyBorder="1" applyAlignment="1">
      <alignment horizontal="center" vertical="top" wrapText="1"/>
    </xf>
    <xf numFmtId="166" fontId="26" fillId="0" borderId="1" xfId="11" applyNumberFormat="1" applyFont="1" applyFill="1" applyBorder="1" applyAlignment="1" applyProtection="1">
      <alignment horizontal="center" vertical="top" wrapText="1"/>
    </xf>
    <xf numFmtId="0" fontId="26" fillId="0" borderId="1" xfId="3" applyFont="1" applyBorder="1" applyAlignment="1">
      <alignment vertical="top" wrapText="1"/>
    </xf>
    <xf numFmtId="0" fontId="26" fillId="0" borderId="0" xfId="0" applyNumberFormat="1" applyFont="1" applyFill="1" applyBorder="1" applyAlignment="1">
      <alignment horizontal="center" vertical="center" wrapText="1"/>
    </xf>
    <xf numFmtId="0" fontId="26" fillId="0" borderId="0" xfId="0" applyFont="1" applyFill="1" applyBorder="1" applyAlignment="1">
      <alignment horizontal="center" vertical="center" wrapText="1"/>
    </xf>
    <xf numFmtId="1" fontId="8" fillId="0" borderId="1" xfId="0" applyNumberFormat="1" applyFont="1" applyFill="1" applyBorder="1" applyAlignment="1">
      <alignment horizontal="center" vertical="center" wrapText="1"/>
    </xf>
    <xf numFmtId="2" fontId="12"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xf>
    <xf numFmtId="0" fontId="8" fillId="0" borderId="1" xfId="0" applyFont="1" applyFill="1" applyBorder="1" applyAlignment="1">
      <alignment horizontal="center" vertical="center" wrapText="1"/>
    </xf>
    <xf numFmtId="0" fontId="8" fillId="0" borderId="1" xfId="0" applyNumberFormat="1" applyFont="1" applyBorder="1" applyAlignment="1">
      <alignment horizontal="left" vertical="top"/>
    </xf>
    <xf numFmtId="2" fontId="12" fillId="0" borderId="9" xfId="0" applyNumberFormat="1" applyFont="1" applyFill="1" applyBorder="1" applyAlignment="1">
      <alignment horizontal="center" vertical="center" wrapText="1"/>
    </xf>
    <xf numFmtId="164" fontId="12" fillId="0" borderId="9" xfId="0" applyNumberFormat="1" applyFont="1" applyFill="1" applyBorder="1" applyAlignment="1">
      <alignment horizontal="center" vertical="center" wrapText="1"/>
    </xf>
    <xf numFmtId="1" fontId="8" fillId="0" borderId="5" xfId="0" applyNumberFormat="1" applyFont="1" applyFill="1" applyBorder="1" applyAlignment="1">
      <alignment horizontal="center" vertical="center" wrapText="1"/>
    </xf>
    <xf numFmtId="2" fontId="8" fillId="0" borderId="6" xfId="0" applyNumberFormat="1" applyFont="1" applyFill="1" applyBorder="1" applyAlignment="1">
      <alignment horizontal="center" vertical="center" wrapText="1"/>
    </xf>
    <xf numFmtId="164" fontId="8" fillId="0" borderId="7" xfId="0" applyNumberFormat="1" applyFont="1" applyFill="1" applyBorder="1" applyAlignment="1">
      <alignment horizontal="center" vertical="center" wrapText="1"/>
    </xf>
    <xf numFmtId="2" fontId="12" fillId="0" borderId="6" xfId="0" applyNumberFormat="1" applyFont="1" applyFill="1" applyBorder="1" applyAlignment="1">
      <alignment horizontal="center" vertical="center" wrapText="1"/>
    </xf>
    <xf numFmtId="164" fontId="12" fillId="0" borderId="7" xfId="0" applyNumberFormat="1" applyFont="1" applyFill="1" applyBorder="1" applyAlignment="1">
      <alignment horizontal="center" vertical="center" wrapText="1"/>
    </xf>
    <xf numFmtId="2" fontId="12" fillId="0" borderId="4" xfId="0" applyNumberFormat="1" applyFont="1" applyFill="1" applyBorder="1" applyAlignment="1">
      <alignment horizontal="center" vertical="center" wrapText="1"/>
    </xf>
    <xf numFmtId="164" fontId="12" fillId="0" borderId="4" xfId="0" applyNumberFormat="1" applyFont="1" applyFill="1" applyBorder="1" applyAlignment="1">
      <alignment horizontal="center" vertical="center" wrapText="1"/>
    </xf>
    <xf numFmtId="169" fontId="12" fillId="0" borderId="1" xfId="0" applyNumberFormat="1" applyFont="1" applyFill="1" applyBorder="1" applyAlignment="1">
      <alignment horizontal="center" vertical="center" wrapText="1"/>
    </xf>
    <xf numFmtId="165" fontId="12" fillId="0" borderId="1" xfId="0" applyNumberFormat="1" applyFont="1" applyBorder="1" applyAlignment="1">
      <alignment horizontal="center" vertical="top"/>
    </xf>
    <xf numFmtId="0" fontId="12" fillId="0" borderId="1" xfId="0" applyFont="1" applyFill="1" applyBorder="1" applyAlignment="1">
      <alignment vertical="center"/>
    </xf>
    <xf numFmtId="0" fontId="8" fillId="0" borderId="1" xfId="0" applyNumberFormat="1" applyFont="1" applyBorder="1" applyAlignment="1">
      <alignment horizontal="center" vertical="top"/>
    </xf>
    <xf numFmtId="0" fontId="12" fillId="0" borderId="1" xfId="0" applyFont="1" applyFill="1" applyBorder="1" applyAlignment="1">
      <alignment horizontal="left" vertical="top" wrapText="1"/>
    </xf>
    <xf numFmtId="0" fontId="26" fillId="0" borderId="1" xfId="0" applyNumberFormat="1" applyFont="1" applyBorder="1" applyAlignment="1">
      <alignment horizontal="center" vertical="top"/>
    </xf>
    <xf numFmtId="0" fontId="26" fillId="0" borderId="1" xfId="0" applyFont="1" applyFill="1" applyBorder="1" applyAlignment="1">
      <alignment horizontal="center" vertical="center" wrapText="1"/>
    </xf>
    <xf numFmtId="0" fontId="26" fillId="0" borderId="1" xfId="0" applyFont="1" applyFill="1" applyBorder="1" applyAlignment="1">
      <alignment horizontal="center"/>
    </xf>
    <xf numFmtId="0" fontId="26" fillId="0" borderId="1" xfId="0" applyNumberFormat="1" applyFont="1" applyFill="1" applyBorder="1" applyAlignment="1">
      <alignment horizontal="center" vertical="center" wrapText="1"/>
    </xf>
    <xf numFmtId="164" fontId="26" fillId="0" borderId="1" xfId="0" applyNumberFormat="1" applyFont="1" applyFill="1" applyBorder="1" applyAlignment="1">
      <alignment horizontal="center" vertical="center" wrapText="1"/>
    </xf>
    <xf numFmtId="165" fontId="12" fillId="0" borderId="1" xfId="0" applyNumberFormat="1" applyFont="1" applyFill="1" applyBorder="1" applyAlignment="1">
      <alignment horizontal="center" vertical="center" wrapText="1"/>
    </xf>
    <xf numFmtId="1" fontId="12" fillId="0" borderId="0" xfId="0" applyNumberFormat="1" applyFont="1" applyFill="1" applyBorder="1" applyAlignment="1">
      <alignment horizontal="center" vertical="center" wrapText="1"/>
    </xf>
    <xf numFmtId="169" fontId="12" fillId="0" borderId="0" xfId="0" applyNumberFormat="1" applyFont="1" applyFill="1" applyBorder="1" applyAlignment="1">
      <alignment horizontal="center" vertical="center" wrapText="1"/>
    </xf>
    <xf numFmtId="164" fontId="12" fillId="0" borderId="0" xfId="0" applyNumberFormat="1" applyFont="1" applyFill="1" applyBorder="1" applyAlignment="1">
      <alignment horizontal="center" vertical="center" wrapText="1"/>
    </xf>
    <xf numFmtId="0" fontId="29" fillId="0" borderId="0" xfId="12" applyFont="1"/>
    <xf numFmtId="0" fontId="30" fillId="0" borderId="9" xfId="12" applyFont="1" applyBorder="1" applyAlignment="1">
      <alignment horizontal="center" vertical="center"/>
    </xf>
    <xf numFmtId="0" fontId="31" fillId="0" borderId="9" xfId="12" applyFont="1" applyBorder="1" applyAlignment="1">
      <alignment horizontal="center" vertical="center"/>
    </xf>
    <xf numFmtId="0" fontId="30" fillId="0" borderId="5" xfId="12" applyFont="1" applyBorder="1" applyAlignment="1">
      <alignment horizontal="center" vertical="center"/>
    </xf>
    <xf numFmtId="0" fontId="30" fillId="0" borderId="6" xfId="12" applyFont="1" applyBorder="1" applyAlignment="1">
      <alignment horizontal="center" vertical="center"/>
    </xf>
    <xf numFmtId="0" fontId="30" fillId="0" borderId="7" xfId="12" applyFont="1" applyBorder="1" applyAlignment="1">
      <alignment horizontal="center" vertical="center"/>
    </xf>
    <xf numFmtId="0" fontId="29" fillId="0" borderId="4" xfId="12" applyFont="1" applyBorder="1" applyAlignment="1">
      <alignment horizontal="center" vertical="center"/>
    </xf>
    <xf numFmtId="0" fontId="29" fillId="0" borderId="1" xfId="12" applyFont="1" applyBorder="1" applyAlignment="1">
      <alignment horizontal="center" vertical="center"/>
    </xf>
    <xf numFmtId="0" fontId="29" fillId="0" borderId="9" xfId="12" applyFont="1" applyBorder="1" applyAlignment="1">
      <alignment horizontal="center" vertical="center"/>
    </xf>
    <xf numFmtId="0" fontId="27" fillId="0" borderId="5" xfId="12" applyFont="1" applyBorder="1" applyAlignment="1">
      <alignment horizontal="center" vertical="center"/>
    </xf>
    <xf numFmtId="0" fontId="27" fillId="0" borderId="6" xfId="12" applyFont="1" applyBorder="1" applyAlignment="1">
      <alignment horizontal="center" vertical="center"/>
    </xf>
    <xf numFmtId="0" fontId="27" fillId="0" borderId="4" xfId="12" applyFont="1" applyBorder="1" applyAlignment="1">
      <alignment horizontal="center" vertical="center"/>
    </xf>
    <xf numFmtId="0" fontId="27" fillId="0" borderId="8" xfId="12" applyFont="1" applyBorder="1" applyAlignment="1">
      <alignment horizontal="center" vertical="center"/>
    </xf>
    <xf numFmtId="0" fontId="26" fillId="0" borderId="8" xfId="12" applyFont="1" applyBorder="1" applyAlignment="1">
      <alignment horizontal="center" vertical="center"/>
    </xf>
    <xf numFmtId="0" fontId="29" fillId="0" borderId="0" xfId="12" applyFont="1" applyAlignment="1">
      <alignment horizontal="center" vertical="center"/>
    </xf>
    <xf numFmtId="1" fontId="29" fillId="0" borderId="0" xfId="12" applyNumberFormat="1" applyFont="1" applyAlignment="1">
      <alignment horizontal="center" vertical="center"/>
    </xf>
    <xf numFmtId="0" fontId="32" fillId="0" borderId="0" xfId="12" applyFont="1"/>
    <xf numFmtId="0" fontId="15" fillId="0" borderId="0" xfId="12" applyFont="1"/>
    <xf numFmtId="1" fontId="8" fillId="0" borderId="13" xfId="3" applyNumberFormat="1" applyFont="1" applyBorder="1" applyAlignment="1">
      <alignment vertical="center"/>
    </xf>
    <xf numFmtId="1" fontId="8" fillId="0" borderId="14" xfId="3" applyNumberFormat="1" applyFont="1" applyBorder="1" applyAlignment="1">
      <alignment vertical="center"/>
    </xf>
    <xf numFmtId="1" fontId="8" fillId="0" borderId="9" xfId="3" applyNumberFormat="1" applyFont="1" applyBorder="1" applyAlignment="1">
      <alignment horizontal="center" vertical="center"/>
    </xf>
    <xf numFmtId="1" fontId="8" fillId="0" borderId="9" xfId="3" applyNumberFormat="1" applyFont="1" applyBorder="1" applyAlignment="1">
      <alignment horizontal="left" vertical="center" wrapText="1"/>
    </xf>
    <xf numFmtId="0" fontId="8" fillId="0" borderId="6" xfId="3" applyFont="1" applyBorder="1" applyAlignment="1">
      <alignment horizontal="left" vertical="center" wrapText="1"/>
    </xf>
    <xf numFmtId="165" fontId="12" fillId="0" borderId="8" xfId="3" applyNumberFormat="1" applyFont="1" applyBorder="1" applyAlignment="1">
      <alignment horizontal="center" vertical="center"/>
    </xf>
    <xf numFmtId="0" fontId="12" fillId="0" borderId="8" xfId="3" applyFont="1" applyBorder="1" applyAlignment="1">
      <alignment horizontal="center" vertical="center"/>
    </xf>
    <xf numFmtId="0" fontId="8" fillId="0" borderId="8" xfId="3" applyFont="1" applyBorder="1" applyAlignment="1">
      <alignment horizontal="left" vertical="center" wrapText="1"/>
    </xf>
    <xf numFmtId="0" fontId="8" fillId="0" borderId="8" xfId="3" applyFont="1" applyBorder="1" applyAlignment="1">
      <alignment horizontal="center" vertical="center"/>
    </xf>
    <xf numFmtId="166" fontId="8" fillId="0" borderId="8" xfId="11" applyNumberFormat="1" applyFont="1" applyFill="1" applyBorder="1" applyAlignment="1" applyProtection="1">
      <alignment horizontal="center" vertical="center"/>
    </xf>
    <xf numFmtId="164" fontId="8" fillId="0" borderId="8" xfId="11" applyFont="1" applyFill="1" applyBorder="1" applyAlignment="1" applyProtection="1">
      <alignment horizontal="center" vertical="center"/>
    </xf>
    <xf numFmtId="165" fontId="12" fillId="0" borderId="5" xfId="3" applyNumberFormat="1" applyFont="1" applyBorder="1" applyAlignment="1">
      <alignment horizontal="center" vertical="center"/>
    </xf>
    <xf numFmtId="0" fontId="12" fillId="0" borderId="6" xfId="3" applyFont="1" applyBorder="1" applyAlignment="1">
      <alignment horizontal="center" vertical="center"/>
    </xf>
    <xf numFmtId="166" fontId="12" fillId="0" borderId="6" xfId="11" applyNumberFormat="1" applyFont="1" applyFill="1" applyBorder="1" applyAlignment="1" applyProtection="1">
      <alignment horizontal="center" vertical="center"/>
    </xf>
    <xf numFmtId="164" fontId="12" fillId="0" borderId="6" xfId="11" applyFont="1" applyFill="1" applyBorder="1" applyAlignment="1" applyProtection="1">
      <alignment horizontal="center" vertical="center"/>
    </xf>
    <xf numFmtId="0" fontId="12" fillId="0" borderId="7" xfId="3" applyFont="1" applyBorder="1" applyAlignment="1">
      <alignment horizontal="center" vertical="center"/>
    </xf>
    <xf numFmtId="165" fontId="12" fillId="0" borderId="4" xfId="3" applyNumberFormat="1" applyFont="1" applyBorder="1" applyAlignment="1">
      <alignment horizontal="center" vertical="center"/>
    </xf>
    <xf numFmtId="0" fontId="12" fillId="0" borderId="4" xfId="3" applyFont="1" applyBorder="1" applyAlignment="1">
      <alignment horizontal="center" vertical="center"/>
    </xf>
    <xf numFmtId="0" fontId="8" fillId="0" borderId="4" xfId="3" applyFont="1" applyBorder="1" applyAlignment="1">
      <alignment horizontal="left" vertical="center" wrapText="1"/>
    </xf>
    <xf numFmtId="166" fontId="12" fillId="0" borderId="4" xfId="11" applyNumberFormat="1" applyFont="1" applyFill="1" applyBorder="1" applyAlignment="1" applyProtection="1">
      <alignment horizontal="center" vertical="center"/>
    </xf>
    <xf numFmtId="164" fontId="12" fillId="0" borderId="4" xfId="11" applyFont="1" applyFill="1" applyBorder="1" applyAlignment="1" applyProtection="1">
      <alignment horizontal="center" vertical="center"/>
    </xf>
    <xf numFmtId="165" fontId="12" fillId="0" borderId="1" xfId="3" applyNumberFormat="1" applyFont="1" applyBorder="1" applyAlignment="1">
      <alignment horizontal="center" vertical="center"/>
    </xf>
    <xf numFmtId="0" fontId="12" fillId="0" borderId="1" xfId="3" applyFont="1" applyBorder="1" applyAlignment="1">
      <alignment horizontal="center" vertical="center"/>
    </xf>
    <xf numFmtId="0" fontId="8" fillId="0" borderId="1" xfId="3" applyFont="1" applyBorder="1" applyAlignment="1">
      <alignment horizontal="left" vertical="center" wrapText="1"/>
    </xf>
    <xf numFmtId="166" fontId="12" fillId="0" borderId="1" xfId="11" applyNumberFormat="1" applyFont="1" applyFill="1" applyBorder="1" applyAlignment="1" applyProtection="1">
      <alignment horizontal="center" vertical="center"/>
    </xf>
    <xf numFmtId="0" fontId="12" fillId="0" borderId="1" xfId="3" applyFont="1" applyBorder="1" applyAlignment="1">
      <alignment horizontal="left" vertical="center" wrapText="1"/>
    </xf>
    <xf numFmtId="0" fontId="8" fillId="0" borderId="1" xfId="3" applyFont="1" applyBorder="1" applyAlignment="1">
      <alignment vertical="center" wrapText="1"/>
    </xf>
    <xf numFmtId="1" fontId="12" fillId="0" borderId="1" xfId="11" applyNumberFormat="1" applyFont="1" applyFill="1" applyBorder="1" applyAlignment="1" applyProtection="1">
      <alignment horizontal="center" vertical="center" wrapText="1"/>
    </xf>
    <xf numFmtId="3" fontId="12" fillId="0" borderId="1" xfId="3" applyNumberFormat="1" applyFont="1" applyBorder="1" applyAlignment="1">
      <alignment horizontal="center" vertical="center" wrapText="1"/>
    </xf>
    <xf numFmtId="1" fontId="12" fillId="0" borderId="1" xfId="3" applyNumberFormat="1" applyFont="1" applyBorder="1" applyAlignment="1">
      <alignment horizontal="center" vertical="center"/>
    </xf>
    <xf numFmtId="0" fontId="8" fillId="0" borderId="1" xfId="5" applyFont="1" applyBorder="1" applyAlignment="1">
      <alignment horizontal="left" vertical="center" wrapText="1"/>
    </xf>
    <xf numFmtId="0" fontId="12" fillId="0" borderId="1" xfId="5" applyFont="1" applyBorder="1" applyAlignment="1">
      <alignment horizontal="left" vertical="center" wrapText="1"/>
    </xf>
    <xf numFmtId="165" fontId="12" fillId="0" borderId="9" xfId="3" applyNumberFormat="1" applyFont="1" applyBorder="1" applyAlignment="1">
      <alignment horizontal="center" vertical="center"/>
    </xf>
    <xf numFmtId="0" fontId="12" fillId="0" borderId="9" xfId="3" applyFont="1" applyBorder="1" applyAlignment="1">
      <alignment horizontal="center" vertical="center"/>
    </xf>
    <xf numFmtId="0" fontId="12" fillId="0" borderId="9" xfId="3" applyFont="1" applyBorder="1" applyAlignment="1">
      <alignment horizontal="left" vertical="center" wrapText="1"/>
    </xf>
    <xf numFmtId="166" fontId="12" fillId="0" borderId="9" xfId="11" applyNumberFormat="1" applyFont="1" applyFill="1" applyBorder="1" applyAlignment="1" applyProtection="1">
      <alignment horizontal="center" vertical="center"/>
    </xf>
    <xf numFmtId="165" fontId="8" fillId="0" borderId="5" xfId="3" applyNumberFormat="1" applyFont="1" applyBorder="1" applyAlignment="1">
      <alignment horizontal="center" vertical="center"/>
    </xf>
    <xf numFmtId="1" fontId="8" fillId="0" borderId="6" xfId="3" applyNumberFormat="1" applyFont="1" applyBorder="1" applyAlignment="1">
      <alignment horizontal="center" vertical="center"/>
    </xf>
    <xf numFmtId="0" fontId="8" fillId="0" borderId="6" xfId="3" applyFont="1" applyBorder="1" applyAlignment="1">
      <alignment horizontal="center" vertical="center"/>
    </xf>
    <xf numFmtId="166" fontId="8" fillId="0" borderId="6" xfId="11" applyNumberFormat="1" applyFont="1" applyFill="1" applyBorder="1" applyAlignment="1" applyProtection="1">
      <alignment horizontal="center" vertical="center"/>
    </xf>
    <xf numFmtId="0" fontId="8" fillId="0" borderId="7" xfId="3" applyFont="1" applyBorder="1" applyAlignment="1">
      <alignment horizontal="center" vertical="center"/>
    </xf>
    <xf numFmtId="1" fontId="12" fillId="0" borderId="4" xfId="3" applyNumberFormat="1" applyFont="1" applyBorder="1" applyAlignment="1">
      <alignment horizontal="center" vertical="center"/>
    </xf>
    <xf numFmtId="0" fontId="12" fillId="0" borderId="1" xfId="10" applyFont="1" applyBorder="1" applyAlignment="1">
      <alignment vertical="center" wrapText="1"/>
    </xf>
    <xf numFmtId="0" fontId="8" fillId="0" borderId="1" xfId="3" applyFont="1" applyBorder="1" applyAlignment="1">
      <alignment horizontal="justify" vertical="center" wrapText="1"/>
    </xf>
    <xf numFmtId="1" fontId="12" fillId="0" borderId="9" xfId="3" applyNumberFormat="1" applyFont="1" applyBorder="1" applyAlignment="1">
      <alignment horizontal="center" vertical="center"/>
    </xf>
    <xf numFmtId="164" fontId="12" fillId="0" borderId="1" xfId="11" applyFont="1" applyFill="1" applyBorder="1" applyAlignment="1" applyProtection="1">
      <alignment horizontal="center" vertical="center"/>
    </xf>
    <xf numFmtId="0" fontId="12" fillId="0" borderId="1" xfId="6" applyFont="1" applyBorder="1" applyAlignment="1">
      <alignment horizontal="left" vertical="center" wrapText="1"/>
    </xf>
    <xf numFmtId="2" fontId="12" fillId="0" borderId="1" xfId="3" applyNumberFormat="1" applyFont="1" applyBorder="1" applyAlignment="1">
      <alignment horizontal="center" vertical="center"/>
    </xf>
    <xf numFmtId="2" fontId="12" fillId="0" borderId="9" xfId="3" applyNumberFormat="1" applyFont="1" applyBorder="1" applyAlignment="1">
      <alignment horizontal="center" vertical="center"/>
    </xf>
    <xf numFmtId="164" fontId="12" fillId="0" borderId="9" xfId="11" applyFont="1" applyFill="1" applyBorder="1" applyAlignment="1" applyProtection="1">
      <alignment horizontal="center" vertical="center"/>
    </xf>
    <xf numFmtId="2" fontId="8" fillId="0" borderId="5" xfId="3" applyNumberFormat="1" applyFont="1" applyBorder="1" applyAlignment="1">
      <alignment horizontal="center" vertical="center"/>
    </xf>
    <xf numFmtId="164" fontId="8" fillId="0" borderId="6" xfId="11" applyFont="1" applyFill="1" applyBorder="1" applyAlignment="1" applyProtection="1">
      <alignment horizontal="center" vertical="center"/>
    </xf>
    <xf numFmtId="2" fontId="12" fillId="0" borderId="4" xfId="3" applyNumberFormat="1" applyFont="1" applyBorder="1" applyAlignment="1">
      <alignment horizontal="center" vertical="center"/>
    </xf>
    <xf numFmtId="0" fontId="21" fillId="0" borderId="0" xfId="3" applyFont="1" applyAlignment="1">
      <alignment horizontal="left" vertical="center"/>
    </xf>
    <xf numFmtId="43" fontId="12" fillId="0" borderId="1" xfId="0" applyNumberFormat="1" applyFont="1" applyFill="1" applyBorder="1" applyAlignment="1">
      <alignment horizontal="center" vertical="center" wrapText="1"/>
    </xf>
    <xf numFmtId="0" fontId="12" fillId="0" borderId="1" xfId="5" applyFont="1" applyBorder="1" applyAlignment="1">
      <alignment horizontal="center" vertical="center" wrapText="1"/>
    </xf>
    <xf numFmtId="0" fontId="8" fillId="0" borderId="1" xfId="6" applyFont="1" applyBorder="1" applyAlignment="1">
      <alignment horizontal="center" vertical="center" wrapText="1"/>
    </xf>
    <xf numFmtId="0" fontId="12" fillId="0" borderId="1" xfId="9" applyFont="1" applyBorder="1" applyAlignment="1">
      <alignment horizontal="center" vertical="center" wrapText="1"/>
    </xf>
    <xf numFmtId="0" fontId="12" fillId="0" borderId="1" xfId="6" applyFont="1" applyBorder="1" applyAlignment="1">
      <alignment horizontal="center" vertical="center" wrapText="1"/>
    </xf>
    <xf numFmtId="0" fontId="26" fillId="0" borderId="1" xfId="6" applyFont="1" applyBorder="1" applyAlignment="1">
      <alignment horizontal="center" vertical="center" wrapText="1"/>
    </xf>
    <xf numFmtId="0" fontId="16" fillId="0" borderId="1" xfId="7" applyFont="1" applyBorder="1" applyAlignment="1">
      <alignment horizontal="center" vertical="center" wrapText="1"/>
    </xf>
    <xf numFmtId="0" fontId="9" fillId="0" borderId="1" xfId="10" applyFont="1" applyBorder="1" applyAlignment="1">
      <alignment horizontal="center" vertical="top" wrapText="1"/>
    </xf>
    <xf numFmtId="0" fontId="8" fillId="0" borderId="1" xfId="5" applyFont="1" applyBorder="1" applyAlignment="1">
      <alignment horizontal="center" vertical="center" wrapText="1"/>
    </xf>
    <xf numFmtId="0" fontId="33" fillId="0" borderId="16" xfId="0" applyFont="1" applyBorder="1">
      <alignment vertical="top" wrapText="1"/>
    </xf>
    <xf numFmtId="43" fontId="11" fillId="0" borderId="9" xfId="1" applyFont="1" applyBorder="1" applyAlignment="1">
      <alignment horizontal="center" vertical="center" wrapText="1"/>
    </xf>
    <xf numFmtId="43" fontId="11" fillId="0" borderId="6" xfId="1" applyFont="1" applyBorder="1" applyAlignment="1">
      <alignment horizontal="center" vertical="center" wrapText="1"/>
    </xf>
    <xf numFmtId="43" fontId="11" fillId="0" borderId="8" xfId="1" applyFont="1" applyFill="1" applyBorder="1" applyAlignment="1" applyProtection="1">
      <alignment horizontal="center" vertical="center" wrapText="1"/>
    </xf>
    <xf numFmtId="43" fontId="11" fillId="0" borderId="6" xfId="1" applyFont="1" applyFill="1" applyBorder="1" applyAlignment="1" applyProtection="1">
      <alignment horizontal="center" vertical="center" wrapText="1"/>
    </xf>
    <xf numFmtId="43" fontId="9" fillId="0" borderId="4" xfId="1" applyFont="1" applyFill="1" applyBorder="1" applyAlignment="1" applyProtection="1">
      <alignment horizontal="center" vertical="center" wrapText="1"/>
    </xf>
    <xf numFmtId="43" fontId="9" fillId="0" borderId="1" xfId="1" applyFont="1" applyFill="1" applyBorder="1" applyAlignment="1" applyProtection="1">
      <alignment horizontal="center" vertical="center" wrapText="1"/>
    </xf>
    <xf numFmtId="43" fontId="9" fillId="0" borderId="9" xfId="1" applyFont="1" applyFill="1" applyBorder="1" applyAlignment="1" applyProtection="1">
      <alignment horizontal="center" vertical="center" wrapText="1"/>
    </xf>
    <xf numFmtId="43" fontId="12" fillId="0" borderId="1" xfId="1" applyFont="1" applyFill="1" applyBorder="1" applyAlignment="1" applyProtection="1">
      <alignment horizontal="center" vertical="center" wrapText="1"/>
    </xf>
    <xf numFmtId="43" fontId="12" fillId="0" borderId="9" xfId="1" applyFont="1" applyFill="1" applyBorder="1" applyAlignment="1" applyProtection="1">
      <alignment horizontal="center" vertical="center" wrapText="1"/>
    </xf>
    <xf numFmtId="43" fontId="9" fillId="0" borderId="6" xfId="1" applyFont="1" applyFill="1" applyBorder="1" applyAlignment="1" applyProtection="1">
      <alignment horizontal="center" vertical="center" wrapText="1"/>
    </xf>
    <xf numFmtId="43" fontId="9" fillId="0" borderId="0" xfId="1" applyFont="1" applyAlignment="1">
      <alignment horizontal="center" vertical="center" wrapText="1"/>
    </xf>
    <xf numFmtId="0" fontId="0" fillId="0" borderId="0" xfId="0" applyAlignment="1"/>
    <xf numFmtId="43" fontId="9" fillId="0" borderId="0" xfId="1" applyFont="1" applyAlignment="1">
      <alignment vertical="center" wrapText="1"/>
    </xf>
    <xf numFmtId="43" fontId="11" fillId="0" borderId="0" xfId="1" applyFont="1" applyAlignment="1">
      <alignment horizontal="center" vertical="center" wrapText="1"/>
    </xf>
    <xf numFmtId="43" fontId="11" fillId="0" borderId="8" xfId="1" applyFont="1" applyBorder="1" applyAlignment="1">
      <alignment horizontal="center" vertical="center" wrapText="1"/>
    </xf>
    <xf numFmtId="43" fontId="8" fillId="0" borderId="4" xfId="1" applyFont="1" applyFill="1" applyBorder="1" applyAlignment="1">
      <alignment horizontal="center" vertical="center" wrapText="1"/>
    </xf>
    <xf numFmtId="43" fontId="8" fillId="0" borderId="6" xfId="1" applyFont="1" applyFill="1" applyBorder="1" applyAlignment="1">
      <alignment horizontal="center" vertical="center" wrapText="1"/>
    </xf>
    <xf numFmtId="43" fontId="9" fillId="0" borderId="6" xfId="1" applyFont="1" applyBorder="1" applyAlignment="1">
      <alignment vertical="center" wrapText="1"/>
    </xf>
    <xf numFmtId="0" fontId="0" fillId="0" borderId="1" xfId="0" applyBorder="1" applyAlignment="1"/>
    <xf numFmtId="1" fontId="8"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left" vertical="center" wrapText="1"/>
    </xf>
    <xf numFmtId="43" fontId="29" fillId="0" borderId="0" xfId="1" applyFont="1" applyAlignment="1">
      <alignment vertical="center"/>
    </xf>
    <xf numFmtId="43" fontId="29" fillId="0" borderId="0" xfId="12" applyNumberFormat="1" applyFont="1"/>
    <xf numFmtId="0" fontId="9" fillId="0" borderId="9" xfId="5" applyFont="1" applyBorder="1" applyAlignment="1">
      <alignment horizontal="center" vertical="center" wrapText="1"/>
    </xf>
    <xf numFmtId="2" fontId="11" fillId="0" borderId="9" xfId="3" applyNumberFormat="1" applyFont="1" applyBorder="1" applyAlignment="1">
      <alignment horizontal="center" vertical="center" wrapText="1"/>
    </xf>
    <xf numFmtId="0" fontId="19" fillId="0" borderId="1" xfId="25" applyFont="1" applyBorder="1" applyAlignment="1">
      <alignment horizontal="center" vertical="center" wrapText="1"/>
    </xf>
    <xf numFmtId="0" fontId="20" fillId="0" borderId="1" xfId="25" applyFont="1" applyBorder="1" applyAlignment="1">
      <alignment horizontal="left" vertical="center" wrapText="1"/>
    </xf>
    <xf numFmtId="0" fontId="20" fillId="0" borderId="1" xfId="25" applyFont="1" applyBorder="1" applyAlignment="1">
      <alignment horizontal="center" vertical="center" wrapText="1"/>
    </xf>
    <xf numFmtId="166" fontId="20" fillId="0" borderId="1" xfId="26" applyNumberFormat="1" applyFont="1" applyFill="1" applyBorder="1" applyAlignment="1" applyProtection="1">
      <alignment horizontal="center" vertical="center" wrapText="1"/>
    </xf>
    <xf numFmtId="164" fontId="20" fillId="0" borderId="1" xfId="26" applyFont="1" applyFill="1" applyBorder="1" applyAlignment="1" applyProtection="1">
      <alignment horizontal="center" vertical="center" wrapText="1"/>
    </xf>
    <xf numFmtId="166" fontId="19" fillId="0" borderId="1" xfId="26" applyNumberFormat="1" applyFont="1" applyFill="1" applyBorder="1" applyAlignment="1" applyProtection="1">
      <alignment horizontal="center" vertical="center" wrapText="1"/>
    </xf>
    <xf numFmtId="0" fontId="39" fillId="0" borderId="16" xfId="0" applyFont="1" applyBorder="1">
      <alignment vertical="top" wrapText="1"/>
    </xf>
    <xf numFmtId="0" fontId="19" fillId="0" borderId="1" xfId="25" applyFont="1" applyBorder="1" applyAlignment="1">
      <alignment horizontal="left" vertical="top" wrapText="1"/>
    </xf>
    <xf numFmtId="166" fontId="21" fillId="0" borderId="1" xfId="26" applyNumberFormat="1" applyFont="1" applyFill="1" applyBorder="1" applyAlignment="1" applyProtection="1">
      <alignment horizontal="center" vertical="center" wrapText="1"/>
    </xf>
    <xf numFmtId="0" fontId="19" fillId="0" borderId="1" xfId="25" applyFont="1" applyBorder="1" applyAlignment="1">
      <alignment horizontal="left" vertical="center" wrapText="1"/>
    </xf>
    <xf numFmtId="166" fontId="19" fillId="0" borderId="1" xfId="26" applyNumberFormat="1" applyFont="1" applyFill="1" applyBorder="1" applyAlignment="1" applyProtection="1">
      <alignment horizontal="right" vertical="center" wrapText="1"/>
    </xf>
    <xf numFmtId="0" fontId="9" fillId="0" borderId="1" xfId="25" applyFont="1" applyBorder="1" applyAlignment="1">
      <alignment horizontal="center" vertical="center" wrapText="1"/>
    </xf>
    <xf numFmtId="0" fontId="11" fillId="0" borderId="1" xfId="25" applyFont="1" applyBorder="1" applyAlignment="1">
      <alignment horizontal="center" vertical="center" wrapText="1"/>
    </xf>
    <xf numFmtId="164" fontId="19" fillId="0" borderId="1" xfId="26" applyFont="1" applyFill="1" applyBorder="1" applyAlignment="1" applyProtection="1">
      <alignment horizontal="center" vertical="center" wrapText="1"/>
    </xf>
    <xf numFmtId="0" fontId="17" fillId="0" borderId="0" xfId="0" applyFont="1" applyAlignment="1">
      <alignment horizontal="center" vertical="center"/>
    </xf>
    <xf numFmtId="0" fontId="18" fillId="0" borderId="0" xfId="0" applyFont="1" applyAlignment="1"/>
    <xf numFmtId="0" fontId="17" fillId="0" borderId="0" xfId="0" applyFont="1" applyAlignment="1">
      <alignment horizontal="center" vertical="top"/>
    </xf>
    <xf numFmtId="0" fontId="17" fillId="0" borderId="0" xfId="0" applyFont="1" applyAlignment="1">
      <alignment horizontal="justify" vertical="top" wrapText="1"/>
    </xf>
    <xf numFmtId="0" fontId="17" fillId="0" borderId="0" xfId="0" applyNumberFormat="1" applyFont="1" applyAlignment="1">
      <alignment horizontal="center"/>
    </xf>
    <xf numFmtId="0" fontId="18" fillId="0" borderId="0" xfId="0" applyFont="1" applyAlignment="1">
      <alignment vertical="top"/>
    </xf>
    <xf numFmtId="0" fontId="18" fillId="0" borderId="0" xfId="0" applyFont="1" applyAlignment="1">
      <alignment horizontal="justify" vertical="top" wrapText="1"/>
    </xf>
    <xf numFmtId="0" fontId="17" fillId="0" borderId="5" xfId="0" applyNumberFormat="1" applyFont="1" applyBorder="1" applyAlignment="1">
      <alignment horizontal="center" wrapText="1"/>
    </xf>
    <xf numFmtId="0" fontId="17" fillId="0" borderId="6" xfId="0" applyFont="1" applyBorder="1" applyAlignment="1">
      <alignment horizontal="center" vertical="top" wrapText="1"/>
    </xf>
    <xf numFmtId="0" fontId="38" fillId="3" borderId="6" xfId="27" applyFont="1" applyFill="1" applyBorder="1" applyAlignment="1">
      <alignment horizontal="center" vertical="center" wrapText="1"/>
    </xf>
    <xf numFmtId="0" fontId="38" fillId="3" borderId="19" xfId="27" applyFont="1" applyFill="1" applyBorder="1" applyAlignment="1">
      <alignment horizontal="center" vertical="center" wrapText="1"/>
    </xf>
    <xf numFmtId="0" fontId="18" fillId="0" borderId="0" xfId="0" applyFont="1" applyAlignment="1">
      <alignment wrapText="1"/>
    </xf>
    <xf numFmtId="0" fontId="17" fillId="0" borderId="8" xfId="0" applyNumberFormat="1" applyFont="1" applyBorder="1" applyAlignment="1">
      <alignment horizontal="center"/>
    </xf>
    <xf numFmtId="0" fontId="18" fillId="0" borderId="8" xfId="0" applyFont="1" applyBorder="1" applyAlignment="1">
      <alignment vertical="top"/>
    </xf>
    <xf numFmtId="0" fontId="18" fillId="0" borderId="8" xfId="0" applyFont="1" applyBorder="1" applyAlignment="1">
      <alignment horizontal="justify" vertical="top" wrapText="1"/>
    </xf>
    <xf numFmtId="0" fontId="17" fillId="0" borderId="20" xfId="0" applyFont="1" applyBorder="1" applyAlignment="1">
      <alignment horizontal="justify" vertical="top" wrapText="1"/>
    </xf>
    <xf numFmtId="0" fontId="18" fillId="0" borderId="11" xfId="0" applyFont="1" applyBorder="1" applyAlignment="1">
      <alignment horizontal="justify" vertical="top" wrapText="1"/>
    </xf>
    <xf numFmtId="0" fontId="17" fillId="0" borderId="8" xfId="0" applyNumberFormat="1" applyFont="1" applyBorder="1" applyAlignment="1">
      <alignment horizontal="center" vertical="top"/>
    </xf>
    <xf numFmtId="0" fontId="18" fillId="0" borderId="8" xfId="0" applyFont="1" applyBorder="1" applyAlignment="1">
      <alignment horizontal="center" vertical="top"/>
    </xf>
    <xf numFmtId="0" fontId="18" fillId="0" borderId="8" xfId="0" applyFont="1" applyBorder="1" applyAlignment="1">
      <alignment horizontal="center"/>
    </xf>
    <xf numFmtId="0" fontId="17" fillId="0" borderId="5" xfId="0" applyNumberFormat="1" applyFont="1" applyBorder="1" applyAlignment="1">
      <alignment horizontal="center"/>
    </xf>
    <xf numFmtId="0" fontId="17" fillId="0" borderId="6" xfId="0" applyFont="1" applyBorder="1" applyAlignment="1">
      <alignment horizontal="center" vertical="top"/>
    </xf>
    <xf numFmtId="0" fontId="17" fillId="0" borderId="6" xfId="0" applyFont="1" applyBorder="1" applyAlignment="1">
      <alignment horizontal="justify" vertical="top" wrapText="1"/>
    </xf>
    <xf numFmtId="0" fontId="18" fillId="0" borderId="6" xfId="0" applyFont="1" applyBorder="1" applyAlignment="1">
      <alignment horizontal="center"/>
    </xf>
    <xf numFmtId="0" fontId="17" fillId="0" borderId="19" xfId="0" applyFont="1" applyBorder="1" applyAlignment="1">
      <alignment horizontal="justify" vertical="top" wrapText="1"/>
    </xf>
    <xf numFmtId="0" fontId="18" fillId="0" borderId="1" xfId="0" applyNumberFormat="1" applyFont="1" applyBorder="1" applyAlignment="1">
      <alignment horizontal="center" vertical="top"/>
    </xf>
    <xf numFmtId="0" fontId="18" fillId="0" borderId="1" xfId="0" applyFont="1" applyBorder="1" applyAlignment="1">
      <alignment horizontal="center" vertical="top"/>
    </xf>
    <xf numFmtId="0" fontId="18" fillId="0" borderId="1" xfId="0" applyFont="1" applyBorder="1" applyAlignment="1">
      <alignment horizontal="center" vertical="center"/>
    </xf>
    <xf numFmtId="0" fontId="18" fillId="0" borderId="1" xfId="0" applyFont="1" applyBorder="1" applyAlignment="1">
      <alignment vertical="center"/>
    </xf>
    <xf numFmtId="0" fontId="18" fillId="0" borderId="1" xfId="0" applyFont="1" applyFill="1" applyBorder="1" applyAlignment="1">
      <alignment vertical="center"/>
    </xf>
    <xf numFmtId="0" fontId="18" fillId="0" borderId="1" xfId="3" applyFont="1" applyBorder="1" applyAlignment="1">
      <alignment horizontal="justify" vertical="top"/>
    </xf>
    <xf numFmtId="0" fontId="18" fillId="0" borderId="1" xfId="0" applyFont="1" applyBorder="1" applyAlignment="1">
      <alignment horizontal="center"/>
    </xf>
    <xf numFmtId="0" fontId="18" fillId="0" borderId="2" xfId="3" applyFont="1" applyBorder="1" applyAlignment="1">
      <alignment horizontal="justify" vertical="top"/>
    </xf>
    <xf numFmtId="0" fontId="17" fillId="0" borderId="1" xfId="0" applyNumberFormat="1" applyFont="1" applyBorder="1" applyAlignment="1">
      <alignment horizontal="center" vertical="top"/>
    </xf>
    <xf numFmtId="0" fontId="18" fillId="0" borderId="1" xfId="0" applyFont="1" applyFill="1" applyBorder="1" applyAlignment="1">
      <alignment horizontal="left" vertical="top"/>
    </xf>
    <xf numFmtId="0" fontId="18" fillId="0" borderId="2" xfId="0" applyFont="1" applyFill="1" applyBorder="1" applyAlignment="1">
      <alignment horizontal="left" vertical="top"/>
    </xf>
    <xf numFmtId="0" fontId="18" fillId="0" borderId="1" xfId="0" applyFont="1" applyFill="1" applyBorder="1" applyAlignment="1">
      <alignment horizontal="justify" vertical="top"/>
    </xf>
    <xf numFmtId="0" fontId="18" fillId="0" borderId="2" xfId="0" applyFont="1" applyFill="1" applyBorder="1" applyAlignment="1">
      <alignment horizontal="justify" vertical="top"/>
    </xf>
    <xf numFmtId="0" fontId="18" fillId="0" borderId="2" xfId="0" applyFont="1" applyFill="1" applyBorder="1" applyAlignment="1">
      <alignment horizontal="left" vertical="top" wrapText="1"/>
    </xf>
    <xf numFmtId="0" fontId="18" fillId="0" borderId="1" xfId="0" applyFont="1" applyBorder="1" applyAlignment="1">
      <alignment horizontal="justify" vertical="top" wrapText="1"/>
    </xf>
    <xf numFmtId="0" fontId="18" fillId="0" borderId="2" xfId="0" applyFont="1" applyBorder="1" applyAlignment="1">
      <alignment horizontal="justify" vertical="top" wrapText="1"/>
    </xf>
    <xf numFmtId="0" fontId="18" fillId="0" borderId="1" xfId="0" applyFont="1" applyBorder="1" applyAlignment="1">
      <alignment vertical="top"/>
    </xf>
    <xf numFmtId="0" fontId="18" fillId="0" borderId="1" xfId="0" applyFont="1" applyFill="1" applyBorder="1" applyAlignment="1">
      <alignment horizontal="justify" vertical="top" wrapText="1"/>
    </xf>
    <xf numFmtId="0" fontId="18" fillId="0" borderId="2" xfId="0" applyFont="1" applyFill="1" applyBorder="1" applyAlignment="1">
      <alignment horizontal="justify" vertical="top" wrapText="1"/>
    </xf>
    <xf numFmtId="2" fontId="18" fillId="0" borderId="1" xfId="0" applyNumberFormat="1" applyFont="1" applyBorder="1" applyAlignment="1">
      <alignment horizontal="center"/>
    </xf>
    <xf numFmtId="0" fontId="18" fillId="0" borderId="1" xfId="0" applyFont="1" applyBorder="1" applyAlignment="1">
      <alignment horizontal="left" vertical="top" wrapText="1"/>
    </xf>
    <xf numFmtId="0" fontId="18" fillId="0" borderId="2" xfId="0" applyFont="1" applyBorder="1" applyAlignment="1">
      <alignment horizontal="left" vertical="top" wrapText="1"/>
    </xf>
    <xf numFmtId="0" fontId="18" fillId="0" borderId="1" xfId="28" applyFont="1" applyBorder="1" applyAlignment="1">
      <alignment horizontal="left" vertical="top" wrapText="1"/>
    </xf>
    <xf numFmtId="0" fontId="17" fillId="0" borderId="1" xfId="0" applyFont="1" applyFill="1" applyBorder="1" applyAlignment="1">
      <alignment horizontal="justify" vertical="top" wrapText="1"/>
    </xf>
    <xf numFmtId="0" fontId="18" fillId="0" borderId="1" xfId="0" applyFont="1" applyBorder="1" applyAlignment="1"/>
    <xf numFmtId="0" fontId="17" fillId="0" borderId="1" xfId="0" applyFont="1" applyBorder="1" applyAlignment="1">
      <alignment vertical="top"/>
    </xf>
    <xf numFmtId="0" fontId="17" fillId="0" borderId="1" xfId="0" applyFont="1" applyBorder="1" applyAlignment="1">
      <alignment horizontal="justify" vertical="top" wrapText="1"/>
    </xf>
    <xf numFmtId="0" fontId="17" fillId="0" borderId="2" xfId="0" applyFont="1" applyBorder="1" applyAlignment="1">
      <alignment horizontal="justify" vertical="top" wrapText="1"/>
    </xf>
    <xf numFmtId="2" fontId="18" fillId="0" borderId="1" xfId="0" applyNumberFormat="1" applyFont="1" applyBorder="1" applyAlignment="1">
      <alignment horizontal="center" vertical="top"/>
    </xf>
    <xf numFmtId="0" fontId="18" fillId="0" borderId="1" xfId="0" applyFont="1" applyBorder="1" applyAlignment="1">
      <alignment horizontal="center" vertical="top" wrapText="1"/>
    </xf>
    <xf numFmtId="0" fontId="37" fillId="2" borderId="1" xfId="25" applyFont="1" applyFill="1" applyBorder="1" applyAlignment="1">
      <alignment horizontal="left" vertical="top" wrapText="1"/>
    </xf>
    <xf numFmtId="0" fontId="17" fillId="0" borderId="1" xfId="0" applyFont="1" applyBorder="1" applyAlignment="1">
      <alignment horizontal="center" vertical="top"/>
    </xf>
    <xf numFmtId="0" fontId="18" fillId="0" borderId="1" xfId="0" applyNumberFormat="1" applyFont="1" applyBorder="1" applyAlignment="1">
      <alignment horizontal="center"/>
    </xf>
    <xf numFmtId="0" fontId="18" fillId="0" borderId="1" xfId="0" applyFont="1" applyFill="1" applyBorder="1" applyAlignment="1">
      <alignment horizontal="center" vertical="center"/>
    </xf>
    <xf numFmtId="0" fontId="18" fillId="0" borderId="1" xfId="0" applyFont="1" applyFill="1" applyBorder="1" applyAlignment="1">
      <alignment horizontal="center" vertical="top"/>
    </xf>
    <xf numFmtId="0" fontId="17" fillId="0" borderId="1" xfId="0" applyFont="1" applyFill="1" applyBorder="1" applyAlignment="1">
      <alignment horizontal="left" vertical="top" wrapText="1"/>
    </xf>
    <xf numFmtId="0" fontId="18" fillId="0" borderId="1" xfId="0" applyFont="1" applyFill="1" applyBorder="1" applyAlignment="1">
      <alignment horizontal="center"/>
    </xf>
    <xf numFmtId="1" fontId="18" fillId="0" borderId="1" xfId="0" applyNumberFormat="1" applyFont="1" applyFill="1" applyBorder="1" applyAlignment="1">
      <alignment horizontal="justify" vertical="top" wrapText="1"/>
    </xf>
    <xf numFmtId="0" fontId="17" fillId="0" borderId="1" xfId="0" applyNumberFormat="1" applyFont="1" applyBorder="1" applyAlignment="1">
      <alignment horizontal="center"/>
    </xf>
    <xf numFmtId="0" fontId="17" fillId="0" borderId="1" xfId="0" applyFont="1" applyFill="1" applyBorder="1" applyAlignment="1">
      <alignment horizontal="center" vertical="top"/>
    </xf>
    <xf numFmtId="0" fontId="18" fillId="0" borderId="1" xfId="0" applyFont="1" applyFill="1" applyBorder="1" applyAlignment="1">
      <alignment vertical="top"/>
    </xf>
    <xf numFmtId="0" fontId="17" fillId="0" borderId="1" xfId="0" applyFont="1" applyFill="1" applyBorder="1" applyAlignment="1">
      <alignment horizontal="center" vertical="top" wrapText="1"/>
    </xf>
    <xf numFmtId="0" fontId="17" fillId="0" borderId="9" xfId="0" applyNumberFormat="1" applyFont="1" applyBorder="1" applyAlignment="1">
      <alignment horizontal="center" vertical="top"/>
    </xf>
    <xf numFmtId="0" fontId="17" fillId="0" borderId="9" xfId="0" applyFont="1" applyBorder="1" applyAlignment="1">
      <alignment horizontal="center" vertical="top"/>
    </xf>
    <xf numFmtId="0" fontId="18" fillId="0" borderId="9" xfId="0" applyFont="1" applyBorder="1" applyAlignment="1">
      <alignment horizontal="justify" vertical="top" wrapText="1"/>
    </xf>
    <xf numFmtId="0" fontId="18" fillId="0" borderId="9" xfId="0" applyFont="1" applyBorder="1" applyAlignment="1">
      <alignment horizontal="center"/>
    </xf>
    <xf numFmtId="0" fontId="18" fillId="0" borderId="13" xfId="0" applyFont="1" applyBorder="1" applyAlignment="1">
      <alignment horizontal="justify" vertical="top" wrapText="1"/>
    </xf>
    <xf numFmtId="0" fontId="17" fillId="0" borderId="5" xfId="0" applyNumberFormat="1" applyFont="1" applyBorder="1" applyAlignment="1">
      <alignment horizontal="center" vertical="top"/>
    </xf>
    <xf numFmtId="0" fontId="18" fillId="0" borderId="6" xfId="0" applyFont="1" applyBorder="1" applyAlignment="1">
      <alignment horizontal="justify" vertical="top" wrapText="1"/>
    </xf>
    <xf numFmtId="0" fontId="18" fillId="0" borderId="19" xfId="0" applyFont="1" applyBorder="1" applyAlignment="1">
      <alignment horizontal="justify" vertical="top" wrapText="1"/>
    </xf>
    <xf numFmtId="0" fontId="17" fillId="0" borderId="4" xfId="0" applyNumberFormat="1" applyFont="1" applyBorder="1" applyAlignment="1">
      <alignment horizontal="center" vertical="top"/>
    </xf>
    <xf numFmtId="0" fontId="17" fillId="0" borderId="4" xfId="0" applyFont="1" applyBorder="1" applyAlignment="1">
      <alignment horizontal="center" vertical="top"/>
    </xf>
    <xf numFmtId="0" fontId="18" fillId="0" borderId="4" xfId="0" applyFont="1" applyBorder="1" applyAlignment="1">
      <alignment horizontal="justify" vertical="top" wrapText="1"/>
    </xf>
    <xf numFmtId="0" fontId="18" fillId="0" borderId="4" xfId="0" applyFont="1" applyBorder="1" applyAlignment="1">
      <alignment horizontal="center"/>
    </xf>
    <xf numFmtId="0" fontId="18" fillId="0" borderId="17" xfId="0" applyFont="1" applyBorder="1" applyAlignment="1">
      <alignment horizontal="justify" vertical="top" wrapText="1"/>
    </xf>
    <xf numFmtId="165" fontId="18" fillId="0" borderId="1" xfId="0" applyNumberFormat="1" applyFont="1" applyBorder="1" applyAlignment="1">
      <alignment horizontal="center" vertical="top"/>
    </xf>
    <xf numFmtId="0" fontId="40" fillId="0" borderId="1" xfId="5" applyFont="1" applyBorder="1" applyAlignment="1">
      <alignment horizontal="justify" vertical="justify" wrapText="1"/>
    </xf>
    <xf numFmtId="0" fontId="41" fillId="0" borderId="1" xfId="5" applyFont="1" applyBorder="1" applyAlignment="1">
      <alignment horizontal="justify" vertical="justify" wrapText="1"/>
    </xf>
    <xf numFmtId="0" fontId="17" fillId="0" borderId="1" xfId="0" applyFont="1" applyFill="1" applyBorder="1" applyAlignment="1">
      <alignment horizontal="justify" vertical="top"/>
    </xf>
    <xf numFmtId="0" fontId="17" fillId="0" borderId="9" xfId="0" applyFont="1" applyFill="1" applyBorder="1" applyAlignment="1">
      <alignment horizontal="center" vertical="top" wrapText="1"/>
    </xf>
    <xf numFmtId="0" fontId="18" fillId="0" borderId="9" xfId="0" applyFont="1" applyFill="1" applyBorder="1" applyAlignment="1">
      <alignment horizontal="left" vertical="top" wrapText="1"/>
    </xf>
    <xf numFmtId="0" fontId="18" fillId="0" borderId="9" xfId="0" applyFont="1" applyFill="1" applyBorder="1" applyAlignment="1">
      <alignment horizontal="center" vertical="top"/>
    </xf>
    <xf numFmtId="0" fontId="18" fillId="0" borderId="9" xfId="0" applyFont="1" applyBorder="1" applyAlignment="1">
      <alignment horizontal="center" vertical="top"/>
    </xf>
    <xf numFmtId="165" fontId="18" fillId="0" borderId="1" xfId="3" applyNumberFormat="1" applyFont="1" applyBorder="1" applyAlignment="1">
      <alignment horizontal="center" vertical="center" wrapText="1"/>
    </xf>
    <xf numFmtId="1" fontId="18" fillId="0" borderId="1" xfId="3" applyNumberFormat="1" applyFont="1" applyBorder="1" applyAlignment="1">
      <alignment horizontal="center" vertical="center" wrapText="1"/>
    </xf>
    <xf numFmtId="0" fontId="17" fillId="0" borderId="1" xfId="25" applyFont="1" applyBorder="1" applyAlignment="1">
      <alignment horizontal="center" vertical="center" wrapText="1"/>
    </xf>
    <xf numFmtId="0" fontId="18" fillId="0" borderId="1" xfId="3" applyFont="1" applyBorder="1" applyAlignment="1">
      <alignment horizontal="center" vertical="center" wrapText="1"/>
    </xf>
    <xf numFmtId="166" fontId="18" fillId="0" borderId="1" xfId="26" applyNumberFormat="1" applyFont="1" applyFill="1" applyBorder="1" applyAlignment="1" applyProtection="1">
      <alignment horizontal="center" vertical="center" wrapText="1"/>
    </xf>
    <xf numFmtId="166" fontId="18" fillId="0" borderId="1" xfId="1" applyNumberFormat="1" applyFont="1" applyFill="1" applyBorder="1" applyAlignment="1" applyProtection="1">
      <alignment horizontal="center" vertical="center" wrapText="1"/>
    </xf>
    <xf numFmtId="0" fontId="18" fillId="0" borderId="1" xfId="25" applyFont="1" applyBorder="1" applyAlignment="1">
      <alignment horizontal="center" vertical="center" wrapText="1"/>
    </xf>
    <xf numFmtId="0" fontId="18" fillId="0" borderId="9" xfId="0" applyFont="1" applyFill="1" applyBorder="1" applyAlignment="1">
      <alignment horizontal="justify" vertical="top" wrapText="1"/>
    </xf>
    <xf numFmtId="0" fontId="18" fillId="0" borderId="13" xfId="0" applyFont="1" applyFill="1" applyBorder="1" applyAlignment="1">
      <alignment horizontal="justify" vertical="top" wrapText="1"/>
    </xf>
    <xf numFmtId="0" fontId="18" fillId="0" borderId="6" xfId="0" applyFont="1" applyBorder="1" applyAlignment="1">
      <alignment horizontal="center" vertical="top"/>
    </xf>
    <xf numFmtId="0" fontId="17" fillId="0" borderId="6" xfId="0" applyFont="1" applyFill="1" applyBorder="1" applyAlignment="1">
      <alignment horizontal="justify" vertical="top" wrapText="1"/>
    </xf>
    <xf numFmtId="0" fontId="17" fillId="0" borderId="0" xfId="0" applyNumberFormat="1" applyFont="1" applyBorder="1" applyAlignment="1">
      <alignment horizontal="center" vertical="top"/>
    </xf>
    <xf numFmtId="0" fontId="18" fillId="0" borderId="0" xfId="0" applyFont="1" applyBorder="1" applyAlignment="1">
      <alignment horizontal="center" vertical="top"/>
    </xf>
    <xf numFmtId="0" fontId="18" fillId="0" borderId="0" xfId="0" applyFont="1" applyFill="1" applyBorder="1" applyAlignment="1">
      <alignment horizontal="justify" vertical="top" wrapText="1"/>
    </xf>
    <xf numFmtId="0" fontId="17" fillId="0" borderId="0" xfId="0" applyNumberFormat="1" applyFont="1" applyFill="1" applyAlignment="1">
      <alignment horizontal="center"/>
    </xf>
    <xf numFmtId="0" fontId="18" fillId="0" borderId="0" xfId="0" applyFont="1" applyFill="1" applyAlignment="1">
      <alignment vertical="top"/>
    </xf>
    <xf numFmtId="0" fontId="18" fillId="0" borderId="0" xfId="0" applyFont="1" applyFill="1" applyAlignment="1"/>
    <xf numFmtId="0" fontId="18" fillId="0" borderId="0" xfId="0" applyFont="1" applyFill="1" applyAlignment="1">
      <alignment horizontal="justify" vertical="top" wrapText="1"/>
    </xf>
    <xf numFmtId="166" fontId="12" fillId="0" borderId="1" xfId="26" applyNumberFormat="1" applyFont="1" applyFill="1" applyBorder="1" applyAlignment="1" applyProtection="1">
      <alignment horizontal="center" vertical="center"/>
    </xf>
    <xf numFmtId="166" fontId="12" fillId="0" borderId="1" xfId="26" applyNumberFormat="1" applyFont="1" applyFill="1" applyBorder="1" applyAlignment="1" applyProtection="1">
      <alignment horizontal="center" vertical="center" wrapText="1"/>
    </xf>
    <xf numFmtId="1" fontId="12" fillId="0" borderId="1" xfId="26" applyNumberFormat="1" applyFont="1" applyFill="1" applyBorder="1" applyAlignment="1" applyProtection="1">
      <alignment horizontal="center" vertical="center" wrapText="1"/>
    </xf>
    <xf numFmtId="166" fontId="12" fillId="0" borderId="9" xfId="26" applyNumberFormat="1" applyFont="1" applyFill="1" applyBorder="1" applyAlignment="1" applyProtection="1">
      <alignment horizontal="center" vertical="center"/>
    </xf>
    <xf numFmtId="166" fontId="8" fillId="0" borderId="6" xfId="26" applyNumberFormat="1" applyFont="1" applyFill="1" applyBorder="1" applyAlignment="1" applyProtection="1">
      <alignment horizontal="center" vertical="center"/>
    </xf>
    <xf numFmtId="166" fontId="12" fillId="0" borderId="4" xfId="26" applyNumberFormat="1" applyFont="1" applyFill="1" applyBorder="1" applyAlignment="1" applyProtection="1">
      <alignment horizontal="center" vertical="center"/>
    </xf>
    <xf numFmtId="0" fontId="12" fillId="0" borderId="1" xfId="25" applyFont="1" applyBorder="1" applyAlignment="1">
      <alignment horizontal="left" vertical="center" wrapText="1"/>
    </xf>
    <xf numFmtId="1" fontId="12" fillId="0" borderId="1" xfId="25" applyNumberFormat="1" applyFont="1" applyBorder="1" applyAlignment="1">
      <alignment horizontal="left" vertical="center" wrapText="1"/>
    </xf>
    <xf numFmtId="1" fontId="8" fillId="0" borderId="1" xfId="25" applyNumberFormat="1" applyFont="1" applyBorder="1" applyAlignment="1">
      <alignment horizontal="left" vertical="center" wrapText="1"/>
    </xf>
    <xf numFmtId="0" fontId="12" fillId="0" borderId="9" xfId="25" applyFont="1" applyBorder="1" applyAlignment="1">
      <alignment horizontal="left" vertical="center" wrapText="1"/>
    </xf>
    <xf numFmtId="1" fontId="12" fillId="0" borderId="9" xfId="25" applyNumberFormat="1" applyFont="1" applyBorder="1" applyAlignment="1">
      <alignment horizontal="left" vertical="center" wrapText="1"/>
    </xf>
    <xf numFmtId="0" fontId="8" fillId="0" borderId="1" xfId="25" applyFont="1" applyBorder="1" applyAlignment="1">
      <alignment horizontal="left" vertical="center" wrapText="1"/>
    </xf>
    <xf numFmtId="0" fontId="9" fillId="0" borderId="1" xfId="25" applyFont="1" applyBorder="1" applyAlignment="1">
      <alignment horizontal="left" vertical="center" wrapText="1"/>
    </xf>
    <xf numFmtId="0" fontId="9" fillId="0" borderId="9" xfId="25" applyFont="1" applyBorder="1" applyAlignment="1">
      <alignment horizontal="left" vertical="center" wrapText="1"/>
    </xf>
    <xf numFmtId="1" fontId="9" fillId="0" borderId="1" xfId="25" applyNumberFormat="1" applyFont="1" applyBorder="1" applyAlignment="1">
      <alignment horizontal="center" vertical="center" wrapText="1"/>
    </xf>
    <xf numFmtId="1" fontId="9" fillId="0" borderId="9" xfId="25" applyNumberFormat="1" applyFont="1" applyBorder="1" applyAlignment="1">
      <alignment horizontal="center" vertical="center" wrapText="1"/>
    </xf>
    <xf numFmtId="1" fontId="9" fillId="0" borderId="1" xfId="25" applyNumberFormat="1" applyFont="1" applyBorder="1" applyAlignment="1">
      <alignment horizontal="left" vertical="center" wrapText="1"/>
    </xf>
    <xf numFmtId="0" fontId="9" fillId="0" borderId="4" xfId="25" applyFont="1" applyBorder="1" applyAlignment="1">
      <alignment horizontal="left" vertical="center" wrapText="1"/>
    </xf>
    <xf numFmtId="0" fontId="11" fillId="0" borderId="1" xfId="25" applyFont="1" applyBorder="1" applyAlignment="1">
      <alignment horizontal="left" vertical="center" wrapText="1"/>
    </xf>
    <xf numFmtId="0" fontId="11" fillId="0" borderId="9" xfId="25" applyFont="1" applyBorder="1" applyAlignment="1">
      <alignment horizontal="left" vertical="center" wrapText="1"/>
    </xf>
    <xf numFmtId="166" fontId="9" fillId="0" borderId="1" xfId="26" applyNumberFormat="1" applyFont="1" applyFill="1" applyBorder="1" applyAlignment="1" applyProtection="1">
      <alignment horizontal="center" vertical="center" wrapText="1"/>
    </xf>
    <xf numFmtId="2" fontId="16" fillId="0" borderId="1" xfId="0" applyNumberFormat="1" applyFont="1" applyFill="1" applyBorder="1" applyAlignment="1">
      <alignment horizontal="center" vertical="center" wrapText="1"/>
    </xf>
    <xf numFmtId="166" fontId="9" fillId="0" borderId="1" xfId="26" applyNumberFormat="1" applyFont="1" applyFill="1" applyBorder="1" applyAlignment="1" applyProtection="1">
      <alignment horizontal="center" vertical="center"/>
    </xf>
    <xf numFmtId="166" fontId="9" fillId="0" borderId="9" xfId="26" applyNumberFormat="1" applyFont="1" applyFill="1" applyBorder="1" applyAlignment="1" applyProtection="1">
      <alignment horizontal="center" vertical="center" wrapText="1"/>
    </xf>
    <xf numFmtId="166" fontId="11" fillId="0" borderId="4" xfId="26" applyNumberFormat="1" applyFont="1" applyFill="1" applyBorder="1" applyAlignment="1" applyProtection="1">
      <alignment horizontal="center" vertical="center" wrapText="1"/>
    </xf>
    <xf numFmtId="166" fontId="11" fillId="0" borderId="1" xfId="26" applyNumberFormat="1" applyFont="1" applyFill="1" applyBorder="1" applyAlignment="1" applyProtection="1">
      <alignment horizontal="center" vertical="center" wrapText="1"/>
    </xf>
    <xf numFmtId="1" fontId="11" fillId="0" borderId="1" xfId="25" applyNumberFormat="1" applyFont="1" applyBorder="1" applyAlignment="1">
      <alignment horizontal="left" vertical="center" wrapText="1"/>
    </xf>
    <xf numFmtId="0" fontId="9" fillId="0" borderId="9" xfId="25" applyFont="1" applyBorder="1" applyAlignment="1">
      <alignment horizontal="center" vertical="center" wrapText="1"/>
    </xf>
    <xf numFmtId="0" fontId="0" fillId="0" borderId="1" xfId="0" applyBorder="1" applyAlignment="1">
      <alignment wrapText="1"/>
    </xf>
    <xf numFmtId="0" fontId="0" fillId="0" borderId="0" xfId="0" applyAlignment="1">
      <alignment wrapText="1"/>
    </xf>
    <xf numFmtId="170" fontId="0" fillId="0" borderId="0" xfId="1" applyNumberFormat="1" applyFont="1" applyAlignment="1"/>
    <xf numFmtId="170" fontId="0" fillId="0" borderId="1" xfId="1" applyNumberFormat="1" applyFont="1" applyBorder="1" applyAlignment="1"/>
    <xf numFmtId="0" fontId="38" fillId="0" borderId="1" xfId="0" applyFont="1" applyBorder="1" applyAlignment="1">
      <alignment vertical="center"/>
    </xf>
    <xf numFmtId="170" fontId="38" fillId="0" borderId="1" xfId="1" applyNumberFormat="1" applyFont="1" applyBorder="1" applyAlignment="1">
      <alignment vertical="center"/>
    </xf>
    <xf numFmtId="0" fontId="38" fillId="0" borderId="1" xfId="0" applyFont="1" applyBorder="1" applyAlignment="1">
      <alignment horizontal="center" vertical="center"/>
    </xf>
    <xf numFmtId="170" fontId="38" fillId="0" borderId="1" xfId="1" applyNumberFormat="1" applyFont="1" applyBorder="1" applyAlignment="1">
      <alignment horizontal="center" vertical="center"/>
    </xf>
    <xf numFmtId="170" fontId="38" fillId="0" borderId="1" xfId="1" applyNumberFormat="1" applyFont="1" applyBorder="1" applyAlignment="1">
      <alignment horizontal="center" vertical="center" wrapText="1"/>
    </xf>
    <xf numFmtId="0" fontId="38" fillId="0" borderId="1" xfId="0" applyFont="1" applyBorder="1"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xf>
    <xf numFmtId="170" fontId="0" fillId="0" borderId="1" xfId="1" applyNumberFormat="1" applyFont="1" applyBorder="1" applyAlignment="1">
      <alignment horizontal="center" vertical="center"/>
    </xf>
    <xf numFmtId="170" fontId="0" fillId="0" borderId="1" xfId="1" applyNumberFormat="1" applyFont="1" applyBorder="1" applyAlignment="1">
      <alignment vertical="center"/>
    </xf>
    <xf numFmtId="0" fontId="0" fillId="0" borderId="1" xfId="0" applyBorder="1" applyAlignment="1">
      <alignment vertical="center"/>
    </xf>
    <xf numFmtId="0" fontId="0" fillId="0" borderId="4" xfId="0" applyBorder="1" applyAlignment="1">
      <alignment wrapText="1"/>
    </xf>
    <xf numFmtId="43" fontId="0" fillId="0" borderId="1" xfId="1" applyFont="1" applyBorder="1" applyAlignment="1">
      <alignment vertical="center" wrapText="1"/>
    </xf>
    <xf numFmtId="43" fontId="0" fillId="0" borderId="1" xfId="1" applyFont="1" applyBorder="1" applyAlignment="1">
      <alignment wrapText="1"/>
    </xf>
    <xf numFmtId="43" fontId="0" fillId="0" borderId="18" xfId="1" applyFont="1" applyBorder="1" applyAlignment="1">
      <alignment wrapText="1"/>
    </xf>
    <xf numFmtId="43" fontId="0" fillId="0" borderId="4" xfId="0" applyNumberFormat="1" applyBorder="1" applyAlignment="1">
      <alignment wrapText="1"/>
    </xf>
    <xf numFmtId="43" fontId="0" fillId="0" borderId="0" xfId="1" applyFont="1" applyAlignment="1">
      <alignment vertical="center" wrapText="1"/>
    </xf>
    <xf numFmtId="0" fontId="0" fillId="0" borderId="18" xfId="0" applyBorder="1" applyAlignment="1">
      <alignment wrapText="1"/>
    </xf>
    <xf numFmtId="0" fontId="36" fillId="0" borderId="4" xfId="0" applyFont="1" applyBorder="1" applyAlignment="1">
      <alignment wrapText="1"/>
    </xf>
    <xf numFmtId="43" fontId="36" fillId="0" borderId="4" xfId="0" applyNumberFormat="1" applyFont="1" applyBorder="1" applyAlignment="1">
      <alignment wrapText="1"/>
    </xf>
    <xf numFmtId="43" fontId="35" fillId="0" borderId="1" xfId="1" applyFont="1" applyBorder="1" applyAlignment="1">
      <alignment vertical="center" wrapText="1"/>
    </xf>
    <xf numFmtId="0" fontId="15" fillId="0" borderId="0" xfId="12" applyFont="1" applyAlignment="1">
      <alignment wrapText="1"/>
    </xf>
    <xf numFmtId="43" fontId="11" fillId="0" borderId="7" xfId="1" applyFont="1" applyBorder="1" applyAlignment="1">
      <alignment horizontal="center" vertical="center" wrapText="1"/>
    </xf>
    <xf numFmtId="166" fontId="12" fillId="0" borderId="4" xfId="10" applyNumberFormat="1" applyFont="1" applyBorder="1" applyAlignment="1">
      <alignment horizontal="center" vertical="center" wrapText="1"/>
    </xf>
    <xf numFmtId="43" fontId="8" fillId="0" borderId="7" xfId="1" applyFont="1" applyFill="1" applyBorder="1" applyAlignment="1">
      <alignment wrapText="1"/>
    </xf>
    <xf numFmtId="166" fontId="18" fillId="0" borderId="1" xfId="3" applyNumberFormat="1" applyFont="1" applyBorder="1" applyAlignment="1">
      <alignment horizontal="justify" vertical="top"/>
    </xf>
    <xf numFmtId="43" fontId="17" fillId="0" borderId="19" xfId="1" applyFont="1" applyFill="1" applyBorder="1" applyAlignment="1">
      <alignment horizontal="justify" vertical="top" wrapText="1"/>
    </xf>
    <xf numFmtId="0" fontId="15" fillId="0" borderId="0" xfId="12" applyFont="1" applyAlignment="1">
      <alignment vertical="center" wrapText="1"/>
    </xf>
    <xf numFmtId="0" fontId="15" fillId="0" borderId="0" xfId="12" applyFont="1" applyAlignment="1">
      <alignment vertical="center"/>
    </xf>
    <xf numFmtId="168" fontId="29" fillId="0" borderId="1" xfId="1" applyNumberFormat="1" applyFont="1" applyBorder="1" applyAlignment="1">
      <alignment horizontal="center" vertical="center"/>
    </xf>
    <xf numFmtId="168" fontId="0" fillId="0" borderId="1" xfId="1" applyNumberFormat="1" applyFont="1" applyBorder="1" applyAlignment="1">
      <alignment horizontal="center" vertical="center" wrapText="1"/>
    </xf>
    <xf numFmtId="168" fontId="0" fillId="0" borderId="9" xfId="1" applyNumberFormat="1" applyFont="1" applyBorder="1" applyAlignment="1">
      <alignment horizontal="center" vertical="center" wrapText="1"/>
    </xf>
    <xf numFmtId="168" fontId="0" fillId="0" borderId="9" xfId="0" applyNumberFormat="1" applyBorder="1" applyAlignment="1">
      <alignment horizontal="center" vertical="center" wrapText="1"/>
    </xf>
    <xf numFmtId="168" fontId="29" fillId="0" borderId="9" xfId="12" applyNumberFormat="1" applyFont="1" applyBorder="1" applyAlignment="1">
      <alignment horizontal="center" vertical="center"/>
    </xf>
    <xf numFmtId="168" fontId="27" fillId="0" borderId="7" xfId="1" applyNumberFormat="1" applyFont="1" applyBorder="1" applyAlignment="1">
      <alignment horizontal="center" vertical="center"/>
    </xf>
    <xf numFmtId="168" fontId="27" fillId="0" borderId="4" xfId="12" applyNumberFormat="1" applyFont="1" applyBorder="1" applyAlignment="1">
      <alignment horizontal="center" vertical="center"/>
    </xf>
    <xf numFmtId="168" fontId="26" fillId="0" borderId="8" xfId="1" applyNumberFormat="1" applyFont="1" applyBorder="1" applyAlignment="1">
      <alignment horizontal="center" vertical="center"/>
    </xf>
    <xf numFmtId="168" fontId="9" fillId="0" borderId="0" xfId="1" applyNumberFormat="1" applyFont="1" applyAlignment="1">
      <alignment horizontal="center" vertical="center"/>
    </xf>
    <xf numFmtId="168" fontId="8" fillId="0" borderId="14" xfId="1" applyNumberFormat="1" applyFont="1" applyBorder="1" applyAlignment="1">
      <alignment vertical="center"/>
    </xf>
    <xf numFmtId="168" fontId="8" fillId="0" borderId="6" xfId="1" applyNumberFormat="1" applyFont="1" applyBorder="1" applyAlignment="1">
      <alignment horizontal="center" vertical="center" wrapText="1"/>
    </xf>
    <xf numFmtId="168" fontId="12" fillId="0" borderId="8" xfId="1" applyNumberFormat="1" applyFont="1" applyBorder="1" applyAlignment="1">
      <alignment horizontal="center" vertical="center"/>
    </xf>
    <xf numFmtId="168" fontId="12" fillId="0" borderId="6" xfId="1" applyNumberFormat="1" applyFont="1" applyBorder="1" applyAlignment="1">
      <alignment horizontal="center" vertical="center"/>
    </xf>
    <xf numFmtId="168" fontId="12" fillId="0" borderId="4" xfId="1" applyNumberFormat="1" applyFont="1" applyBorder="1" applyAlignment="1">
      <alignment horizontal="center" vertical="center"/>
    </xf>
    <xf numFmtId="168" fontId="12" fillId="0" borderId="1" xfId="1" applyNumberFormat="1" applyFont="1" applyBorder="1" applyAlignment="1">
      <alignment vertical="center" wrapText="1"/>
    </xf>
    <xf numFmtId="168" fontId="12" fillId="0" borderId="1" xfId="1" applyNumberFormat="1" applyFont="1" applyBorder="1" applyAlignment="1">
      <alignment horizontal="center" vertical="center" wrapText="1"/>
    </xf>
    <xf numFmtId="168" fontId="12" fillId="0" borderId="1" xfId="1" applyNumberFormat="1" applyFont="1" applyFill="1" applyBorder="1" applyAlignment="1" applyProtection="1">
      <alignment horizontal="center" vertical="center" wrapText="1"/>
    </xf>
    <xf numFmtId="168" fontId="12" fillId="0" borderId="1" xfId="1" applyNumberFormat="1" applyFont="1" applyBorder="1" applyAlignment="1">
      <alignment horizontal="center" vertical="center"/>
    </xf>
    <xf numFmtId="168" fontId="12" fillId="0" borderId="9" xfId="1" applyNumberFormat="1" applyFont="1" applyBorder="1" applyAlignment="1">
      <alignment horizontal="center" vertical="center"/>
    </xf>
    <xf numFmtId="168" fontId="8" fillId="0" borderId="6" xfId="1" applyNumberFormat="1" applyFont="1" applyBorder="1" applyAlignment="1">
      <alignment horizontal="center" vertical="center"/>
    </xf>
    <xf numFmtId="0" fontId="29" fillId="0" borderId="9" xfId="12" applyFont="1" applyBorder="1" applyAlignment="1">
      <alignment horizontal="center" vertical="center" wrapText="1"/>
    </xf>
    <xf numFmtId="0" fontId="28" fillId="0" borderId="1" xfId="12" applyFont="1" applyBorder="1" applyAlignment="1">
      <alignment horizontal="center" vertical="center"/>
    </xf>
    <xf numFmtId="0" fontId="44" fillId="0" borderId="22" xfId="12" applyFont="1" applyBorder="1" applyAlignment="1">
      <alignment horizontal="center" vertical="center" wrapText="1"/>
    </xf>
    <xf numFmtId="0" fontId="44" fillId="0" borderId="21" xfId="12" applyFont="1" applyBorder="1" applyAlignment="1">
      <alignment horizontal="center" vertical="center"/>
    </xf>
    <xf numFmtId="0" fontId="44" fillId="0" borderId="23" xfId="12" applyFont="1" applyBorder="1" applyAlignment="1">
      <alignment horizontal="center" vertical="center"/>
    </xf>
    <xf numFmtId="1" fontId="11" fillId="0" borderId="0" xfId="3" applyNumberFormat="1" applyFont="1" applyAlignment="1">
      <alignment horizontal="center" vertical="center"/>
    </xf>
    <xf numFmtId="0" fontId="11" fillId="0" borderId="0" xfId="10" applyFont="1" applyAlignment="1">
      <alignment horizontal="center" vertical="center"/>
    </xf>
    <xf numFmtId="0" fontId="11" fillId="0" borderId="0" xfId="10" applyFont="1" applyAlignment="1">
      <alignment horizontal="center" vertical="center" wrapText="1"/>
    </xf>
    <xf numFmtId="1" fontId="11" fillId="0" borderId="0" xfId="3" applyNumberFormat="1" applyFont="1" applyAlignment="1">
      <alignment horizontal="center" vertical="center" wrapText="1"/>
    </xf>
    <xf numFmtId="1" fontId="13" fillId="0" borderId="0" xfId="3" applyNumberFormat="1" applyFont="1" applyAlignment="1">
      <alignment horizontal="center" vertical="center" wrapText="1"/>
    </xf>
    <xf numFmtId="1" fontId="8" fillId="0" borderId="9" xfId="3" applyNumberFormat="1" applyFont="1" applyBorder="1" applyAlignment="1">
      <alignment horizontal="center" vertical="center"/>
    </xf>
    <xf numFmtId="1" fontId="22" fillId="0" borderId="1" xfId="3" applyNumberFormat="1" applyFont="1" applyBorder="1" applyAlignment="1">
      <alignment horizontal="center" vertical="center"/>
    </xf>
    <xf numFmtId="0" fontId="13"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13" fillId="0" borderId="8" xfId="0" applyNumberFormat="1" applyFont="1" applyFill="1" applyBorder="1" applyAlignment="1">
      <alignment horizontal="center" vertical="center" wrapText="1"/>
    </xf>
    <xf numFmtId="1" fontId="8" fillId="0" borderId="14" xfId="3" applyNumberFormat="1" applyFont="1" applyBorder="1" applyAlignment="1">
      <alignment horizontal="center" vertical="center"/>
    </xf>
    <xf numFmtId="1" fontId="8" fillId="0" borderId="15" xfId="3" applyNumberFormat="1" applyFont="1" applyBorder="1" applyAlignment="1">
      <alignment horizontal="center" vertical="center"/>
    </xf>
    <xf numFmtId="0" fontId="12" fillId="0" borderId="1" xfId="0" applyNumberFormat="1" applyFont="1" applyBorder="1" applyAlignment="1">
      <alignment horizontal="center" vertical="top"/>
    </xf>
    <xf numFmtId="0" fontId="12" fillId="0" borderId="1" xfId="0" applyFont="1" applyFill="1" applyBorder="1" applyAlignment="1">
      <alignment horizontal="center" vertical="top"/>
    </xf>
    <xf numFmtId="0" fontId="12" fillId="0" borderId="1" xfId="0" applyFont="1" applyFill="1" applyBorder="1" applyAlignment="1">
      <alignment horizontal="center" vertical="top" wrapText="1"/>
    </xf>
    <xf numFmtId="0" fontId="17" fillId="0" borderId="0" xfId="0" applyFont="1" applyAlignment="1">
      <alignment horizontal="center" vertical="center"/>
    </xf>
  </cellXfs>
  <cellStyles count="30">
    <cellStyle name="Comma" xfId="1" builtinId="3"/>
    <cellStyle name="Comma 18 2 2 2" xfId="14" xr:uid="{BAB69C1B-AB09-474C-BE5E-DBC8E99AFDA9}"/>
    <cellStyle name="Comma 2" xfId="4" xr:uid="{00000000-0005-0000-0000-000001000000}"/>
    <cellStyle name="Comma 2 2" xfId="19" xr:uid="{59E0030F-CBA1-4A48-8B3D-BA3EA6695AB5}"/>
    <cellStyle name="Comma 2 2 2" xfId="17" xr:uid="{A6A443CA-76DA-49DE-A92C-57CABF81C1F0}"/>
    <cellStyle name="Comma 3" xfId="8" xr:uid="{00000000-0005-0000-0000-000002000000}"/>
    <cellStyle name="Comma 4" xfId="11" xr:uid="{00000000-0005-0000-0000-000003000000}"/>
    <cellStyle name="Comma 4 2" xfId="26" xr:uid="{7A8B8FC3-32D7-4A3F-B576-B37898FBABBE}"/>
    <cellStyle name="Comma 6" xfId="21" xr:uid="{B0DD75D8-0136-4AD3-86E7-A2BAD9D6DCC7}"/>
    <cellStyle name="Excel Built-in Normal" xfId="3" xr:uid="{00000000-0005-0000-0000-000004000000}"/>
    <cellStyle name="Excel Built-in Normal 2" xfId="13" xr:uid="{16F188F5-D412-4073-A49E-DB12D377CBB4}"/>
    <cellStyle name="Excel Built-in Normal 2 2" xfId="15" xr:uid="{E8567B5C-9C95-4D64-BA3B-CA1DAEF5F53F}"/>
    <cellStyle name="Normal" xfId="0" builtinId="0" customBuiltin="1"/>
    <cellStyle name="Normal - Style1 7" xfId="23" xr:uid="{67BABFC3-31B3-4697-9921-99B6A3305CF1}"/>
    <cellStyle name="Normal 10" xfId="6" xr:uid="{00000000-0005-0000-0000-000006000000}"/>
    <cellStyle name="Normal 10 2" xfId="22" xr:uid="{B6EB0DDA-FAFF-43BE-9D31-85C944E25FEB}"/>
    <cellStyle name="Normal 12 2" xfId="24" xr:uid="{4BF882FD-3364-477C-A6CF-443966F8E4F6}"/>
    <cellStyle name="Normal 2" xfId="2" xr:uid="{00000000-0005-0000-0000-000007000000}"/>
    <cellStyle name="Normal 2 2" xfId="5" xr:uid="{00000000-0005-0000-0000-000008000000}"/>
    <cellStyle name="Normal 2 3" xfId="7" xr:uid="{00000000-0005-0000-0000-000009000000}"/>
    <cellStyle name="Normal 2 3 2" xfId="16" xr:uid="{650DA545-123E-4FF1-8BBB-9F845806873B}"/>
    <cellStyle name="Normal 2 3 4 2" xfId="18" xr:uid="{8145940D-F293-4979-ADAF-A6F361CF6607}"/>
    <cellStyle name="Normal 3" xfId="10" xr:uid="{00000000-0005-0000-0000-00000A000000}"/>
    <cellStyle name="Normal 3 2" xfId="25" xr:uid="{A3CB8B68-ADD1-4042-947E-9BA2458F8EA7}"/>
    <cellStyle name="Normal 4" xfId="12" xr:uid="{00000000-0005-0000-0000-00000B000000}"/>
    <cellStyle name="Normal 4 2" xfId="27" xr:uid="{31CAC185-C679-4B2B-B5A5-79F7B498FB68}"/>
    <cellStyle name="Normal 5" xfId="29" xr:uid="{CB727309-5581-425E-934D-0225B105E323}"/>
    <cellStyle name="Normal 6" xfId="9" xr:uid="{00000000-0005-0000-0000-00000C000000}"/>
    <cellStyle name="Normal 7" xfId="20" xr:uid="{BD9B1AC6-B693-4D74-AEA1-1AF258E7A9A6}"/>
    <cellStyle name="Normal 9" xfId="28" xr:uid="{989E908A-21A4-4076-97F5-0351D895898F}"/>
  </cellStyles>
  <dxfs count="2">
    <dxf>
      <font>
        <color rgb="FF9C0006"/>
      </font>
      <fill>
        <patternFill>
          <bgColor rgb="FFFFC7CE"/>
        </patternFill>
      </fill>
    </dxf>
    <dxf>
      <font>
        <color rgb="FF9C0006"/>
      </font>
      <fill>
        <patternFill>
          <bgColor rgb="FFFFC7CE"/>
        </patternFill>
      </fill>
    </dxf>
  </dxfs>
  <tableStyles count="0"/>
  <colors>
    <indexedColors>
      <rgbColor rgb="FF000000"/>
      <rgbColor rgb="FFFFFFFF"/>
      <rgbColor rgb="FFFF0000"/>
      <rgbColor rgb="FF00FF00"/>
      <rgbColor rgb="FF0000FF"/>
      <rgbColor rgb="FFFFFF00"/>
      <rgbColor rgb="FFFF00FF"/>
      <rgbColor rgb="FF00FFFF"/>
      <rgbColor rgb="FF000000"/>
      <rgbColor rgb="FFFF2600"/>
      <rgbColor rgb="FFAAAAAA"/>
      <rgbColor rgb="FF4D5D2C"/>
      <rgbColor rgb="FFCE222B"/>
      <rgbColor rgb="FFFF0000"/>
      <rgbColor rgb="FFFFFF0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1</xdr:row>
      <xdr:rowOff>95250</xdr:rowOff>
    </xdr:from>
    <xdr:to>
      <xdr:col>1</xdr:col>
      <xdr:colOff>895350</xdr:colOff>
      <xdr:row>1</xdr:row>
      <xdr:rowOff>762000</xdr:rowOff>
    </xdr:to>
    <xdr:pic>
      <xdr:nvPicPr>
        <xdr:cNvPr id="2" name="Picture 1">
          <a:extLst>
            <a:ext uri="{FF2B5EF4-FFF2-40B4-BE49-F238E27FC236}">
              <a16:creationId xmlns:a16="http://schemas.microsoft.com/office/drawing/2014/main" id="{636D3F65-E30D-4396-B1B9-2B0422C942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266700"/>
          <a:ext cx="1314450" cy="666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0</xdr:colOff>
      <xdr:row>49</xdr:row>
      <xdr:rowOff>460098</xdr:rowOff>
    </xdr:from>
    <xdr:to>
      <xdr:col>18</xdr:col>
      <xdr:colOff>258326</xdr:colOff>
      <xdr:row>49</xdr:row>
      <xdr:rowOff>1366630</xdr:rowOff>
    </xdr:to>
    <xdr:pic>
      <xdr:nvPicPr>
        <xdr:cNvPr id="3" name="Picture 2">
          <a:extLst>
            <a:ext uri="{FF2B5EF4-FFF2-40B4-BE49-F238E27FC236}">
              <a16:creationId xmlns:a16="http://schemas.microsoft.com/office/drawing/2014/main" id="{A7AA0C25-FE40-52EC-19A9-1879E9E242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51508" y="41914555"/>
          <a:ext cx="1208709" cy="906532"/>
        </a:xfrm>
        <a:prstGeom prst="rect">
          <a:avLst/>
        </a:prstGeom>
      </xdr:spPr>
    </xdr:pic>
    <xdr:clientData/>
  </xdr:twoCellAnchor>
  <xdr:twoCellAnchor editAs="oneCell">
    <xdr:from>
      <xdr:col>16</xdr:col>
      <xdr:colOff>0</xdr:colOff>
      <xdr:row>37</xdr:row>
      <xdr:rowOff>935936</xdr:rowOff>
    </xdr:from>
    <xdr:to>
      <xdr:col>18</xdr:col>
      <xdr:colOff>262970</xdr:colOff>
      <xdr:row>37</xdr:row>
      <xdr:rowOff>1885537</xdr:rowOff>
    </xdr:to>
    <xdr:pic>
      <xdr:nvPicPr>
        <xdr:cNvPr id="5" name="Picture 4">
          <a:extLst>
            <a:ext uri="{FF2B5EF4-FFF2-40B4-BE49-F238E27FC236}">
              <a16:creationId xmlns:a16="http://schemas.microsoft.com/office/drawing/2014/main" id="{FC2AAF9C-6635-0313-6936-6977DF53B01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49349" y="34356262"/>
          <a:ext cx="1194303" cy="949601"/>
        </a:xfrm>
        <a:prstGeom prst="rect">
          <a:avLst/>
        </a:prstGeom>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4"/>
  <sheetViews>
    <sheetView tabSelected="1" zoomScaleNormal="100" zoomScaleSheetLayoutView="85" workbookViewId="0">
      <selection activeCell="G27" sqref="G27"/>
    </sheetView>
  </sheetViews>
  <sheetFormatPr defaultColWidth="9" defaultRowHeight="12.75"/>
  <cols>
    <col min="1" max="1" width="6.375" style="322" customWidth="1"/>
    <col min="2" max="2" width="44.125" style="322" customWidth="1"/>
    <col min="3" max="3" width="17.625" style="322" customWidth="1"/>
    <col min="4" max="4" width="9.5" style="322" customWidth="1"/>
    <col min="5" max="6" width="11.875" style="322" bestFit="1" customWidth="1"/>
    <col min="7" max="16384" width="9" style="322"/>
  </cols>
  <sheetData>
    <row r="1" spans="1:3" ht="13.5" thickBot="1"/>
    <row r="2" spans="1:3" ht="66.75" customHeight="1" thickBot="1">
      <c r="A2" s="632" t="s">
        <v>941</v>
      </c>
      <c r="B2" s="633"/>
      <c r="C2" s="634"/>
    </row>
    <row r="3" spans="1:3" ht="23.25" customHeight="1">
      <c r="A3" s="631" t="s">
        <v>539</v>
      </c>
      <c r="B3" s="631"/>
      <c r="C3" s="631"/>
    </row>
    <row r="5" spans="1:3" ht="21" customHeight="1" thickBot="1">
      <c r="A5" s="323" t="s">
        <v>516</v>
      </c>
      <c r="B5" s="324"/>
      <c r="C5" s="323" t="s">
        <v>937</v>
      </c>
    </row>
    <row r="6" spans="1:3" ht="16.5" thickBot="1">
      <c r="A6" s="325" t="s">
        <v>517</v>
      </c>
      <c r="B6" s="326" t="s">
        <v>518</v>
      </c>
      <c r="C6" s="327" t="s">
        <v>519</v>
      </c>
    </row>
    <row r="7" spans="1:3" ht="13.5" customHeight="1">
      <c r="A7" s="328"/>
      <c r="B7" s="328"/>
      <c r="C7" s="328"/>
    </row>
    <row r="8" spans="1:3">
      <c r="A8" s="329">
        <v>1</v>
      </c>
      <c r="B8" s="329" t="s">
        <v>540</v>
      </c>
      <c r="C8" s="610">
        <f>'0 Overall'!J92</f>
        <v>8365061.5199999996</v>
      </c>
    </row>
    <row r="9" spans="1:3">
      <c r="A9" s="329">
        <v>2</v>
      </c>
      <c r="B9" s="329" t="s">
        <v>541</v>
      </c>
      <c r="C9" s="610">
        <f>'welcome zone'!O159</f>
        <v>13378164</v>
      </c>
    </row>
    <row r="10" spans="1:3">
      <c r="A10" s="329">
        <v>3</v>
      </c>
      <c r="B10" s="329" t="s">
        <v>542</v>
      </c>
      <c r="C10" s="610">
        <f>'fine dine &amp; live kitchen'!J139</f>
        <v>11132359.900000002</v>
      </c>
    </row>
    <row r="11" spans="1:3">
      <c r="A11" s="329">
        <v>4</v>
      </c>
      <c r="B11" s="329" t="s">
        <v>543</v>
      </c>
      <c r="C11" s="610">
        <f>'tea lounge'!K51</f>
        <v>10854987</v>
      </c>
    </row>
    <row r="12" spans="1:3">
      <c r="A12" s="329">
        <v>5</v>
      </c>
      <c r="B12" s="329" t="s">
        <v>544</v>
      </c>
      <c r="C12" s="610">
        <f>'sports &amp; relax lounge'!L103</f>
        <v>13297122.6</v>
      </c>
    </row>
    <row r="13" spans="1:3">
      <c r="A13" s="329">
        <v>6</v>
      </c>
      <c r="B13" s="329" t="s">
        <v>545</v>
      </c>
      <c r="C13" s="610">
        <f>SPA!J194</f>
        <v>7537441.7000000002</v>
      </c>
    </row>
    <row r="14" spans="1:3">
      <c r="A14" s="329">
        <v>7</v>
      </c>
      <c r="B14" s="329" t="s">
        <v>546</v>
      </c>
      <c r="C14" s="611">
        <f>'Water Lounge'!J244</f>
        <v>13286099.459999999</v>
      </c>
    </row>
    <row r="15" spans="1:3">
      <c r="A15" s="330">
        <v>8</v>
      </c>
      <c r="B15" s="330" t="s">
        <v>547</v>
      </c>
      <c r="C15" s="612">
        <f>'CIVIL-WET WORK'!$N$172</f>
        <v>13042745.635</v>
      </c>
    </row>
    <row r="16" spans="1:3">
      <c r="A16" s="330">
        <v>9</v>
      </c>
      <c r="B16" s="330" t="s">
        <v>548</v>
      </c>
      <c r="C16" s="613" t="s">
        <v>934</v>
      </c>
    </row>
    <row r="17" spans="1:6" ht="25.5">
      <c r="A17" s="330">
        <v>10</v>
      </c>
      <c r="B17" s="630" t="s">
        <v>939</v>
      </c>
      <c r="C17" s="613" t="s">
        <v>935</v>
      </c>
    </row>
    <row r="18" spans="1:6" ht="25.5">
      <c r="A18" s="330">
        <v>11</v>
      </c>
      <c r="B18" s="630" t="s">
        <v>940</v>
      </c>
      <c r="C18" s="613" t="s">
        <v>935</v>
      </c>
    </row>
    <row r="19" spans="1:6" ht="13.5" thickBot="1">
      <c r="A19" s="330" t="s">
        <v>900</v>
      </c>
      <c r="B19" s="330"/>
      <c r="C19" s="614"/>
    </row>
    <row r="20" spans="1:6" ht="15.75" thickBot="1">
      <c r="A20" s="331"/>
      <c r="B20" s="332" t="s">
        <v>936</v>
      </c>
      <c r="C20" s="615">
        <f>SUM(C8:C19)</f>
        <v>90893981.815000013</v>
      </c>
      <c r="E20" s="425"/>
      <c r="F20" s="425"/>
    </row>
    <row r="21" spans="1:6" ht="15">
      <c r="A21" s="333"/>
      <c r="B21" s="333"/>
      <c r="C21" s="616"/>
      <c r="E21" s="426"/>
      <c r="F21" s="426"/>
    </row>
    <row r="22" spans="1:6" ht="15.75" thickBot="1">
      <c r="A22" s="334"/>
      <c r="B22" s="335" t="s">
        <v>520</v>
      </c>
      <c r="C22" s="617">
        <f>SUM(C20*10%)</f>
        <v>9089398.1815000009</v>
      </c>
    </row>
    <row r="23" spans="1:6" ht="15.75" thickBot="1">
      <c r="A23" s="331"/>
      <c r="B23" s="332" t="s">
        <v>521</v>
      </c>
      <c r="C23" s="615">
        <f>SUM(C20:C22)</f>
        <v>99983379.996500015</v>
      </c>
    </row>
    <row r="24" spans="1:6">
      <c r="A24" s="336"/>
      <c r="B24" s="336"/>
      <c r="C24" s="337"/>
    </row>
    <row r="25" spans="1:6">
      <c r="A25" s="338"/>
      <c r="B25" s="338" t="s">
        <v>522</v>
      </c>
    </row>
    <row r="26" spans="1:6">
      <c r="A26" s="339">
        <v>1</v>
      </c>
      <c r="B26" s="339" t="s">
        <v>929</v>
      </c>
    </row>
    <row r="27" spans="1:6">
      <c r="A27" s="339">
        <v>2</v>
      </c>
      <c r="B27" s="339" t="s">
        <v>938</v>
      </c>
    </row>
    <row r="28" spans="1:6">
      <c r="A28" s="339">
        <v>3</v>
      </c>
      <c r="B28" s="339" t="s">
        <v>523</v>
      </c>
    </row>
    <row r="29" spans="1:6">
      <c r="A29" s="339">
        <v>4</v>
      </c>
      <c r="B29" s="339" t="s">
        <v>524</v>
      </c>
    </row>
    <row r="30" spans="1:6">
      <c r="A30" s="339">
        <v>5</v>
      </c>
      <c r="B30" s="339" t="s">
        <v>525</v>
      </c>
    </row>
    <row r="31" spans="1:6">
      <c r="A31" s="339">
        <v>6</v>
      </c>
      <c r="B31" s="339" t="s">
        <v>526</v>
      </c>
    </row>
    <row r="32" spans="1:6">
      <c r="A32" s="339"/>
      <c r="B32" s="339"/>
    </row>
    <row r="33" spans="1:3">
      <c r="B33" s="338" t="s">
        <v>527</v>
      </c>
    </row>
    <row r="34" spans="1:3">
      <c r="A34" s="609">
        <v>1</v>
      </c>
      <c r="B34" s="339" t="s">
        <v>528</v>
      </c>
    </row>
    <row r="35" spans="1:3">
      <c r="A35" s="609">
        <v>2</v>
      </c>
      <c r="B35" s="339" t="s">
        <v>529</v>
      </c>
    </row>
    <row r="36" spans="1:3" ht="42" customHeight="1">
      <c r="A36" s="609">
        <v>3</v>
      </c>
      <c r="B36" s="608" t="s">
        <v>530</v>
      </c>
      <c r="C36" s="602"/>
    </row>
    <row r="37" spans="1:3">
      <c r="A37" s="609">
        <v>4</v>
      </c>
      <c r="B37" s="339" t="s">
        <v>531</v>
      </c>
    </row>
    <row r="38" spans="1:3">
      <c r="A38" s="609">
        <v>5</v>
      </c>
      <c r="B38" s="339" t="s">
        <v>532</v>
      </c>
    </row>
    <row r="39" spans="1:3">
      <c r="A39" s="609">
        <v>6</v>
      </c>
      <c r="B39" s="339" t="s">
        <v>533</v>
      </c>
    </row>
    <row r="40" spans="1:3">
      <c r="A40" s="609">
        <v>7</v>
      </c>
      <c r="B40" s="339" t="s">
        <v>534</v>
      </c>
    </row>
    <row r="41" spans="1:3">
      <c r="A41" s="609">
        <v>8</v>
      </c>
      <c r="B41" s="339" t="s">
        <v>535</v>
      </c>
    </row>
    <row r="42" spans="1:3">
      <c r="A42" s="609">
        <v>9</v>
      </c>
      <c r="B42" s="339" t="s">
        <v>536</v>
      </c>
    </row>
    <row r="43" spans="1:3">
      <c r="A43" s="609">
        <v>10</v>
      </c>
      <c r="B43" s="339" t="s">
        <v>537</v>
      </c>
    </row>
    <row r="44" spans="1:3">
      <c r="A44" s="609">
        <v>11</v>
      </c>
      <c r="B44" s="339" t="s">
        <v>538</v>
      </c>
    </row>
  </sheetData>
  <mergeCells count="2">
    <mergeCell ref="A3:C3"/>
    <mergeCell ref="A2:C2"/>
  </mergeCells>
  <pageMargins left="0.19685039370078741" right="0.19685039370078741" top="0.15748031496062992" bottom="0.19685039370078741" header="0.31496062992125984" footer="0.31496062992125984"/>
  <pageSetup scale="8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26148-4ED8-461E-B1B5-D4AA14F3132F}">
  <dimension ref="A4:I69"/>
  <sheetViews>
    <sheetView topLeftCell="A4" zoomScaleNormal="100" zoomScaleSheetLayoutView="85" workbookViewId="0">
      <pane ySplit="1" topLeftCell="A10" activePane="bottomLeft" state="frozen"/>
      <selection activeCell="A4" sqref="A4"/>
      <selection pane="bottomLeft" activeCell="I28" sqref="I28"/>
    </sheetView>
  </sheetViews>
  <sheetFormatPr defaultColWidth="11.25" defaultRowHeight="12.75"/>
  <cols>
    <col min="1" max="1" width="11.25" style="578"/>
    <col min="2" max="2" width="47.125" style="578" customWidth="1"/>
    <col min="3" max="5" width="11.25" style="578"/>
    <col min="6" max="6" width="12" style="578" bestFit="1" customWidth="1"/>
    <col min="7" max="7" width="19.5" style="578" customWidth="1"/>
    <col min="8" max="8" width="39" style="578" customWidth="1"/>
    <col min="9" max="16384" width="11.25" style="578"/>
  </cols>
  <sheetData>
    <row r="4" spans="1:9" s="415" customFormat="1" ht="15">
      <c r="A4" s="583" t="s">
        <v>901</v>
      </c>
      <c r="B4" s="583" t="s">
        <v>21</v>
      </c>
      <c r="C4" s="583" t="s">
        <v>902</v>
      </c>
      <c r="D4" s="583" t="s">
        <v>903</v>
      </c>
      <c r="E4" s="583" t="s">
        <v>904</v>
      </c>
      <c r="F4" s="584" t="s">
        <v>717</v>
      </c>
      <c r="G4" s="585" t="s">
        <v>905</v>
      </c>
      <c r="I4" s="579"/>
    </row>
    <row r="5" spans="1:9" s="415" customFormat="1">
      <c r="A5" s="422"/>
      <c r="B5" s="422"/>
      <c r="C5" s="422"/>
      <c r="D5" s="422"/>
      <c r="E5" s="422"/>
      <c r="F5" s="580"/>
      <c r="G5" s="580"/>
      <c r="I5" s="579"/>
    </row>
    <row r="6" spans="1:9" s="415" customFormat="1" ht="21" customHeight="1">
      <c r="A6" s="581">
        <v>1</v>
      </c>
      <c r="B6" s="586" t="s">
        <v>906</v>
      </c>
      <c r="C6" s="587" t="s">
        <v>907</v>
      </c>
      <c r="D6" s="588">
        <v>1</v>
      </c>
      <c r="E6" s="588">
        <v>30</v>
      </c>
      <c r="F6" s="589">
        <v>4500</v>
      </c>
      <c r="G6" s="590">
        <f>F6*E6</f>
        <v>135000</v>
      </c>
      <c r="I6" s="579"/>
    </row>
    <row r="7" spans="1:9" s="415" customFormat="1" ht="34.5" customHeight="1">
      <c r="A7" s="581">
        <v>2</v>
      </c>
      <c r="B7" s="586" t="s">
        <v>908</v>
      </c>
      <c r="C7" s="587" t="s">
        <v>907</v>
      </c>
      <c r="D7" s="588">
        <v>1</v>
      </c>
      <c r="E7" s="588">
        <v>7</v>
      </c>
      <c r="F7" s="589">
        <v>22000</v>
      </c>
      <c r="G7" s="590">
        <f>F7*E7</f>
        <v>154000</v>
      </c>
      <c r="I7" s="579"/>
    </row>
    <row r="8" spans="1:9" s="415" customFormat="1" ht="49.5" customHeight="1">
      <c r="A8" s="581">
        <v>3</v>
      </c>
      <c r="B8" s="586" t="s">
        <v>909</v>
      </c>
      <c r="C8" s="587" t="s">
        <v>907</v>
      </c>
      <c r="D8" s="588">
        <v>8</v>
      </c>
      <c r="E8" s="588">
        <v>15</v>
      </c>
      <c r="F8" s="589">
        <v>2000</v>
      </c>
      <c r="G8" s="590">
        <f>F8*E8*D8</f>
        <v>240000</v>
      </c>
      <c r="I8" s="579"/>
    </row>
    <row r="9" spans="1:9" s="415" customFormat="1" ht="27" customHeight="1">
      <c r="A9" s="581">
        <v>4</v>
      </c>
      <c r="B9" s="586" t="s">
        <v>910</v>
      </c>
      <c r="C9" s="591" t="s">
        <v>907</v>
      </c>
      <c r="D9" s="588">
        <f>25*1.5</f>
        <v>37.5</v>
      </c>
      <c r="E9" s="588">
        <v>30</v>
      </c>
      <c r="F9" s="589">
        <v>1200</v>
      </c>
      <c r="G9" s="590">
        <f t="shared" ref="G9" si="0">F9*E9*D9</f>
        <v>1350000</v>
      </c>
      <c r="I9" s="579"/>
    </row>
    <row r="10" spans="1:9" s="415" customFormat="1" ht="15">
      <c r="A10" s="591">
        <v>5</v>
      </c>
      <c r="B10" s="581" t="s">
        <v>911</v>
      </c>
      <c r="C10" s="591" t="s">
        <v>907</v>
      </c>
      <c r="D10" s="588">
        <v>3</v>
      </c>
      <c r="E10" s="588"/>
      <c r="F10" s="590">
        <v>25000</v>
      </c>
      <c r="G10" s="590">
        <f>F10*D10</f>
        <v>75000</v>
      </c>
      <c r="I10" s="579"/>
    </row>
    <row r="11" spans="1:9" s="415" customFormat="1">
      <c r="A11" s="591"/>
      <c r="B11" s="591"/>
      <c r="C11" s="591"/>
      <c r="D11" s="591"/>
      <c r="E11" s="591"/>
      <c r="F11" s="590"/>
      <c r="G11" s="590"/>
      <c r="I11" s="579"/>
    </row>
    <row r="12" spans="1:9" s="415" customFormat="1" ht="15">
      <c r="A12" s="591"/>
      <c r="B12" s="583" t="s">
        <v>912</v>
      </c>
      <c r="C12" s="591" t="s">
        <v>913</v>
      </c>
      <c r="D12" s="591">
        <v>1</v>
      </c>
      <c r="E12" s="591"/>
      <c r="F12" s="590"/>
      <c r="G12" s="582">
        <f>SUM(G6:G11)</f>
        <v>1954000</v>
      </c>
      <c r="I12" s="579"/>
    </row>
    <row r="13" spans="1:9">
      <c r="A13" s="577"/>
      <c r="B13" s="577"/>
      <c r="C13" s="577"/>
      <c r="D13" s="577"/>
      <c r="E13" s="577"/>
      <c r="F13" s="577"/>
      <c r="G13" s="577"/>
    </row>
    <row r="14" spans="1:9">
      <c r="A14" s="577"/>
      <c r="B14" s="577"/>
      <c r="C14" s="577"/>
      <c r="D14" s="577"/>
      <c r="E14" s="577"/>
      <c r="F14" s="577"/>
      <c r="G14" s="577"/>
    </row>
    <row r="15" spans="1:9" ht="45">
      <c r="A15" s="577"/>
      <c r="B15" s="586" t="s">
        <v>909</v>
      </c>
      <c r="C15" s="577"/>
      <c r="D15" s="577"/>
      <c r="E15" s="577"/>
      <c r="F15" s="577"/>
      <c r="G15" s="577"/>
    </row>
    <row r="16" spans="1:9" ht="25.5">
      <c r="A16" s="577"/>
      <c r="B16" s="587" t="s">
        <v>915</v>
      </c>
      <c r="C16" s="587" t="s">
        <v>914</v>
      </c>
      <c r="D16" s="587">
        <v>1.5</v>
      </c>
      <c r="E16" s="587"/>
      <c r="F16" s="587">
        <v>700</v>
      </c>
      <c r="G16" s="593">
        <f>F16*D16</f>
        <v>1050</v>
      </c>
    </row>
    <row r="17" spans="1:7" ht="25.5">
      <c r="A17" s="577"/>
      <c r="B17" s="587" t="s">
        <v>916</v>
      </c>
      <c r="C17" s="587" t="s">
        <v>914</v>
      </c>
      <c r="D17" s="587">
        <v>1</v>
      </c>
      <c r="E17" s="587"/>
      <c r="F17" s="587">
        <v>150</v>
      </c>
      <c r="G17" s="593">
        <f>F17*D17</f>
        <v>150</v>
      </c>
    </row>
    <row r="18" spans="1:7">
      <c r="A18" s="577"/>
      <c r="B18" s="587"/>
      <c r="C18" s="587"/>
      <c r="D18" s="587"/>
      <c r="E18" s="587"/>
      <c r="F18" s="587"/>
      <c r="G18" s="593"/>
    </row>
    <row r="19" spans="1:7">
      <c r="A19" s="577"/>
      <c r="B19" s="587" t="s">
        <v>917</v>
      </c>
      <c r="C19" s="587"/>
      <c r="D19" s="587"/>
      <c r="E19" s="587"/>
      <c r="F19" s="587"/>
      <c r="G19" s="593">
        <f>SUM(G16:G18)</f>
        <v>1200</v>
      </c>
    </row>
    <row r="20" spans="1:7">
      <c r="A20" s="577"/>
      <c r="B20" s="577"/>
      <c r="C20" s="577"/>
      <c r="D20" s="577"/>
      <c r="E20" s="577"/>
      <c r="F20" s="577"/>
      <c r="G20" s="594"/>
    </row>
    <row r="21" spans="1:7">
      <c r="A21" s="577"/>
      <c r="B21" s="577" t="s">
        <v>918</v>
      </c>
      <c r="C21" s="577" t="s">
        <v>919</v>
      </c>
      <c r="D21" s="577">
        <v>20</v>
      </c>
      <c r="E21" s="577">
        <v>30</v>
      </c>
      <c r="F21" s="577">
        <f>G19</f>
        <v>1200</v>
      </c>
      <c r="G21" s="594">
        <f>F21*E21*D21</f>
        <v>720000</v>
      </c>
    </row>
    <row r="22" spans="1:7">
      <c r="A22" s="577"/>
      <c r="B22" s="577"/>
      <c r="C22" s="577"/>
      <c r="D22" s="577"/>
      <c r="E22" s="577"/>
      <c r="F22" s="577"/>
      <c r="G22" s="577"/>
    </row>
    <row r="23" spans="1:7">
      <c r="A23" s="577"/>
      <c r="B23" s="577" t="s">
        <v>920</v>
      </c>
      <c r="C23" s="577" t="s">
        <v>919</v>
      </c>
      <c r="D23" s="577">
        <v>10</v>
      </c>
      <c r="E23" s="577">
        <v>30</v>
      </c>
      <c r="F23" s="577">
        <v>1200</v>
      </c>
      <c r="G23" s="594">
        <f>F23*E23*D23</f>
        <v>360000</v>
      </c>
    </row>
    <row r="24" spans="1:7">
      <c r="A24" s="577"/>
      <c r="B24" s="577" t="s">
        <v>921</v>
      </c>
      <c r="C24" s="577" t="s">
        <v>919</v>
      </c>
      <c r="D24" s="577">
        <v>15</v>
      </c>
      <c r="E24" s="577">
        <v>30</v>
      </c>
      <c r="F24" s="577">
        <v>1200</v>
      </c>
      <c r="G24" s="594">
        <f t="shared" ref="G24:G29" si="1">F24*E24*D24</f>
        <v>540000</v>
      </c>
    </row>
    <row r="25" spans="1:7">
      <c r="A25" s="577"/>
      <c r="B25" s="577" t="s">
        <v>922</v>
      </c>
      <c r="C25" s="577" t="s">
        <v>919</v>
      </c>
      <c r="D25" s="577">
        <v>20</v>
      </c>
      <c r="E25" s="577">
        <v>30</v>
      </c>
      <c r="F25" s="577">
        <v>1200</v>
      </c>
      <c r="G25" s="594">
        <f t="shared" si="1"/>
        <v>720000</v>
      </c>
    </row>
    <row r="26" spans="1:7">
      <c r="A26" s="577"/>
      <c r="B26" s="577" t="s">
        <v>923</v>
      </c>
      <c r="C26" s="577" t="s">
        <v>919</v>
      </c>
      <c r="D26" s="577">
        <v>20</v>
      </c>
      <c r="E26" s="577">
        <v>30</v>
      </c>
      <c r="F26" s="577">
        <v>1200</v>
      </c>
      <c r="G26" s="594">
        <f t="shared" si="1"/>
        <v>720000</v>
      </c>
    </row>
    <row r="27" spans="1:7">
      <c r="A27" s="577"/>
      <c r="B27" s="577" t="s">
        <v>924</v>
      </c>
      <c r="C27" s="577" t="s">
        <v>919</v>
      </c>
      <c r="D27" s="577">
        <v>20</v>
      </c>
      <c r="E27" s="577">
        <v>30</v>
      </c>
      <c r="F27" s="577">
        <v>1200</v>
      </c>
      <c r="G27" s="594">
        <f t="shared" si="1"/>
        <v>720000</v>
      </c>
    </row>
    <row r="28" spans="1:7">
      <c r="A28" s="577"/>
      <c r="B28" s="577" t="s">
        <v>925</v>
      </c>
      <c r="C28" s="577" t="s">
        <v>919</v>
      </c>
      <c r="D28" s="577">
        <v>15</v>
      </c>
      <c r="E28" s="577">
        <v>30</v>
      </c>
      <c r="F28" s="577">
        <v>1200</v>
      </c>
      <c r="G28" s="594">
        <f t="shared" si="1"/>
        <v>540000</v>
      </c>
    </row>
    <row r="29" spans="1:7">
      <c r="A29" s="577"/>
      <c r="B29" s="577" t="s">
        <v>926</v>
      </c>
      <c r="C29" s="577" t="s">
        <v>919</v>
      </c>
      <c r="D29" s="577">
        <v>15</v>
      </c>
      <c r="E29" s="577">
        <v>30</v>
      </c>
      <c r="F29" s="577">
        <v>1200</v>
      </c>
      <c r="G29" s="594">
        <f t="shared" si="1"/>
        <v>540000</v>
      </c>
    </row>
    <row r="30" spans="1:7" ht="13.5" thickBot="1">
      <c r="A30" s="577"/>
      <c r="B30" s="577"/>
      <c r="C30" s="577"/>
      <c r="D30" s="577"/>
      <c r="E30" s="577"/>
      <c r="F30" s="577"/>
      <c r="G30" s="595"/>
    </row>
    <row r="31" spans="1:7" ht="13.5" thickTop="1">
      <c r="A31" s="577" t="s">
        <v>516</v>
      </c>
      <c r="B31" s="577" t="s">
        <v>928</v>
      </c>
      <c r="C31" s="577"/>
      <c r="D31" s="577"/>
      <c r="E31" s="577"/>
      <c r="F31" s="577"/>
      <c r="G31" s="596">
        <f>SUM(G23:G30)</f>
        <v>4140000</v>
      </c>
    </row>
    <row r="32" spans="1:7">
      <c r="A32" s="577"/>
      <c r="B32" s="577"/>
      <c r="C32" s="577"/>
      <c r="D32" s="577"/>
      <c r="E32" s="577"/>
      <c r="F32" s="577"/>
      <c r="G32" s="577"/>
    </row>
    <row r="33" spans="1:7">
      <c r="A33" s="577"/>
      <c r="B33" s="577"/>
      <c r="C33" s="577"/>
      <c r="D33" s="577"/>
      <c r="E33" s="577"/>
      <c r="F33" s="577"/>
      <c r="G33" s="577"/>
    </row>
    <row r="34" spans="1:7">
      <c r="A34" s="577"/>
      <c r="B34" s="577"/>
      <c r="C34" s="577"/>
      <c r="D34" s="577"/>
      <c r="E34" s="577"/>
      <c r="F34" s="577"/>
      <c r="G34" s="577"/>
    </row>
    <row r="35" spans="1:7" s="597" customFormat="1" ht="38.25">
      <c r="A35" s="593" t="s">
        <v>718</v>
      </c>
      <c r="B35" s="601" t="s">
        <v>930</v>
      </c>
      <c r="C35" s="593" t="s">
        <v>927</v>
      </c>
      <c r="D35" s="593">
        <v>30</v>
      </c>
      <c r="E35" s="593"/>
      <c r="F35" s="593">
        <v>4500</v>
      </c>
      <c r="G35" s="593">
        <f>F35*D35</f>
        <v>135000</v>
      </c>
    </row>
    <row r="36" spans="1:7">
      <c r="A36" s="577"/>
      <c r="B36" s="577"/>
      <c r="C36" s="593" t="s">
        <v>927</v>
      </c>
      <c r="D36" s="593">
        <v>20</v>
      </c>
      <c r="E36" s="593"/>
      <c r="F36" s="593">
        <v>7500</v>
      </c>
      <c r="G36" s="593">
        <f>F36*D36</f>
        <v>150000</v>
      </c>
    </row>
    <row r="37" spans="1:7">
      <c r="A37" s="577" t="s">
        <v>931</v>
      </c>
      <c r="B37" s="577"/>
      <c r="C37" s="593"/>
      <c r="D37" s="593"/>
      <c r="E37" s="593"/>
      <c r="F37" s="593"/>
      <c r="G37" s="593"/>
    </row>
    <row r="38" spans="1:7">
      <c r="A38" s="577" t="s">
        <v>931</v>
      </c>
      <c r="B38" s="577" t="s">
        <v>932</v>
      </c>
      <c r="C38" s="593" t="s">
        <v>933</v>
      </c>
      <c r="D38" s="593">
        <v>1</v>
      </c>
      <c r="E38" s="593"/>
      <c r="F38" s="593">
        <v>500000</v>
      </c>
      <c r="G38" s="593">
        <f>F38*D38</f>
        <v>500000</v>
      </c>
    </row>
    <row r="39" spans="1:7">
      <c r="A39" s="577"/>
      <c r="B39" s="577"/>
      <c r="C39" s="577"/>
      <c r="D39" s="577"/>
      <c r="E39" s="577"/>
      <c r="F39" s="577"/>
      <c r="G39" s="577"/>
    </row>
    <row r="40" spans="1:7">
      <c r="A40" s="577"/>
      <c r="B40" s="577"/>
      <c r="C40" s="577"/>
      <c r="D40" s="577"/>
      <c r="E40" s="577"/>
      <c r="F40" s="577"/>
      <c r="G40" s="577"/>
    </row>
    <row r="41" spans="1:7" ht="13.5" thickBot="1">
      <c r="A41" s="598"/>
      <c r="B41" s="598"/>
      <c r="C41" s="598"/>
      <c r="D41" s="598"/>
      <c r="E41" s="598"/>
      <c r="F41" s="598"/>
      <c r="G41" s="598"/>
    </row>
    <row r="42" spans="1:7" ht="13.5" thickTop="1">
      <c r="A42" s="592"/>
      <c r="B42" s="599" t="s">
        <v>784</v>
      </c>
      <c r="C42" s="599"/>
      <c r="D42" s="599"/>
      <c r="E42" s="599"/>
      <c r="F42" s="599"/>
      <c r="G42" s="600">
        <f>SUM(G31:G41)</f>
        <v>4925000</v>
      </c>
    </row>
    <row r="43" spans="1:7">
      <c r="A43" s="577"/>
      <c r="B43" s="577"/>
      <c r="C43" s="577"/>
      <c r="D43" s="577"/>
      <c r="E43" s="577"/>
      <c r="F43" s="577"/>
      <c r="G43" s="577"/>
    </row>
    <row r="44" spans="1:7">
      <c r="A44" s="577"/>
      <c r="B44" s="577"/>
      <c r="C44" s="577"/>
      <c r="D44" s="577"/>
      <c r="E44" s="577"/>
      <c r="F44" s="577"/>
      <c r="G44" s="577"/>
    </row>
    <row r="45" spans="1:7">
      <c r="A45" s="577"/>
      <c r="B45" s="577"/>
      <c r="C45" s="577"/>
      <c r="D45" s="577"/>
      <c r="E45" s="577"/>
      <c r="F45" s="577"/>
      <c r="G45" s="577"/>
    </row>
    <row r="46" spans="1:7">
      <c r="A46" s="577"/>
      <c r="B46" s="577"/>
      <c r="C46" s="577"/>
      <c r="D46" s="577"/>
      <c r="E46" s="577"/>
      <c r="F46" s="577"/>
      <c r="G46" s="577"/>
    </row>
    <row r="47" spans="1:7">
      <c r="A47" s="577"/>
      <c r="B47" s="577"/>
      <c r="C47" s="577"/>
      <c r="D47" s="577"/>
      <c r="E47" s="577"/>
      <c r="F47" s="577"/>
      <c r="G47" s="577"/>
    </row>
    <row r="48" spans="1:7">
      <c r="A48" s="577"/>
      <c r="B48" s="577"/>
      <c r="C48" s="577"/>
      <c r="D48" s="577"/>
      <c r="E48" s="577"/>
      <c r="F48" s="577"/>
      <c r="G48" s="577"/>
    </row>
    <row r="49" spans="1:7">
      <c r="A49" s="577"/>
      <c r="B49" s="577"/>
      <c r="C49" s="577"/>
      <c r="D49" s="577"/>
      <c r="E49" s="577"/>
      <c r="F49" s="577"/>
      <c r="G49" s="577"/>
    </row>
    <row r="50" spans="1:7">
      <c r="A50" s="577"/>
      <c r="B50" s="577"/>
      <c r="C50" s="577"/>
      <c r="D50" s="577"/>
      <c r="E50" s="577"/>
      <c r="F50" s="577"/>
      <c r="G50" s="577"/>
    </row>
    <row r="51" spans="1:7">
      <c r="A51" s="577"/>
      <c r="B51" s="577"/>
      <c r="C51" s="577"/>
      <c r="D51" s="577"/>
      <c r="E51" s="577"/>
      <c r="F51" s="577"/>
      <c r="G51" s="577"/>
    </row>
    <row r="52" spans="1:7">
      <c r="A52" s="577"/>
      <c r="B52" s="577"/>
      <c r="C52" s="577"/>
      <c r="D52" s="577"/>
      <c r="E52" s="577"/>
      <c r="F52" s="577"/>
      <c r="G52" s="577"/>
    </row>
    <row r="53" spans="1:7">
      <c r="A53" s="577"/>
      <c r="B53" s="577"/>
      <c r="C53" s="577"/>
      <c r="D53" s="577"/>
      <c r="E53" s="577"/>
      <c r="F53" s="577"/>
      <c r="G53" s="577"/>
    </row>
    <row r="54" spans="1:7">
      <c r="A54" s="577"/>
      <c r="B54" s="577"/>
      <c r="C54" s="577"/>
      <c r="D54" s="577"/>
      <c r="E54" s="577"/>
      <c r="F54" s="577"/>
      <c r="G54" s="577"/>
    </row>
    <row r="55" spans="1:7">
      <c r="A55" s="577"/>
      <c r="B55" s="577"/>
      <c r="C55" s="577"/>
      <c r="D55" s="577"/>
      <c r="E55" s="577"/>
      <c r="F55" s="577"/>
      <c r="G55" s="577"/>
    </row>
    <row r="56" spans="1:7">
      <c r="A56" s="577"/>
      <c r="B56" s="577"/>
      <c r="C56" s="577"/>
      <c r="D56" s="577"/>
      <c r="E56" s="577"/>
      <c r="F56" s="577"/>
      <c r="G56" s="577"/>
    </row>
    <row r="57" spans="1:7">
      <c r="A57" s="577"/>
      <c r="B57" s="577"/>
      <c r="C57" s="577"/>
      <c r="D57" s="577"/>
      <c r="E57" s="577"/>
      <c r="F57" s="577"/>
      <c r="G57" s="577"/>
    </row>
    <row r="58" spans="1:7">
      <c r="A58" s="577"/>
      <c r="B58" s="577"/>
      <c r="C58" s="577"/>
      <c r="D58" s="577"/>
      <c r="E58" s="577"/>
      <c r="F58" s="577"/>
      <c r="G58" s="577"/>
    </row>
    <row r="59" spans="1:7">
      <c r="A59" s="577"/>
      <c r="B59" s="577"/>
      <c r="C59" s="577"/>
      <c r="D59" s="577"/>
      <c r="E59" s="577"/>
      <c r="F59" s="577"/>
      <c r="G59" s="577"/>
    </row>
    <row r="60" spans="1:7">
      <c r="A60" s="577"/>
      <c r="B60" s="577"/>
      <c r="C60" s="577"/>
      <c r="D60" s="577"/>
      <c r="E60" s="577"/>
      <c r="F60" s="577"/>
      <c r="G60" s="577"/>
    </row>
    <row r="61" spans="1:7">
      <c r="A61" s="577"/>
      <c r="B61" s="577"/>
      <c r="C61" s="577"/>
      <c r="D61" s="577"/>
      <c r="E61" s="577"/>
      <c r="F61" s="577"/>
      <c r="G61" s="577"/>
    </row>
    <row r="62" spans="1:7">
      <c r="A62" s="577"/>
      <c r="B62" s="577"/>
      <c r="C62" s="577"/>
      <c r="D62" s="577"/>
      <c r="E62" s="577"/>
      <c r="F62" s="577"/>
      <c r="G62" s="577"/>
    </row>
    <row r="63" spans="1:7">
      <c r="A63" s="577"/>
      <c r="B63" s="577"/>
      <c r="C63" s="577"/>
      <c r="D63" s="577"/>
      <c r="E63" s="577"/>
      <c r="F63" s="577"/>
      <c r="G63" s="577"/>
    </row>
    <row r="64" spans="1:7">
      <c r="A64" s="577"/>
      <c r="B64" s="577"/>
      <c r="C64" s="577"/>
      <c r="D64" s="577"/>
      <c r="E64" s="577"/>
      <c r="F64" s="577"/>
      <c r="G64" s="577"/>
    </row>
    <row r="65" spans="1:7">
      <c r="A65" s="577"/>
      <c r="B65" s="577"/>
      <c r="C65" s="577"/>
      <c r="D65" s="577"/>
      <c r="E65" s="577"/>
      <c r="F65" s="577"/>
      <c r="G65" s="577"/>
    </row>
    <row r="66" spans="1:7">
      <c r="A66" s="577"/>
      <c r="B66" s="577"/>
      <c r="C66" s="577"/>
      <c r="D66" s="577"/>
      <c r="E66" s="577"/>
      <c r="F66" s="577"/>
      <c r="G66" s="577"/>
    </row>
    <row r="67" spans="1:7">
      <c r="A67" s="577"/>
      <c r="B67" s="577"/>
      <c r="C67" s="577"/>
      <c r="D67" s="577"/>
      <c r="E67" s="577"/>
      <c r="F67" s="577"/>
      <c r="G67" s="577"/>
    </row>
    <row r="68" spans="1:7">
      <c r="A68" s="577"/>
      <c r="B68" s="577"/>
      <c r="C68" s="577"/>
      <c r="D68" s="577"/>
      <c r="E68" s="577"/>
      <c r="F68" s="577"/>
      <c r="G68" s="577"/>
    </row>
    <row r="69" spans="1:7">
      <c r="A69" s="577"/>
      <c r="B69" s="577"/>
      <c r="C69" s="577"/>
      <c r="D69" s="577"/>
      <c r="E69" s="577"/>
      <c r="F69" s="577"/>
      <c r="G69" s="577"/>
    </row>
  </sheetData>
  <phoneticPr fontId="42" type="noConversion"/>
  <pageMargins left="0.31496062992125984" right="0.11811023622047245" top="0.35433070866141736" bottom="0.35433070866141736" header="0.31496062992125984" footer="0.31496062992125984"/>
  <pageSetup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99"/>
  <sheetViews>
    <sheetView zoomScale="80" zoomScaleNormal="80" workbookViewId="0">
      <pane ySplit="4" topLeftCell="A90" activePane="bottomLeft" state="frozen"/>
      <selection activeCell="D1" sqref="D1"/>
      <selection pane="bottomLeft" activeCell="A103" sqref="A103:XFD116"/>
    </sheetView>
  </sheetViews>
  <sheetFormatPr defaultColWidth="6.125" defaultRowHeight="12.75"/>
  <cols>
    <col min="1" max="3" width="3.5" style="6" customWidth="1"/>
    <col min="4" max="4" width="7.5" style="6" bestFit="1" customWidth="1"/>
    <col min="5" max="5" width="11.75" style="6" bestFit="1" customWidth="1"/>
    <col min="6" max="6" width="37" style="24" customWidth="1"/>
    <col min="7" max="7" width="4.375" style="6" customWidth="1"/>
    <col min="8" max="8" width="7" style="6" bestFit="1" customWidth="1"/>
    <col min="9" max="9" width="12.75" style="6" bestFit="1" customWidth="1"/>
    <col min="10" max="10" width="11.875" style="618" bestFit="1" customWidth="1"/>
    <col min="11" max="11" width="7.375" style="6" customWidth="1"/>
    <col min="12" max="12" width="13.125" style="6" customWidth="1"/>
    <col min="13" max="232" width="6.125" style="6"/>
    <col min="233" max="233" width="5" style="6" customWidth="1"/>
    <col min="234" max="234" width="8.875" style="6" customWidth="1"/>
    <col min="235" max="235" width="5" style="6" customWidth="1"/>
    <col min="236" max="236" width="8.25" style="6" bestFit="1" customWidth="1"/>
    <col min="237" max="237" width="16.125" style="6" customWidth="1"/>
    <col min="238" max="238" width="86" style="6" customWidth="1"/>
    <col min="239" max="239" width="5" style="6" customWidth="1"/>
    <col min="240" max="240" width="11.125" style="6" customWidth="1"/>
    <col min="241" max="241" width="10.375" style="6" customWidth="1"/>
    <col min="242" max="242" width="10.875" style="6" customWidth="1"/>
    <col min="243" max="243" width="7.75" style="6" customWidth="1"/>
    <col min="244" max="244" width="9.875" style="6" customWidth="1"/>
    <col min="245" max="245" width="10.625" style="6" customWidth="1"/>
    <col min="246" max="488" width="6.125" style="6"/>
    <col min="489" max="489" width="5" style="6" customWidth="1"/>
    <col min="490" max="490" width="8.875" style="6" customWidth="1"/>
    <col min="491" max="491" width="5" style="6" customWidth="1"/>
    <col min="492" max="492" width="8.25" style="6" bestFit="1" customWidth="1"/>
    <col min="493" max="493" width="16.125" style="6" customWidth="1"/>
    <col min="494" max="494" width="86" style="6" customWidth="1"/>
    <col min="495" max="495" width="5" style="6" customWidth="1"/>
    <col min="496" max="496" width="11.125" style="6" customWidth="1"/>
    <col min="497" max="497" width="10.375" style="6" customWidth="1"/>
    <col min="498" max="498" width="10.875" style="6" customWidth="1"/>
    <col min="499" max="499" width="7.75" style="6" customWidth="1"/>
    <col min="500" max="500" width="9.875" style="6" customWidth="1"/>
    <col min="501" max="501" width="10.625" style="6" customWidth="1"/>
    <col min="502" max="744" width="6.125" style="6"/>
    <col min="745" max="745" width="5" style="6" customWidth="1"/>
    <col min="746" max="746" width="8.875" style="6" customWidth="1"/>
    <col min="747" max="747" width="5" style="6" customWidth="1"/>
    <col min="748" max="748" width="8.25" style="6" bestFit="1" customWidth="1"/>
    <col min="749" max="749" width="16.125" style="6" customWidth="1"/>
    <col min="750" max="750" width="86" style="6" customWidth="1"/>
    <col min="751" max="751" width="5" style="6" customWidth="1"/>
    <col min="752" max="752" width="11.125" style="6" customWidth="1"/>
    <col min="753" max="753" width="10.375" style="6" customWidth="1"/>
    <col min="754" max="754" width="10.875" style="6" customWidth="1"/>
    <col min="755" max="755" width="7.75" style="6" customWidth="1"/>
    <col min="756" max="756" width="9.875" style="6" customWidth="1"/>
    <col min="757" max="757" width="10.625" style="6" customWidth="1"/>
    <col min="758" max="1000" width="6.125" style="6"/>
    <col min="1001" max="1001" width="5" style="6" customWidth="1"/>
    <col min="1002" max="1002" width="8.875" style="6" customWidth="1"/>
    <col min="1003" max="1003" width="5" style="6" customWidth="1"/>
    <col min="1004" max="1004" width="8.25" style="6" bestFit="1" customWidth="1"/>
    <col min="1005" max="1005" width="16.125" style="6" customWidth="1"/>
    <col min="1006" max="1006" width="86" style="6" customWidth="1"/>
    <col min="1007" max="1007" width="5" style="6" customWidth="1"/>
    <col min="1008" max="1008" width="11.125" style="6" customWidth="1"/>
    <col min="1009" max="1009" width="10.375" style="6" customWidth="1"/>
    <col min="1010" max="1010" width="10.875" style="6" customWidth="1"/>
    <col min="1011" max="1011" width="7.75" style="6" customWidth="1"/>
    <col min="1012" max="1012" width="9.875" style="6" customWidth="1"/>
    <col min="1013" max="1013" width="10.625" style="6" customWidth="1"/>
    <col min="1014" max="1256" width="6.125" style="6"/>
    <col min="1257" max="1257" width="5" style="6" customWidth="1"/>
    <col min="1258" max="1258" width="8.875" style="6" customWidth="1"/>
    <col min="1259" max="1259" width="5" style="6" customWidth="1"/>
    <col min="1260" max="1260" width="8.25" style="6" bestFit="1" customWidth="1"/>
    <col min="1261" max="1261" width="16.125" style="6" customWidth="1"/>
    <col min="1262" max="1262" width="86" style="6" customWidth="1"/>
    <col min="1263" max="1263" width="5" style="6" customWidth="1"/>
    <col min="1264" max="1264" width="11.125" style="6" customWidth="1"/>
    <col min="1265" max="1265" width="10.375" style="6" customWidth="1"/>
    <col min="1266" max="1266" width="10.875" style="6" customWidth="1"/>
    <col min="1267" max="1267" width="7.75" style="6" customWidth="1"/>
    <col min="1268" max="1268" width="9.875" style="6" customWidth="1"/>
    <col min="1269" max="1269" width="10.625" style="6" customWidth="1"/>
    <col min="1270" max="1512" width="6.125" style="6"/>
    <col min="1513" max="1513" width="5" style="6" customWidth="1"/>
    <col min="1514" max="1514" width="8.875" style="6" customWidth="1"/>
    <col min="1515" max="1515" width="5" style="6" customWidth="1"/>
    <col min="1516" max="1516" width="8.25" style="6" bestFit="1" customWidth="1"/>
    <col min="1517" max="1517" width="16.125" style="6" customWidth="1"/>
    <col min="1518" max="1518" width="86" style="6" customWidth="1"/>
    <col min="1519" max="1519" width="5" style="6" customWidth="1"/>
    <col min="1520" max="1520" width="11.125" style="6" customWidth="1"/>
    <col min="1521" max="1521" width="10.375" style="6" customWidth="1"/>
    <col min="1522" max="1522" width="10.875" style="6" customWidth="1"/>
    <col min="1523" max="1523" width="7.75" style="6" customWidth="1"/>
    <col min="1524" max="1524" width="9.875" style="6" customWidth="1"/>
    <col min="1525" max="1525" width="10.625" style="6" customWidth="1"/>
    <col min="1526" max="1768" width="6.125" style="6"/>
    <col min="1769" max="1769" width="5" style="6" customWidth="1"/>
    <col min="1770" max="1770" width="8.875" style="6" customWidth="1"/>
    <col min="1771" max="1771" width="5" style="6" customWidth="1"/>
    <col min="1772" max="1772" width="8.25" style="6" bestFit="1" customWidth="1"/>
    <col min="1773" max="1773" width="16.125" style="6" customWidth="1"/>
    <col min="1774" max="1774" width="86" style="6" customWidth="1"/>
    <col min="1775" max="1775" width="5" style="6" customWidth="1"/>
    <col min="1776" max="1776" width="11.125" style="6" customWidth="1"/>
    <col min="1777" max="1777" width="10.375" style="6" customWidth="1"/>
    <col min="1778" max="1778" width="10.875" style="6" customWidth="1"/>
    <col min="1779" max="1779" width="7.75" style="6" customWidth="1"/>
    <col min="1780" max="1780" width="9.875" style="6" customWidth="1"/>
    <col min="1781" max="1781" width="10.625" style="6" customWidth="1"/>
    <col min="1782" max="2024" width="6.125" style="6"/>
    <col min="2025" max="2025" width="5" style="6" customWidth="1"/>
    <col min="2026" max="2026" width="8.875" style="6" customWidth="1"/>
    <col min="2027" max="2027" width="5" style="6" customWidth="1"/>
    <col min="2028" max="2028" width="8.25" style="6" bestFit="1" customWidth="1"/>
    <col min="2029" max="2029" width="16.125" style="6" customWidth="1"/>
    <col min="2030" max="2030" width="86" style="6" customWidth="1"/>
    <col min="2031" max="2031" width="5" style="6" customWidth="1"/>
    <col min="2032" max="2032" width="11.125" style="6" customWidth="1"/>
    <col min="2033" max="2033" width="10.375" style="6" customWidth="1"/>
    <col min="2034" max="2034" width="10.875" style="6" customWidth="1"/>
    <col min="2035" max="2035" width="7.75" style="6" customWidth="1"/>
    <col min="2036" max="2036" width="9.875" style="6" customWidth="1"/>
    <col min="2037" max="2037" width="10.625" style="6" customWidth="1"/>
    <col min="2038" max="2280" width="6.125" style="6"/>
    <col min="2281" max="2281" width="5" style="6" customWidth="1"/>
    <col min="2282" max="2282" width="8.875" style="6" customWidth="1"/>
    <col min="2283" max="2283" width="5" style="6" customWidth="1"/>
    <col min="2284" max="2284" width="8.25" style="6" bestFit="1" customWidth="1"/>
    <col min="2285" max="2285" width="16.125" style="6" customWidth="1"/>
    <col min="2286" max="2286" width="86" style="6" customWidth="1"/>
    <col min="2287" max="2287" width="5" style="6" customWidth="1"/>
    <col min="2288" max="2288" width="11.125" style="6" customWidth="1"/>
    <col min="2289" max="2289" width="10.375" style="6" customWidth="1"/>
    <col min="2290" max="2290" width="10.875" style="6" customWidth="1"/>
    <col min="2291" max="2291" width="7.75" style="6" customWidth="1"/>
    <col min="2292" max="2292" width="9.875" style="6" customWidth="1"/>
    <col min="2293" max="2293" width="10.625" style="6" customWidth="1"/>
    <col min="2294" max="2536" width="6.125" style="6"/>
    <col min="2537" max="2537" width="5" style="6" customWidth="1"/>
    <col min="2538" max="2538" width="8.875" style="6" customWidth="1"/>
    <col min="2539" max="2539" width="5" style="6" customWidth="1"/>
    <col min="2540" max="2540" width="8.25" style="6" bestFit="1" customWidth="1"/>
    <col min="2541" max="2541" width="16.125" style="6" customWidth="1"/>
    <col min="2542" max="2542" width="86" style="6" customWidth="1"/>
    <col min="2543" max="2543" width="5" style="6" customWidth="1"/>
    <col min="2544" max="2544" width="11.125" style="6" customWidth="1"/>
    <col min="2545" max="2545" width="10.375" style="6" customWidth="1"/>
    <col min="2546" max="2546" width="10.875" style="6" customWidth="1"/>
    <col min="2547" max="2547" width="7.75" style="6" customWidth="1"/>
    <col min="2548" max="2548" width="9.875" style="6" customWidth="1"/>
    <col min="2549" max="2549" width="10.625" style="6" customWidth="1"/>
    <col min="2550" max="2792" width="6.125" style="6"/>
    <col min="2793" max="2793" width="5" style="6" customWidth="1"/>
    <col min="2794" max="2794" width="8.875" style="6" customWidth="1"/>
    <col min="2795" max="2795" width="5" style="6" customWidth="1"/>
    <col min="2796" max="2796" width="8.25" style="6" bestFit="1" customWidth="1"/>
    <col min="2797" max="2797" width="16.125" style="6" customWidth="1"/>
    <col min="2798" max="2798" width="86" style="6" customWidth="1"/>
    <col min="2799" max="2799" width="5" style="6" customWidth="1"/>
    <col min="2800" max="2800" width="11.125" style="6" customWidth="1"/>
    <col min="2801" max="2801" width="10.375" style="6" customWidth="1"/>
    <col min="2802" max="2802" width="10.875" style="6" customWidth="1"/>
    <col min="2803" max="2803" width="7.75" style="6" customWidth="1"/>
    <col min="2804" max="2804" width="9.875" style="6" customWidth="1"/>
    <col min="2805" max="2805" width="10.625" style="6" customWidth="1"/>
    <col min="2806" max="3048" width="6.125" style="6"/>
    <col min="3049" max="3049" width="5" style="6" customWidth="1"/>
    <col min="3050" max="3050" width="8.875" style="6" customWidth="1"/>
    <col min="3051" max="3051" width="5" style="6" customWidth="1"/>
    <col min="3052" max="3052" width="8.25" style="6" bestFit="1" customWidth="1"/>
    <col min="3053" max="3053" width="16.125" style="6" customWidth="1"/>
    <col min="3054" max="3054" width="86" style="6" customWidth="1"/>
    <col min="3055" max="3055" width="5" style="6" customWidth="1"/>
    <col min="3056" max="3056" width="11.125" style="6" customWidth="1"/>
    <col min="3057" max="3057" width="10.375" style="6" customWidth="1"/>
    <col min="3058" max="3058" width="10.875" style="6" customWidth="1"/>
    <col min="3059" max="3059" width="7.75" style="6" customWidth="1"/>
    <col min="3060" max="3060" width="9.875" style="6" customWidth="1"/>
    <col min="3061" max="3061" width="10.625" style="6" customWidth="1"/>
    <col min="3062" max="3304" width="6.125" style="6"/>
    <col min="3305" max="3305" width="5" style="6" customWidth="1"/>
    <col min="3306" max="3306" width="8.875" style="6" customWidth="1"/>
    <col min="3307" max="3307" width="5" style="6" customWidth="1"/>
    <col min="3308" max="3308" width="8.25" style="6" bestFit="1" customWidth="1"/>
    <col min="3309" max="3309" width="16.125" style="6" customWidth="1"/>
    <col min="3310" max="3310" width="86" style="6" customWidth="1"/>
    <col min="3311" max="3311" width="5" style="6" customWidth="1"/>
    <col min="3312" max="3312" width="11.125" style="6" customWidth="1"/>
    <col min="3313" max="3313" width="10.375" style="6" customWidth="1"/>
    <col min="3314" max="3314" width="10.875" style="6" customWidth="1"/>
    <col min="3315" max="3315" width="7.75" style="6" customWidth="1"/>
    <col min="3316" max="3316" width="9.875" style="6" customWidth="1"/>
    <col min="3317" max="3317" width="10.625" style="6" customWidth="1"/>
    <col min="3318" max="3560" width="6.125" style="6"/>
    <col min="3561" max="3561" width="5" style="6" customWidth="1"/>
    <col min="3562" max="3562" width="8.875" style="6" customWidth="1"/>
    <col min="3563" max="3563" width="5" style="6" customWidth="1"/>
    <col min="3564" max="3564" width="8.25" style="6" bestFit="1" customWidth="1"/>
    <col min="3565" max="3565" width="16.125" style="6" customWidth="1"/>
    <col min="3566" max="3566" width="86" style="6" customWidth="1"/>
    <col min="3567" max="3567" width="5" style="6" customWidth="1"/>
    <col min="3568" max="3568" width="11.125" style="6" customWidth="1"/>
    <col min="3569" max="3569" width="10.375" style="6" customWidth="1"/>
    <col min="3570" max="3570" width="10.875" style="6" customWidth="1"/>
    <col min="3571" max="3571" width="7.75" style="6" customWidth="1"/>
    <col min="3572" max="3572" width="9.875" style="6" customWidth="1"/>
    <col min="3573" max="3573" width="10.625" style="6" customWidth="1"/>
    <col min="3574" max="3816" width="6.125" style="6"/>
    <col min="3817" max="3817" width="5" style="6" customWidth="1"/>
    <col min="3818" max="3818" width="8.875" style="6" customWidth="1"/>
    <col min="3819" max="3819" width="5" style="6" customWidth="1"/>
    <col min="3820" max="3820" width="8.25" style="6" bestFit="1" customWidth="1"/>
    <col min="3821" max="3821" width="16.125" style="6" customWidth="1"/>
    <col min="3822" max="3822" width="86" style="6" customWidth="1"/>
    <col min="3823" max="3823" width="5" style="6" customWidth="1"/>
    <col min="3824" max="3824" width="11.125" style="6" customWidth="1"/>
    <col min="3825" max="3825" width="10.375" style="6" customWidth="1"/>
    <col min="3826" max="3826" width="10.875" style="6" customWidth="1"/>
    <col min="3827" max="3827" width="7.75" style="6" customWidth="1"/>
    <col min="3828" max="3828" width="9.875" style="6" customWidth="1"/>
    <col min="3829" max="3829" width="10.625" style="6" customWidth="1"/>
    <col min="3830" max="4072" width="6.125" style="6"/>
    <col min="4073" max="4073" width="5" style="6" customWidth="1"/>
    <col min="4074" max="4074" width="8.875" style="6" customWidth="1"/>
    <col min="4075" max="4075" width="5" style="6" customWidth="1"/>
    <col min="4076" max="4076" width="8.25" style="6" bestFit="1" customWidth="1"/>
    <col min="4077" max="4077" width="16.125" style="6" customWidth="1"/>
    <col min="4078" max="4078" width="86" style="6" customWidth="1"/>
    <col min="4079" max="4079" width="5" style="6" customWidth="1"/>
    <col min="4080" max="4080" width="11.125" style="6" customWidth="1"/>
    <col min="4081" max="4081" width="10.375" style="6" customWidth="1"/>
    <col min="4082" max="4082" width="10.875" style="6" customWidth="1"/>
    <col min="4083" max="4083" width="7.75" style="6" customWidth="1"/>
    <col min="4084" max="4084" width="9.875" style="6" customWidth="1"/>
    <col min="4085" max="4085" width="10.625" style="6" customWidth="1"/>
    <col min="4086" max="4328" width="6.125" style="6"/>
    <col min="4329" max="4329" width="5" style="6" customWidth="1"/>
    <col min="4330" max="4330" width="8.875" style="6" customWidth="1"/>
    <col min="4331" max="4331" width="5" style="6" customWidth="1"/>
    <col min="4332" max="4332" width="8.25" style="6" bestFit="1" customWidth="1"/>
    <col min="4333" max="4333" width="16.125" style="6" customWidth="1"/>
    <col min="4334" max="4334" width="86" style="6" customWidth="1"/>
    <col min="4335" max="4335" width="5" style="6" customWidth="1"/>
    <col min="4336" max="4336" width="11.125" style="6" customWidth="1"/>
    <col min="4337" max="4337" width="10.375" style="6" customWidth="1"/>
    <col min="4338" max="4338" width="10.875" style="6" customWidth="1"/>
    <col min="4339" max="4339" width="7.75" style="6" customWidth="1"/>
    <col min="4340" max="4340" width="9.875" style="6" customWidth="1"/>
    <col min="4341" max="4341" width="10.625" style="6" customWidth="1"/>
    <col min="4342" max="4584" width="6.125" style="6"/>
    <col min="4585" max="4585" width="5" style="6" customWidth="1"/>
    <col min="4586" max="4586" width="8.875" style="6" customWidth="1"/>
    <col min="4587" max="4587" width="5" style="6" customWidth="1"/>
    <col min="4588" max="4588" width="8.25" style="6" bestFit="1" customWidth="1"/>
    <col min="4589" max="4589" width="16.125" style="6" customWidth="1"/>
    <col min="4590" max="4590" width="86" style="6" customWidth="1"/>
    <col min="4591" max="4591" width="5" style="6" customWidth="1"/>
    <col min="4592" max="4592" width="11.125" style="6" customWidth="1"/>
    <col min="4593" max="4593" width="10.375" style="6" customWidth="1"/>
    <col min="4594" max="4594" width="10.875" style="6" customWidth="1"/>
    <col min="4595" max="4595" width="7.75" style="6" customWidth="1"/>
    <col min="4596" max="4596" width="9.875" style="6" customWidth="1"/>
    <col min="4597" max="4597" width="10.625" style="6" customWidth="1"/>
    <col min="4598" max="4840" width="6.125" style="6"/>
    <col min="4841" max="4841" width="5" style="6" customWidth="1"/>
    <col min="4842" max="4842" width="8.875" style="6" customWidth="1"/>
    <col min="4843" max="4843" width="5" style="6" customWidth="1"/>
    <col min="4844" max="4844" width="8.25" style="6" bestFit="1" customWidth="1"/>
    <col min="4845" max="4845" width="16.125" style="6" customWidth="1"/>
    <col min="4846" max="4846" width="86" style="6" customWidth="1"/>
    <col min="4847" max="4847" width="5" style="6" customWidth="1"/>
    <col min="4848" max="4848" width="11.125" style="6" customWidth="1"/>
    <col min="4849" max="4849" width="10.375" style="6" customWidth="1"/>
    <col min="4850" max="4850" width="10.875" style="6" customWidth="1"/>
    <col min="4851" max="4851" width="7.75" style="6" customWidth="1"/>
    <col min="4852" max="4852" width="9.875" style="6" customWidth="1"/>
    <col min="4853" max="4853" width="10.625" style="6" customWidth="1"/>
    <col min="4854" max="5096" width="6.125" style="6"/>
    <col min="5097" max="5097" width="5" style="6" customWidth="1"/>
    <col min="5098" max="5098" width="8.875" style="6" customWidth="1"/>
    <col min="5099" max="5099" width="5" style="6" customWidth="1"/>
    <col min="5100" max="5100" width="8.25" style="6" bestFit="1" customWidth="1"/>
    <col min="5101" max="5101" width="16.125" style="6" customWidth="1"/>
    <col min="5102" max="5102" width="86" style="6" customWidth="1"/>
    <col min="5103" max="5103" width="5" style="6" customWidth="1"/>
    <col min="5104" max="5104" width="11.125" style="6" customWidth="1"/>
    <col min="5105" max="5105" width="10.375" style="6" customWidth="1"/>
    <col min="5106" max="5106" width="10.875" style="6" customWidth="1"/>
    <col min="5107" max="5107" width="7.75" style="6" customWidth="1"/>
    <col min="5108" max="5108" width="9.875" style="6" customWidth="1"/>
    <col min="5109" max="5109" width="10.625" style="6" customWidth="1"/>
    <col min="5110" max="5352" width="6.125" style="6"/>
    <col min="5353" max="5353" width="5" style="6" customWidth="1"/>
    <col min="5354" max="5354" width="8.875" style="6" customWidth="1"/>
    <col min="5355" max="5355" width="5" style="6" customWidth="1"/>
    <col min="5356" max="5356" width="8.25" style="6" bestFit="1" customWidth="1"/>
    <col min="5357" max="5357" width="16.125" style="6" customWidth="1"/>
    <col min="5358" max="5358" width="86" style="6" customWidth="1"/>
    <col min="5359" max="5359" width="5" style="6" customWidth="1"/>
    <col min="5360" max="5360" width="11.125" style="6" customWidth="1"/>
    <col min="5361" max="5361" width="10.375" style="6" customWidth="1"/>
    <col min="5362" max="5362" width="10.875" style="6" customWidth="1"/>
    <col min="5363" max="5363" width="7.75" style="6" customWidth="1"/>
    <col min="5364" max="5364" width="9.875" style="6" customWidth="1"/>
    <col min="5365" max="5365" width="10.625" style="6" customWidth="1"/>
    <col min="5366" max="5608" width="6.125" style="6"/>
    <col min="5609" max="5609" width="5" style="6" customWidth="1"/>
    <col min="5610" max="5610" width="8.875" style="6" customWidth="1"/>
    <col min="5611" max="5611" width="5" style="6" customWidth="1"/>
    <col min="5612" max="5612" width="8.25" style="6" bestFit="1" customWidth="1"/>
    <col min="5613" max="5613" width="16.125" style="6" customWidth="1"/>
    <col min="5614" max="5614" width="86" style="6" customWidth="1"/>
    <col min="5615" max="5615" width="5" style="6" customWidth="1"/>
    <col min="5616" max="5616" width="11.125" style="6" customWidth="1"/>
    <col min="5617" max="5617" width="10.375" style="6" customWidth="1"/>
    <col min="5618" max="5618" width="10.875" style="6" customWidth="1"/>
    <col min="5619" max="5619" width="7.75" style="6" customWidth="1"/>
    <col min="5620" max="5620" width="9.875" style="6" customWidth="1"/>
    <col min="5621" max="5621" width="10.625" style="6" customWidth="1"/>
    <col min="5622" max="5864" width="6.125" style="6"/>
    <col min="5865" max="5865" width="5" style="6" customWidth="1"/>
    <col min="5866" max="5866" width="8.875" style="6" customWidth="1"/>
    <col min="5867" max="5867" width="5" style="6" customWidth="1"/>
    <col min="5868" max="5868" width="8.25" style="6" bestFit="1" customWidth="1"/>
    <col min="5869" max="5869" width="16.125" style="6" customWidth="1"/>
    <col min="5870" max="5870" width="86" style="6" customWidth="1"/>
    <col min="5871" max="5871" width="5" style="6" customWidth="1"/>
    <col min="5872" max="5872" width="11.125" style="6" customWidth="1"/>
    <col min="5873" max="5873" width="10.375" style="6" customWidth="1"/>
    <col min="5874" max="5874" width="10.875" style="6" customWidth="1"/>
    <col min="5875" max="5875" width="7.75" style="6" customWidth="1"/>
    <col min="5876" max="5876" width="9.875" style="6" customWidth="1"/>
    <col min="5877" max="5877" width="10.625" style="6" customWidth="1"/>
    <col min="5878" max="6120" width="6.125" style="6"/>
    <col min="6121" max="6121" width="5" style="6" customWidth="1"/>
    <col min="6122" max="6122" width="8.875" style="6" customWidth="1"/>
    <col min="6123" max="6123" width="5" style="6" customWidth="1"/>
    <col min="6124" max="6124" width="8.25" style="6" bestFit="1" customWidth="1"/>
    <col min="6125" max="6125" width="16.125" style="6" customWidth="1"/>
    <col min="6126" max="6126" width="86" style="6" customWidth="1"/>
    <col min="6127" max="6127" width="5" style="6" customWidth="1"/>
    <col min="6128" max="6128" width="11.125" style="6" customWidth="1"/>
    <col min="6129" max="6129" width="10.375" style="6" customWidth="1"/>
    <col min="6130" max="6130" width="10.875" style="6" customWidth="1"/>
    <col min="6131" max="6131" width="7.75" style="6" customWidth="1"/>
    <col min="6132" max="6132" width="9.875" style="6" customWidth="1"/>
    <col min="6133" max="6133" width="10.625" style="6" customWidth="1"/>
    <col min="6134" max="6376" width="6.125" style="6"/>
    <col min="6377" max="6377" width="5" style="6" customWidth="1"/>
    <col min="6378" max="6378" width="8.875" style="6" customWidth="1"/>
    <col min="6379" max="6379" width="5" style="6" customWidth="1"/>
    <col min="6380" max="6380" width="8.25" style="6" bestFit="1" customWidth="1"/>
    <col min="6381" max="6381" width="16.125" style="6" customWidth="1"/>
    <col min="6382" max="6382" width="86" style="6" customWidth="1"/>
    <col min="6383" max="6383" width="5" style="6" customWidth="1"/>
    <col min="6384" max="6384" width="11.125" style="6" customWidth="1"/>
    <col min="6385" max="6385" width="10.375" style="6" customWidth="1"/>
    <col min="6386" max="6386" width="10.875" style="6" customWidth="1"/>
    <col min="6387" max="6387" width="7.75" style="6" customWidth="1"/>
    <col min="6388" max="6388" width="9.875" style="6" customWidth="1"/>
    <col min="6389" max="6389" width="10.625" style="6" customWidth="1"/>
    <col min="6390" max="6632" width="6.125" style="6"/>
    <col min="6633" max="6633" width="5" style="6" customWidth="1"/>
    <col min="6634" max="6634" width="8.875" style="6" customWidth="1"/>
    <col min="6635" max="6635" width="5" style="6" customWidth="1"/>
    <col min="6636" max="6636" width="8.25" style="6" bestFit="1" customWidth="1"/>
    <col min="6637" max="6637" width="16.125" style="6" customWidth="1"/>
    <col min="6638" max="6638" width="86" style="6" customWidth="1"/>
    <col min="6639" max="6639" width="5" style="6" customWidth="1"/>
    <col min="6640" max="6640" width="11.125" style="6" customWidth="1"/>
    <col min="6641" max="6641" width="10.375" style="6" customWidth="1"/>
    <col min="6642" max="6642" width="10.875" style="6" customWidth="1"/>
    <col min="6643" max="6643" width="7.75" style="6" customWidth="1"/>
    <col min="6644" max="6644" width="9.875" style="6" customWidth="1"/>
    <col min="6645" max="6645" width="10.625" style="6" customWidth="1"/>
    <col min="6646" max="6888" width="6.125" style="6"/>
    <col min="6889" max="6889" width="5" style="6" customWidth="1"/>
    <col min="6890" max="6890" width="8.875" style="6" customWidth="1"/>
    <col min="6891" max="6891" width="5" style="6" customWidth="1"/>
    <col min="6892" max="6892" width="8.25" style="6" bestFit="1" customWidth="1"/>
    <col min="6893" max="6893" width="16.125" style="6" customWidth="1"/>
    <col min="6894" max="6894" width="86" style="6" customWidth="1"/>
    <col min="6895" max="6895" width="5" style="6" customWidth="1"/>
    <col min="6896" max="6896" width="11.125" style="6" customWidth="1"/>
    <col min="6897" max="6897" width="10.375" style="6" customWidth="1"/>
    <col min="6898" max="6898" width="10.875" style="6" customWidth="1"/>
    <col min="6899" max="6899" width="7.75" style="6" customWidth="1"/>
    <col min="6900" max="6900" width="9.875" style="6" customWidth="1"/>
    <col min="6901" max="6901" width="10.625" style="6" customWidth="1"/>
    <col min="6902" max="7144" width="6.125" style="6"/>
    <col min="7145" max="7145" width="5" style="6" customWidth="1"/>
    <col min="7146" max="7146" width="8.875" style="6" customWidth="1"/>
    <col min="7147" max="7147" width="5" style="6" customWidth="1"/>
    <col min="7148" max="7148" width="8.25" style="6" bestFit="1" customWidth="1"/>
    <col min="7149" max="7149" width="16.125" style="6" customWidth="1"/>
    <col min="7150" max="7150" width="86" style="6" customWidth="1"/>
    <col min="7151" max="7151" width="5" style="6" customWidth="1"/>
    <col min="7152" max="7152" width="11.125" style="6" customWidth="1"/>
    <col min="7153" max="7153" width="10.375" style="6" customWidth="1"/>
    <col min="7154" max="7154" width="10.875" style="6" customWidth="1"/>
    <col min="7155" max="7155" width="7.75" style="6" customWidth="1"/>
    <col min="7156" max="7156" width="9.875" style="6" customWidth="1"/>
    <col min="7157" max="7157" width="10.625" style="6" customWidth="1"/>
    <col min="7158" max="7400" width="6.125" style="6"/>
    <col min="7401" max="7401" width="5" style="6" customWidth="1"/>
    <col min="7402" max="7402" width="8.875" style="6" customWidth="1"/>
    <col min="7403" max="7403" width="5" style="6" customWidth="1"/>
    <col min="7404" max="7404" width="8.25" style="6" bestFit="1" customWidth="1"/>
    <col min="7405" max="7405" width="16.125" style="6" customWidth="1"/>
    <col min="7406" max="7406" width="86" style="6" customWidth="1"/>
    <col min="7407" max="7407" width="5" style="6" customWidth="1"/>
    <col min="7408" max="7408" width="11.125" style="6" customWidth="1"/>
    <col min="7409" max="7409" width="10.375" style="6" customWidth="1"/>
    <col min="7410" max="7410" width="10.875" style="6" customWidth="1"/>
    <col min="7411" max="7411" width="7.75" style="6" customWidth="1"/>
    <col min="7412" max="7412" width="9.875" style="6" customWidth="1"/>
    <col min="7413" max="7413" width="10.625" style="6" customWidth="1"/>
    <col min="7414" max="7656" width="6.125" style="6"/>
    <col min="7657" max="7657" width="5" style="6" customWidth="1"/>
    <col min="7658" max="7658" width="8.875" style="6" customWidth="1"/>
    <col min="7659" max="7659" width="5" style="6" customWidth="1"/>
    <col min="7660" max="7660" width="8.25" style="6" bestFit="1" customWidth="1"/>
    <col min="7661" max="7661" width="16.125" style="6" customWidth="1"/>
    <col min="7662" max="7662" width="86" style="6" customWidth="1"/>
    <col min="7663" max="7663" width="5" style="6" customWidth="1"/>
    <col min="7664" max="7664" width="11.125" style="6" customWidth="1"/>
    <col min="7665" max="7665" width="10.375" style="6" customWidth="1"/>
    <col min="7666" max="7666" width="10.875" style="6" customWidth="1"/>
    <col min="7667" max="7667" width="7.75" style="6" customWidth="1"/>
    <col min="7668" max="7668" width="9.875" style="6" customWidth="1"/>
    <col min="7669" max="7669" width="10.625" style="6" customWidth="1"/>
    <col min="7670" max="7912" width="6.125" style="6"/>
    <col min="7913" max="7913" width="5" style="6" customWidth="1"/>
    <col min="7914" max="7914" width="8.875" style="6" customWidth="1"/>
    <col min="7915" max="7915" width="5" style="6" customWidth="1"/>
    <col min="7916" max="7916" width="8.25" style="6" bestFit="1" customWidth="1"/>
    <col min="7917" max="7917" width="16.125" style="6" customWidth="1"/>
    <col min="7918" max="7918" width="86" style="6" customWidth="1"/>
    <col min="7919" max="7919" width="5" style="6" customWidth="1"/>
    <col min="7920" max="7920" width="11.125" style="6" customWidth="1"/>
    <col min="7921" max="7921" width="10.375" style="6" customWidth="1"/>
    <col min="7922" max="7922" width="10.875" style="6" customWidth="1"/>
    <col min="7923" max="7923" width="7.75" style="6" customWidth="1"/>
    <col min="7924" max="7924" width="9.875" style="6" customWidth="1"/>
    <col min="7925" max="7925" width="10.625" style="6" customWidth="1"/>
    <col min="7926" max="8168" width="6.125" style="6"/>
    <col min="8169" max="8169" width="5" style="6" customWidth="1"/>
    <col min="8170" max="8170" width="8.875" style="6" customWidth="1"/>
    <col min="8171" max="8171" width="5" style="6" customWidth="1"/>
    <col min="8172" max="8172" width="8.25" style="6" bestFit="1" customWidth="1"/>
    <col min="8173" max="8173" width="16.125" style="6" customWidth="1"/>
    <col min="8174" max="8174" width="86" style="6" customWidth="1"/>
    <col min="8175" max="8175" width="5" style="6" customWidth="1"/>
    <col min="8176" max="8176" width="11.125" style="6" customWidth="1"/>
    <col min="8177" max="8177" width="10.375" style="6" customWidth="1"/>
    <col min="8178" max="8178" width="10.875" style="6" customWidth="1"/>
    <col min="8179" max="8179" width="7.75" style="6" customWidth="1"/>
    <col min="8180" max="8180" width="9.875" style="6" customWidth="1"/>
    <col min="8181" max="8181" width="10.625" style="6" customWidth="1"/>
    <col min="8182" max="8424" width="6.125" style="6"/>
    <col min="8425" max="8425" width="5" style="6" customWidth="1"/>
    <col min="8426" max="8426" width="8.875" style="6" customWidth="1"/>
    <col min="8427" max="8427" width="5" style="6" customWidth="1"/>
    <col min="8428" max="8428" width="8.25" style="6" bestFit="1" customWidth="1"/>
    <col min="8429" max="8429" width="16.125" style="6" customWidth="1"/>
    <col min="8430" max="8430" width="86" style="6" customWidth="1"/>
    <col min="8431" max="8431" width="5" style="6" customWidth="1"/>
    <col min="8432" max="8432" width="11.125" style="6" customWidth="1"/>
    <col min="8433" max="8433" width="10.375" style="6" customWidth="1"/>
    <col min="8434" max="8434" width="10.875" style="6" customWidth="1"/>
    <col min="8435" max="8435" width="7.75" style="6" customWidth="1"/>
    <col min="8436" max="8436" width="9.875" style="6" customWidth="1"/>
    <col min="8437" max="8437" width="10.625" style="6" customWidth="1"/>
    <col min="8438" max="8680" width="6.125" style="6"/>
    <col min="8681" max="8681" width="5" style="6" customWidth="1"/>
    <col min="8682" max="8682" width="8.875" style="6" customWidth="1"/>
    <col min="8683" max="8683" width="5" style="6" customWidth="1"/>
    <col min="8684" max="8684" width="8.25" style="6" bestFit="1" customWidth="1"/>
    <col min="8685" max="8685" width="16.125" style="6" customWidth="1"/>
    <col min="8686" max="8686" width="86" style="6" customWidth="1"/>
    <col min="8687" max="8687" width="5" style="6" customWidth="1"/>
    <col min="8688" max="8688" width="11.125" style="6" customWidth="1"/>
    <col min="8689" max="8689" width="10.375" style="6" customWidth="1"/>
    <col min="8690" max="8690" width="10.875" style="6" customWidth="1"/>
    <col min="8691" max="8691" width="7.75" style="6" customWidth="1"/>
    <col min="8692" max="8692" width="9.875" style="6" customWidth="1"/>
    <col min="8693" max="8693" width="10.625" style="6" customWidth="1"/>
    <col min="8694" max="8936" width="6.125" style="6"/>
    <col min="8937" max="8937" width="5" style="6" customWidth="1"/>
    <col min="8938" max="8938" width="8.875" style="6" customWidth="1"/>
    <col min="8939" max="8939" width="5" style="6" customWidth="1"/>
    <col min="8940" max="8940" width="8.25" style="6" bestFit="1" customWidth="1"/>
    <col min="8941" max="8941" width="16.125" style="6" customWidth="1"/>
    <col min="8942" max="8942" width="86" style="6" customWidth="1"/>
    <col min="8943" max="8943" width="5" style="6" customWidth="1"/>
    <col min="8944" max="8944" width="11.125" style="6" customWidth="1"/>
    <col min="8945" max="8945" width="10.375" style="6" customWidth="1"/>
    <col min="8946" max="8946" width="10.875" style="6" customWidth="1"/>
    <col min="8947" max="8947" width="7.75" style="6" customWidth="1"/>
    <col min="8948" max="8948" width="9.875" style="6" customWidth="1"/>
    <col min="8949" max="8949" width="10.625" style="6" customWidth="1"/>
    <col min="8950" max="9192" width="6.125" style="6"/>
    <col min="9193" max="9193" width="5" style="6" customWidth="1"/>
    <col min="9194" max="9194" width="8.875" style="6" customWidth="1"/>
    <col min="9195" max="9195" width="5" style="6" customWidth="1"/>
    <col min="9196" max="9196" width="8.25" style="6" bestFit="1" customWidth="1"/>
    <col min="9197" max="9197" width="16.125" style="6" customWidth="1"/>
    <col min="9198" max="9198" width="86" style="6" customWidth="1"/>
    <col min="9199" max="9199" width="5" style="6" customWidth="1"/>
    <col min="9200" max="9200" width="11.125" style="6" customWidth="1"/>
    <col min="9201" max="9201" width="10.375" style="6" customWidth="1"/>
    <col min="9202" max="9202" width="10.875" style="6" customWidth="1"/>
    <col min="9203" max="9203" width="7.75" style="6" customWidth="1"/>
    <col min="9204" max="9204" width="9.875" style="6" customWidth="1"/>
    <col min="9205" max="9205" width="10.625" style="6" customWidth="1"/>
    <col min="9206" max="9448" width="6.125" style="6"/>
    <col min="9449" max="9449" width="5" style="6" customWidth="1"/>
    <col min="9450" max="9450" width="8.875" style="6" customWidth="1"/>
    <col min="9451" max="9451" width="5" style="6" customWidth="1"/>
    <col min="9452" max="9452" width="8.25" style="6" bestFit="1" customWidth="1"/>
    <col min="9453" max="9453" width="16.125" style="6" customWidth="1"/>
    <col min="9454" max="9454" width="86" style="6" customWidth="1"/>
    <col min="9455" max="9455" width="5" style="6" customWidth="1"/>
    <col min="9456" max="9456" width="11.125" style="6" customWidth="1"/>
    <col min="9457" max="9457" width="10.375" style="6" customWidth="1"/>
    <col min="9458" max="9458" width="10.875" style="6" customWidth="1"/>
    <col min="9459" max="9459" width="7.75" style="6" customWidth="1"/>
    <col min="9460" max="9460" width="9.875" style="6" customWidth="1"/>
    <col min="9461" max="9461" width="10.625" style="6" customWidth="1"/>
    <col min="9462" max="9704" width="6.125" style="6"/>
    <col min="9705" max="9705" width="5" style="6" customWidth="1"/>
    <col min="9706" max="9706" width="8.875" style="6" customWidth="1"/>
    <col min="9707" max="9707" width="5" style="6" customWidth="1"/>
    <col min="9708" max="9708" width="8.25" style="6" bestFit="1" customWidth="1"/>
    <col min="9709" max="9709" width="16.125" style="6" customWidth="1"/>
    <col min="9710" max="9710" width="86" style="6" customWidth="1"/>
    <col min="9711" max="9711" width="5" style="6" customWidth="1"/>
    <col min="9712" max="9712" width="11.125" style="6" customWidth="1"/>
    <col min="9713" max="9713" width="10.375" style="6" customWidth="1"/>
    <col min="9714" max="9714" width="10.875" style="6" customWidth="1"/>
    <col min="9715" max="9715" width="7.75" style="6" customWidth="1"/>
    <col min="9716" max="9716" width="9.875" style="6" customWidth="1"/>
    <col min="9717" max="9717" width="10.625" style="6" customWidth="1"/>
    <col min="9718" max="9960" width="6.125" style="6"/>
    <col min="9961" max="9961" width="5" style="6" customWidth="1"/>
    <col min="9962" max="9962" width="8.875" style="6" customWidth="1"/>
    <col min="9963" max="9963" width="5" style="6" customWidth="1"/>
    <col min="9964" max="9964" width="8.25" style="6" bestFit="1" customWidth="1"/>
    <col min="9965" max="9965" width="16.125" style="6" customWidth="1"/>
    <col min="9966" max="9966" width="86" style="6" customWidth="1"/>
    <col min="9967" max="9967" width="5" style="6" customWidth="1"/>
    <col min="9968" max="9968" width="11.125" style="6" customWidth="1"/>
    <col min="9969" max="9969" width="10.375" style="6" customWidth="1"/>
    <col min="9970" max="9970" width="10.875" style="6" customWidth="1"/>
    <col min="9971" max="9971" width="7.75" style="6" customWidth="1"/>
    <col min="9972" max="9972" width="9.875" style="6" customWidth="1"/>
    <col min="9973" max="9973" width="10.625" style="6" customWidth="1"/>
    <col min="9974" max="10216" width="6.125" style="6"/>
    <col min="10217" max="10217" width="5" style="6" customWidth="1"/>
    <col min="10218" max="10218" width="8.875" style="6" customWidth="1"/>
    <col min="10219" max="10219" width="5" style="6" customWidth="1"/>
    <col min="10220" max="10220" width="8.25" style="6" bestFit="1" customWidth="1"/>
    <col min="10221" max="10221" width="16.125" style="6" customWidth="1"/>
    <col min="10222" max="10222" width="86" style="6" customWidth="1"/>
    <col min="10223" max="10223" width="5" style="6" customWidth="1"/>
    <col min="10224" max="10224" width="11.125" style="6" customWidth="1"/>
    <col min="10225" max="10225" width="10.375" style="6" customWidth="1"/>
    <col min="10226" max="10226" width="10.875" style="6" customWidth="1"/>
    <col min="10227" max="10227" width="7.75" style="6" customWidth="1"/>
    <col min="10228" max="10228" width="9.875" style="6" customWidth="1"/>
    <col min="10229" max="10229" width="10.625" style="6" customWidth="1"/>
    <col min="10230" max="10472" width="6.125" style="6"/>
    <col min="10473" max="10473" width="5" style="6" customWidth="1"/>
    <col min="10474" max="10474" width="8.875" style="6" customWidth="1"/>
    <col min="10475" max="10475" width="5" style="6" customWidth="1"/>
    <col min="10476" max="10476" width="8.25" style="6" bestFit="1" customWidth="1"/>
    <col min="10477" max="10477" width="16.125" style="6" customWidth="1"/>
    <col min="10478" max="10478" width="86" style="6" customWidth="1"/>
    <col min="10479" max="10479" width="5" style="6" customWidth="1"/>
    <col min="10480" max="10480" width="11.125" style="6" customWidth="1"/>
    <col min="10481" max="10481" width="10.375" style="6" customWidth="1"/>
    <col min="10482" max="10482" width="10.875" style="6" customWidth="1"/>
    <col min="10483" max="10483" width="7.75" style="6" customWidth="1"/>
    <col min="10484" max="10484" width="9.875" style="6" customWidth="1"/>
    <col min="10485" max="10485" width="10.625" style="6" customWidth="1"/>
    <col min="10486" max="10728" width="6.125" style="6"/>
    <col min="10729" max="10729" width="5" style="6" customWidth="1"/>
    <col min="10730" max="10730" width="8.875" style="6" customWidth="1"/>
    <col min="10731" max="10731" width="5" style="6" customWidth="1"/>
    <col min="10732" max="10732" width="8.25" style="6" bestFit="1" customWidth="1"/>
    <col min="10733" max="10733" width="16.125" style="6" customWidth="1"/>
    <col min="10734" max="10734" width="86" style="6" customWidth="1"/>
    <col min="10735" max="10735" width="5" style="6" customWidth="1"/>
    <col min="10736" max="10736" width="11.125" style="6" customWidth="1"/>
    <col min="10737" max="10737" width="10.375" style="6" customWidth="1"/>
    <col min="10738" max="10738" width="10.875" style="6" customWidth="1"/>
    <col min="10739" max="10739" width="7.75" style="6" customWidth="1"/>
    <col min="10740" max="10740" width="9.875" style="6" customWidth="1"/>
    <col min="10741" max="10741" width="10.625" style="6" customWidth="1"/>
    <col min="10742" max="10984" width="6.125" style="6"/>
    <col min="10985" max="10985" width="5" style="6" customWidth="1"/>
    <col min="10986" max="10986" width="8.875" style="6" customWidth="1"/>
    <col min="10987" max="10987" width="5" style="6" customWidth="1"/>
    <col min="10988" max="10988" width="8.25" style="6" bestFit="1" customWidth="1"/>
    <col min="10989" max="10989" width="16.125" style="6" customWidth="1"/>
    <col min="10990" max="10990" width="86" style="6" customWidth="1"/>
    <col min="10991" max="10991" width="5" style="6" customWidth="1"/>
    <col min="10992" max="10992" width="11.125" style="6" customWidth="1"/>
    <col min="10993" max="10993" width="10.375" style="6" customWidth="1"/>
    <col min="10994" max="10994" width="10.875" style="6" customWidth="1"/>
    <col min="10995" max="10995" width="7.75" style="6" customWidth="1"/>
    <col min="10996" max="10996" width="9.875" style="6" customWidth="1"/>
    <col min="10997" max="10997" width="10.625" style="6" customWidth="1"/>
    <col min="10998" max="11240" width="6.125" style="6"/>
    <col min="11241" max="11241" width="5" style="6" customWidth="1"/>
    <col min="11242" max="11242" width="8.875" style="6" customWidth="1"/>
    <col min="11243" max="11243" width="5" style="6" customWidth="1"/>
    <col min="11244" max="11244" width="8.25" style="6" bestFit="1" customWidth="1"/>
    <col min="11245" max="11245" width="16.125" style="6" customWidth="1"/>
    <col min="11246" max="11246" width="86" style="6" customWidth="1"/>
    <col min="11247" max="11247" width="5" style="6" customWidth="1"/>
    <col min="11248" max="11248" width="11.125" style="6" customWidth="1"/>
    <col min="11249" max="11249" width="10.375" style="6" customWidth="1"/>
    <col min="11250" max="11250" width="10.875" style="6" customWidth="1"/>
    <col min="11251" max="11251" width="7.75" style="6" customWidth="1"/>
    <col min="11252" max="11252" width="9.875" style="6" customWidth="1"/>
    <col min="11253" max="11253" width="10.625" style="6" customWidth="1"/>
    <col min="11254" max="11496" width="6.125" style="6"/>
    <col min="11497" max="11497" width="5" style="6" customWidth="1"/>
    <col min="11498" max="11498" width="8.875" style="6" customWidth="1"/>
    <col min="11499" max="11499" width="5" style="6" customWidth="1"/>
    <col min="11500" max="11500" width="8.25" style="6" bestFit="1" customWidth="1"/>
    <col min="11501" max="11501" width="16.125" style="6" customWidth="1"/>
    <col min="11502" max="11502" width="86" style="6" customWidth="1"/>
    <col min="11503" max="11503" width="5" style="6" customWidth="1"/>
    <col min="11504" max="11504" width="11.125" style="6" customWidth="1"/>
    <col min="11505" max="11505" width="10.375" style="6" customWidth="1"/>
    <col min="11506" max="11506" width="10.875" style="6" customWidth="1"/>
    <col min="11507" max="11507" width="7.75" style="6" customWidth="1"/>
    <col min="11508" max="11508" width="9.875" style="6" customWidth="1"/>
    <col min="11509" max="11509" width="10.625" style="6" customWidth="1"/>
    <col min="11510" max="11752" width="6.125" style="6"/>
    <col min="11753" max="11753" width="5" style="6" customWidth="1"/>
    <col min="11754" max="11754" width="8.875" style="6" customWidth="1"/>
    <col min="11755" max="11755" width="5" style="6" customWidth="1"/>
    <col min="11756" max="11756" width="8.25" style="6" bestFit="1" customWidth="1"/>
    <col min="11757" max="11757" width="16.125" style="6" customWidth="1"/>
    <col min="11758" max="11758" width="86" style="6" customWidth="1"/>
    <col min="11759" max="11759" width="5" style="6" customWidth="1"/>
    <col min="11760" max="11760" width="11.125" style="6" customWidth="1"/>
    <col min="11761" max="11761" width="10.375" style="6" customWidth="1"/>
    <col min="11762" max="11762" width="10.875" style="6" customWidth="1"/>
    <col min="11763" max="11763" width="7.75" style="6" customWidth="1"/>
    <col min="11764" max="11764" width="9.875" style="6" customWidth="1"/>
    <col min="11765" max="11765" width="10.625" style="6" customWidth="1"/>
    <col min="11766" max="12008" width="6.125" style="6"/>
    <col min="12009" max="12009" width="5" style="6" customWidth="1"/>
    <col min="12010" max="12010" width="8.875" style="6" customWidth="1"/>
    <col min="12011" max="12011" width="5" style="6" customWidth="1"/>
    <col min="12012" max="12012" width="8.25" style="6" bestFit="1" customWidth="1"/>
    <col min="12013" max="12013" width="16.125" style="6" customWidth="1"/>
    <col min="12014" max="12014" width="86" style="6" customWidth="1"/>
    <col min="12015" max="12015" width="5" style="6" customWidth="1"/>
    <col min="12016" max="12016" width="11.125" style="6" customWidth="1"/>
    <col min="12017" max="12017" width="10.375" style="6" customWidth="1"/>
    <col min="12018" max="12018" width="10.875" style="6" customWidth="1"/>
    <col min="12019" max="12019" width="7.75" style="6" customWidth="1"/>
    <col min="12020" max="12020" width="9.875" style="6" customWidth="1"/>
    <col min="12021" max="12021" width="10.625" style="6" customWidth="1"/>
    <col min="12022" max="12264" width="6.125" style="6"/>
    <col min="12265" max="12265" width="5" style="6" customWidth="1"/>
    <col min="12266" max="12266" width="8.875" style="6" customWidth="1"/>
    <col min="12267" max="12267" width="5" style="6" customWidth="1"/>
    <col min="12268" max="12268" width="8.25" style="6" bestFit="1" customWidth="1"/>
    <col min="12269" max="12269" width="16.125" style="6" customWidth="1"/>
    <col min="12270" max="12270" width="86" style="6" customWidth="1"/>
    <col min="12271" max="12271" width="5" style="6" customWidth="1"/>
    <col min="12272" max="12272" width="11.125" style="6" customWidth="1"/>
    <col min="12273" max="12273" width="10.375" style="6" customWidth="1"/>
    <col min="12274" max="12274" width="10.875" style="6" customWidth="1"/>
    <col min="12275" max="12275" width="7.75" style="6" customWidth="1"/>
    <col min="12276" max="12276" width="9.875" style="6" customWidth="1"/>
    <col min="12277" max="12277" width="10.625" style="6" customWidth="1"/>
    <col min="12278" max="12520" width="6.125" style="6"/>
    <col min="12521" max="12521" width="5" style="6" customWidth="1"/>
    <col min="12522" max="12522" width="8.875" style="6" customWidth="1"/>
    <col min="12523" max="12523" width="5" style="6" customWidth="1"/>
    <col min="12524" max="12524" width="8.25" style="6" bestFit="1" customWidth="1"/>
    <col min="12525" max="12525" width="16.125" style="6" customWidth="1"/>
    <col min="12526" max="12526" width="86" style="6" customWidth="1"/>
    <col min="12527" max="12527" width="5" style="6" customWidth="1"/>
    <col min="12528" max="12528" width="11.125" style="6" customWidth="1"/>
    <col min="12529" max="12529" width="10.375" style="6" customWidth="1"/>
    <col min="12530" max="12530" width="10.875" style="6" customWidth="1"/>
    <col min="12531" max="12531" width="7.75" style="6" customWidth="1"/>
    <col min="12532" max="12532" width="9.875" style="6" customWidth="1"/>
    <col min="12533" max="12533" width="10.625" style="6" customWidth="1"/>
    <col min="12534" max="12776" width="6.125" style="6"/>
    <col min="12777" max="12777" width="5" style="6" customWidth="1"/>
    <col min="12778" max="12778" width="8.875" style="6" customWidth="1"/>
    <col min="12779" max="12779" width="5" style="6" customWidth="1"/>
    <col min="12780" max="12780" width="8.25" style="6" bestFit="1" customWidth="1"/>
    <col min="12781" max="12781" width="16.125" style="6" customWidth="1"/>
    <col min="12782" max="12782" width="86" style="6" customWidth="1"/>
    <col min="12783" max="12783" width="5" style="6" customWidth="1"/>
    <col min="12784" max="12784" width="11.125" style="6" customWidth="1"/>
    <col min="12785" max="12785" width="10.375" style="6" customWidth="1"/>
    <col min="12786" max="12786" width="10.875" style="6" customWidth="1"/>
    <col min="12787" max="12787" width="7.75" style="6" customWidth="1"/>
    <col min="12788" max="12788" width="9.875" style="6" customWidth="1"/>
    <col min="12789" max="12789" width="10.625" style="6" customWidth="1"/>
    <col min="12790" max="13032" width="6.125" style="6"/>
    <col min="13033" max="13033" width="5" style="6" customWidth="1"/>
    <col min="13034" max="13034" width="8.875" style="6" customWidth="1"/>
    <col min="13035" max="13035" width="5" style="6" customWidth="1"/>
    <col min="13036" max="13036" width="8.25" style="6" bestFit="1" customWidth="1"/>
    <col min="13037" max="13037" width="16.125" style="6" customWidth="1"/>
    <col min="13038" max="13038" width="86" style="6" customWidth="1"/>
    <col min="13039" max="13039" width="5" style="6" customWidth="1"/>
    <col min="13040" max="13040" width="11.125" style="6" customWidth="1"/>
    <col min="13041" max="13041" width="10.375" style="6" customWidth="1"/>
    <col min="13042" max="13042" width="10.875" style="6" customWidth="1"/>
    <col min="13043" max="13043" width="7.75" style="6" customWidth="1"/>
    <col min="13044" max="13044" width="9.875" style="6" customWidth="1"/>
    <col min="13045" max="13045" width="10.625" style="6" customWidth="1"/>
    <col min="13046" max="13288" width="6.125" style="6"/>
    <col min="13289" max="13289" width="5" style="6" customWidth="1"/>
    <col min="13290" max="13290" width="8.875" style="6" customWidth="1"/>
    <col min="13291" max="13291" width="5" style="6" customWidth="1"/>
    <col min="13292" max="13292" width="8.25" style="6" bestFit="1" customWidth="1"/>
    <col min="13293" max="13293" width="16.125" style="6" customWidth="1"/>
    <col min="13294" max="13294" width="86" style="6" customWidth="1"/>
    <col min="13295" max="13295" width="5" style="6" customWidth="1"/>
    <col min="13296" max="13296" width="11.125" style="6" customWidth="1"/>
    <col min="13297" max="13297" width="10.375" style="6" customWidth="1"/>
    <col min="13298" max="13298" width="10.875" style="6" customWidth="1"/>
    <col min="13299" max="13299" width="7.75" style="6" customWidth="1"/>
    <col min="13300" max="13300" width="9.875" style="6" customWidth="1"/>
    <col min="13301" max="13301" width="10.625" style="6" customWidth="1"/>
    <col min="13302" max="13544" width="6.125" style="6"/>
    <col min="13545" max="13545" width="5" style="6" customWidth="1"/>
    <col min="13546" max="13546" width="8.875" style="6" customWidth="1"/>
    <col min="13547" max="13547" width="5" style="6" customWidth="1"/>
    <col min="13548" max="13548" width="8.25" style="6" bestFit="1" customWidth="1"/>
    <col min="13549" max="13549" width="16.125" style="6" customWidth="1"/>
    <col min="13550" max="13550" width="86" style="6" customWidth="1"/>
    <col min="13551" max="13551" width="5" style="6" customWidth="1"/>
    <col min="13552" max="13552" width="11.125" style="6" customWidth="1"/>
    <col min="13553" max="13553" width="10.375" style="6" customWidth="1"/>
    <col min="13554" max="13554" width="10.875" style="6" customWidth="1"/>
    <col min="13555" max="13555" width="7.75" style="6" customWidth="1"/>
    <col min="13556" max="13556" width="9.875" style="6" customWidth="1"/>
    <col min="13557" max="13557" width="10.625" style="6" customWidth="1"/>
    <col min="13558" max="13800" width="6.125" style="6"/>
    <col min="13801" max="13801" width="5" style="6" customWidth="1"/>
    <col min="13802" max="13802" width="8.875" style="6" customWidth="1"/>
    <col min="13803" max="13803" width="5" style="6" customWidth="1"/>
    <col min="13804" max="13804" width="8.25" style="6" bestFit="1" customWidth="1"/>
    <col min="13805" max="13805" width="16.125" style="6" customWidth="1"/>
    <col min="13806" max="13806" width="86" style="6" customWidth="1"/>
    <col min="13807" max="13807" width="5" style="6" customWidth="1"/>
    <col min="13808" max="13808" width="11.125" style="6" customWidth="1"/>
    <col min="13809" max="13809" width="10.375" style="6" customWidth="1"/>
    <col min="13810" max="13810" width="10.875" style="6" customWidth="1"/>
    <col min="13811" max="13811" width="7.75" style="6" customWidth="1"/>
    <col min="13812" max="13812" width="9.875" style="6" customWidth="1"/>
    <col min="13813" max="13813" width="10.625" style="6" customWidth="1"/>
    <col min="13814" max="14056" width="6.125" style="6"/>
    <col min="14057" max="14057" width="5" style="6" customWidth="1"/>
    <col min="14058" max="14058" width="8.875" style="6" customWidth="1"/>
    <col min="14059" max="14059" width="5" style="6" customWidth="1"/>
    <col min="14060" max="14060" width="8.25" style="6" bestFit="1" customWidth="1"/>
    <col min="14061" max="14061" width="16.125" style="6" customWidth="1"/>
    <col min="14062" max="14062" width="86" style="6" customWidth="1"/>
    <col min="14063" max="14063" width="5" style="6" customWidth="1"/>
    <col min="14064" max="14064" width="11.125" style="6" customWidth="1"/>
    <col min="14065" max="14065" width="10.375" style="6" customWidth="1"/>
    <col min="14066" max="14066" width="10.875" style="6" customWidth="1"/>
    <col min="14067" max="14067" width="7.75" style="6" customWidth="1"/>
    <col min="14068" max="14068" width="9.875" style="6" customWidth="1"/>
    <col min="14069" max="14069" width="10.625" style="6" customWidth="1"/>
    <col min="14070" max="14312" width="6.125" style="6"/>
    <col min="14313" max="14313" width="5" style="6" customWidth="1"/>
    <col min="14314" max="14314" width="8.875" style="6" customWidth="1"/>
    <col min="14315" max="14315" width="5" style="6" customWidth="1"/>
    <col min="14316" max="14316" width="8.25" style="6" bestFit="1" customWidth="1"/>
    <col min="14317" max="14317" width="16.125" style="6" customWidth="1"/>
    <col min="14318" max="14318" width="86" style="6" customWidth="1"/>
    <col min="14319" max="14319" width="5" style="6" customWidth="1"/>
    <col min="14320" max="14320" width="11.125" style="6" customWidth="1"/>
    <col min="14321" max="14321" width="10.375" style="6" customWidth="1"/>
    <col min="14322" max="14322" width="10.875" style="6" customWidth="1"/>
    <col min="14323" max="14323" width="7.75" style="6" customWidth="1"/>
    <col min="14324" max="14324" width="9.875" style="6" customWidth="1"/>
    <col min="14325" max="14325" width="10.625" style="6" customWidth="1"/>
    <col min="14326" max="14568" width="6.125" style="6"/>
    <col min="14569" max="14569" width="5" style="6" customWidth="1"/>
    <col min="14570" max="14570" width="8.875" style="6" customWidth="1"/>
    <col min="14571" max="14571" width="5" style="6" customWidth="1"/>
    <col min="14572" max="14572" width="8.25" style="6" bestFit="1" customWidth="1"/>
    <col min="14573" max="14573" width="16.125" style="6" customWidth="1"/>
    <col min="14574" max="14574" width="86" style="6" customWidth="1"/>
    <col min="14575" max="14575" width="5" style="6" customWidth="1"/>
    <col min="14576" max="14576" width="11.125" style="6" customWidth="1"/>
    <col min="14577" max="14577" width="10.375" style="6" customWidth="1"/>
    <col min="14578" max="14578" width="10.875" style="6" customWidth="1"/>
    <col min="14579" max="14579" width="7.75" style="6" customWidth="1"/>
    <col min="14580" max="14580" width="9.875" style="6" customWidth="1"/>
    <col min="14581" max="14581" width="10.625" style="6" customWidth="1"/>
    <col min="14582" max="14824" width="6.125" style="6"/>
    <col min="14825" max="14825" width="5" style="6" customWidth="1"/>
    <col min="14826" max="14826" width="8.875" style="6" customWidth="1"/>
    <col min="14827" max="14827" width="5" style="6" customWidth="1"/>
    <col min="14828" max="14828" width="8.25" style="6" bestFit="1" customWidth="1"/>
    <col min="14829" max="14829" width="16.125" style="6" customWidth="1"/>
    <col min="14830" max="14830" width="86" style="6" customWidth="1"/>
    <col min="14831" max="14831" width="5" style="6" customWidth="1"/>
    <col min="14832" max="14832" width="11.125" style="6" customWidth="1"/>
    <col min="14833" max="14833" width="10.375" style="6" customWidth="1"/>
    <col min="14834" max="14834" width="10.875" style="6" customWidth="1"/>
    <col min="14835" max="14835" width="7.75" style="6" customWidth="1"/>
    <col min="14836" max="14836" width="9.875" style="6" customWidth="1"/>
    <col min="14837" max="14837" width="10.625" style="6" customWidth="1"/>
    <col min="14838" max="15080" width="6.125" style="6"/>
    <col min="15081" max="15081" width="5" style="6" customWidth="1"/>
    <col min="15082" max="15082" width="8.875" style="6" customWidth="1"/>
    <col min="15083" max="15083" width="5" style="6" customWidth="1"/>
    <col min="15084" max="15084" width="8.25" style="6" bestFit="1" customWidth="1"/>
    <col min="15085" max="15085" width="16.125" style="6" customWidth="1"/>
    <col min="15086" max="15086" width="86" style="6" customWidth="1"/>
    <col min="15087" max="15087" width="5" style="6" customWidth="1"/>
    <col min="15088" max="15088" width="11.125" style="6" customWidth="1"/>
    <col min="15089" max="15089" width="10.375" style="6" customWidth="1"/>
    <col min="15090" max="15090" width="10.875" style="6" customWidth="1"/>
    <col min="15091" max="15091" width="7.75" style="6" customWidth="1"/>
    <col min="15092" max="15092" width="9.875" style="6" customWidth="1"/>
    <col min="15093" max="15093" width="10.625" style="6" customWidth="1"/>
    <col min="15094" max="15336" width="6.125" style="6"/>
    <col min="15337" max="15337" width="5" style="6" customWidth="1"/>
    <col min="15338" max="15338" width="8.875" style="6" customWidth="1"/>
    <col min="15339" max="15339" width="5" style="6" customWidth="1"/>
    <col min="15340" max="15340" width="8.25" style="6" bestFit="1" customWidth="1"/>
    <col min="15341" max="15341" width="16.125" style="6" customWidth="1"/>
    <col min="15342" max="15342" width="86" style="6" customWidth="1"/>
    <col min="15343" max="15343" width="5" style="6" customWidth="1"/>
    <col min="15344" max="15344" width="11.125" style="6" customWidth="1"/>
    <col min="15345" max="15345" width="10.375" style="6" customWidth="1"/>
    <col min="15346" max="15346" width="10.875" style="6" customWidth="1"/>
    <col min="15347" max="15347" width="7.75" style="6" customWidth="1"/>
    <col min="15348" max="15348" width="9.875" style="6" customWidth="1"/>
    <col min="15349" max="15349" width="10.625" style="6" customWidth="1"/>
    <col min="15350" max="15592" width="6.125" style="6"/>
    <col min="15593" max="15593" width="5" style="6" customWidth="1"/>
    <col min="15594" max="15594" width="8.875" style="6" customWidth="1"/>
    <col min="15595" max="15595" width="5" style="6" customWidth="1"/>
    <col min="15596" max="15596" width="8.25" style="6" bestFit="1" customWidth="1"/>
    <col min="15597" max="15597" width="16.125" style="6" customWidth="1"/>
    <col min="15598" max="15598" width="86" style="6" customWidth="1"/>
    <col min="15599" max="15599" width="5" style="6" customWidth="1"/>
    <col min="15600" max="15600" width="11.125" style="6" customWidth="1"/>
    <col min="15601" max="15601" width="10.375" style="6" customWidth="1"/>
    <col min="15602" max="15602" width="10.875" style="6" customWidth="1"/>
    <col min="15603" max="15603" width="7.75" style="6" customWidth="1"/>
    <col min="15604" max="15604" width="9.875" style="6" customWidth="1"/>
    <col min="15605" max="15605" width="10.625" style="6" customWidth="1"/>
    <col min="15606" max="15848" width="6.125" style="6"/>
    <col min="15849" max="15849" width="5" style="6" customWidth="1"/>
    <col min="15850" max="15850" width="8.875" style="6" customWidth="1"/>
    <col min="15851" max="15851" width="5" style="6" customWidth="1"/>
    <col min="15852" max="15852" width="8.25" style="6" bestFit="1" customWidth="1"/>
    <col min="15853" max="15853" width="16.125" style="6" customWidth="1"/>
    <col min="15854" max="15854" width="86" style="6" customWidth="1"/>
    <col min="15855" max="15855" width="5" style="6" customWidth="1"/>
    <col min="15856" max="15856" width="11.125" style="6" customWidth="1"/>
    <col min="15857" max="15857" width="10.375" style="6" customWidth="1"/>
    <col min="15858" max="15858" width="10.875" style="6" customWidth="1"/>
    <col min="15859" max="15859" width="7.75" style="6" customWidth="1"/>
    <col min="15860" max="15860" width="9.875" style="6" customWidth="1"/>
    <col min="15861" max="15861" width="10.625" style="6" customWidth="1"/>
    <col min="15862" max="16104" width="6.125" style="6"/>
    <col min="16105" max="16105" width="5" style="6" customWidth="1"/>
    <col min="16106" max="16106" width="8.875" style="6" customWidth="1"/>
    <col min="16107" max="16107" width="5" style="6" customWidth="1"/>
    <col min="16108" max="16108" width="8.25" style="6" bestFit="1" customWidth="1"/>
    <col min="16109" max="16109" width="16.125" style="6" customWidth="1"/>
    <col min="16110" max="16110" width="86" style="6" customWidth="1"/>
    <col min="16111" max="16111" width="5" style="6" customWidth="1"/>
    <col min="16112" max="16112" width="11.125" style="6" customWidth="1"/>
    <col min="16113" max="16113" width="10.375" style="6" customWidth="1"/>
    <col min="16114" max="16114" width="10.875" style="6" customWidth="1"/>
    <col min="16115" max="16115" width="7.75" style="6" customWidth="1"/>
    <col min="16116" max="16116" width="9.875" style="6" customWidth="1"/>
    <col min="16117" max="16117" width="10.625" style="6" customWidth="1"/>
    <col min="16118" max="16384" width="6.125" style="6"/>
  </cols>
  <sheetData>
    <row r="1" spans="1:12" ht="24" customHeight="1">
      <c r="A1" s="636" t="s">
        <v>57</v>
      </c>
      <c r="B1" s="636"/>
      <c r="C1" s="636"/>
      <c r="D1" s="636"/>
      <c r="E1" s="636"/>
      <c r="F1" s="636"/>
      <c r="G1" s="636"/>
      <c r="H1" s="636"/>
    </row>
    <row r="2" spans="1:12" ht="12.75" customHeight="1">
      <c r="A2" s="635"/>
      <c r="B2" s="635"/>
      <c r="C2" s="635"/>
      <c r="D2" s="635"/>
      <c r="E2" s="635"/>
      <c r="F2" s="635"/>
      <c r="G2" s="635"/>
      <c r="H2" s="635"/>
      <c r="I2" s="25"/>
    </row>
    <row r="3" spans="1:12" ht="32.25" customHeight="1" thickBot="1">
      <c r="A3" s="342"/>
      <c r="B3" s="342"/>
      <c r="C3" s="342"/>
      <c r="D3" s="342"/>
      <c r="E3" s="342"/>
      <c r="F3" s="343"/>
      <c r="G3" s="342"/>
      <c r="H3" s="342"/>
      <c r="I3" s="340"/>
      <c r="J3" s="619"/>
      <c r="K3" s="340"/>
      <c r="L3" s="341"/>
    </row>
    <row r="4" spans="1:12" s="7" customFormat="1" ht="65.25" customHeight="1" thickBot="1">
      <c r="A4" s="167" t="s">
        <v>20</v>
      </c>
      <c r="B4" s="70" t="s">
        <v>0</v>
      </c>
      <c r="C4" s="70" t="s">
        <v>1</v>
      </c>
      <c r="D4" s="70" t="s">
        <v>2</v>
      </c>
      <c r="E4" s="70" t="s">
        <v>3</v>
      </c>
      <c r="F4" s="344" t="s">
        <v>21</v>
      </c>
      <c r="G4" s="169" t="s">
        <v>22</v>
      </c>
      <c r="H4" s="70" t="s">
        <v>4</v>
      </c>
      <c r="I4" s="70" t="s">
        <v>23</v>
      </c>
      <c r="J4" s="620" t="s">
        <v>5</v>
      </c>
      <c r="K4" s="70"/>
      <c r="L4" s="254"/>
    </row>
    <row r="5" spans="1:12" ht="15.75" thickBot="1">
      <c r="A5" s="345"/>
      <c r="B5" s="346"/>
      <c r="C5" s="346"/>
      <c r="D5" s="346"/>
      <c r="E5" s="346"/>
      <c r="F5" s="347"/>
      <c r="G5" s="348"/>
      <c r="H5" s="349"/>
      <c r="I5" s="350"/>
      <c r="J5" s="621"/>
      <c r="K5" s="346"/>
      <c r="L5" s="346"/>
    </row>
    <row r="6" spans="1:12" ht="15.75" thickBot="1">
      <c r="A6" s="351" t="s">
        <v>15</v>
      </c>
      <c r="B6" s="352"/>
      <c r="C6" s="352"/>
      <c r="D6" s="352"/>
      <c r="E6" s="352"/>
      <c r="F6" s="344" t="s">
        <v>24</v>
      </c>
      <c r="G6" s="352"/>
      <c r="H6" s="353"/>
      <c r="I6" s="354"/>
      <c r="J6" s="622"/>
      <c r="K6" s="352"/>
      <c r="L6" s="355"/>
    </row>
    <row r="7" spans="1:12" ht="15">
      <c r="A7" s="356"/>
      <c r="B7" s="357"/>
      <c r="C7" s="357"/>
      <c r="D7" s="357"/>
      <c r="E7" s="357"/>
      <c r="F7" s="358"/>
      <c r="G7" s="357"/>
      <c r="H7" s="359"/>
      <c r="I7" s="360"/>
      <c r="J7" s="623"/>
      <c r="K7" s="357"/>
      <c r="L7" s="357"/>
    </row>
    <row r="8" spans="1:12" s="9" customFormat="1" ht="30">
      <c r="A8" s="361">
        <v>1.1000000000000001</v>
      </c>
      <c r="B8" s="362"/>
      <c r="C8" s="362"/>
      <c r="D8" s="282" t="s">
        <v>6</v>
      </c>
      <c r="E8" s="124" t="s">
        <v>26</v>
      </c>
      <c r="F8" s="363" t="s">
        <v>83</v>
      </c>
      <c r="G8" s="362" t="s">
        <v>25</v>
      </c>
      <c r="H8" s="549">
        <v>190</v>
      </c>
      <c r="I8" s="280">
        <v>12294</v>
      </c>
      <c r="J8" s="624">
        <f>SUM(H8*I8)</f>
        <v>2335860</v>
      </c>
      <c r="K8" s="124"/>
      <c r="L8" s="124"/>
    </row>
    <row r="9" spans="1:12" s="9" customFormat="1" ht="243" customHeight="1">
      <c r="A9" s="361"/>
      <c r="B9" s="362"/>
      <c r="C9" s="362"/>
      <c r="D9" s="362"/>
      <c r="E9" s="362"/>
      <c r="F9" s="555" t="s">
        <v>576</v>
      </c>
      <c r="G9" s="362"/>
      <c r="H9" s="549"/>
      <c r="I9" s="280"/>
      <c r="J9" s="625"/>
      <c r="K9" s="124"/>
      <c r="L9" s="124"/>
    </row>
    <row r="10" spans="1:12" s="9" customFormat="1" ht="15">
      <c r="A10" s="177"/>
      <c r="B10" s="124"/>
      <c r="C10" s="124"/>
      <c r="D10" s="124"/>
      <c r="E10" s="124"/>
      <c r="F10" s="365"/>
      <c r="G10" s="124"/>
      <c r="H10" s="550"/>
      <c r="I10" s="280"/>
      <c r="J10" s="625"/>
      <c r="K10" s="124"/>
      <c r="L10" s="124"/>
    </row>
    <row r="11" spans="1:12" s="9" customFormat="1" ht="15">
      <c r="A11" s="177"/>
      <c r="B11" s="124"/>
      <c r="C11" s="124"/>
      <c r="D11" s="124"/>
      <c r="E11" s="124"/>
      <c r="F11" s="365"/>
      <c r="G11" s="124"/>
      <c r="H11" s="550"/>
      <c r="I11" s="280"/>
      <c r="J11" s="625"/>
      <c r="K11" s="124"/>
      <c r="L11" s="124"/>
    </row>
    <row r="12" spans="1:12" s="9" customFormat="1" ht="30">
      <c r="A12" s="177">
        <v>1.2</v>
      </c>
      <c r="B12" s="124"/>
      <c r="C12" s="124"/>
      <c r="D12" s="284" t="s">
        <v>27</v>
      </c>
      <c r="E12" s="124" t="s">
        <v>86</v>
      </c>
      <c r="F12" s="366" t="s">
        <v>87</v>
      </c>
      <c r="G12" s="124" t="s">
        <v>25</v>
      </c>
      <c r="H12" s="551">
        <f>(3.8*3)*3.6</f>
        <v>41.04</v>
      </c>
      <c r="I12" s="280">
        <v>11958</v>
      </c>
      <c r="J12" s="624">
        <f>SUM(H12*I12)</f>
        <v>490756.32</v>
      </c>
      <c r="K12" s="368"/>
      <c r="L12" s="125"/>
    </row>
    <row r="13" spans="1:12" s="9" customFormat="1" ht="165">
      <c r="A13" s="177"/>
      <c r="B13" s="124"/>
      <c r="C13" s="124"/>
      <c r="D13" s="124"/>
      <c r="E13" s="124"/>
      <c r="F13" s="555" t="s">
        <v>577</v>
      </c>
      <c r="G13" s="124"/>
      <c r="H13" s="551"/>
      <c r="I13" s="367"/>
      <c r="J13" s="626"/>
      <c r="K13" s="368"/>
      <c r="L13" s="125"/>
    </row>
    <row r="14" spans="1:12" s="9" customFormat="1" ht="15">
      <c r="A14" s="177"/>
      <c r="B14" s="124"/>
      <c r="C14" s="124"/>
      <c r="D14" s="124"/>
      <c r="E14" s="124"/>
      <c r="F14" s="365"/>
      <c r="G14" s="124"/>
      <c r="H14" s="550"/>
      <c r="I14" s="280"/>
      <c r="J14" s="625"/>
      <c r="K14" s="124"/>
      <c r="L14" s="124"/>
    </row>
    <row r="15" spans="1:12" s="9" customFormat="1" ht="30">
      <c r="A15" s="361">
        <v>1.3</v>
      </c>
      <c r="B15" s="362"/>
      <c r="C15" s="362"/>
      <c r="D15" s="282" t="s">
        <v>27</v>
      </c>
      <c r="E15" s="124" t="s">
        <v>59</v>
      </c>
      <c r="F15" s="363" t="s">
        <v>60</v>
      </c>
      <c r="G15" s="362" t="s">
        <v>25</v>
      </c>
      <c r="H15" s="550">
        <f>7*3.6</f>
        <v>25.2</v>
      </c>
      <c r="I15" s="280">
        <v>8976</v>
      </c>
      <c r="J15" s="624">
        <f>SUM(H15*I15)</f>
        <v>226195.19999999998</v>
      </c>
      <c r="K15" s="124"/>
      <c r="L15" s="124"/>
    </row>
    <row r="16" spans="1:12" s="9" customFormat="1" ht="120">
      <c r="A16" s="361"/>
      <c r="B16" s="124"/>
      <c r="C16" s="362"/>
      <c r="D16" s="362"/>
      <c r="E16" s="362"/>
      <c r="F16" s="555" t="s">
        <v>85</v>
      </c>
      <c r="G16" s="362"/>
      <c r="H16" s="550"/>
      <c r="I16" s="280"/>
      <c r="J16" s="625"/>
      <c r="K16" s="124"/>
      <c r="L16" s="124"/>
    </row>
    <row r="17" spans="1:12" s="9" customFormat="1" ht="15">
      <c r="A17" s="361"/>
      <c r="B17" s="362"/>
      <c r="C17" s="362"/>
      <c r="D17" s="362"/>
      <c r="E17" s="362"/>
      <c r="F17" s="556"/>
      <c r="G17" s="362"/>
      <c r="H17" s="550"/>
      <c r="I17" s="280"/>
      <c r="J17" s="625"/>
      <c r="K17" s="124"/>
      <c r="L17" s="124"/>
    </row>
    <row r="18" spans="1:12" s="9" customFormat="1" ht="15">
      <c r="A18" s="361"/>
      <c r="B18" s="369"/>
      <c r="C18" s="369"/>
      <c r="D18" s="369"/>
      <c r="E18" s="369"/>
      <c r="F18" s="365"/>
      <c r="G18" s="362"/>
      <c r="H18" s="550"/>
      <c r="I18" s="280"/>
      <c r="J18" s="625"/>
      <c r="K18" s="124"/>
      <c r="L18" s="124"/>
    </row>
    <row r="19" spans="1:12" s="9" customFormat="1" ht="15">
      <c r="A19" s="361">
        <v>1.4</v>
      </c>
      <c r="B19" s="369"/>
      <c r="C19" s="369"/>
      <c r="D19" s="282" t="s">
        <v>9</v>
      </c>
      <c r="E19" s="124" t="s">
        <v>62</v>
      </c>
      <c r="F19" s="370" t="s">
        <v>63</v>
      </c>
      <c r="G19" s="362" t="s">
        <v>8</v>
      </c>
      <c r="H19" s="550">
        <f>7.5*3</f>
        <v>22.5</v>
      </c>
      <c r="I19" s="280">
        <v>3852</v>
      </c>
      <c r="J19" s="624">
        <f>SUM(H19*I19)</f>
        <v>86670</v>
      </c>
      <c r="K19" s="124"/>
      <c r="L19" s="124"/>
    </row>
    <row r="20" spans="1:12" s="9" customFormat="1" ht="210">
      <c r="A20" s="361"/>
      <c r="B20" s="369"/>
      <c r="C20" s="369"/>
      <c r="D20" s="369"/>
      <c r="E20" s="362"/>
      <c r="F20" s="371" t="s">
        <v>578</v>
      </c>
      <c r="G20" s="362"/>
      <c r="H20" s="550"/>
      <c r="I20" s="280"/>
      <c r="J20" s="625"/>
      <c r="K20" s="124"/>
      <c r="L20" s="124"/>
    </row>
    <row r="21" spans="1:12" s="9" customFormat="1" ht="15">
      <c r="A21" s="361"/>
      <c r="B21" s="369"/>
      <c r="C21" s="369"/>
      <c r="D21" s="369"/>
      <c r="E21" s="369"/>
      <c r="F21" s="365"/>
      <c r="G21" s="362"/>
      <c r="H21" s="550"/>
      <c r="I21" s="280"/>
      <c r="J21" s="625"/>
      <c r="K21" s="124"/>
      <c r="L21" s="124"/>
    </row>
    <row r="22" spans="1:12" s="9" customFormat="1" ht="15">
      <c r="A22" s="361"/>
      <c r="B22" s="362"/>
      <c r="C22" s="362"/>
      <c r="D22" s="362"/>
      <c r="E22" s="362"/>
      <c r="F22" s="556"/>
      <c r="G22" s="124"/>
      <c r="H22" s="550"/>
      <c r="I22" s="280"/>
      <c r="J22" s="625"/>
      <c r="K22" s="124"/>
      <c r="L22" s="124"/>
    </row>
    <row r="23" spans="1:12" s="9" customFormat="1" ht="53.25" customHeight="1">
      <c r="A23" s="361">
        <v>1.5</v>
      </c>
      <c r="B23" s="362"/>
      <c r="C23" s="362"/>
      <c r="D23" s="282" t="s">
        <v>64</v>
      </c>
      <c r="E23" s="124" t="s">
        <v>51</v>
      </c>
      <c r="F23" s="557" t="s">
        <v>65</v>
      </c>
      <c r="G23" s="362" t="s">
        <v>8</v>
      </c>
      <c r="H23" s="549">
        <v>60</v>
      </c>
      <c r="I23" s="280">
        <v>10700</v>
      </c>
      <c r="J23" s="624">
        <f>SUM(H23*I23)</f>
        <v>642000</v>
      </c>
      <c r="K23" s="124"/>
      <c r="L23" s="124"/>
    </row>
    <row r="24" spans="1:12" ht="150">
      <c r="A24" s="361"/>
      <c r="B24" s="362"/>
      <c r="C24" s="362"/>
      <c r="D24" s="362"/>
      <c r="E24" s="362"/>
      <c r="F24" s="365" t="s">
        <v>579</v>
      </c>
      <c r="G24" s="362"/>
      <c r="H24" s="549"/>
      <c r="I24" s="364"/>
      <c r="J24" s="627"/>
      <c r="K24" s="362"/>
      <c r="L24" s="362"/>
    </row>
    <row r="25" spans="1:12" ht="15.75" thickBot="1">
      <c r="A25" s="372"/>
      <c r="B25" s="373"/>
      <c r="C25" s="373"/>
      <c r="D25" s="373"/>
      <c r="E25" s="373"/>
      <c r="F25" s="374"/>
      <c r="G25" s="373"/>
      <c r="H25" s="552"/>
      <c r="I25" s="375"/>
      <c r="J25" s="628"/>
      <c r="K25" s="373"/>
      <c r="L25" s="373"/>
    </row>
    <row r="26" spans="1:12" ht="15.75" thickBot="1">
      <c r="A26" s="376" t="s">
        <v>16</v>
      </c>
      <c r="B26" s="377"/>
      <c r="C26" s="377"/>
      <c r="D26" s="377"/>
      <c r="E26" s="377"/>
      <c r="F26" s="344" t="s">
        <v>18</v>
      </c>
      <c r="G26" s="378"/>
      <c r="H26" s="553"/>
      <c r="I26" s="379"/>
      <c r="J26" s="629"/>
      <c r="K26" s="378"/>
      <c r="L26" s="380"/>
    </row>
    <row r="27" spans="1:12" ht="15">
      <c r="A27" s="356"/>
      <c r="B27" s="381"/>
      <c r="C27" s="381"/>
      <c r="D27" s="381"/>
      <c r="E27" s="381"/>
      <c r="F27" s="358"/>
      <c r="G27" s="357"/>
      <c r="H27" s="554"/>
      <c r="I27" s="359"/>
      <c r="J27" s="623"/>
      <c r="K27" s="357"/>
      <c r="L27" s="357"/>
    </row>
    <row r="28" spans="1:12" ht="15">
      <c r="A28" s="177">
        <v>2.1</v>
      </c>
      <c r="B28" s="125"/>
      <c r="C28" s="125"/>
      <c r="D28" s="78" t="s">
        <v>10</v>
      </c>
      <c r="E28" s="382" t="s">
        <v>54</v>
      </c>
      <c r="F28" s="383" t="s">
        <v>88</v>
      </c>
      <c r="G28" s="124" t="s">
        <v>25</v>
      </c>
      <c r="H28" s="31">
        <v>20</v>
      </c>
      <c r="I28" s="280">
        <v>2868</v>
      </c>
      <c r="J28" s="624">
        <f>SUM(H28*I28)</f>
        <v>57360</v>
      </c>
      <c r="K28" s="125"/>
      <c r="L28" s="125"/>
    </row>
    <row r="29" spans="1:12" ht="225">
      <c r="A29" s="177"/>
      <c r="B29" s="125"/>
      <c r="C29" s="125"/>
      <c r="D29" s="125"/>
      <c r="E29" s="124"/>
      <c r="F29" s="36" t="s">
        <v>89</v>
      </c>
      <c r="G29" s="124"/>
      <c r="H29" s="549"/>
      <c r="I29" s="364"/>
      <c r="J29" s="627"/>
      <c r="K29" s="362"/>
      <c r="L29" s="362"/>
    </row>
    <row r="30" spans="1:12" ht="15">
      <c r="A30" s="361"/>
      <c r="B30" s="369"/>
      <c r="C30" s="369"/>
      <c r="D30" s="369"/>
      <c r="E30" s="369"/>
      <c r="F30" s="363"/>
      <c r="G30" s="362"/>
      <c r="H30" s="549"/>
      <c r="I30" s="364"/>
      <c r="J30" s="627"/>
      <c r="K30" s="362"/>
      <c r="L30" s="362"/>
    </row>
    <row r="31" spans="1:12" ht="30">
      <c r="A31" s="361">
        <v>2.2000000000000002</v>
      </c>
      <c r="B31" s="369"/>
      <c r="C31" s="369"/>
      <c r="D31" s="282" t="s">
        <v>10</v>
      </c>
      <c r="E31" s="282" t="s">
        <v>54</v>
      </c>
      <c r="F31" s="363" t="s">
        <v>82</v>
      </c>
      <c r="G31" s="362" t="s">
        <v>8</v>
      </c>
      <c r="H31" s="549">
        <v>30</v>
      </c>
      <c r="I31" s="280">
        <v>48475</v>
      </c>
      <c r="J31" s="624">
        <f>SUM(H31*I31)</f>
        <v>1454250</v>
      </c>
      <c r="K31" s="362"/>
      <c r="L31" s="362"/>
    </row>
    <row r="32" spans="1:12" ht="300">
      <c r="A32" s="361"/>
      <c r="B32" s="369"/>
      <c r="C32" s="369"/>
      <c r="D32" s="369"/>
      <c r="E32" s="362"/>
      <c r="F32" s="555" t="s">
        <v>81</v>
      </c>
      <c r="G32" s="362"/>
      <c r="H32" s="549"/>
      <c r="I32" s="364"/>
      <c r="J32" s="627"/>
      <c r="K32" s="362"/>
      <c r="L32" s="362"/>
    </row>
    <row r="33" spans="1:12" ht="15">
      <c r="A33" s="361"/>
      <c r="B33" s="369"/>
      <c r="C33" s="369"/>
      <c r="D33" s="369"/>
      <c r="E33" s="369"/>
      <c r="F33" s="556" t="s">
        <v>61</v>
      </c>
      <c r="G33" s="362"/>
      <c r="H33" s="549"/>
      <c r="I33" s="364"/>
      <c r="J33" s="627"/>
      <c r="K33" s="362"/>
      <c r="L33" s="362"/>
    </row>
    <row r="34" spans="1:12" ht="15">
      <c r="A34" s="361"/>
      <c r="B34" s="369"/>
      <c r="C34" s="369"/>
      <c r="D34" s="369"/>
      <c r="E34" s="369"/>
      <c r="F34" s="365"/>
      <c r="G34" s="362"/>
      <c r="H34" s="549"/>
      <c r="I34" s="364"/>
      <c r="J34" s="627"/>
      <c r="K34" s="362"/>
      <c r="L34" s="362"/>
    </row>
    <row r="35" spans="1:12" ht="15">
      <c r="A35" s="361">
        <v>2.2999999999999998</v>
      </c>
      <c r="B35" s="369"/>
      <c r="C35" s="369"/>
      <c r="D35" s="282" t="s">
        <v>10</v>
      </c>
      <c r="E35" s="282" t="s">
        <v>66</v>
      </c>
      <c r="F35" s="363" t="s">
        <v>29</v>
      </c>
      <c r="G35" s="362" t="s">
        <v>25</v>
      </c>
      <c r="H35" s="549">
        <v>50</v>
      </c>
      <c r="I35" s="280">
        <v>732</v>
      </c>
      <c r="J35" s="624">
        <f>SUM(H35*I35)</f>
        <v>36600</v>
      </c>
      <c r="K35" s="362"/>
      <c r="L35" s="362"/>
    </row>
    <row r="36" spans="1:12" ht="120">
      <c r="A36" s="361"/>
      <c r="B36" s="369"/>
      <c r="C36" s="369"/>
      <c r="D36" s="369"/>
      <c r="E36" s="369"/>
      <c r="F36" s="555" t="s">
        <v>48</v>
      </c>
      <c r="G36" s="362"/>
      <c r="H36" s="549"/>
      <c r="I36" s="364"/>
      <c r="J36" s="627"/>
      <c r="K36" s="362"/>
      <c r="L36" s="362"/>
    </row>
    <row r="37" spans="1:12" ht="15.75" thickBot="1">
      <c r="A37" s="372"/>
      <c r="B37" s="384"/>
      <c r="C37" s="384"/>
      <c r="D37" s="384"/>
      <c r="E37" s="384"/>
      <c r="F37" s="558"/>
      <c r="G37" s="373"/>
      <c r="H37" s="552"/>
      <c r="I37" s="375"/>
      <c r="J37" s="628"/>
      <c r="K37" s="373"/>
      <c r="L37" s="373"/>
    </row>
    <row r="38" spans="1:12" ht="15.75" thickBot="1">
      <c r="A38" s="376" t="s">
        <v>17</v>
      </c>
      <c r="B38" s="377"/>
      <c r="C38" s="377"/>
      <c r="D38" s="377"/>
      <c r="E38" s="377"/>
      <c r="F38" s="344" t="s">
        <v>19</v>
      </c>
      <c r="G38" s="378"/>
      <c r="H38" s="553"/>
      <c r="I38" s="379"/>
      <c r="J38" s="629"/>
      <c r="K38" s="378"/>
      <c r="L38" s="380"/>
    </row>
    <row r="39" spans="1:12" ht="15">
      <c r="A39" s="356"/>
      <c r="B39" s="381"/>
      <c r="C39" s="381"/>
      <c r="D39" s="381"/>
      <c r="E39" s="381"/>
      <c r="F39" s="358"/>
      <c r="G39" s="357"/>
      <c r="H39" s="554"/>
      <c r="I39" s="359"/>
      <c r="J39" s="623"/>
      <c r="K39" s="357"/>
      <c r="L39" s="357"/>
    </row>
    <row r="40" spans="1:12" ht="15">
      <c r="A40" s="361"/>
      <c r="B40" s="369"/>
      <c r="C40" s="369"/>
      <c r="D40" s="369"/>
      <c r="E40" s="369"/>
      <c r="F40" s="555"/>
      <c r="G40" s="362"/>
      <c r="H40" s="549"/>
      <c r="I40" s="364"/>
      <c r="J40" s="627"/>
      <c r="K40" s="362"/>
      <c r="L40" s="362"/>
    </row>
    <row r="41" spans="1:12" ht="15">
      <c r="A41" s="361">
        <v>3.1</v>
      </c>
      <c r="B41" s="369"/>
      <c r="C41" s="369"/>
      <c r="D41" s="369" t="s">
        <v>30</v>
      </c>
      <c r="E41" s="369" t="s">
        <v>31</v>
      </c>
      <c r="F41" s="363" t="s">
        <v>84</v>
      </c>
      <c r="G41" s="362"/>
      <c r="H41" s="549"/>
      <c r="I41" s="385"/>
      <c r="J41" s="627"/>
      <c r="K41" s="362"/>
      <c r="L41" s="362"/>
    </row>
    <row r="42" spans="1:12" ht="120">
      <c r="A42" s="361"/>
      <c r="B42" s="369"/>
      <c r="C42" s="369"/>
      <c r="D42" s="369"/>
      <c r="E42" s="369"/>
      <c r="F42" s="555" t="s">
        <v>551</v>
      </c>
      <c r="G42" s="362"/>
      <c r="H42" s="549"/>
      <c r="I42" s="364"/>
      <c r="J42" s="627"/>
      <c r="K42" s="362"/>
      <c r="L42" s="362"/>
    </row>
    <row r="43" spans="1:12" ht="15">
      <c r="A43" s="361"/>
      <c r="B43" s="369"/>
      <c r="C43" s="369"/>
      <c r="D43" s="369"/>
      <c r="E43" s="369"/>
      <c r="F43" s="386" t="s">
        <v>552</v>
      </c>
      <c r="G43" s="362" t="s">
        <v>25</v>
      </c>
      <c r="H43" s="549">
        <v>10</v>
      </c>
      <c r="I43" s="280">
        <v>3018</v>
      </c>
      <c r="J43" s="624">
        <f>SUM(H43*I43)</f>
        <v>30180</v>
      </c>
      <c r="K43" s="362"/>
      <c r="L43" s="362"/>
    </row>
    <row r="44" spans="1:12" ht="15">
      <c r="A44" s="361"/>
      <c r="B44" s="369"/>
      <c r="C44" s="369"/>
      <c r="D44" s="369"/>
      <c r="E44" s="369"/>
      <c r="F44" s="386" t="s">
        <v>553</v>
      </c>
      <c r="G44" s="362" t="s">
        <v>25</v>
      </c>
      <c r="H44" s="549">
        <v>10</v>
      </c>
      <c r="I44" s="280">
        <v>3426</v>
      </c>
      <c r="J44" s="624">
        <f>SUM(H44*I44)</f>
        <v>34260</v>
      </c>
      <c r="K44" s="362"/>
      <c r="L44" s="362"/>
    </row>
    <row r="45" spans="1:12" ht="15">
      <c r="A45" s="361"/>
      <c r="B45" s="369"/>
      <c r="C45" s="369"/>
      <c r="D45" s="369"/>
      <c r="E45" s="369"/>
      <c r="F45" s="386" t="s">
        <v>554</v>
      </c>
      <c r="G45" s="362" t="s">
        <v>25</v>
      </c>
      <c r="H45" s="549">
        <v>10</v>
      </c>
      <c r="I45" s="280">
        <v>3990</v>
      </c>
      <c r="J45" s="624">
        <f>SUM(H45*I45)</f>
        <v>39900</v>
      </c>
      <c r="K45" s="362"/>
      <c r="L45" s="362"/>
    </row>
    <row r="46" spans="1:12" ht="15">
      <c r="A46" s="361"/>
      <c r="B46" s="369"/>
      <c r="C46" s="369"/>
      <c r="D46" s="369"/>
      <c r="E46" s="369"/>
      <c r="F46" s="386" t="s">
        <v>555</v>
      </c>
      <c r="G46" s="362" t="s">
        <v>25</v>
      </c>
      <c r="H46" s="549">
        <v>10</v>
      </c>
      <c r="I46" s="280">
        <v>2040</v>
      </c>
      <c r="J46" s="624">
        <f>SUM(H46*I46)</f>
        <v>20400</v>
      </c>
      <c r="K46" s="362"/>
      <c r="L46" s="362"/>
    </row>
    <row r="47" spans="1:12" ht="15">
      <c r="A47" s="361"/>
      <c r="B47" s="369"/>
      <c r="C47" s="369"/>
      <c r="D47" s="369"/>
      <c r="E47" s="369"/>
      <c r="F47" s="556"/>
      <c r="G47" s="362"/>
      <c r="H47" s="549"/>
      <c r="I47" s="364"/>
      <c r="J47" s="627"/>
      <c r="K47" s="362"/>
      <c r="L47" s="362"/>
    </row>
    <row r="48" spans="1:12" ht="15">
      <c r="A48" s="361">
        <v>3.2</v>
      </c>
      <c r="B48" s="369"/>
      <c r="C48" s="369"/>
      <c r="D48" s="369" t="s">
        <v>30</v>
      </c>
      <c r="E48" s="369" t="s">
        <v>32</v>
      </c>
      <c r="F48" s="363" t="s">
        <v>33</v>
      </c>
      <c r="G48" s="362" t="s">
        <v>25</v>
      </c>
      <c r="H48" s="549">
        <v>10</v>
      </c>
      <c r="I48" s="280">
        <v>6042</v>
      </c>
      <c r="J48" s="624">
        <f>SUM(H48*I48)</f>
        <v>60420</v>
      </c>
      <c r="K48" s="362"/>
      <c r="L48" s="362"/>
    </row>
    <row r="49" spans="1:12" ht="120">
      <c r="A49" s="361"/>
      <c r="B49" s="369"/>
      <c r="C49" s="369"/>
      <c r="D49" s="369"/>
      <c r="E49" s="369"/>
      <c r="F49" s="555" t="s">
        <v>595</v>
      </c>
      <c r="G49" s="362"/>
      <c r="H49" s="549"/>
      <c r="I49" s="364"/>
      <c r="J49" s="627"/>
      <c r="K49" s="362"/>
      <c r="L49" s="362"/>
    </row>
    <row r="50" spans="1:12" ht="15">
      <c r="A50" s="361"/>
      <c r="B50" s="369"/>
      <c r="C50" s="369"/>
      <c r="D50" s="369"/>
      <c r="E50" s="369"/>
      <c r="F50" s="555" t="s">
        <v>52</v>
      </c>
      <c r="G50" s="362"/>
      <c r="H50" s="549"/>
      <c r="I50" s="364"/>
      <c r="J50" s="627"/>
      <c r="K50" s="362"/>
      <c r="L50" s="362"/>
    </row>
    <row r="51" spans="1:12" ht="15">
      <c r="A51" s="361"/>
      <c r="B51" s="369"/>
      <c r="C51" s="369"/>
      <c r="D51" s="369"/>
      <c r="E51" s="369"/>
      <c r="F51" s="556" t="s">
        <v>61</v>
      </c>
      <c r="G51" s="362"/>
      <c r="H51" s="549"/>
      <c r="I51" s="364"/>
      <c r="J51" s="627"/>
      <c r="K51" s="362"/>
      <c r="L51" s="362"/>
    </row>
    <row r="52" spans="1:12" ht="15">
      <c r="A52" s="387"/>
      <c r="B52" s="369"/>
      <c r="C52" s="369"/>
      <c r="D52" s="282"/>
      <c r="E52" s="78"/>
      <c r="F52" s="365"/>
      <c r="G52" s="362"/>
      <c r="H52" s="549"/>
      <c r="I52" s="364"/>
      <c r="J52" s="627"/>
      <c r="K52" s="362"/>
      <c r="L52" s="362"/>
    </row>
    <row r="53" spans="1:12" ht="30">
      <c r="A53" s="361">
        <v>3.3</v>
      </c>
      <c r="B53" s="369"/>
      <c r="C53" s="369"/>
      <c r="D53" s="369" t="s">
        <v>34</v>
      </c>
      <c r="E53" s="369" t="s">
        <v>35</v>
      </c>
      <c r="F53" s="363" t="s">
        <v>67</v>
      </c>
      <c r="G53" s="362" t="s">
        <v>28</v>
      </c>
      <c r="H53" s="549">
        <v>150</v>
      </c>
      <c r="I53" s="280">
        <v>3330</v>
      </c>
      <c r="J53" s="624">
        <f>SUM(H53*I53)</f>
        <v>499500</v>
      </c>
      <c r="K53" s="362"/>
      <c r="L53" s="362"/>
    </row>
    <row r="54" spans="1:12" ht="45">
      <c r="A54" s="361"/>
      <c r="B54" s="369"/>
      <c r="C54" s="369"/>
      <c r="D54" s="369"/>
      <c r="E54" s="369"/>
      <c r="F54" s="365" t="s">
        <v>896</v>
      </c>
      <c r="G54" s="362"/>
      <c r="H54" s="549"/>
      <c r="I54" s="364"/>
      <c r="J54" s="627"/>
      <c r="K54" s="362"/>
      <c r="L54" s="362"/>
    </row>
    <row r="55" spans="1:12" ht="30">
      <c r="A55" s="361"/>
      <c r="B55" s="369"/>
      <c r="C55" s="369"/>
      <c r="D55" s="369"/>
      <c r="E55" s="369"/>
      <c r="F55" s="365" t="s">
        <v>58</v>
      </c>
      <c r="G55" s="362"/>
      <c r="H55" s="549"/>
      <c r="I55" s="364"/>
      <c r="J55" s="627"/>
      <c r="K55" s="362"/>
      <c r="L55" s="362"/>
    </row>
    <row r="56" spans="1:12" ht="15">
      <c r="A56" s="361"/>
      <c r="B56" s="369"/>
      <c r="C56" s="369"/>
      <c r="D56" s="369"/>
      <c r="E56" s="362"/>
      <c r="F56" s="365"/>
      <c r="G56" s="362"/>
      <c r="H56" s="549"/>
      <c r="I56" s="364"/>
      <c r="J56" s="627"/>
      <c r="K56" s="362"/>
      <c r="L56" s="362"/>
    </row>
    <row r="57" spans="1:12" ht="15">
      <c r="A57" s="361">
        <v>3.4</v>
      </c>
      <c r="B57" s="369"/>
      <c r="C57" s="369"/>
      <c r="D57" s="369" t="s">
        <v>34</v>
      </c>
      <c r="E57" s="369" t="s">
        <v>36</v>
      </c>
      <c r="F57" s="370" t="s">
        <v>37</v>
      </c>
      <c r="G57" s="362" t="s">
        <v>28</v>
      </c>
      <c r="H57" s="549">
        <v>10</v>
      </c>
      <c r="I57" s="280">
        <v>1806</v>
      </c>
      <c r="J57" s="624">
        <f>SUM(H57*I57)</f>
        <v>18060</v>
      </c>
      <c r="K57" s="362"/>
      <c r="L57" s="362"/>
    </row>
    <row r="58" spans="1:12" ht="30">
      <c r="A58" s="361"/>
      <c r="B58" s="369"/>
      <c r="C58" s="369"/>
      <c r="D58" s="369"/>
      <c r="E58" s="362"/>
      <c r="F58" s="371" t="s">
        <v>49</v>
      </c>
      <c r="G58" s="362"/>
      <c r="H58" s="549"/>
      <c r="I58" s="364"/>
      <c r="J58" s="627"/>
      <c r="K58" s="362"/>
      <c r="L58" s="362"/>
    </row>
    <row r="59" spans="1:12" ht="15">
      <c r="A59" s="361"/>
      <c r="B59" s="369"/>
      <c r="C59" s="369"/>
      <c r="D59" s="369"/>
      <c r="E59" s="362"/>
      <c r="F59" s="556" t="s">
        <v>61</v>
      </c>
      <c r="G59" s="362"/>
      <c r="H59" s="549"/>
      <c r="I59" s="364"/>
      <c r="J59" s="627"/>
      <c r="K59" s="362"/>
      <c r="L59" s="362"/>
    </row>
    <row r="60" spans="1:12" ht="15">
      <c r="A60" s="372"/>
      <c r="B60" s="384"/>
      <c r="C60" s="384"/>
      <c r="D60" s="384"/>
      <c r="E60" s="373"/>
      <c r="F60" s="559"/>
      <c r="G60" s="373"/>
      <c r="H60" s="552"/>
      <c r="I60" s="375"/>
      <c r="J60" s="628"/>
      <c r="K60" s="373"/>
      <c r="L60" s="373"/>
    </row>
    <row r="61" spans="1:12" ht="30">
      <c r="A61" s="361">
        <v>3.5</v>
      </c>
      <c r="B61" s="369"/>
      <c r="C61" s="369"/>
      <c r="D61" s="369" t="s">
        <v>155</v>
      </c>
      <c r="E61" s="369" t="s">
        <v>708</v>
      </c>
      <c r="F61" s="370" t="s">
        <v>709</v>
      </c>
      <c r="G61" s="362" t="s">
        <v>475</v>
      </c>
      <c r="H61" s="549">
        <f>30*3</f>
        <v>90</v>
      </c>
      <c r="I61" s="280">
        <v>20395</v>
      </c>
      <c r="J61" s="624">
        <f>SUM(H61*I61)</f>
        <v>1835550</v>
      </c>
      <c r="K61" s="373"/>
      <c r="L61" s="373"/>
    </row>
    <row r="62" spans="1:12" ht="132" customHeight="1">
      <c r="A62" s="361"/>
      <c r="B62" s="369"/>
      <c r="C62" s="369"/>
      <c r="D62" s="369"/>
      <c r="E62" s="362"/>
      <c r="F62" s="371" t="s">
        <v>897</v>
      </c>
      <c r="G62" s="362"/>
      <c r="H62" s="549"/>
      <c r="I62" s="364"/>
      <c r="J62" s="627"/>
      <c r="K62" s="373"/>
      <c r="L62" s="373"/>
    </row>
    <row r="63" spans="1:12" ht="15.75" thickBot="1">
      <c r="A63" s="372"/>
      <c r="B63" s="384"/>
      <c r="C63" s="384"/>
      <c r="D63" s="384"/>
      <c r="E63" s="384"/>
      <c r="F63" s="374"/>
      <c r="G63" s="373"/>
      <c r="H63" s="552"/>
      <c r="I63" s="375"/>
      <c r="J63" s="628"/>
      <c r="K63" s="373"/>
      <c r="L63" s="373"/>
    </row>
    <row r="64" spans="1:12" ht="15.75" thickBot="1">
      <c r="A64" s="376" t="s">
        <v>11</v>
      </c>
      <c r="B64" s="377"/>
      <c r="C64" s="377"/>
      <c r="D64" s="377"/>
      <c r="E64" s="377"/>
      <c r="F64" s="344" t="s">
        <v>38</v>
      </c>
      <c r="G64" s="378"/>
      <c r="H64" s="553"/>
      <c r="I64" s="379"/>
      <c r="J64" s="629"/>
      <c r="K64" s="378"/>
      <c r="L64" s="380"/>
    </row>
    <row r="65" spans="1:12" ht="15">
      <c r="A65" s="356"/>
      <c r="B65" s="381"/>
      <c r="C65" s="381"/>
      <c r="D65" s="381"/>
      <c r="E65" s="381"/>
      <c r="F65" s="358"/>
      <c r="G65" s="357"/>
      <c r="H65" s="554"/>
      <c r="I65" s="359"/>
      <c r="J65" s="623"/>
      <c r="K65" s="357"/>
      <c r="L65" s="357"/>
    </row>
    <row r="66" spans="1:12" ht="15">
      <c r="A66" s="361">
        <v>4.0999999999999996</v>
      </c>
      <c r="B66" s="369"/>
      <c r="C66" s="369"/>
      <c r="D66" s="369" t="s">
        <v>39</v>
      </c>
      <c r="E66" s="369" t="s">
        <v>40</v>
      </c>
      <c r="F66" s="363" t="s">
        <v>68</v>
      </c>
      <c r="G66" s="362" t="s">
        <v>41</v>
      </c>
      <c r="H66" s="549">
        <v>1</v>
      </c>
      <c r="I66" s="280">
        <v>0</v>
      </c>
      <c r="J66" s="624">
        <f>SUM(H66*I66)</f>
        <v>0</v>
      </c>
      <c r="K66" s="362"/>
      <c r="L66" s="362" t="s">
        <v>719</v>
      </c>
    </row>
    <row r="67" spans="1:12" ht="15">
      <c r="A67" s="361"/>
      <c r="B67" s="369"/>
      <c r="C67" s="369"/>
      <c r="D67" s="369"/>
      <c r="E67" s="369"/>
      <c r="F67" s="363"/>
      <c r="G67" s="362"/>
      <c r="H67" s="549"/>
      <c r="I67" s="364"/>
      <c r="J67" s="627"/>
      <c r="K67" s="362"/>
      <c r="L67" s="362"/>
    </row>
    <row r="68" spans="1:12" ht="15">
      <c r="A68" s="361">
        <v>4.2</v>
      </c>
      <c r="B68" s="369"/>
      <c r="C68" s="369"/>
      <c r="D68" s="369" t="s">
        <v>39</v>
      </c>
      <c r="E68" s="369" t="s">
        <v>50</v>
      </c>
      <c r="F68" s="363" t="s">
        <v>53</v>
      </c>
      <c r="G68" s="362" t="s">
        <v>41</v>
      </c>
      <c r="H68" s="549">
        <v>1</v>
      </c>
      <c r="I68" s="280">
        <v>0</v>
      </c>
      <c r="J68" s="624">
        <f>SUM(H68*I68)</f>
        <v>0</v>
      </c>
      <c r="K68" s="362"/>
      <c r="L68" s="362" t="s">
        <v>719</v>
      </c>
    </row>
    <row r="69" spans="1:12" ht="15">
      <c r="A69" s="361"/>
      <c r="B69" s="369"/>
      <c r="C69" s="369"/>
      <c r="D69" s="369"/>
      <c r="E69" s="369"/>
      <c r="F69" s="365"/>
      <c r="G69" s="362"/>
      <c r="H69" s="549"/>
      <c r="I69" s="385"/>
      <c r="J69" s="627"/>
      <c r="K69" s="362"/>
      <c r="L69" s="362"/>
    </row>
    <row r="70" spans="1:12" ht="15">
      <c r="A70" s="361">
        <v>4.3</v>
      </c>
      <c r="B70" s="369"/>
      <c r="C70" s="369"/>
      <c r="D70" s="369" t="s">
        <v>39</v>
      </c>
      <c r="E70" s="369" t="s">
        <v>69</v>
      </c>
      <c r="F70" s="363" t="s">
        <v>70</v>
      </c>
      <c r="G70" s="362" t="s">
        <v>41</v>
      </c>
      <c r="H70" s="549">
        <v>1</v>
      </c>
      <c r="I70" s="280">
        <v>0</v>
      </c>
      <c r="J70" s="624">
        <f>SUM(H70*I70)</f>
        <v>0</v>
      </c>
      <c r="K70" s="362"/>
      <c r="L70" s="362" t="s">
        <v>720</v>
      </c>
    </row>
    <row r="71" spans="1:12" ht="15">
      <c r="A71" s="361"/>
      <c r="B71" s="369"/>
      <c r="C71" s="369"/>
      <c r="D71" s="369"/>
      <c r="E71" s="369"/>
      <c r="F71" s="555" t="s">
        <v>74</v>
      </c>
      <c r="G71" s="362"/>
      <c r="H71" s="549"/>
      <c r="I71" s="385"/>
      <c r="J71" s="627"/>
      <c r="K71" s="362"/>
      <c r="L71" s="362"/>
    </row>
    <row r="72" spans="1:12" ht="15">
      <c r="A72" s="361"/>
      <c r="B72" s="369"/>
      <c r="C72" s="369"/>
      <c r="D72" s="369"/>
      <c r="E72" s="369"/>
      <c r="F72" s="555" t="s">
        <v>75</v>
      </c>
      <c r="G72" s="362"/>
      <c r="H72" s="549"/>
      <c r="I72" s="385"/>
      <c r="J72" s="627"/>
      <c r="K72" s="362"/>
      <c r="L72" s="362"/>
    </row>
    <row r="73" spans="1:12" ht="15">
      <c r="A73" s="361"/>
      <c r="B73" s="369"/>
      <c r="C73" s="369"/>
      <c r="D73" s="369"/>
      <c r="E73" s="369"/>
      <c r="F73" s="555" t="s">
        <v>76</v>
      </c>
      <c r="G73" s="362"/>
      <c r="H73" s="549"/>
      <c r="I73" s="385"/>
      <c r="J73" s="627"/>
      <c r="K73" s="362"/>
      <c r="L73" s="362"/>
    </row>
    <row r="74" spans="1:12" ht="15">
      <c r="A74" s="361"/>
      <c r="B74" s="369"/>
      <c r="C74" s="369"/>
      <c r="D74" s="369"/>
      <c r="E74" s="369"/>
      <c r="F74" s="555" t="s">
        <v>77</v>
      </c>
      <c r="G74" s="362"/>
      <c r="H74" s="549"/>
      <c r="I74" s="385"/>
      <c r="J74" s="627"/>
      <c r="K74" s="362"/>
      <c r="L74" s="362"/>
    </row>
    <row r="75" spans="1:12" ht="15">
      <c r="A75" s="361"/>
      <c r="B75" s="369"/>
      <c r="C75" s="369"/>
      <c r="D75" s="369"/>
      <c r="E75" s="369"/>
      <c r="F75" s="555" t="s">
        <v>78</v>
      </c>
      <c r="G75" s="362"/>
      <c r="H75" s="549"/>
      <c r="I75" s="385"/>
      <c r="J75" s="627"/>
      <c r="K75" s="362"/>
      <c r="L75" s="362"/>
    </row>
    <row r="76" spans="1:12" ht="15">
      <c r="A76" s="361"/>
      <c r="B76" s="369"/>
      <c r="C76" s="369"/>
      <c r="D76" s="369"/>
      <c r="E76" s="369"/>
      <c r="F76" s="555" t="s">
        <v>79</v>
      </c>
      <c r="G76" s="362"/>
      <c r="H76" s="549"/>
      <c r="I76" s="385"/>
      <c r="J76" s="627"/>
      <c r="K76" s="362"/>
      <c r="L76" s="362"/>
    </row>
    <row r="77" spans="1:12" ht="15">
      <c r="A77" s="361"/>
      <c r="B77" s="369"/>
      <c r="C77" s="369"/>
      <c r="D77" s="369"/>
      <c r="E77" s="369"/>
      <c r="F77" s="555" t="s">
        <v>71</v>
      </c>
      <c r="G77" s="362"/>
      <c r="H77" s="549"/>
      <c r="I77" s="385"/>
      <c r="J77" s="627"/>
      <c r="K77" s="362"/>
      <c r="L77" s="362"/>
    </row>
    <row r="78" spans="1:12" ht="15.75" thickBot="1">
      <c r="A78" s="388"/>
      <c r="B78" s="384"/>
      <c r="C78" s="384"/>
      <c r="D78" s="384"/>
      <c r="E78" s="384"/>
      <c r="F78" s="374"/>
      <c r="G78" s="373"/>
      <c r="H78" s="552"/>
      <c r="I78" s="389"/>
      <c r="J78" s="628"/>
      <c r="K78" s="373"/>
      <c r="L78" s="373"/>
    </row>
    <row r="79" spans="1:12" ht="15.75" thickBot="1">
      <c r="A79" s="390" t="s">
        <v>12</v>
      </c>
      <c r="B79" s="377"/>
      <c r="C79" s="377"/>
      <c r="D79" s="377"/>
      <c r="E79" s="377"/>
      <c r="F79" s="344" t="s">
        <v>42</v>
      </c>
      <c r="G79" s="378"/>
      <c r="H79" s="553"/>
      <c r="I79" s="391"/>
      <c r="J79" s="629"/>
      <c r="K79" s="378"/>
      <c r="L79" s="380"/>
    </row>
    <row r="80" spans="1:12" ht="15">
      <c r="A80" s="392"/>
      <c r="B80" s="381"/>
      <c r="C80" s="381"/>
      <c r="D80" s="381"/>
      <c r="E80" s="381"/>
      <c r="F80" s="358"/>
      <c r="G80" s="357"/>
      <c r="H80" s="554"/>
      <c r="I80" s="360"/>
      <c r="J80" s="623"/>
      <c r="K80" s="357"/>
      <c r="L80" s="357"/>
    </row>
    <row r="81" spans="1:12" ht="15">
      <c r="A81" s="361">
        <v>5.0999999999999996</v>
      </c>
      <c r="B81" s="369"/>
      <c r="C81" s="369"/>
      <c r="D81" s="369" t="s">
        <v>13</v>
      </c>
      <c r="E81" s="369" t="s">
        <v>43</v>
      </c>
      <c r="F81" s="560" t="s">
        <v>44</v>
      </c>
      <c r="G81" s="362" t="s">
        <v>7</v>
      </c>
      <c r="H81" s="549">
        <v>50</v>
      </c>
      <c r="I81" s="280">
        <v>492</v>
      </c>
      <c r="J81" s="624">
        <f>SUM(H81*I81)</f>
        <v>24600</v>
      </c>
      <c r="K81" s="362"/>
      <c r="L81" s="362"/>
    </row>
    <row r="82" spans="1:12" ht="90">
      <c r="A82" s="361"/>
      <c r="B82" s="369"/>
      <c r="C82" s="369"/>
      <c r="D82" s="369"/>
      <c r="E82" s="369"/>
      <c r="F82" s="555" t="s">
        <v>45</v>
      </c>
      <c r="G82" s="362"/>
      <c r="H82" s="549"/>
      <c r="I82" s="385"/>
      <c r="J82" s="627"/>
      <c r="K82" s="362"/>
      <c r="L82" s="362"/>
    </row>
    <row r="83" spans="1:12" ht="15">
      <c r="A83" s="361"/>
      <c r="B83" s="369"/>
      <c r="C83" s="369"/>
      <c r="D83" s="369"/>
      <c r="E83" s="369"/>
      <c r="F83" s="555"/>
      <c r="G83" s="362"/>
      <c r="H83" s="549"/>
      <c r="I83" s="385"/>
      <c r="J83" s="627"/>
      <c r="K83" s="362"/>
      <c r="L83" s="362"/>
    </row>
    <row r="84" spans="1:12" ht="15">
      <c r="A84" s="361">
        <v>5.2</v>
      </c>
      <c r="B84" s="369"/>
      <c r="C84" s="369"/>
      <c r="D84" s="369" t="s">
        <v>13</v>
      </c>
      <c r="E84" s="369" t="s">
        <v>43</v>
      </c>
      <c r="F84" s="560" t="s">
        <v>55</v>
      </c>
      <c r="G84" s="362" t="s">
        <v>7</v>
      </c>
      <c r="H84" s="549">
        <v>50</v>
      </c>
      <c r="I84" s="280">
        <v>3912</v>
      </c>
      <c r="J84" s="624">
        <f>SUM(H84*I84)</f>
        <v>195600</v>
      </c>
      <c r="K84" s="362"/>
      <c r="L84" s="362"/>
    </row>
    <row r="85" spans="1:12" ht="45">
      <c r="A85" s="361"/>
      <c r="B85" s="369"/>
      <c r="C85" s="369"/>
      <c r="D85" s="369"/>
      <c r="E85" s="369"/>
      <c r="F85" s="555" t="s">
        <v>72</v>
      </c>
      <c r="G85" s="362"/>
      <c r="H85" s="549"/>
      <c r="I85" s="385"/>
      <c r="J85" s="627"/>
      <c r="K85" s="362"/>
      <c r="L85" s="362"/>
    </row>
    <row r="86" spans="1:12" ht="15">
      <c r="A86" s="361"/>
      <c r="B86" s="369"/>
      <c r="C86" s="369"/>
      <c r="D86" s="369"/>
      <c r="E86" s="369"/>
      <c r="F86" s="555"/>
      <c r="G86" s="362"/>
      <c r="H86" s="549"/>
      <c r="I86" s="385"/>
      <c r="J86" s="627"/>
      <c r="K86" s="362"/>
      <c r="L86" s="362"/>
    </row>
    <row r="87" spans="1:12" ht="15">
      <c r="A87" s="361">
        <v>5.3</v>
      </c>
      <c r="B87" s="369"/>
      <c r="C87" s="369"/>
      <c r="D87" s="369" t="s">
        <v>13</v>
      </c>
      <c r="E87" s="369" t="s">
        <v>46</v>
      </c>
      <c r="F87" s="560" t="s">
        <v>14</v>
      </c>
      <c r="G87" s="362" t="s">
        <v>7</v>
      </c>
      <c r="H87" s="549">
        <v>50</v>
      </c>
      <c r="I87" s="280">
        <v>552</v>
      </c>
      <c r="J87" s="624">
        <f>SUM(H87*I87)</f>
        <v>27600</v>
      </c>
      <c r="K87" s="362"/>
      <c r="L87" s="362"/>
    </row>
    <row r="88" spans="1:12" ht="75">
      <c r="A88" s="361"/>
      <c r="B88" s="369"/>
      <c r="C88" s="369"/>
      <c r="D88" s="369"/>
      <c r="E88" s="369"/>
      <c r="F88" s="555" t="s">
        <v>47</v>
      </c>
      <c r="G88" s="362"/>
      <c r="H88" s="549"/>
      <c r="I88" s="385"/>
      <c r="J88" s="627"/>
      <c r="K88" s="362"/>
      <c r="L88" s="362"/>
    </row>
    <row r="89" spans="1:12" ht="15">
      <c r="A89" s="361"/>
      <c r="B89" s="369"/>
      <c r="C89" s="369"/>
      <c r="D89" s="369"/>
      <c r="E89" s="369"/>
      <c r="F89" s="555"/>
      <c r="G89" s="362"/>
      <c r="H89" s="549"/>
      <c r="I89" s="385"/>
      <c r="J89" s="627"/>
      <c r="K89" s="362"/>
      <c r="L89" s="362"/>
    </row>
    <row r="90" spans="1:12" ht="15">
      <c r="A90" s="361">
        <v>5.4</v>
      </c>
      <c r="B90" s="369"/>
      <c r="C90" s="369"/>
      <c r="D90" s="369" t="s">
        <v>13</v>
      </c>
      <c r="E90" s="369" t="s">
        <v>56</v>
      </c>
      <c r="F90" s="560" t="s">
        <v>73</v>
      </c>
      <c r="G90" s="362" t="s">
        <v>7</v>
      </c>
      <c r="H90" s="549">
        <v>50</v>
      </c>
      <c r="I90" s="280">
        <v>4986</v>
      </c>
      <c r="J90" s="624">
        <f>SUM(H90*I90)</f>
        <v>249300</v>
      </c>
      <c r="K90" s="362"/>
      <c r="L90" s="362"/>
    </row>
    <row r="91" spans="1:12" ht="30">
      <c r="A91" s="361"/>
      <c r="B91" s="369"/>
      <c r="C91" s="369"/>
      <c r="D91" s="369"/>
      <c r="E91" s="369"/>
      <c r="F91" s="555" t="s">
        <v>80</v>
      </c>
      <c r="G91" s="362"/>
      <c r="H91" s="364"/>
      <c r="I91" s="385"/>
      <c r="J91" s="627"/>
      <c r="K91" s="362"/>
      <c r="L91" s="362"/>
    </row>
    <row r="92" spans="1:12" ht="27.75" customHeight="1">
      <c r="A92" s="361"/>
      <c r="B92" s="369"/>
      <c r="C92" s="369"/>
      <c r="D92" s="369"/>
      <c r="E92" s="369"/>
      <c r="F92" s="284"/>
      <c r="G92" s="362"/>
      <c r="H92" s="364"/>
      <c r="I92" s="385"/>
      <c r="J92" s="22">
        <f>SUM(J8:J91)</f>
        <v>8365061.5199999996</v>
      </c>
      <c r="K92" s="362"/>
      <c r="L92" s="362"/>
    </row>
    <row r="94" spans="1:12" ht="25.5" customHeight="1">
      <c r="B94" s="393" t="s">
        <v>329</v>
      </c>
    </row>
    <row r="95" spans="1:12">
      <c r="B95" s="393" t="s">
        <v>330</v>
      </c>
    </row>
    <row r="96" spans="1:12">
      <c r="B96" s="393" t="s">
        <v>331</v>
      </c>
    </row>
    <row r="97" spans="2:2">
      <c r="B97" s="393" t="s">
        <v>332</v>
      </c>
    </row>
    <row r="98" spans="2:2">
      <c r="B98" s="393" t="s">
        <v>339</v>
      </c>
    </row>
    <row r="99" spans="2:2">
      <c r="B99" s="393" t="s">
        <v>333</v>
      </c>
    </row>
  </sheetData>
  <mergeCells count="2">
    <mergeCell ref="A2:H2"/>
    <mergeCell ref="A1:H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59"/>
  <sheetViews>
    <sheetView zoomScale="90" zoomScaleNormal="90" workbookViewId="0">
      <pane ySplit="4" topLeftCell="A157" activePane="bottomLeft" state="frozen"/>
      <selection pane="bottomLeft" activeCell="A161" sqref="A161:XFD178"/>
    </sheetView>
  </sheetViews>
  <sheetFormatPr defaultColWidth="6.125" defaultRowHeight="12.75"/>
  <cols>
    <col min="1" max="1" width="7.75" style="37" customWidth="1"/>
    <col min="2" max="4" width="7.75" style="37" hidden="1" customWidth="1"/>
    <col min="5" max="5" width="10.875" style="37" customWidth="1"/>
    <col min="6" max="6" width="44.75" style="37" customWidth="1"/>
    <col min="7" max="7" width="6.75" style="37" customWidth="1"/>
    <col min="8" max="8" width="9.5" style="416" customWidth="1"/>
    <col min="9" max="9" width="10.75" style="147" customWidth="1"/>
    <col min="10" max="10" width="7.75" style="147" customWidth="1"/>
    <col min="11" max="11" width="10.125" style="37" customWidth="1"/>
    <col min="12" max="14" width="9.75" style="37" customWidth="1"/>
    <col min="15" max="15" width="10.875" style="37" customWidth="1"/>
    <col min="16" max="16" width="22.5" style="37" customWidth="1"/>
    <col min="17" max="207" width="6.125" style="37"/>
    <col min="208" max="208" width="5" style="37" customWidth="1"/>
    <col min="209" max="209" width="8.875" style="37" customWidth="1"/>
    <col min="210" max="210" width="5" style="37" customWidth="1"/>
    <col min="211" max="211" width="8.25" style="37" bestFit="1" customWidth="1"/>
    <col min="212" max="212" width="16.125" style="37" customWidth="1"/>
    <col min="213" max="213" width="86" style="37" customWidth="1"/>
    <col min="214" max="214" width="5" style="37" customWidth="1"/>
    <col min="215" max="215" width="11.125" style="37" customWidth="1"/>
    <col min="216" max="216" width="10.375" style="37" customWidth="1"/>
    <col min="217" max="217" width="10.875" style="37" customWidth="1"/>
    <col min="218" max="218" width="7.75" style="37" customWidth="1"/>
    <col min="219" max="219" width="9.875" style="37" customWidth="1"/>
    <col min="220" max="220" width="10.625" style="37" customWidth="1"/>
    <col min="221" max="463" width="6.125" style="37"/>
    <col min="464" max="464" width="5" style="37" customWidth="1"/>
    <col min="465" max="465" width="8.875" style="37" customWidth="1"/>
    <col min="466" max="466" width="5" style="37" customWidth="1"/>
    <col min="467" max="467" width="8.25" style="37" bestFit="1" customWidth="1"/>
    <col min="468" max="468" width="16.125" style="37" customWidth="1"/>
    <col min="469" max="469" width="86" style="37" customWidth="1"/>
    <col min="470" max="470" width="5" style="37" customWidth="1"/>
    <col min="471" max="471" width="11.125" style="37" customWidth="1"/>
    <col min="472" max="472" width="10.375" style="37" customWidth="1"/>
    <col min="473" max="473" width="10.875" style="37" customWidth="1"/>
    <col min="474" max="474" width="7.75" style="37" customWidth="1"/>
    <col min="475" max="475" width="9.875" style="37" customWidth="1"/>
    <col min="476" max="476" width="10.625" style="37" customWidth="1"/>
    <col min="477" max="719" width="6.125" style="37"/>
    <col min="720" max="720" width="5" style="37" customWidth="1"/>
    <col min="721" max="721" width="8.875" style="37" customWidth="1"/>
    <col min="722" max="722" width="5" style="37" customWidth="1"/>
    <col min="723" max="723" width="8.25" style="37" bestFit="1" customWidth="1"/>
    <col min="724" max="724" width="16.125" style="37" customWidth="1"/>
    <col min="725" max="725" width="86" style="37" customWidth="1"/>
    <col min="726" max="726" width="5" style="37" customWidth="1"/>
    <col min="727" max="727" width="11.125" style="37" customWidth="1"/>
    <col min="728" max="728" width="10.375" style="37" customWidth="1"/>
    <col min="729" max="729" width="10.875" style="37" customWidth="1"/>
    <col min="730" max="730" width="7.75" style="37" customWidth="1"/>
    <col min="731" max="731" width="9.875" style="37" customWidth="1"/>
    <col min="732" max="732" width="10.625" style="37" customWidth="1"/>
    <col min="733" max="975" width="6.125" style="37"/>
    <col min="976" max="976" width="5" style="37" customWidth="1"/>
    <col min="977" max="977" width="8.875" style="37" customWidth="1"/>
    <col min="978" max="978" width="5" style="37" customWidth="1"/>
    <col min="979" max="979" width="8.25" style="37" bestFit="1" customWidth="1"/>
    <col min="980" max="980" width="16.125" style="37" customWidth="1"/>
    <col min="981" max="981" width="86" style="37" customWidth="1"/>
    <col min="982" max="982" width="5" style="37" customWidth="1"/>
    <col min="983" max="983" width="11.125" style="37" customWidth="1"/>
    <col min="984" max="984" width="10.375" style="37" customWidth="1"/>
    <col min="985" max="985" width="10.875" style="37" customWidth="1"/>
    <col min="986" max="986" width="7.75" style="37" customWidth="1"/>
    <col min="987" max="987" width="9.875" style="37" customWidth="1"/>
    <col min="988" max="988" width="10.625" style="37" customWidth="1"/>
    <col min="989" max="1231" width="6.125" style="37"/>
    <col min="1232" max="1232" width="5" style="37" customWidth="1"/>
    <col min="1233" max="1233" width="8.875" style="37" customWidth="1"/>
    <col min="1234" max="1234" width="5" style="37" customWidth="1"/>
    <col min="1235" max="1235" width="8.25" style="37" bestFit="1" customWidth="1"/>
    <col min="1236" max="1236" width="16.125" style="37" customWidth="1"/>
    <col min="1237" max="1237" width="86" style="37" customWidth="1"/>
    <col min="1238" max="1238" width="5" style="37" customWidth="1"/>
    <col min="1239" max="1239" width="11.125" style="37" customWidth="1"/>
    <col min="1240" max="1240" width="10.375" style="37" customWidth="1"/>
    <col min="1241" max="1241" width="10.875" style="37" customWidth="1"/>
    <col min="1242" max="1242" width="7.75" style="37" customWidth="1"/>
    <col min="1243" max="1243" width="9.875" style="37" customWidth="1"/>
    <col min="1244" max="1244" width="10.625" style="37" customWidth="1"/>
    <col min="1245" max="1487" width="6.125" style="37"/>
    <col min="1488" max="1488" width="5" style="37" customWidth="1"/>
    <col min="1489" max="1489" width="8.875" style="37" customWidth="1"/>
    <col min="1490" max="1490" width="5" style="37" customWidth="1"/>
    <col min="1491" max="1491" width="8.25" style="37" bestFit="1" customWidth="1"/>
    <col min="1492" max="1492" width="16.125" style="37" customWidth="1"/>
    <col min="1493" max="1493" width="86" style="37" customWidth="1"/>
    <col min="1494" max="1494" width="5" style="37" customWidth="1"/>
    <col min="1495" max="1495" width="11.125" style="37" customWidth="1"/>
    <col min="1496" max="1496" width="10.375" style="37" customWidth="1"/>
    <col min="1497" max="1497" width="10.875" style="37" customWidth="1"/>
    <col min="1498" max="1498" width="7.75" style="37" customWidth="1"/>
    <col min="1499" max="1499" width="9.875" style="37" customWidth="1"/>
    <col min="1500" max="1500" width="10.625" style="37" customWidth="1"/>
    <col min="1501" max="1743" width="6.125" style="37"/>
    <col min="1744" max="1744" width="5" style="37" customWidth="1"/>
    <col min="1745" max="1745" width="8.875" style="37" customWidth="1"/>
    <col min="1746" max="1746" width="5" style="37" customWidth="1"/>
    <col min="1747" max="1747" width="8.25" style="37" bestFit="1" customWidth="1"/>
    <col min="1748" max="1748" width="16.125" style="37" customWidth="1"/>
    <col min="1749" max="1749" width="86" style="37" customWidth="1"/>
    <col min="1750" max="1750" width="5" style="37" customWidth="1"/>
    <col min="1751" max="1751" width="11.125" style="37" customWidth="1"/>
    <col min="1752" max="1752" width="10.375" style="37" customWidth="1"/>
    <col min="1753" max="1753" width="10.875" style="37" customWidth="1"/>
    <col min="1754" max="1754" width="7.75" style="37" customWidth="1"/>
    <col min="1755" max="1755" width="9.875" style="37" customWidth="1"/>
    <col min="1756" max="1756" width="10.625" style="37" customWidth="1"/>
    <col min="1757" max="1999" width="6.125" style="37"/>
    <col min="2000" max="2000" width="5" style="37" customWidth="1"/>
    <col min="2001" max="2001" width="8.875" style="37" customWidth="1"/>
    <col min="2002" max="2002" width="5" style="37" customWidth="1"/>
    <col min="2003" max="2003" width="8.25" style="37" bestFit="1" customWidth="1"/>
    <col min="2004" max="2004" width="16.125" style="37" customWidth="1"/>
    <col min="2005" max="2005" width="86" style="37" customWidth="1"/>
    <col min="2006" max="2006" width="5" style="37" customWidth="1"/>
    <col min="2007" max="2007" width="11.125" style="37" customWidth="1"/>
    <col min="2008" max="2008" width="10.375" style="37" customWidth="1"/>
    <col min="2009" max="2009" width="10.875" style="37" customWidth="1"/>
    <col min="2010" max="2010" width="7.75" style="37" customWidth="1"/>
    <col min="2011" max="2011" width="9.875" style="37" customWidth="1"/>
    <col min="2012" max="2012" width="10.625" style="37" customWidth="1"/>
    <col min="2013" max="2255" width="6.125" style="37"/>
    <col min="2256" max="2256" width="5" style="37" customWidth="1"/>
    <col min="2257" max="2257" width="8.875" style="37" customWidth="1"/>
    <col min="2258" max="2258" width="5" style="37" customWidth="1"/>
    <col min="2259" max="2259" width="8.25" style="37" bestFit="1" customWidth="1"/>
    <col min="2260" max="2260" width="16.125" style="37" customWidth="1"/>
    <col min="2261" max="2261" width="86" style="37" customWidth="1"/>
    <col min="2262" max="2262" width="5" style="37" customWidth="1"/>
    <col min="2263" max="2263" width="11.125" style="37" customWidth="1"/>
    <col min="2264" max="2264" width="10.375" style="37" customWidth="1"/>
    <col min="2265" max="2265" width="10.875" style="37" customWidth="1"/>
    <col min="2266" max="2266" width="7.75" style="37" customWidth="1"/>
    <col min="2267" max="2267" width="9.875" style="37" customWidth="1"/>
    <col min="2268" max="2268" width="10.625" style="37" customWidth="1"/>
    <col min="2269" max="2511" width="6.125" style="37"/>
    <col min="2512" max="2512" width="5" style="37" customWidth="1"/>
    <col min="2513" max="2513" width="8.875" style="37" customWidth="1"/>
    <col min="2514" max="2514" width="5" style="37" customWidth="1"/>
    <col min="2515" max="2515" width="8.25" style="37" bestFit="1" customWidth="1"/>
    <col min="2516" max="2516" width="16.125" style="37" customWidth="1"/>
    <col min="2517" max="2517" width="86" style="37" customWidth="1"/>
    <col min="2518" max="2518" width="5" style="37" customWidth="1"/>
    <col min="2519" max="2519" width="11.125" style="37" customWidth="1"/>
    <col min="2520" max="2520" width="10.375" style="37" customWidth="1"/>
    <col min="2521" max="2521" width="10.875" style="37" customWidth="1"/>
    <col min="2522" max="2522" width="7.75" style="37" customWidth="1"/>
    <col min="2523" max="2523" width="9.875" style="37" customWidth="1"/>
    <col min="2524" max="2524" width="10.625" style="37" customWidth="1"/>
    <col min="2525" max="2767" width="6.125" style="37"/>
    <col min="2768" max="2768" width="5" style="37" customWidth="1"/>
    <col min="2769" max="2769" width="8.875" style="37" customWidth="1"/>
    <col min="2770" max="2770" width="5" style="37" customWidth="1"/>
    <col min="2771" max="2771" width="8.25" style="37" bestFit="1" customWidth="1"/>
    <col min="2772" max="2772" width="16.125" style="37" customWidth="1"/>
    <col min="2773" max="2773" width="86" style="37" customWidth="1"/>
    <col min="2774" max="2774" width="5" style="37" customWidth="1"/>
    <col min="2775" max="2775" width="11.125" style="37" customWidth="1"/>
    <col min="2776" max="2776" width="10.375" style="37" customWidth="1"/>
    <col min="2777" max="2777" width="10.875" style="37" customWidth="1"/>
    <col min="2778" max="2778" width="7.75" style="37" customWidth="1"/>
    <col min="2779" max="2779" width="9.875" style="37" customWidth="1"/>
    <col min="2780" max="2780" width="10.625" style="37" customWidth="1"/>
    <col min="2781" max="3023" width="6.125" style="37"/>
    <col min="3024" max="3024" width="5" style="37" customWidth="1"/>
    <col min="3025" max="3025" width="8.875" style="37" customWidth="1"/>
    <col min="3026" max="3026" width="5" style="37" customWidth="1"/>
    <col min="3027" max="3027" width="8.25" style="37" bestFit="1" customWidth="1"/>
    <col min="3028" max="3028" width="16.125" style="37" customWidth="1"/>
    <col min="3029" max="3029" width="86" style="37" customWidth="1"/>
    <col min="3030" max="3030" width="5" style="37" customWidth="1"/>
    <col min="3031" max="3031" width="11.125" style="37" customWidth="1"/>
    <col min="3032" max="3032" width="10.375" style="37" customWidth="1"/>
    <col min="3033" max="3033" width="10.875" style="37" customWidth="1"/>
    <col min="3034" max="3034" width="7.75" style="37" customWidth="1"/>
    <col min="3035" max="3035" width="9.875" style="37" customWidth="1"/>
    <col min="3036" max="3036" width="10.625" style="37" customWidth="1"/>
    <col min="3037" max="3279" width="6.125" style="37"/>
    <col min="3280" max="3280" width="5" style="37" customWidth="1"/>
    <col min="3281" max="3281" width="8.875" style="37" customWidth="1"/>
    <col min="3282" max="3282" width="5" style="37" customWidth="1"/>
    <col min="3283" max="3283" width="8.25" style="37" bestFit="1" customWidth="1"/>
    <col min="3284" max="3284" width="16.125" style="37" customWidth="1"/>
    <col min="3285" max="3285" width="86" style="37" customWidth="1"/>
    <col min="3286" max="3286" width="5" style="37" customWidth="1"/>
    <col min="3287" max="3287" width="11.125" style="37" customWidth="1"/>
    <col min="3288" max="3288" width="10.375" style="37" customWidth="1"/>
    <col min="3289" max="3289" width="10.875" style="37" customWidth="1"/>
    <col min="3290" max="3290" width="7.75" style="37" customWidth="1"/>
    <col min="3291" max="3291" width="9.875" style="37" customWidth="1"/>
    <col min="3292" max="3292" width="10.625" style="37" customWidth="1"/>
    <col min="3293" max="3535" width="6.125" style="37"/>
    <col min="3536" max="3536" width="5" style="37" customWidth="1"/>
    <col min="3537" max="3537" width="8.875" style="37" customWidth="1"/>
    <col min="3538" max="3538" width="5" style="37" customWidth="1"/>
    <col min="3539" max="3539" width="8.25" style="37" bestFit="1" customWidth="1"/>
    <col min="3540" max="3540" width="16.125" style="37" customWidth="1"/>
    <col min="3541" max="3541" width="86" style="37" customWidth="1"/>
    <col min="3542" max="3542" width="5" style="37" customWidth="1"/>
    <col min="3543" max="3543" width="11.125" style="37" customWidth="1"/>
    <col min="3544" max="3544" width="10.375" style="37" customWidth="1"/>
    <col min="3545" max="3545" width="10.875" style="37" customWidth="1"/>
    <col min="3546" max="3546" width="7.75" style="37" customWidth="1"/>
    <col min="3547" max="3547" width="9.875" style="37" customWidth="1"/>
    <col min="3548" max="3548" width="10.625" style="37" customWidth="1"/>
    <col min="3549" max="3791" width="6.125" style="37"/>
    <col min="3792" max="3792" width="5" style="37" customWidth="1"/>
    <col min="3793" max="3793" width="8.875" style="37" customWidth="1"/>
    <col min="3794" max="3794" width="5" style="37" customWidth="1"/>
    <col min="3795" max="3795" width="8.25" style="37" bestFit="1" customWidth="1"/>
    <col min="3796" max="3796" width="16.125" style="37" customWidth="1"/>
    <col min="3797" max="3797" width="86" style="37" customWidth="1"/>
    <col min="3798" max="3798" width="5" style="37" customWidth="1"/>
    <col min="3799" max="3799" width="11.125" style="37" customWidth="1"/>
    <col min="3800" max="3800" width="10.375" style="37" customWidth="1"/>
    <col min="3801" max="3801" width="10.875" style="37" customWidth="1"/>
    <col min="3802" max="3802" width="7.75" style="37" customWidth="1"/>
    <col min="3803" max="3803" width="9.875" style="37" customWidth="1"/>
    <col min="3804" max="3804" width="10.625" style="37" customWidth="1"/>
    <col min="3805" max="4047" width="6.125" style="37"/>
    <col min="4048" max="4048" width="5" style="37" customWidth="1"/>
    <col min="4049" max="4049" width="8.875" style="37" customWidth="1"/>
    <col min="4050" max="4050" width="5" style="37" customWidth="1"/>
    <col min="4051" max="4051" width="8.25" style="37" bestFit="1" customWidth="1"/>
    <col min="4052" max="4052" width="16.125" style="37" customWidth="1"/>
    <col min="4053" max="4053" width="86" style="37" customWidth="1"/>
    <col min="4054" max="4054" width="5" style="37" customWidth="1"/>
    <col min="4055" max="4055" width="11.125" style="37" customWidth="1"/>
    <col min="4056" max="4056" width="10.375" style="37" customWidth="1"/>
    <col min="4057" max="4057" width="10.875" style="37" customWidth="1"/>
    <col min="4058" max="4058" width="7.75" style="37" customWidth="1"/>
    <col min="4059" max="4059" width="9.875" style="37" customWidth="1"/>
    <col min="4060" max="4060" width="10.625" style="37" customWidth="1"/>
    <col min="4061" max="4303" width="6.125" style="37"/>
    <col min="4304" max="4304" width="5" style="37" customWidth="1"/>
    <col min="4305" max="4305" width="8.875" style="37" customWidth="1"/>
    <col min="4306" max="4306" width="5" style="37" customWidth="1"/>
    <col min="4307" max="4307" width="8.25" style="37" bestFit="1" customWidth="1"/>
    <col min="4308" max="4308" width="16.125" style="37" customWidth="1"/>
    <col min="4309" max="4309" width="86" style="37" customWidth="1"/>
    <col min="4310" max="4310" width="5" style="37" customWidth="1"/>
    <col min="4311" max="4311" width="11.125" style="37" customWidth="1"/>
    <col min="4312" max="4312" width="10.375" style="37" customWidth="1"/>
    <col min="4313" max="4313" width="10.875" style="37" customWidth="1"/>
    <col min="4314" max="4314" width="7.75" style="37" customWidth="1"/>
    <col min="4315" max="4315" width="9.875" style="37" customWidth="1"/>
    <col min="4316" max="4316" width="10.625" style="37" customWidth="1"/>
    <col min="4317" max="4559" width="6.125" style="37"/>
    <col min="4560" max="4560" width="5" style="37" customWidth="1"/>
    <col min="4561" max="4561" width="8.875" style="37" customWidth="1"/>
    <col min="4562" max="4562" width="5" style="37" customWidth="1"/>
    <col min="4563" max="4563" width="8.25" style="37" bestFit="1" customWidth="1"/>
    <col min="4564" max="4564" width="16.125" style="37" customWidth="1"/>
    <col min="4565" max="4565" width="86" style="37" customWidth="1"/>
    <col min="4566" max="4566" width="5" style="37" customWidth="1"/>
    <col min="4567" max="4567" width="11.125" style="37" customWidth="1"/>
    <col min="4568" max="4568" width="10.375" style="37" customWidth="1"/>
    <col min="4569" max="4569" width="10.875" style="37" customWidth="1"/>
    <col min="4570" max="4570" width="7.75" style="37" customWidth="1"/>
    <col min="4571" max="4571" width="9.875" style="37" customWidth="1"/>
    <col min="4572" max="4572" width="10.625" style="37" customWidth="1"/>
    <col min="4573" max="4815" width="6.125" style="37"/>
    <col min="4816" max="4816" width="5" style="37" customWidth="1"/>
    <col min="4817" max="4817" width="8.875" style="37" customWidth="1"/>
    <col min="4818" max="4818" width="5" style="37" customWidth="1"/>
    <col min="4819" max="4819" width="8.25" style="37" bestFit="1" customWidth="1"/>
    <col min="4820" max="4820" width="16.125" style="37" customWidth="1"/>
    <col min="4821" max="4821" width="86" style="37" customWidth="1"/>
    <col min="4822" max="4822" width="5" style="37" customWidth="1"/>
    <col min="4823" max="4823" width="11.125" style="37" customWidth="1"/>
    <col min="4824" max="4824" width="10.375" style="37" customWidth="1"/>
    <col min="4825" max="4825" width="10.875" style="37" customWidth="1"/>
    <col min="4826" max="4826" width="7.75" style="37" customWidth="1"/>
    <col min="4827" max="4827" width="9.875" style="37" customWidth="1"/>
    <col min="4828" max="4828" width="10.625" style="37" customWidth="1"/>
    <col min="4829" max="5071" width="6.125" style="37"/>
    <col min="5072" max="5072" width="5" style="37" customWidth="1"/>
    <col min="5073" max="5073" width="8.875" style="37" customWidth="1"/>
    <col min="5074" max="5074" width="5" style="37" customWidth="1"/>
    <col min="5075" max="5075" width="8.25" style="37" bestFit="1" customWidth="1"/>
    <col min="5076" max="5076" width="16.125" style="37" customWidth="1"/>
    <col min="5077" max="5077" width="86" style="37" customWidth="1"/>
    <col min="5078" max="5078" width="5" style="37" customWidth="1"/>
    <col min="5079" max="5079" width="11.125" style="37" customWidth="1"/>
    <col min="5080" max="5080" width="10.375" style="37" customWidth="1"/>
    <col min="5081" max="5081" width="10.875" style="37" customWidth="1"/>
    <col min="5082" max="5082" width="7.75" style="37" customWidth="1"/>
    <col min="5083" max="5083" width="9.875" style="37" customWidth="1"/>
    <col min="5084" max="5084" width="10.625" style="37" customWidth="1"/>
    <col min="5085" max="5327" width="6.125" style="37"/>
    <col min="5328" max="5328" width="5" style="37" customWidth="1"/>
    <col min="5329" max="5329" width="8.875" style="37" customWidth="1"/>
    <col min="5330" max="5330" width="5" style="37" customWidth="1"/>
    <col min="5331" max="5331" width="8.25" style="37" bestFit="1" customWidth="1"/>
    <col min="5332" max="5332" width="16.125" style="37" customWidth="1"/>
    <col min="5333" max="5333" width="86" style="37" customWidth="1"/>
    <col min="5334" max="5334" width="5" style="37" customWidth="1"/>
    <col min="5335" max="5335" width="11.125" style="37" customWidth="1"/>
    <col min="5336" max="5336" width="10.375" style="37" customWidth="1"/>
    <col min="5337" max="5337" width="10.875" style="37" customWidth="1"/>
    <col min="5338" max="5338" width="7.75" style="37" customWidth="1"/>
    <col min="5339" max="5339" width="9.875" style="37" customWidth="1"/>
    <col min="5340" max="5340" width="10.625" style="37" customWidth="1"/>
    <col min="5341" max="5583" width="6.125" style="37"/>
    <col min="5584" max="5584" width="5" style="37" customWidth="1"/>
    <col min="5585" max="5585" width="8.875" style="37" customWidth="1"/>
    <col min="5586" max="5586" width="5" style="37" customWidth="1"/>
    <col min="5587" max="5587" width="8.25" style="37" bestFit="1" customWidth="1"/>
    <col min="5588" max="5588" width="16.125" style="37" customWidth="1"/>
    <col min="5589" max="5589" width="86" style="37" customWidth="1"/>
    <col min="5590" max="5590" width="5" style="37" customWidth="1"/>
    <col min="5591" max="5591" width="11.125" style="37" customWidth="1"/>
    <col min="5592" max="5592" width="10.375" style="37" customWidth="1"/>
    <col min="5593" max="5593" width="10.875" style="37" customWidth="1"/>
    <col min="5594" max="5594" width="7.75" style="37" customWidth="1"/>
    <col min="5595" max="5595" width="9.875" style="37" customWidth="1"/>
    <col min="5596" max="5596" width="10.625" style="37" customWidth="1"/>
    <col min="5597" max="5839" width="6.125" style="37"/>
    <col min="5840" max="5840" width="5" style="37" customWidth="1"/>
    <col min="5841" max="5841" width="8.875" style="37" customWidth="1"/>
    <col min="5842" max="5842" width="5" style="37" customWidth="1"/>
    <col min="5843" max="5843" width="8.25" style="37" bestFit="1" customWidth="1"/>
    <col min="5844" max="5844" width="16.125" style="37" customWidth="1"/>
    <col min="5845" max="5845" width="86" style="37" customWidth="1"/>
    <col min="5846" max="5846" width="5" style="37" customWidth="1"/>
    <col min="5847" max="5847" width="11.125" style="37" customWidth="1"/>
    <col min="5848" max="5848" width="10.375" style="37" customWidth="1"/>
    <col min="5849" max="5849" width="10.875" style="37" customWidth="1"/>
    <col min="5850" max="5850" width="7.75" style="37" customWidth="1"/>
    <col min="5851" max="5851" width="9.875" style="37" customWidth="1"/>
    <col min="5852" max="5852" width="10.625" style="37" customWidth="1"/>
    <col min="5853" max="6095" width="6.125" style="37"/>
    <col min="6096" max="6096" width="5" style="37" customWidth="1"/>
    <col min="6097" max="6097" width="8.875" style="37" customWidth="1"/>
    <col min="6098" max="6098" width="5" style="37" customWidth="1"/>
    <col min="6099" max="6099" width="8.25" style="37" bestFit="1" customWidth="1"/>
    <col min="6100" max="6100" width="16.125" style="37" customWidth="1"/>
    <col min="6101" max="6101" width="86" style="37" customWidth="1"/>
    <col min="6102" max="6102" width="5" style="37" customWidth="1"/>
    <col min="6103" max="6103" width="11.125" style="37" customWidth="1"/>
    <col min="6104" max="6104" width="10.375" style="37" customWidth="1"/>
    <col min="6105" max="6105" width="10.875" style="37" customWidth="1"/>
    <col min="6106" max="6106" width="7.75" style="37" customWidth="1"/>
    <col min="6107" max="6107" width="9.875" style="37" customWidth="1"/>
    <col min="6108" max="6108" width="10.625" style="37" customWidth="1"/>
    <col min="6109" max="6351" width="6.125" style="37"/>
    <col min="6352" max="6352" width="5" style="37" customWidth="1"/>
    <col min="6353" max="6353" width="8.875" style="37" customWidth="1"/>
    <col min="6354" max="6354" width="5" style="37" customWidth="1"/>
    <col min="6355" max="6355" width="8.25" style="37" bestFit="1" customWidth="1"/>
    <col min="6356" max="6356" width="16.125" style="37" customWidth="1"/>
    <col min="6357" max="6357" width="86" style="37" customWidth="1"/>
    <col min="6358" max="6358" width="5" style="37" customWidth="1"/>
    <col min="6359" max="6359" width="11.125" style="37" customWidth="1"/>
    <col min="6360" max="6360" width="10.375" style="37" customWidth="1"/>
    <col min="6361" max="6361" width="10.875" style="37" customWidth="1"/>
    <col min="6362" max="6362" width="7.75" style="37" customWidth="1"/>
    <col min="6363" max="6363" width="9.875" style="37" customWidth="1"/>
    <col min="6364" max="6364" width="10.625" style="37" customWidth="1"/>
    <col min="6365" max="6607" width="6.125" style="37"/>
    <col min="6608" max="6608" width="5" style="37" customWidth="1"/>
    <col min="6609" max="6609" width="8.875" style="37" customWidth="1"/>
    <col min="6610" max="6610" width="5" style="37" customWidth="1"/>
    <col min="6611" max="6611" width="8.25" style="37" bestFit="1" customWidth="1"/>
    <col min="6612" max="6612" width="16.125" style="37" customWidth="1"/>
    <col min="6613" max="6613" width="86" style="37" customWidth="1"/>
    <col min="6614" max="6614" width="5" style="37" customWidth="1"/>
    <col min="6615" max="6615" width="11.125" style="37" customWidth="1"/>
    <col min="6616" max="6616" width="10.375" style="37" customWidth="1"/>
    <col min="6617" max="6617" width="10.875" style="37" customWidth="1"/>
    <col min="6618" max="6618" width="7.75" style="37" customWidth="1"/>
    <col min="6619" max="6619" width="9.875" style="37" customWidth="1"/>
    <col min="6620" max="6620" width="10.625" style="37" customWidth="1"/>
    <col min="6621" max="6863" width="6.125" style="37"/>
    <col min="6864" max="6864" width="5" style="37" customWidth="1"/>
    <col min="6865" max="6865" width="8.875" style="37" customWidth="1"/>
    <col min="6866" max="6866" width="5" style="37" customWidth="1"/>
    <col min="6867" max="6867" width="8.25" style="37" bestFit="1" customWidth="1"/>
    <col min="6868" max="6868" width="16.125" style="37" customWidth="1"/>
    <col min="6869" max="6869" width="86" style="37" customWidth="1"/>
    <col min="6870" max="6870" width="5" style="37" customWidth="1"/>
    <col min="6871" max="6871" width="11.125" style="37" customWidth="1"/>
    <col min="6872" max="6872" width="10.375" style="37" customWidth="1"/>
    <col min="6873" max="6873" width="10.875" style="37" customWidth="1"/>
    <col min="6874" max="6874" width="7.75" style="37" customWidth="1"/>
    <col min="6875" max="6875" width="9.875" style="37" customWidth="1"/>
    <col min="6876" max="6876" width="10.625" style="37" customWidth="1"/>
    <col min="6877" max="7119" width="6.125" style="37"/>
    <col min="7120" max="7120" width="5" style="37" customWidth="1"/>
    <col min="7121" max="7121" width="8.875" style="37" customWidth="1"/>
    <col min="7122" max="7122" width="5" style="37" customWidth="1"/>
    <col min="7123" max="7123" width="8.25" style="37" bestFit="1" customWidth="1"/>
    <col min="7124" max="7124" width="16.125" style="37" customWidth="1"/>
    <col min="7125" max="7125" width="86" style="37" customWidth="1"/>
    <col min="7126" max="7126" width="5" style="37" customWidth="1"/>
    <col min="7127" max="7127" width="11.125" style="37" customWidth="1"/>
    <col min="7128" max="7128" width="10.375" style="37" customWidth="1"/>
    <col min="7129" max="7129" width="10.875" style="37" customWidth="1"/>
    <col min="7130" max="7130" width="7.75" style="37" customWidth="1"/>
    <col min="7131" max="7131" width="9.875" style="37" customWidth="1"/>
    <col min="7132" max="7132" width="10.625" style="37" customWidth="1"/>
    <col min="7133" max="7375" width="6.125" style="37"/>
    <col min="7376" max="7376" width="5" style="37" customWidth="1"/>
    <col min="7377" max="7377" width="8.875" style="37" customWidth="1"/>
    <col min="7378" max="7378" width="5" style="37" customWidth="1"/>
    <col min="7379" max="7379" width="8.25" style="37" bestFit="1" customWidth="1"/>
    <col min="7380" max="7380" width="16.125" style="37" customWidth="1"/>
    <col min="7381" max="7381" width="86" style="37" customWidth="1"/>
    <col min="7382" max="7382" width="5" style="37" customWidth="1"/>
    <col min="7383" max="7383" width="11.125" style="37" customWidth="1"/>
    <col min="7384" max="7384" width="10.375" style="37" customWidth="1"/>
    <col min="7385" max="7385" width="10.875" style="37" customWidth="1"/>
    <col min="7386" max="7386" width="7.75" style="37" customWidth="1"/>
    <col min="7387" max="7387" width="9.875" style="37" customWidth="1"/>
    <col min="7388" max="7388" width="10.625" style="37" customWidth="1"/>
    <col min="7389" max="7631" width="6.125" style="37"/>
    <col min="7632" max="7632" width="5" style="37" customWidth="1"/>
    <col min="7633" max="7633" width="8.875" style="37" customWidth="1"/>
    <col min="7634" max="7634" width="5" style="37" customWidth="1"/>
    <col min="7635" max="7635" width="8.25" style="37" bestFit="1" customWidth="1"/>
    <col min="7636" max="7636" width="16.125" style="37" customWidth="1"/>
    <col min="7637" max="7637" width="86" style="37" customWidth="1"/>
    <col min="7638" max="7638" width="5" style="37" customWidth="1"/>
    <col min="7639" max="7639" width="11.125" style="37" customWidth="1"/>
    <col min="7640" max="7640" width="10.375" style="37" customWidth="1"/>
    <col min="7641" max="7641" width="10.875" style="37" customWidth="1"/>
    <col min="7642" max="7642" width="7.75" style="37" customWidth="1"/>
    <col min="7643" max="7643" width="9.875" style="37" customWidth="1"/>
    <col min="7644" max="7644" width="10.625" style="37" customWidth="1"/>
    <col min="7645" max="7887" width="6.125" style="37"/>
    <col min="7888" max="7888" width="5" style="37" customWidth="1"/>
    <col min="7889" max="7889" width="8.875" style="37" customWidth="1"/>
    <col min="7890" max="7890" width="5" style="37" customWidth="1"/>
    <col min="7891" max="7891" width="8.25" style="37" bestFit="1" customWidth="1"/>
    <col min="7892" max="7892" width="16.125" style="37" customWidth="1"/>
    <col min="7893" max="7893" width="86" style="37" customWidth="1"/>
    <col min="7894" max="7894" width="5" style="37" customWidth="1"/>
    <col min="7895" max="7895" width="11.125" style="37" customWidth="1"/>
    <col min="7896" max="7896" width="10.375" style="37" customWidth="1"/>
    <col min="7897" max="7897" width="10.875" style="37" customWidth="1"/>
    <col min="7898" max="7898" width="7.75" style="37" customWidth="1"/>
    <col min="7899" max="7899" width="9.875" style="37" customWidth="1"/>
    <col min="7900" max="7900" width="10.625" style="37" customWidth="1"/>
    <col min="7901" max="8143" width="6.125" style="37"/>
    <col min="8144" max="8144" width="5" style="37" customWidth="1"/>
    <col min="8145" max="8145" width="8.875" style="37" customWidth="1"/>
    <col min="8146" max="8146" width="5" style="37" customWidth="1"/>
    <col min="8147" max="8147" width="8.25" style="37" bestFit="1" customWidth="1"/>
    <col min="8148" max="8148" width="16.125" style="37" customWidth="1"/>
    <col min="8149" max="8149" width="86" style="37" customWidth="1"/>
    <col min="8150" max="8150" width="5" style="37" customWidth="1"/>
    <col min="8151" max="8151" width="11.125" style="37" customWidth="1"/>
    <col min="8152" max="8152" width="10.375" style="37" customWidth="1"/>
    <col min="8153" max="8153" width="10.875" style="37" customWidth="1"/>
    <col min="8154" max="8154" width="7.75" style="37" customWidth="1"/>
    <col min="8155" max="8155" width="9.875" style="37" customWidth="1"/>
    <col min="8156" max="8156" width="10.625" style="37" customWidth="1"/>
    <col min="8157" max="8399" width="6.125" style="37"/>
    <col min="8400" max="8400" width="5" style="37" customWidth="1"/>
    <col min="8401" max="8401" width="8.875" style="37" customWidth="1"/>
    <col min="8402" max="8402" width="5" style="37" customWidth="1"/>
    <col min="8403" max="8403" width="8.25" style="37" bestFit="1" customWidth="1"/>
    <col min="8404" max="8404" width="16.125" style="37" customWidth="1"/>
    <col min="8405" max="8405" width="86" style="37" customWidth="1"/>
    <col min="8406" max="8406" width="5" style="37" customWidth="1"/>
    <col min="8407" max="8407" width="11.125" style="37" customWidth="1"/>
    <col min="8408" max="8408" width="10.375" style="37" customWidth="1"/>
    <col min="8409" max="8409" width="10.875" style="37" customWidth="1"/>
    <col min="8410" max="8410" width="7.75" style="37" customWidth="1"/>
    <col min="8411" max="8411" width="9.875" style="37" customWidth="1"/>
    <col min="8412" max="8412" width="10.625" style="37" customWidth="1"/>
    <col min="8413" max="8655" width="6.125" style="37"/>
    <col min="8656" max="8656" width="5" style="37" customWidth="1"/>
    <col min="8657" max="8657" width="8.875" style="37" customWidth="1"/>
    <col min="8658" max="8658" width="5" style="37" customWidth="1"/>
    <col min="8659" max="8659" width="8.25" style="37" bestFit="1" customWidth="1"/>
    <col min="8660" max="8660" width="16.125" style="37" customWidth="1"/>
    <col min="8661" max="8661" width="86" style="37" customWidth="1"/>
    <col min="8662" max="8662" width="5" style="37" customWidth="1"/>
    <col min="8663" max="8663" width="11.125" style="37" customWidth="1"/>
    <col min="8664" max="8664" width="10.375" style="37" customWidth="1"/>
    <col min="8665" max="8665" width="10.875" style="37" customWidth="1"/>
    <col min="8666" max="8666" width="7.75" style="37" customWidth="1"/>
    <col min="8667" max="8667" width="9.875" style="37" customWidth="1"/>
    <col min="8668" max="8668" width="10.625" style="37" customWidth="1"/>
    <col min="8669" max="8911" width="6.125" style="37"/>
    <col min="8912" max="8912" width="5" style="37" customWidth="1"/>
    <col min="8913" max="8913" width="8.875" style="37" customWidth="1"/>
    <col min="8914" max="8914" width="5" style="37" customWidth="1"/>
    <col min="8915" max="8915" width="8.25" style="37" bestFit="1" customWidth="1"/>
    <col min="8916" max="8916" width="16.125" style="37" customWidth="1"/>
    <col min="8917" max="8917" width="86" style="37" customWidth="1"/>
    <col min="8918" max="8918" width="5" style="37" customWidth="1"/>
    <col min="8919" max="8919" width="11.125" style="37" customWidth="1"/>
    <col min="8920" max="8920" width="10.375" style="37" customWidth="1"/>
    <col min="8921" max="8921" width="10.875" style="37" customWidth="1"/>
    <col min="8922" max="8922" width="7.75" style="37" customWidth="1"/>
    <col min="8923" max="8923" width="9.875" style="37" customWidth="1"/>
    <col min="8924" max="8924" width="10.625" style="37" customWidth="1"/>
    <col min="8925" max="9167" width="6.125" style="37"/>
    <col min="9168" max="9168" width="5" style="37" customWidth="1"/>
    <col min="9169" max="9169" width="8.875" style="37" customWidth="1"/>
    <col min="9170" max="9170" width="5" style="37" customWidth="1"/>
    <col min="9171" max="9171" width="8.25" style="37" bestFit="1" customWidth="1"/>
    <col min="9172" max="9172" width="16.125" style="37" customWidth="1"/>
    <col min="9173" max="9173" width="86" style="37" customWidth="1"/>
    <col min="9174" max="9174" width="5" style="37" customWidth="1"/>
    <col min="9175" max="9175" width="11.125" style="37" customWidth="1"/>
    <col min="9176" max="9176" width="10.375" style="37" customWidth="1"/>
    <col min="9177" max="9177" width="10.875" style="37" customWidth="1"/>
    <col min="9178" max="9178" width="7.75" style="37" customWidth="1"/>
    <col min="9179" max="9179" width="9.875" style="37" customWidth="1"/>
    <col min="9180" max="9180" width="10.625" style="37" customWidth="1"/>
    <col min="9181" max="9423" width="6.125" style="37"/>
    <col min="9424" max="9424" width="5" style="37" customWidth="1"/>
    <col min="9425" max="9425" width="8.875" style="37" customWidth="1"/>
    <col min="9426" max="9426" width="5" style="37" customWidth="1"/>
    <col min="9427" max="9427" width="8.25" style="37" bestFit="1" customWidth="1"/>
    <col min="9428" max="9428" width="16.125" style="37" customWidth="1"/>
    <col min="9429" max="9429" width="86" style="37" customWidth="1"/>
    <col min="9430" max="9430" width="5" style="37" customWidth="1"/>
    <col min="9431" max="9431" width="11.125" style="37" customWidth="1"/>
    <col min="9432" max="9432" width="10.375" style="37" customWidth="1"/>
    <col min="9433" max="9433" width="10.875" style="37" customWidth="1"/>
    <col min="9434" max="9434" width="7.75" style="37" customWidth="1"/>
    <col min="9435" max="9435" width="9.875" style="37" customWidth="1"/>
    <col min="9436" max="9436" width="10.625" style="37" customWidth="1"/>
    <col min="9437" max="9679" width="6.125" style="37"/>
    <col min="9680" max="9680" width="5" style="37" customWidth="1"/>
    <col min="9681" max="9681" width="8.875" style="37" customWidth="1"/>
    <col min="9682" max="9682" width="5" style="37" customWidth="1"/>
    <col min="9683" max="9683" width="8.25" style="37" bestFit="1" customWidth="1"/>
    <col min="9684" max="9684" width="16.125" style="37" customWidth="1"/>
    <col min="9685" max="9685" width="86" style="37" customWidth="1"/>
    <col min="9686" max="9686" width="5" style="37" customWidth="1"/>
    <col min="9687" max="9687" width="11.125" style="37" customWidth="1"/>
    <col min="9688" max="9688" width="10.375" style="37" customWidth="1"/>
    <col min="9689" max="9689" width="10.875" style="37" customWidth="1"/>
    <col min="9690" max="9690" width="7.75" style="37" customWidth="1"/>
    <col min="9691" max="9691" width="9.875" style="37" customWidth="1"/>
    <col min="9692" max="9692" width="10.625" style="37" customWidth="1"/>
    <col min="9693" max="9935" width="6.125" style="37"/>
    <col min="9936" max="9936" width="5" style="37" customWidth="1"/>
    <col min="9937" max="9937" width="8.875" style="37" customWidth="1"/>
    <col min="9938" max="9938" width="5" style="37" customWidth="1"/>
    <col min="9939" max="9939" width="8.25" style="37" bestFit="1" customWidth="1"/>
    <col min="9940" max="9940" width="16.125" style="37" customWidth="1"/>
    <col min="9941" max="9941" width="86" style="37" customWidth="1"/>
    <col min="9942" max="9942" width="5" style="37" customWidth="1"/>
    <col min="9943" max="9943" width="11.125" style="37" customWidth="1"/>
    <col min="9944" max="9944" width="10.375" style="37" customWidth="1"/>
    <col min="9945" max="9945" width="10.875" style="37" customWidth="1"/>
    <col min="9946" max="9946" width="7.75" style="37" customWidth="1"/>
    <col min="9947" max="9947" width="9.875" style="37" customWidth="1"/>
    <col min="9948" max="9948" width="10.625" style="37" customWidth="1"/>
    <col min="9949" max="10191" width="6.125" style="37"/>
    <col min="10192" max="10192" width="5" style="37" customWidth="1"/>
    <col min="10193" max="10193" width="8.875" style="37" customWidth="1"/>
    <col min="10194" max="10194" width="5" style="37" customWidth="1"/>
    <col min="10195" max="10195" width="8.25" style="37" bestFit="1" customWidth="1"/>
    <col min="10196" max="10196" width="16.125" style="37" customWidth="1"/>
    <col min="10197" max="10197" width="86" style="37" customWidth="1"/>
    <col min="10198" max="10198" width="5" style="37" customWidth="1"/>
    <col min="10199" max="10199" width="11.125" style="37" customWidth="1"/>
    <col min="10200" max="10200" width="10.375" style="37" customWidth="1"/>
    <col min="10201" max="10201" width="10.875" style="37" customWidth="1"/>
    <col min="10202" max="10202" width="7.75" style="37" customWidth="1"/>
    <col min="10203" max="10203" width="9.875" style="37" customWidth="1"/>
    <col min="10204" max="10204" width="10.625" style="37" customWidth="1"/>
    <col min="10205" max="10447" width="6.125" style="37"/>
    <col min="10448" max="10448" width="5" style="37" customWidth="1"/>
    <col min="10449" max="10449" width="8.875" style="37" customWidth="1"/>
    <col min="10450" max="10450" width="5" style="37" customWidth="1"/>
    <col min="10451" max="10451" width="8.25" style="37" bestFit="1" customWidth="1"/>
    <col min="10452" max="10452" width="16.125" style="37" customWidth="1"/>
    <col min="10453" max="10453" width="86" style="37" customWidth="1"/>
    <col min="10454" max="10454" width="5" style="37" customWidth="1"/>
    <col min="10455" max="10455" width="11.125" style="37" customWidth="1"/>
    <col min="10456" max="10456" width="10.375" style="37" customWidth="1"/>
    <col min="10457" max="10457" width="10.875" style="37" customWidth="1"/>
    <col min="10458" max="10458" width="7.75" style="37" customWidth="1"/>
    <col min="10459" max="10459" width="9.875" style="37" customWidth="1"/>
    <col min="10460" max="10460" width="10.625" style="37" customWidth="1"/>
    <col min="10461" max="10703" width="6.125" style="37"/>
    <col min="10704" max="10704" width="5" style="37" customWidth="1"/>
    <col min="10705" max="10705" width="8.875" style="37" customWidth="1"/>
    <col min="10706" max="10706" width="5" style="37" customWidth="1"/>
    <col min="10707" max="10707" width="8.25" style="37" bestFit="1" customWidth="1"/>
    <col min="10708" max="10708" width="16.125" style="37" customWidth="1"/>
    <col min="10709" max="10709" width="86" style="37" customWidth="1"/>
    <col min="10710" max="10710" width="5" style="37" customWidth="1"/>
    <col min="10711" max="10711" width="11.125" style="37" customWidth="1"/>
    <col min="10712" max="10712" width="10.375" style="37" customWidth="1"/>
    <col min="10713" max="10713" width="10.875" style="37" customWidth="1"/>
    <col min="10714" max="10714" width="7.75" style="37" customWidth="1"/>
    <col min="10715" max="10715" width="9.875" style="37" customWidth="1"/>
    <col min="10716" max="10716" width="10.625" style="37" customWidth="1"/>
    <col min="10717" max="10959" width="6.125" style="37"/>
    <col min="10960" max="10960" width="5" style="37" customWidth="1"/>
    <col min="10961" max="10961" width="8.875" style="37" customWidth="1"/>
    <col min="10962" max="10962" width="5" style="37" customWidth="1"/>
    <col min="10963" max="10963" width="8.25" style="37" bestFit="1" customWidth="1"/>
    <col min="10964" max="10964" width="16.125" style="37" customWidth="1"/>
    <col min="10965" max="10965" width="86" style="37" customWidth="1"/>
    <col min="10966" max="10966" width="5" style="37" customWidth="1"/>
    <col min="10967" max="10967" width="11.125" style="37" customWidth="1"/>
    <col min="10968" max="10968" width="10.375" style="37" customWidth="1"/>
    <col min="10969" max="10969" width="10.875" style="37" customWidth="1"/>
    <col min="10970" max="10970" width="7.75" style="37" customWidth="1"/>
    <col min="10971" max="10971" width="9.875" style="37" customWidth="1"/>
    <col min="10972" max="10972" width="10.625" style="37" customWidth="1"/>
    <col min="10973" max="11215" width="6.125" style="37"/>
    <col min="11216" max="11216" width="5" style="37" customWidth="1"/>
    <col min="11217" max="11217" width="8.875" style="37" customWidth="1"/>
    <col min="11218" max="11218" width="5" style="37" customWidth="1"/>
    <col min="11219" max="11219" width="8.25" style="37" bestFit="1" customWidth="1"/>
    <col min="11220" max="11220" width="16.125" style="37" customWidth="1"/>
    <col min="11221" max="11221" width="86" style="37" customWidth="1"/>
    <col min="11222" max="11222" width="5" style="37" customWidth="1"/>
    <col min="11223" max="11223" width="11.125" style="37" customWidth="1"/>
    <col min="11224" max="11224" width="10.375" style="37" customWidth="1"/>
    <col min="11225" max="11225" width="10.875" style="37" customWidth="1"/>
    <col min="11226" max="11226" width="7.75" style="37" customWidth="1"/>
    <col min="11227" max="11227" width="9.875" style="37" customWidth="1"/>
    <col min="11228" max="11228" width="10.625" style="37" customWidth="1"/>
    <col min="11229" max="11471" width="6.125" style="37"/>
    <col min="11472" max="11472" width="5" style="37" customWidth="1"/>
    <col min="11473" max="11473" width="8.875" style="37" customWidth="1"/>
    <col min="11474" max="11474" width="5" style="37" customWidth="1"/>
    <col min="11475" max="11475" width="8.25" style="37" bestFit="1" customWidth="1"/>
    <col min="11476" max="11476" width="16.125" style="37" customWidth="1"/>
    <col min="11477" max="11477" width="86" style="37" customWidth="1"/>
    <col min="11478" max="11478" width="5" style="37" customWidth="1"/>
    <col min="11479" max="11479" width="11.125" style="37" customWidth="1"/>
    <col min="11480" max="11480" width="10.375" style="37" customWidth="1"/>
    <col min="11481" max="11481" width="10.875" style="37" customWidth="1"/>
    <col min="11482" max="11482" width="7.75" style="37" customWidth="1"/>
    <col min="11483" max="11483" width="9.875" style="37" customWidth="1"/>
    <col min="11484" max="11484" width="10.625" style="37" customWidth="1"/>
    <col min="11485" max="11727" width="6.125" style="37"/>
    <col min="11728" max="11728" width="5" style="37" customWidth="1"/>
    <col min="11729" max="11729" width="8.875" style="37" customWidth="1"/>
    <col min="11730" max="11730" width="5" style="37" customWidth="1"/>
    <col min="11731" max="11731" width="8.25" style="37" bestFit="1" customWidth="1"/>
    <col min="11732" max="11732" width="16.125" style="37" customWidth="1"/>
    <col min="11733" max="11733" width="86" style="37" customWidth="1"/>
    <col min="11734" max="11734" width="5" style="37" customWidth="1"/>
    <col min="11735" max="11735" width="11.125" style="37" customWidth="1"/>
    <col min="11736" max="11736" width="10.375" style="37" customWidth="1"/>
    <col min="11737" max="11737" width="10.875" style="37" customWidth="1"/>
    <col min="11738" max="11738" width="7.75" style="37" customWidth="1"/>
    <col min="11739" max="11739" width="9.875" style="37" customWidth="1"/>
    <col min="11740" max="11740" width="10.625" style="37" customWidth="1"/>
    <col min="11741" max="11983" width="6.125" style="37"/>
    <col min="11984" max="11984" width="5" style="37" customWidth="1"/>
    <col min="11985" max="11985" width="8.875" style="37" customWidth="1"/>
    <col min="11986" max="11986" width="5" style="37" customWidth="1"/>
    <col min="11987" max="11987" width="8.25" style="37" bestFit="1" customWidth="1"/>
    <col min="11988" max="11988" width="16.125" style="37" customWidth="1"/>
    <col min="11989" max="11989" width="86" style="37" customWidth="1"/>
    <col min="11990" max="11990" width="5" style="37" customWidth="1"/>
    <col min="11991" max="11991" width="11.125" style="37" customWidth="1"/>
    <col min="11992" max="11992" width="10.375" style="37" customWidth="1"/>
    <col min="11993" max="11993" width="10.875" style="37" customWidth="1"/>
    <col min="11994" max="11994" width="7.75" style="37" customWidth="1"/>
    <col min="11995" max="11995" width="9.875" style="37" customWidth="1"/>
    <col min="11996" max="11996" width="10.625" style="37" customWidth="1"/>
    <col min="11997" max="12239" width="6.125" style="37"/>
    <col min="12240" max="12240" width="5" style="37" customWidth="1"/>
    <col min="12241" max="12241" width="8.875" style="37" customWidth="1"/>
    <col min="12242" max="12242" width="5" style="37" customWidth="1"/>
    <col min="12243" max="12243" width="8.25" style="37" bestFit="1" customWidth="1"/>
    <col min="12244" max="12244" width="16.125" style="37" customWidth="1"/>
    <col min="12245" max="12245" width="86" style="37" customWidth="1"/>
    <col min="12246" max="12246" width="5" style="37" customWidth="1"/>
    <col min="12247" max="12247" width="11.125" style="37" customWidth="1"/>
    <col min="12248" max="12248" width="10.375" style="37" customWidth="1"/>
    <col min="12249" max="12249" width="10.875" style="37" customWidth="1"/>
    <col min="12250" max="12250" width="7.75" style="37" customWidth="1"/>
    <col min="12251" max="12251" width="9.875" style="37" customWidth="1"/>
    <col min="12252" max="12252" width="10.625" style="37" customWidth="1"/>
    <col min="12253" max="12495" width="6.125" style="37"/>
    <col min="12496" max="12496" width="5" style="37" customWidth="1"/>
    <col min="12497" max="12497" width="8.875" style="37" customWidth="1"/>
    <col min="12498" max="12498" width="5" style="37" customWidth="1"/>
    <col min="12499" max="12499" width="8.25" style="37" bestFit="1" customWidth="1"/>
    <col min="12500" max="12500" width="16.125" style="37" customWidth="1"/>
    <col min="12501" max="12501" width="86" style="37" customWidth="1"/>
    <col min="12502" max="12502" width="5" style="37" customWidth="1"/>
    <col min="12503" max="12503" width="11.125" style="37" customWidth="1"/>
    <col min="12504" max="12504" width="10.375" style="37" customWidth="1"/>
    <col min="12505" max="12505" width="10.875" style="37" customWidth="1"/>
    <col min="12506" max="12506" width="7.75" style="37" customWidth="1"/>
    <col min="12507" max="12507" width="9.875" style="37" customWidth="1"/>
    <col min="12508" max="12508" width="10.625" style="37" customWidth="1"/>
    <col min="12509" max="12751" width="6.125" style="37"/>
    <col min="12752" max="12752" width="5" style="37" customWidth="1"/>
    <col min="12753" max="12753" width="8.875" style="37" customWidth="1"/>
    <col min="12754" max="12754" width="5" style="37" customWidth="1"/>
    <col min="12755" max="12755" width="8.25" style="37" bestFit="1" customWidth="1"/>
    <col min="12756" max="12756" width="16.125" style="37" customWidth="1"/>
    <col min="12757" max="12757" width="86" style="37" customWidth="1"/>
    <col min="12758" max="12758" width="5" style="37" customWidth="1"/>
    <col min="12759" max="12759" width="11.125" style="37" customWidth="1"/>
    <col min="12760" max="12760" width="10.375" style="37" customWidth="1"/>
    <col min="12761" max="12761" width="10.875" style="37" customWidth="1"/>
    <col min="12762" max="12762" width="7.75" style="37" customWidth="1"/>
    <col min="12763" max="12763" width="9.875" style="37" customWidth="1"/>
    <col min="12764" max="12764" width="10.625" style="37" customWidth="1"/>
    <col min="12765" max="13007" width="6.125" style="37"/>
    <col min="13008" max="13008" width="5" style="37" customWidth="1"/>
    <col min="13009" max="13009" width="8.875" style="37" customWidth="1"/>
    <col min="13010" max="13010" width="5" style="37" customWidth="1"/>
    <col min="13011" max="13011" width="8.25" style="37" bestFit="1" customWidth="1"/>
    <col min="13012" max="13012" width="16.125" style="37" customWidth="1"/>
    <col min="13013" max="13013" width="86" style="37" customWidth="1"/>
    <col min="13014" max="13014" width="5" style="37" customWidth="1"/>
    <col min="13015" max="13015" width="11.125" style="37" customWidth="1"/>
    <col min="13016" max="13016" width="10.375" style="37" customWidth="1"/>
    <col min="13017" max="13017" width="10.875" style="37" customWidth="1"/>
    <col min="13018" max="13018" width="7.75" style="37" customWidth="1"/>
    <col min="13019" max="13019" width="9.875" style="37" customWidth="1"/>
    <col min="13020" max="13020" width="10.625" style="37" customWidth="1"/>
    <col min="13021" max="13263" width="6.125" style="37"/>
    <col min="13264" max="13264" width="5" style="37" customWidth="1"/>
    <col min="13265" max="13265" width="8.875" style="37" customWidth="1"/>
    <col min="13266" max="13266" width="5" style="37" customWidth="1"/>
    <col min="13267" max="13267" width="8.25" style="37" bestFit="1" customWidth="1"/>
    <col min="13268" max="13268" width="16.125" style="37" customWidth="1"/>
    <col min="13269" max="13269" width="86" style="37" customWidth="1"/>
    <col min="13270" max="13270" width="5" style="37" customWidth="1"/>
    <col min="13271" max="13271" width="11.125" style="37" customWidth="1"/>
    <col min="13272" max="13272" width="10.375" style="37" customWidth="1"/>
    <col min="13273" max="13273" width="10.875" style="37" customWidth="1"/>
    <col min="13274" max="13274" width="7.75" style="37" customWidth="1"/>
    <col min="13275" max="13275" width="9.875" style="37" customWidth="1"/>
    <col min="13276" max="13276" width="10.625" style="37" customWidth="1"/>
    <col min="13277" max="13519" width="6.125" style="37"/>
    <col min="13520" max="13520" width="5" style="37" customWidth="1"/>
    <col min="13521" max="13521" width="8.875" style="37" customWidth="1"/>
    <col min="13522" max="13522" width="5" style="37" customWidth="1"/>
    <col min="13523" max="13523" width="8.25" style="37" bestFit="1" customWidth="1"/>
    <col min="13524" max="13524" width="16.125" style="37" customWidth="1"/>
    <col min="13525" max="13525" width="86" style="37" customWidth="1"/>
    <col min="13526" max="13526" width="5" style="37" customWidth="1"/>
    <col min="13527" max="13527" width="11.125" style="37" customWidth="1"/>
    <col min="13528" max="13528" width="10.375" style="37" customWidth="1"/>
    <col min="13529" max="13529" width="10.875" style="37" customWidth="1"/>
    <col min="13530" max="13530" width="7.75" style="37" customWidth="1"/>
    <col min="13531" max="13531" width="9.875" style="37" customWidth="1"/>
    <col min="13532" max="13532" width="10.625" style="37" customWidth="1"/>
    <col min="13533" max="13775" width="6.125" style="37"/>
    <col min="13776" max="13776" width="5" style="37" customWidth="1"/>
    <col min="13777" max="13777" width="8.875" style="37" customWidth="1"/>
    <col min="13778" max="13778" width="5" style="37" customWidth="1"/>
    <col min="13779" max="13779" width="8.25" style="37" bestFit="1" customWidth="1"/>
    <col min="13780" max="13780" width="16.125" style="37" customWidth="1"/>
    <col min="13781" max="13781" width="86" style="37" customWidth="1"/>
    <col min="13782" max="13782" width="5" style="37" customWidth="1"/>
    <col min="13783" max="13783" width="11.125" style="37" customWidth="1"/>
    <col min="13784" max="13784" width="10.375" style="37" customWidth="1"/>
    <col min="13785" max="13785" width="10.875" style="37" customWidth="1"/>
    <col min="13786" max="13786" width="7.75" style="37" customWidth="1"/>
    <col min="13787" max="13787" width="9.875" style="37" customWidth="1"/>
    <col min="13788" max="13788" width="10.625" style="37" customWidth="1"/>
    <col min="13789" max="14031" width="6.125" style="37"/>
    <col min="14032" max="14032" width="5" style="37" customWidth="1"/>
    <col min="14033" max="14033" width="8.875" style="37" customWidth="1"/>
    <col min="14034" max="14034" width="5" style="37" customWidth="1"/>
    <col min="14035" max="14035" width="8.25" style="37" bestFit="1" customWidth="1"/>
    <col min="14036" max="14036" width="16.125" style="37" customWidth="1"/>
    <col min="14037" max="14037" width="86" style="37" customWidth="1"/>
    <col min="14038" max="14038" width="5" style="37" customWidth="1"/>
    <col min="14039" max="14039" width="11.125" style="37" customWidth="1"/>
    <col min="14040" max="14040" width="10.375" style="37" customWidth="1"/>
    <col min="14041" max="14041" width="10.875" style="37" customWidth="1"/>
    <col min="14042" max="14042" width="7.75" style="37" customWidth="1"/>
    <col min="14043" max="14043" width="9.875" style="37" customWidth="1"/>
    <col min="14044" max="14044" width="10.625" style="37" customWidth="1"/>
    <col min="14045" max="14287" width="6.125" style="37"/>
    <col min="14288" max="14288" width="5" style="37" customWidth="1"/>
    <col min="14289" max="14289" width="8.875" style="37" customWidth="1"/>
    <col min="14290" max="14290" width="5" style="37" customWidth="1"/>
    <col min="14291" max="14291" width="8.25" style="37" bestFit="1" customWidth="1"/>
    <col min="14292" max="14292" width="16.125" style="37" customWidth="1"/>
    <col min="14293" max="14293" width="86" style="37" customWidth="1"/>
    <col min="14294" max="14294" width="5" style="37" customWidth="1"/>
    <col min="14295" max="14295" width="11.125" style="37" customWidth="1"/>
    <col min="14296" max="14296" width="10.375" style="37" customWidth="1"/>
    <col min="14297" max="14297" width="10.875" style="37" customWidth="1"/>
    <col min="14298" max="14298" width="7.75" style="37" customWidth="1"/>
    <col min="14299" max="14299" width="9.875" style="37" customWidth="1"/>
    <col min="14300" max="14300" width="10.625" style="37" customWidth="1"/>
    <col min="14301" max="14543" width="6.125" style="37"/>
    <col min="14544" max="14544" width="5" style="37" customWidth="1"/>
    <col min="14545" max="14545" width="8.875" style="37" customWidth="1"/>
    <col min="14546" max="14546" width="5" style="37" customWidth="1"/>
    <col min="14547" max="14547" width="8.25" style="37" bestFit="1" customWidth="1"/>
    <col min="14548" max="14548" width="16.125" style="37" customWidth="1"/>
    <col min="14549" max="14549" width="86" style="37" customWidth="1"/>
    <col min="14550" max="14550" width="5" style="37" customWidth="1"/>
    <col min="14551" max="14551" width="11.125" style="37" customWidth="1"/>
    <col min="14552" max="14552" width="10.375" style="37" customWidth="1"/>
    <col min="14553" max="14553" width="10.875" style="37" customWidth="1"/>
    <col min="14554" max="14554" width="7.75" style="37" customWidth="1"/>
    <col min="14555" max="14555" width="9.875" style="37" customWidth="1"/>
    <col min="14556" max="14556" width="10.625" style="37" customWidth="1"/>
    <col min="14557" max="14799" width="6.125" style="37"/>
    <col min="14800" max="14800" width="5" style="37" customWidth="1"/>
    <col min="14801" max="14801" width="8.875" style="37" customWidth="1"/>
    <col min="14802" max="14802" width="5" style="37" customWidth="1"/>
    <col min="14803" max="14803" width="8.25" style="37" bestFit="1" customWidth="1"/>
    <col min="14804" max="14804" width="16.125" style="37" customWidth="1"/>
    <col min="14805" max="14805" width="86" style="37" customWidth="1"/>
    <col min="14806" max="14806" width="5" style="37" customWidth="1"/>
    <col min="14807" max="14807" width="11.125" style="37" customWidth="1"/>
    <col min="14808" max="14808" width="10.375" style="37" customWidth="1"/>
    <col min="14809" max="14809" width="10.875" style="37" customWidth="1"/>
    <col min="14810" max="14810" width="7.75" style="37" customWidth="1"/>
    <col min="14811" max="14811" width="9.875" style="37" customWidth="1"/>
    <col min="14812" max="14812" width="10.625" style="37" customWidth="1"/>
    <col min="14813" max="15055" width="6.125" style="37"/>
    <col min="15056" max="15056" width="5" style="37" customWidth="1"/>
    <col min="15057" max="15057" width="8.875" style="37" customWidth="1"/>
    <col min="15058" max="15058" width="5" style="37" customWidth="1"/>
    <col min="15059" max="15059" width="8.25" style="37" bestFit="1" customWidth="1"/>
    <col min="15060" max="15060" width="16.125" style="37" customWidth="1"/>
    <col min="15061" max="15061" width="86" style="37" customWidth="1"/>
    <col min="15062" max="15062" width="5" style="37" customWidth="1"/>
    <col min="15063" max="15063" width="11.125" style="37" customWidth="1"/>
    <col min="15064" max="15064" width="10.375" style="37" customWidth="1"/>
    <col min="15065" max="15065" width="10.875" style="37" customWidth="1"/>
    <col min="15066" max="15066" width="7.75" style="37" customWidth="1"/>
    <col min="15067" max="15067" width="9.875" style="37" customWidth="1"/>
    <col min="15068" max="15068" width="10.625" style="37" customWidth="1"/>
    <col min="15069" max="15311" width="6.125" style="37"/>
    <col min="15312" max="15312" width="5" style="37" customWidth="1"/>
    <col min="15313" max="15313" width="8.875" style="37" customWidth="1"/>
    <col min="15314" max="15314" width="5" style="37" customWidth="1"/>
    <col min="15315" max="15315" width="8.25" style="37" bestFit="1" customWidth="1"/>
    <col min="15316" max="15316" width="16.125" style="37" customWidth="1"/>
    <col min="15317" max="15317" width="86" style="37" customWidth="1"/>
    <col min="15318" max="15318" width="5" style="37" customWidth="1"/>
    <col min="15319" max="15319" width="11.125" style="37" customWidth="1"/>
    <col min="15320" max="15320" width="10.375" style="37" customWidth="1"/>
    <col min="15321" max="15321" width="10.875" style="37" customWidth="1"/>
    <col min="15322" max="15322" width="7.75" style="37" customWidth="1"/>
    <col min="15323" max="15323" width="9.875" style="37" customWidth="1"/>
    <col min="15324" max="15324" width="10.625" style="37" customWidth="1"/>
    <col min="15325" max="15567" width="6.125" style="37"/>
    <col min="15568" max="15568" width="5" style="37" customWidth="1"/>
    <col min="15569" max="15569" width="8.875" style="37" customWidth="1"/>
    <col min="15570" max="15570" width="5" style="37" customWidth="1"/>
    <col min="15571" max="15571" width="8.25" style="37" bestFit="1" customWidth="1"/>
    <col min="15572" max="15572" width="16.125" style="37" customWidth="1"/>
    <col min="15573" max="15573" width="86" style="37" customWidth="1"/>
    <col min="15574" max="15574" width="5" style="37" customWidth="1"/>
    <col min="15575" max="15575" width="11.125" style="37" customWidth="1"/>
    <col min="15576" max="15576" width="10.375" style="37" customWidth="1"/>
    <col min="15577" max="15577" width="10.875" style="37" customWidth="1"/>
    <col min="15578" max="15578" width="7.75" style="37" customWidth="1"/>
    <col min="15579" max="15579" width="9.875" style="37" customWidth="1"/>
    <col min="15580" max="15580" width="10.625" style="37" customWidth="1"/>
    <col min="15581" max="15823" width="6.125" style="37"/>
    <col min="15824" max="15824" width="5" style="37" customWidth="1"/>
    <col min="15825" max="15825" width="8.875" style="37" customWidth="1"/>
    <col min="15826" max="15826" width="5" style="37" customWidth="1"/>
    <col min="15827" max="15827" width="8.25" style="37" bestFit="1" customWidth="1"/>
    <col min="15828" max="15828" width="16.125" style="37" customWidth="1"/>
    <col min="15829" max="15829" width="86" style="37" customWidth="1"/>
    <col min="15830" max="15830" width="5" style="37" customWidth="1"/>
    <col min="15831" max="15831" width="11.125" style="37" customWidth="1"/>
    <col min="15832" max="15832" width="10.375" style="37" customWidth="1"/>
    <col min="15833" max="15833" width="10.875" style="37" customWidth="1"/>
    <col min="15834" max="15834" width="7.75" style="37" customWidth="1"/>
    <col min="15835" max="15835" width="9.875" style="37" customWidth="1"/>
    <col min="15836" max="15836" width="10.625" style="37" customWidth="1"/>
    <col min="15837" max="16079" width="6.125" style="37"/>
    <col min="16080" max="16080" width="5" style="37" customWidth="1"/>
    <col min="16081" max="16081" width="8.875" style="37" customWidth="1"/>
    <col min="16082" max="16082" width="5" style="37" customWidth="1"/>
    <col min="16083" max="16083" width="8.25" style="37" bestFit="1" customWidth="1"/>
    <col min="16084" max="16084" width="16.125" style="37" customWidth="1"/>
    <col min="16085" max="16085" width="86" style="37" customWidth="1"/>
    <col min="16086" max="16086" width="5" style="37" customWidth="1"/>
    <col min="16087" max="16087" width="11.125" style="37" customWidth="1"/>
    <col min="16088" max="16088" width="10.375" style="37" customWidth="1"/>
    <col min="16089" max="16089" width="10.875" style="37" customWidth="1"/>
    <col min="16090" max="16090" width="7.75" style="37" customWidth="1"/>
    <col min="16091" max="16091" width="9.875" style="37" customWidth="1"/>
    <col min="16092" max="16092" width="10.625" style="37" customWidth="1"/>
    <col min="16093" max="16384" width="6.125" style="37"/>
  </cols>
  <sheetData>
    <row r="1" spans="1:16">
      <c r="A1" s="637" t="s">
        <v>90</v>
      </c>
      <c r="B1" s="637"/>
      <c r="C1" s="637"/>
      <c r="D1" s="637"/>
      <c r="E1" s="637"/>
      <c r="F1" s="637"/>
      <c r="G1" s="637"/>
      <c r="H1" s="637"/>
      <c r="I1" s="637"/>
      <c r="J1" s="637"/>
      <c r="K1" s="637"/>
      <c r="L1" s="637"/>
      <c r="M1" s="637"/>
      <c r="N1" s="637"/>
      <c r="O1" s="637"/>
    </row>
    <row r="2" spans="1:16" ht="31.5" customHeight="1">
      <c r="A2" s="638"/>
      <c r="B2" s="638"/>
      <c r="C2" s="638"/>
      <c r="D2" s="638"/>
      <c r="E2" s="638"/>
      <c r="F2" s="638"/>
      <c r="G2" s="638"/>
      <c r="H2" s="638"/>
      <c r="I2" s="638"/>
      <c r="J2" s="638"/>
      <c r="K2" s="638"/>
      <c r="L2" s="38"/>
      <c r="M2" s="38"/>
      <c r="N2" s="38"/>
      <c r="O2" s="38"/>
    </row>
    <row r="3" spans="1:16" ht="15.75" customHeight="1" thickBot="1">
      <c r="A3" s="38"/>
      <c r="B3" s="38"/>
      <c r="C3" s="38"/>
      <c r="D3" s="38"/>
      <c r="E3" s="38"/>
      <c r="F3" s="38"/>
      <c r="G3" s="38"/>
      <c r="H3" s="417"/>
      <c r="I3" s="38"/>
      <c r="J3" s="38"/>
      <c r="K3" s="38"/>
      <c r="L3" s="639"/>
      <c r="M3" s="639"/>
      <c r="N3" s="639"/>
      <c r="O3" s="639"/>
      <c r="P3" s="38"/>
    </row>
    <row r="4" spans="1:16" s="44" customFormat="1" ht="57" customHeight="1" thickBot="1">
      <c r="A4" s="39" t="s">
        <v>20</v>
      </c>
      <c r="B4" s="40" t="s">
        <v>0</v>
      </c>
      <c r="C4" s="40" t="s">
        <v>1</v>
      </c>
      <c r="D4" s="40" t="s">
        <v>2</v>
      </c>
      <c r="E4" s="40" t="s">
        <v>3</v>
      </c>
      <c r="F4" s="41" t="s">
        <v>21</v>
      </c>
      <c r="G4" s="41" t="s">
        <v>22</v>
      </c>
      <c r="H4" s="405" t="s">
        <v>91</v>
      </c>
      <c r="I4" s="42" t="s">
        <v>92</v>
      </c>
      <c r="J4" s="42" t="s">
        <v>93</v>
      </c>
      <c r="K4" s="40" t="s">
        <v>94</v>
      </c>
      <c r="L4" s="40" t="s">
        <v>95</v>
      </c>
      <c r="M4" s="40" t="s">
        <v>96</v>
      </c>
      <c r="N4" s="40" t="s">
        <v>23</v>
      </c>
      <c r="O4" s="40" t="s">
        <v>5</v>
      </c>
      <c r="P4" s="43" t="s">
        <v>97</v>
      </c>
    </row>
    <row r="5" spans="1:16" s="44" customFormat="1" ht="13.5" thickBot="1">
      <c r="A5" s="45"/>
      <c r="B5" s="46"/>
      <c r="C5" s="46"/>
      <c r="D5" s="46"/>
      <c r="E5" s="46"/>
      <c r="F5" s="47"/>
      <c r="G5" s="47"/>
      <c r="H5" s="418"/>
      <c r="I5" s="48"/>
      <c r="J5" s="48"/>
      <c r="K5" s="46"/>
      <c r="L5" s="46"/>
      <c r="M5" s="46"/>
      <c r="N5" s="46"/>
      <c r="O5" s="46"/>
      <c r="P5" s="46"/>
    </row>
    <row r="6" spans="1:16" s="44" customFormat="1" ht="15.75" thickBot="1">
      <c r="A6" s="49" t="s">
        <v>15</v>
      </c>
      <c r="B6" s="50"/>
      <c r="C6" s="50"/>
      <c r="D6" s="50"/>
      <c r="E6" s="50"/>
      <c r="F6" s="51" t="s">
        <v>98</v>
      </c>
      <c r="G6" s="52" t="s">
        <v>99</v>
      </c>
      <c r="H6" s="52">
        <v>1</v>
      </c>
      <c r="I6" s="54">
        <v>1</v>
      </c>
      <c r="J6" s="54">
        <f>SUM(H6:I6)</f>
        <v>2</v>
      </c>
      <c r="K6" s="55"/>
      <c r="L6" s="56"/>
      <c r="M6" s="56"/>
      <c r="N6" s="56"/>
      <c r="O6" s="56">
        <f>SUM(J6*K6)</f>
        <v>0</v>
      </c>
      <c r="P6" s="57"/>
    </row>
    <row r="7" spans="1:16" s="44" customFormat="1" ht="15">
      <c r="A7" s="58"/>
      <c r="B7" s="58"/>
      <c r="C7" s="58"/>
      <c r="D7" s="58"/>
      <c r="E7" s="58"/>
      <c r="F7" s="59"/>
      <c r="G7" s="58"/>
      <c r="H7" s="419"/>
      <c r="I7" s="60"/>
      <c r="J7" s="60"/>
      <c r="K7" s="61"/>
      <c r="L7" s="61"/>
      <c r="M7" s="62"/>
      <c r="N7" s="63"/>
      <c r="O7" s="63"/>
      <c r="P7" s="63"/>
    </row>
    <row r="8" spans="1:16" s="44" customFormat="1" ht="13.5" thickBot="1">
      <c r="A8" s="64"/>
      <c r="B8" s="65"/>
      <c r="C8" s="65"/>
      <c r="D8" s="65"/>
      <c r="E8" s="65"/>
      <c r="F8" s="66"/>
      <c r="G8" s="66"/>
      <c r="H8" s="404"/>
      <c r="I8" s="67"/>
      <c r="J8" s="67"/>
      <c r="K8" s="65"/>
      <c r="L8" s="65"/>
      <c r="M8" s="65"/>
      <c r="N8" s="65"/>
      <c r="O8" s="65"/>
      <c r="P8" s="65"/>
    </row>
    <row r="9" spans="1:16" ht="15.75" thickBot="1">
      <c r="A9" s="49" t="s">
        <v>16</v>
      </c>
      <c r="B9" s="50"/>
      <c r="C9" s="50"/>
      <c r="D9" s="50"/>
      <c r="E9" s="50"/>
      <c r="F9" s="68" t="s">
        <v>100</v>
      </c>
      <c r="G9" s="50"/>
      <c r="H9" s="420"/>
      <c r="I9" s="69"/>
      <c r="J9" s="69"/>
      <c r="K9" s="70"/>
      <c r="L9" s="56"/>
      <c r="M9" s="56"/>
      <c r="N9" s="56"/>
      <c r="O9" s="56"/>
      <c r="P9" s="57"/>
    </row>
    <row r="10" spans="1:16" ht="315">
      <c r="A10" s="71">
        <v>2.1</v>
      </c>
      <c r="B10" s="71" t="s">
        <v>101</v>
      </c>
      <c r="C10" s="71" t="s">
        <v>102</v>
      </c>
      <c r="D10" s="71" t="s">
        <v>103</v>
      </c>
      <c r="E10" s="71" t="s">
        <v>104</v>
      </c>
      <c r="F10" s="72" t="s">
        <v>206</v>
      </c>
      <c r="G10" s="73" t="s">
        <v>105</v>
      </c>
      <c r="H10" s="73">
        <v>61.999999999999993</v>
      </c>
      <c r="I10" s="31">
        <f>7*3.6</f>
        <v>25.2</v>
      </c>
      <c r="J10" s="31">
        <f>SUM(H10:I10)</f>
        <v>87.199999999999989</v>
      </c>
      <c r="K10" s="74"/>
      <c r="L10" s="75"/>
      <c r="M10" s="75"/>
      <c r="N10" s="75">
        <v>4519</v>
      </c>
      <c r="O10" s="75">
        <f>SUM(J10*N10)</f>
        <v>394056.79999999993</v>
      </c>
      <c r="P10" s="75"/>
    </row>
    <row r="11" spans="1:16" ht="15">
      <c r="A11" s="76"/>
      <c r="B11" s="76"/>
      <c r="C11" s="76"/>
      <c r="D11" s="76"/>
      <c r="E11" s="76"/>
      <c r="F11" s="76"/>
      <c r="G11" s="76"/>
      <c r="H11" s="82"/>
      <c r="I11" s="77"/>
      <c r="J11" s="77"/>
      <c r="K11" s="78"/>
      <c r="L11" s="79"/>
      <c r="M11" s="79"/>
      <c r="N11" s="79"/>
      <c r="O11" s="79"/>
      <c r="P11" s="79"/>
    </row>
    <row r="12" spans="1:16" ht="315">
      <c r="A12" s="80">
        <v>2.2000000000000002</v>
      </c>
      <c r="B12" s="80" t="s">
        <v>101</v>
      </c>
      <c r="C12" s="80" t="s">
        <v>102</v>
      </c>
      <c r="D12" s="80" t="s">
        <v>103</v>
      </c>
      <c r="E12" s="80" t="s">
        <v>106</v>
      </c>
      <c r="F12" s="81" t="s">
        <v>207</v>
      </c>
      <c r="G12" s="82" t="s">
        <v>105</v>
      </c>
      <c r="H12" s="82">
        <v>36.119999999999997</v>
      </c>
      <c r="I12" s="77">
        <v>5</v>
      </c>
      <c r="J12" s="31">
        <f>SUM(H12:I12)</f>
        <v>41.12</v>
      </c>
      <c r="K12" s="78"/>
      <c r="L12" s="79"/>
      <c r="M12" s="79"/>
      <c r="N12" s="75">
        <v>2622</v>
      </c>
      <c r="O12" s="75">
        <f>SUM(J12*N12)</f>
        <v>107816.64</v>
      </c>
      <c r="P12" s="79"/>
    </row>
    <row r="13" spans="1:16" ht="15">
      <c r="A13" s="76"/>
      <c r="B13" s="76"/>
      <c r="C13" s="76"/>
      <c r="D13" s="76"/>
      <c r="E13" s="76"/>
      <c r="F13" s="76"/>
      <c r="G13" s="76"/>
      <c r="H13" s="82"/>
      <c r="I13" s="77"/>
      <c r="J13" s="77"/>
      <c r="K13" s="78"/>
      <c r="L13" s="79"/>
      <c r="M13" s="79"/>
      <c r="N13" s="79"/>
      <c r="O13" s="79"/>
      <c r="P13" s="79"/>
    </row>
    <row r="14" spans="1:16" ht="375">
      <c r="A14" s="80">
        <v>2.2999999999999998</v>
      </c>
      <c r="B14" s="80" t="s">
        <v>107</v>
      </c>
      <c r="C14" s="80" t="s">
        <v>102</v>
      </c>
      <c r="D14" s="80" t="s">
        <v>108</v>
      </c>
      <c r="E14" s="80" t="s">
        <v>109</v>
      </c>
      <c r="F14" s="81" t="s">
        <v>110</v>
      </c>
      <c r="G14" s="82" t="s">
        <v>105</v>
      </c>
      <c r="H14" s="82">
        <v>180.78999999999996</v>
      </c>
      <c r="I14" s="77">
        <f>60</f>
        <v>60</v>
      </c>
      <c r="J14" s="31">
        <f>SUM(H14:I14)</f>
        <v>240.78999999999996</v>
      </c>
      <c r="K14" s="78"/>
      <c r="L14" s="79"/>
      <c r="M14" s="79"/>
      <c r="N14" s="75">
        <v>1200</v>
      </c>
      <c r="O14" s="75">
        <f>SUM(J14*N14)</f>
        <v>288947.99999999994</v>
      </c>
      <c r="P14" s="79"/>
    </row>
    <row r="15" spans="1:16" ht="15">
      <c r="A15" s="76"/>
      <c r="B15" s="76"/>
      <c r="C15" s="76"/>
      <c r="D15" s="76"/>
      <c r="E15" s="76"/>
      <c r="F15" s="76"/>
      <c r="G15" s="76"/>
      <c r="H15" s="82"/>
      <c r="I15" s="77"/>
      <c r="J15" s="77"/>
      <c r="K15" s="78"/>
      <c r="L15" s="79"/>
      <c r="M15" s="79"/>
      <c r="N15" s="79"/>
      <c r="O15" s="79"/>
      <c r="P15" s="79"/>
    </row>
    <row r="16" spans="1:16" ht="375">
      <c r="A16" s="80">
        <v>2.4</v>
      </c>
      <c r="B16" s="80" t="s">
        <v>107</v>
      </c>
      <c r="C16" s="80" t="s">
        <v>102</v>
      </c>
      <c r="D16" s="80" t="s">
        <v>111</v>
      </c>
      <c r="E16" s="80" t="s">
        <v>112</v>
      </c>
      <c r="F16" s="81" t="s">
        <v>110</v>
      </c>
      <c r="G16" s="82" t="s">
        <v>105</v>
      </c>
      <c r="H16" s="82">
        <v>408.29999999999995</v>
      </c>
      <c r="I16" s="77">
        <f>10*3.6</f>
        <v>36</v>
      </c>
      <c r="J16" s="31">
        <f>SUM(H16:I16)</f>
        <v>444.29999999999995</v>
      </c>
      <c r="K16" s="78"/>
      <c r="L16" s="79"/>
      <c r="M16" s="79"/>
      <c r="N16" s="75">
        <v>1165</v>
      </c>
      <c r="O16" s="75">
        <f>SUM(J16*N16)</f>
        <v>517609.49999999994</v>
      </c>
      <c r="P16" s="79"/>
    </row>
    <row r="17" spans="1:16" ht="15">
      <c r="A17" s="80"/>
      <c r="B17" s="80"/>
      <c r="C17" s="80"/>
      <c r="D17" s="80"/>
      <c r="E17" s="80"/>
      <c r="F17" s="81"/>
      <c r="G17" s="82"/>
      <c r="H17" s="82"/>
      <c r="I17" s="77"/>
      <c r="J17" s="77"/>
      <c r="K17" s="78"/>
      <c r="L17" s="79"/>
      <c r="M17" s="79"/>
      <c r="N17" s="79"/>
      <c r="O17" s="79"/>
      <c r="P17" s="79"/>
    </row>
    <row r="18" spans="1:16" ht="165">
      <c r="A18" s="80">
        <v>2.5</v>
      </c>
      <c r="B18" s="80" t="s">
        <v>113</v>
      </c>
      <c r="C18" s="80" t="s">
        <v>102</v>
      </c>
      <c r="D18" s="80" t="s">
        <v>114</v>
      </c>
      <c r="E18" s="80" t="s">
        <v>115</v>
      </c>
      <c r="F18" s="81" t="s">
        <v>116</v>
      </c>
      <c r="G18" s="82" t="s">
        <v>105</v>
      </c>
      <c r="H18" s="82">
        <f>70+21+20</f>
        <v>111</v>
      </c>
      <c r="I18" s="77">
        <f>20</f>
        <v>20</v>
      </c>
      <c r="J18" s="31">
        <f>SUM(H18:I18)</f>
        <v>131</v>
      </c>
      <c r="K18" s="78"/>
      <c r="L18" s="83">
        <f>SUM(H18*K18)</f>
        <v>0</v>
      </c>
      <c r="M18" s="79"/>
      <c r="N18" s="75">
        <v>1914</v>
      </c>
      <c r="O18" s="75">
        <f>SUM(J18*N18)</f>
        <v>250734</v>
      </c>
      <c r="P18" s="79"/>
    </row>
    <row r="19" spans="1:16" ht="15">
      <c r="A19" s="84"/>
      <c r="B19" s="84"/>
      <c r="C19" s="84"/>
      <c r="D19" s="84"/>
      <c r="E19" s="84"/>
      <c r="F19" s="85"/>
      <c r="G19" s="86"/>
      <c r="H19" s="86"/>
      <c r="I19" s="87"/>
      <c r="J19" s="87"/>
      <c r="K19" s="88"/>
      <c r="L19" s="89"/>
      <c r="M19" s="89"/>
      <c r="N19" s="89"/>
      <c r="O19" s="89"/>
      <c r="P19" s="89"/>
    </row>
    <row r="20" spans="1:16" ht="13.5" thickBot="1">
      <c r="A20" s="90"/>
      <c r="B20" s="91"/>
      <c r="C20" s="91"/>
      <c r="D20" s="91"/>
      <c r="E20" s="91"/>
      <c r="F20" s="47"/>
      <c r="G20" s="47"/>
      <c r="H20" s="406"/>
      <c r="I20" s="92"/>
      <c r="J20" s="92"/>
      <c r="K20" s="93"/>
      <c r="L20" s="93"/>
      <c r="M20" s="93"/>
      <c r="N20" s="93"/>
      <c r="O20" s="93"/>
      <c r="P20" s="93"/>
    </row>
    <row r="21" spans="1:16" ht="13.5" thickBot="1">
      <c r="A21" s="39" t="s">
        <v>17</v>
      </c>
      <c r="B21" s="95"/>
      <c r="C21" s="95"/>
      <c r="D21" s="95"/>
      <c r="E21" s="95"/>
      <c r="F21" s="96" t="s">
        <v>24</v>
      </c>
      <c r="G21" s="95"/>
      <c r="H21" s="413"/>
      <c r="I21" s="97"/>
      <c r="J21" s="97"/>
      <c r="K21" s="98"/>
      <c r="L21" s="98"/>
      <c r="M21" s="98"/>
      <c r="N21" s="98"/>
      <c r="O21" s="98"/>
      <c r="P21" s="99"/>
    </row>
    <row r="22" spans="1:16">
      <c r="A22" s="100"/>
      <c r="B22" s="101"/>
      <c r="C22" s="101"/>
      <c r="D22" s="101"/>
      <c r="E22" s="101"/>
      <c r="F22" s="102"/>
      <c r="G22" s="101"/>
      <c r="H22" s="408"/>
      <c r="I22" s="103"/>
      <c r="J22" s="103"/>
      <c r="K22" s="104"/>
      <c r="L22" s="104"/>
      <c r="M22" s="104"/>
      <c r="N22" s="104"/>
      <c r="O22" s="104"/>
      <c r="P22" s="104"/>
    </row>
    <row r="23" spans="1:16" ht="25.5">
      <c r="A23" s="4">
        <v>3.1</v>
      </c>
      <c r="B23" s="19"/>
      <c r="C23" s="19"/>
      <c r="D23" s="12" t="s">
        <v>6</v>
      </c>
      <c r="E23" s="19" t="s">
        <v>26</v>
      </c>
      <c r="F23" s="29" t="s">
        <v>117</v>
      </c>
      <c r="G23" s="19" t="s">
        <v>25</v>
      </c>
      <c r="H23" s="409">
        <v>80</v>
      </c>
      <c r="I23" s="30">
        <f>20</f>
        <v>20</v>
      </c>
      <c r="J23" s="31">
        <f>SUM(H23:I23)</f>
        <v>100</v>
      </c>
      <c r="K23" s="32"/>
      <c r="L23" s="33"/>
      <c r="M23" s="33"/>
      <c r="N23" s="75">
        <v>12006</v>
      </c>
      <c r="O23" s="75">
        <f>SUM(J23*N23)</f>
        <v>1200600</v>
      </c>
      <c r="P23" s="33"/>
    </row>
    <row r="24" spans="1:16" ht="151.5" customHeight="1">
      <c r="A24" s="4"/>
      <c r="B24" s="19"/>
      <c r="C24" s="19"/>
      <c r="D24" s="19"/>
      <c r="E24" s="19"/>
      <c r="F24" s="561" t="s">
        <v>208</v>
      </c>
      <c r="G24" s="19"/>
      <c r="H24" s="409"/>
      <c r="I24" s="30"/>
      <c r="J24" s="30"/>
      <c r="K24" s="32"/>
      <c r="L24" s="33"/>
      <c r="M24" s="33"/>
      <c r="N24" s="33"/>
      <c r="O24" s="33"/>
      <c r="P24" s="33" t="s">
        <v>710</v>
      </c>
    </row>
    <row r="25" spans="1:16">
      <c r="A25" s="4"/>
      <c r="B25" s="19"/>
      <c r="C25" s="19"/>
      <c r="D25" s="19"/>
      <c r="E25" s="19"/>
      <c r="F25" s="13"/>
      <c r="G25" s="19"/>
      <c r="H25" s="409"/>
      <c r="I25" s="30"/>
      <c r="J25" s="30"/>
      <c r="K25" s="32"/>
      <c r="L25" s="33"/>
      <c r="M25" s="33"/>
      <c r="N25" s="33"/>
      <c r="O25" s="33"/>
      <c r="P25" s="33"/>
    </row>
    <row r="26" spans="1:16">
      <c r="A26" s="4"/>
      <c r="B26" s="19"/>
      <c r="C26" s="19"/>
      <c r="D26" s="19"/>
      <c r="E26" s="19"/>
      <c r="F26" s="13"/>
      <c r="G26" s="19"/>
      <c r="H26" s="409"/>
      <c r="I26" s="30"/>
      <c r="J26" s="30"/>
      <c r="K26" s="32"/>
      <c r="L26" s="33"/>
      <c r="M26" s="33"/>
      <c r="N26" s="33"/>
      <c r="O26" s="33"/>
      <c r="P26" s="33"/>
    </row>
    <row r="27" spans="1:16" ht="15">
      <c r="A27" s="105">
        <v>3.2</v>
      </c>
      <c r="B27" s="106" t="s">
        <v>118</v>
      </c>
      <c r="C27" s="107" t="s">
        <v>102</v>
      </c>
      <c r="D27" s="107" t="s">
        <v>119</v>
      </c>
      <c r="E27" s="106" t="s">
        <v>120</v>
      </c>
      <c r="F27" s="108" t="s">
        <v>121</v>
      </c>
      <c r="G27" s="19" t="s">
        <v>25</v>
      </c>
      <c r="H27" s="409">
        <v>25</v>
      </c>
      <c r="I27" s="30">
        <v>0</v>
      </c>
      <c r="J27" s="31">
        <f>SUM(H27:I27)</f>
        <v>25</v>
      </c>
      <c r="K27" s="32"/>
      <c r="L27" s="33"/>
      <c r="M27" s="33"/>
      <c r="N27" s="75">
        <v>3066</v>
      </c>
      <c r="O27" s="75">
        <f>SUM(J27*N27)</f>
        <v>76650</v>
      </c>
      <c r="P27" s="33"/>
    </row>
    <row r="28" spans="1:16" ht="182.25" customHeight="1">
      <c r="A28" s="4"/>
      <c r="B28" s="19"/>
      <c r="C28" s="19"/>
      <c r="D28" s="19"/>
      <c r="E28" s="19"/>
      <c r="F28" s="109" t="s">
        <v>122</v>
      </c>
      <c r="G28" s="19"/>
      <c r="H28" s="409"/>
      <c r="I28" s="30"/>
      <c r="J28" s="30"/>
      <c r="K28" s="32"/>
      <c r="L28" s="33"/>
      <c r="M28" s="33"/>
      <c r="N28" s="33"/>
      <c r="O28" s="33"/>
      <c r="P28" s="33"/>
    </row>
    <row r="29" spans="1:16">
      <c r="A29" s="4"/>
      <c r="B29" s="19"/>
      <c r="C29" s="19"/>
      <c r="D29" s="19"/>
      <c r="E29" s="19"/>
      <c r="F29" s="13"/>
      <c r="G29" s="19"/>
      <c r="H29" s="409"/>
      <c r="I29" s="30"/>
      <c r="J29" s="30"/>
      <c r="K29" s="32"/>
      <c r="L29" s="33"/>
      <c r="M29" s="33"/>
      <c r="N29" s="33"/>
      <c r="O29" s="33"/>
      <c r="P29" s="33"/>
    </row>
    <row r="30" spans="1:16" ht="25.5">
      <c r="A30" s="4">
        <v>3.3</v>
      </c>
      <c r="B30" s="19"/>
      <c r="C30" s="19"/>
      <c r="D30" s="12" t="s">
        <v>27</v>
      </c>
      <c r="E30" s="19" t="s">
        <v>86</v>
      </c>
      <c r="F30" s="29" t="s">
        <v>87</v>
      </c>
      <c r="G30" s="19" t="s">
        <v>25</v>
      </c>
      <c r="H30" s="409">
        <v>40</v>
      </c>
      <c r="I30" s="30">
        <f>(4+2)*3.6</f>
        <v>21.6</v>
      </c>
      <c r="J30" s="31">
        <f>SUM(H30:I30)</f>
        <v>61.6</v>
      </c>
      <c r="K30" s="32"/>
      <c r="L30" s="33"/>
      <c r="M30" s="33"/>
      <c r="N30" s="75">
        <v>8658</v>
      </c>
      <c r="O30" s="75">
        <f>SUM(J30*N30)</f>
        <v>533332.80000000005</v>
      </c>
      <c r="P30" s="33"/>
    </row>
    <row r="31" spans="1:16" ht="102">
      <c r="A31" s="4"/>
      <c r="B31" s="19"/>
      <c r="C31" s="19"/>
      <c r="D31" s="19"/>
      <c r="E31" s="19"/>
      <c r="F31" s="561" t="s">
        <v>209</v>
      </c>
      <c r="G31" s="19"/>
      <c r="H31" s="409"/>
      <c r="I31" s="30"/>
      <c r="J31" s="30"/>
      <c r="K31" s="32"/>
      <c r="L31" s="33"/>
      <c r="M31" s="33"/>
      <c r="N31" s="33"/>
      <c r="O31" s="33"/>
      <c r="P31" s="33" t="s">
        <v>710</v>
      </c>
    </row>
    <row r="32" spans="1:16">
      <c r="A32" s="4"/>
      <c r="B32" s="19"/>
      <c r="C32" s="19"/>
      <c r="D32" s="19"/>
      <c r="E32" s="19"/>
      <c r="F32" s="13"/>
      <c r="G32" s="19"/>
      <c r="H32" s="409"/>
      <c r="I32" s="30"/>
      <c r="J32" s="30"/>
      <c r="K32" s="32"/>
      <c r="L32" s="33"/>
      <c r="M32" s="33"/>
      <c r="N32" s="33"/>
      <c r="O32" s="33"/>
      <c r="P32" s="33"/>
    </row>
    <row r="33" spans="1:16">
      <c r="A33" s="4"/>
      <c r="B33" s="19"/>
      <c r="C33" s="19"/>
      <c r="D33" s="19"/>
      <c r="E33" s="19"/>
      <c r="F33" s="13"/>
      <c r="G33" s="19"/>
      <c r="H33" s="409"/>
      <c r="I33" s="30"/>
      <c r="J33" s="30"/>
      <c r="K33" s="32"/>
      <c r="L33" s="33"/>
      <c r="M33" s="33"/>
      <c r="N33" s="33"/>
      <c r="O33" s="33"/>
      <c r="P33" s="33"/>
    </row>
    <row r="34" spans="1:16" ht="25.5">
      <c r="A34" s="4">
        <v>3.4</v>
      </c>
      <c r="B34" s="19"/>
      <c r="C34" s="19"/>
      <c r="D34" s="12" t="s">
        <v>27</v>
      </c>
      <c r="E34" s="19" t="s">
        <v>86</v>
      </c>
      <c r="F34" s="29" t="s">
        <v>123</v>
      </c>
      <c r="G34" s="19" t="s">
        <v>25</v>
      </c>
      <c r="H34" s="409">
        <v>10</v>
      </c>
      <c r="I34" s="30">
        <f>4.5*3.6</f>
        <v>16.2</v>
      </c>
      <c r="J34" s="31">
        <f>SUM(H34:I34)</f>
        <v>26.2</v>
      </c>
      <c r="K34" s="32"/>
      <c r="L34" s="33"/>
      <c r="M34" s="33"/>
      <c r="N34" s="75">
        <v>50574</v>
      </c>
      <c r="O34" s="75">
        <f>SUM(J34*N34)</f>
        <v>1325038.8</v>
      </c>
      <c r="P34" s="33"/>
    </row>
    <row r="35" spans="1:16" ht="140.25">
      <c r="A35" s="4"/>
      <c r="B35" s="19"/>
      <c r="C35" s="19"/>
      <c r="D35" s="19"/>
      <c r="E35" s="19"/>
      <c r="F35" s="561" t="s">
        <v>210</v>
      </c>
      <c r="G35" s="19"/>
      <c r="H35" s="409"/>
      <c r="I35" s="30"/>
      <c r="J35" s="30"/>
      <c r="K35" s="32"/>
      <c r="L35" s="33"/>
      <c r="M35" s="33"/>
      <c r="N35" s="33"/>
      <c r="O35" s="33"/>
      <c r="P35" s="33" t="s">
        <v>721</v>
      </c>
    </row>
    <row r="36" spans="1:16">
      <c r="A36" s="4"/>
      <c r="B36" s="19"/>
      <c r="C36" s="19"/>
      <c r="D36" s="19"/>
      <c r="E36" s="19"/>
      <c r="F36" s="13"/>
      <c r="G36" s="19"/>
      <c r="H36" s="409"/>
      <c r="I36" s="30"/>
      <c r="J36" s="30"/>
      <c r="K36" s="32"/>
      <c r="L36" s="33"/>
      <c r="M36" s="33"/>
      <c r="N36" s="33"/>
      <c r="O36" s="33"/>
      <c r="P36" s="33"/>
    </row>
    <row r="37" spans="1:16" ht="15">
      <c r="A37" s="4">
        <v>3.5</v>
      </c>
      <c r="B37" s="19"/>
      <c r="C37" s="19"/>
      <c r="D37" s="12" t="s">
        <v>27</v>
      </c>
      <c r="E37" s="19" t="s">
        <v>124</v>
      </c>
      <c r="F37" s="29" t="s">
        <v>125</v>
      </c>
      <c r="G37" s="19" t="s">
        <v>126</v>
      </c>
      <c r="H37" s="409">
        <v>1</v>
      </c>
      <c r="I37" s="30">
        <v>1</v>
      </c>
      <c r="J37" s="31">
        <f>SUM(H37:I37)</f>
        <v>2</v>
      </c>
      <c r="K37" s="32"/>
      <c r="L37" s="33"/>
      <c r="M37" s="33"/>
      <c r="N37" s="75">
        <v>159945</v>
      </c>
      <c r="O37" s="75">
        <f>SUM(J37*N37)</f>
        <v>319890</v>
      </c>
      <c r="P37" s="33"/>
    </row>
    <row r="38" spans="1:16" ht="191.25">
      <c r="A38" s="4"/>
      <c r="B38" s="19"/>
      <c r="C38" s="19"/>
      <c r="D38" s="19"/>
      <c r="E38" s="19"/>
      <c r="F38" s="561" t="s">
        <v>580</v>
      </c>
      <c r="G38" s="19"/>
      <c r="H38" s="409"/>
      <c r="I38" s="30"/>
      <c r="J38" s="30"/>
      <c r="K38" s="32"/>
      <c r="L38" s="33"/>
      <c r="M38" s="33"/>
      <c r="N38" s="33"/>
      <c r="O38" s="33"/>
      <c r="P38" s="33" t="s">
        <v>722</v>
      </c>
    </row>
    <row r="39" spans="1:16">
      <c r="A39" s="4"/>
      <c r="B39" s="19"/>
      <c r="C39" s="19"/>
      <c r="D39" s="19"/>
      <c r="E39" s="19"/>
      <c r="F39" s="561"/>
      <c r="G39" s="19"/>
      <c r="H39" s="409"/>
      <c r="I39" s="30"/>
      <c r="J39" s="30"/>
      <c r="K39" s="32"/>
      <c r="L39" s="33"/>
      <c r="M39" s="33"/>
      <c r="N39" s="33"/>
      <c r="O39" s="33"/>
      <c r="P39" s="33"/>
    </row>
    <row r="40" spans="1:16" ht="15">
      <c r="A40" s="105">
        <v>3.6</v>
      </c>
      <c r="B40" s="106" t="s">
        <v>118</v>
      </c>
      <c r="C40" s="107" t="s">
        <v>102</v>
      </c>
      <c r="D40" s="107" t="s">
        <v>127</v>
      </c>
      <c r="E40" s="106" t="s">
        <v>128</v>
      </c>
      <c r="F40" s="108" t="s">
        <v>129</v>
      </c>
      <c r="G40" s="19" t="s">
        <v>28</v>
      </c>
      <c r="H40" s="409">
        <v>40</v>
      </c>
      <c r="I40" s="30">
        <v>0</v>
      </c>
      <c r="J40" s="31">
        <f>SUM(H40:I40)</f>
        <v>40</v>
      </c>
      <c r="K40" s="32"/>
      <c r="L40" s="33"/>
      <c r="M40" s="33"/>
      <c r="N40" s="75">
        <v>828</v>
      </c>
      <c r="O40" s="75">
        <f>SUM(J40*N40)</f>
        <v>33120</v>
      </c>
      <c r="P40" s="33"/>
    </row>
    <row r="41" spans="1:16" ht="126.75" customHeight="1">
      <c r="A41" s="4"/>
      <c r="B41" s="19"/>
      <c r="C41" s="19"/>
      <c r="D41" s="19"/>
      <c r="E41" s="19"/>
      <c r="F41" s="109" t="s">
        <v>130</v>
      </c>
      <c r="G41" s="19"/>
      <c r="H41" s="409"/>
      <c r="I41" s="30"/>
      <c r="J41" s="30"/>
      <c r="K41" s="32"/>
      <c r="L41" s="33"/>
      <c r="M41" s="33"/>
      <c r="N41" s="33"/>
      <c r="O41" s="33"/>
      <c r="P41" s="33"/>
    </row>
    <row r="42" spans="1:16" ht="13.5" thickBot="1">
      <c r="A42" s="110"/>
      <c r="B42" s="111"/>
      <c r="C42" s="111"/>
      <c r="D42" s="111"/>
      <c r="E42" s="111"/>
      <c r="F42" s="112"/>
      <c r="G42" s="111"/>
      <c r="H42" s="410"/>
      <c r="I42" s="113"/>
      <c r="J42" s="113"/>
      <c r="K42" s="114"/>
      <c r="L42" s="115"/>
      <c r="M42" s="115"/>
      <c r="N42" s="115"/>
      <c r="O42" s="115"/>
      <c r="P42" s="115"/>
    </row>
    <row r="43" spans="1:16" ht="13.5" thickBot="1">
      <c r="A43" s="39" t="s">
        <v>11</v>
      </c>
      <c r="B43" s="117"/>
      <c r="C43" s="117"/>
      <c r="D43" s="117"/>
      <c r="E43" s="117"/>
      <c r="F43" s="96" t="s">
        <v>18</v>
      </c>
      <c r="G43" s="41"/>
      <c r="H43" s="407"/>
      <c r="I43" s="116"/>
      <c r="J43" s="116"/>
      <c r="K43" s="56"/>
      <c r="L43" s="117"/>
      <c r="M43" s="117"/>
      <c r="N43" s="120"/>
      <c r="O43" s="120"/>
      <c r="P43" s="121"/>
    </row>
    <row r="44" spans="1:16">
      <c r="A44" s="100"/>
      <c r="B44" s="122"/>
      <c r="C44" s="122"/>
      <c r="D44" s="122"/>
      <c r="E44" s="122"/>
      <c r="F44" s="102"/>
      <c r="G44" s="101"/>
      <c r="H44" s="408"/>
      <c r="I44" s="103"/>
      <c r="J44" s="103"/>
      <c r="K44" s="104"/>
      <c r="L44" s="122"/>
      <c r="M44" s="122"/>
      <c r="N44" s="122"/>
      <c r="O44" s="122"/>
      <c r="P44" s="122"/>
    </row>
    <row r="45" spans="1:16" ht="15">
      <c r="A45" s="4">
        <v>4.0999999999999996</v>
      </c>
      <c r="B45" s="33"/>
      <c r="C45" s="33"/>
      <c r="D45" s="21" t="s">
        <v>10</v>
      </c>
      <c r="E45" s="34" t="s">
        <v>54</v>
      </c>
      <c r="F45" s="35" t="s">
        <v>88</v>
      </c>
      <c r="G45" s="19" t="s">
        <v>25</v>
      </c>
      <c r="H45" s="409">
        <v>108</v>
      </c>
      <c r="I45" s="30">
        <f>20</f>
        <v>20</v>
      </c>
      <c r="J45" s="31">
        <f>SUM(H45:I45)</f>
        <v>128</v>
      </c>
      <c r="K45" s="32"/>
      <c r="L45" s="33"/>
      <c r="M45" s="33"/>
      <c r="N45" s="75">
        <v>12552</v>
      </c>
      <c r="O45" s="75">
        <f>SUM(J45*N45)</f>
        <v>1606656</v>
      </c>
      <c r="P45" s="33"/>
    </row>
    <row r="46" spans="1:16" ht="180">
      <c r="A46" s="4"/>
      <c r="B46" s="33"/>
      <c r="C46" s="33"/>
      <c r="D46" s="33"/>
      <c r="E46" s="19"/>
      <c r="F46" s="36" t="s">
        <v>89</v>
      </c>
      <c r="G46" s="19"/>
      <c r="H46" s="409"/>
      <c r="I46" s="30"/>
      <c r="J46" s="30"/>
      <c r="K46" s="32"/>
      <c r="L46" s="33"/>
      <c r="M46" s="33"/>
      <c r="N46" s="33"/>
      <c r="O46" s="33"/>
      <c r="P46" s="33"/>
    </row>
    <row r="47" spans="1:16">
      <c r="A47" s="4"/>
      <c r="B47" s="33"/>
      <c r="C47" s="33"/>
      <c r="D47" s="33"/>
      <c r="E47" s="33"/>
      <c r="F47" s="13"/>
      <c r="G47" s="19"/>
      <c r="H47" s="409"/>
      <c r="I47" s="30"/>
      <c r="J47" s="30"/>
      <c r="K47" s="32"/>
      <c r="L47" s="33"/>
      <c r="M47" s="33"/>
      <c r="N47" s="33"/>
      <c r="O47" s="33"/>
      <c r="P47" s="33"/>
    </row>
    <row r="48" spans="1:16">
      <c r="A48" s="4"/>
      <c r="B48" s="33"/>
      <c r="C48" s="33"/>
      <c r="D48" s="33"/>
      <c r="E48" s="33"/>
      <c r="F48" s="13"/>
      <c r="G48" s="19"/>
      <c r="H48" s="409"/>
      <c r="I48" s="30"/>
      <c r="J48" s="30"/>
      <c r="K48" s="32"/>
      <c r="L48" s="33"/>
      <c r="M48" s="33"/>
      <c r="N48" s="33"/>
      <c r="O48" s="33"/>
      <c r="P48" s="33"/>
    </row>
    <row r="49" spans="1:16" ht="25.5">
      <c r="A49" s="4">
        <v>4.2</v>
      </c>
      <c r="B49" s="33"/>
      <c r="C49" s="33"/>
      <c r="D49" s="21" t="s">
        <v>10</v>
      </c>
      <c r="E49" s="34" t="s">
        <v>131</v>
      </c>
      <c r="F49" s="35" t="s">
        <v>132</v>
      </c>
      <c r="G49" s="19" t="s">
        <v>25</v>
      </c>
      <c r="H49" s="409">
        <v>5</v>
      </c>
      <c r="I49" s="30"/>
      <c r="J49" s="31">
        <f>SUM(H49:I49)</f>
        <v>5</v>
      </c>
      <c r="K49" s="32"/>
      <c r="L49" s="33"/>
      <c r="M49" s="33"/>
      <c r="N49" s="75">
        <v>17364</v>
      </c>
      <c r="O49" s="75">
        <f>SUM(J49*N49)</f>
        <v>86820</v>
      </c>
      <c r="P49" s="33"/>
    </row>
    <row r="50" spans="1:16" ht="145.5" customHeight="1">
      <c r="A50" s="4"/>
      <c r="B50" s="33"/>
      <c r="C50" s="33"/>
      <c r="D50" s="33"/>
      <c r="E50" s="19"/>
      <c r="F50" s="561" t="s">
        <v>133</v>
      </c>
      <c r="G50" s="19"/>
      <c r="H50" s="409"/>
      <c r="I50" s="30"/>
      <c r="J50" s="30"/>
      <c r="K50" s="32"/>
      <c r="L50" s="33"/>
      <c r="M50" s="33"/>
      <c r="N50" s="33"/>
      <c r="O50" s="33"/>
      <c r="P50" s="33" t="s">
        <v>711</v>
      </c>
    </row>
    <row r="51" spans="1:16">
      <c r="A51" s="4"/>
      <c r="B51" s="33"/>
      <c r="C51" s="33"/>
      <c r="D51" s="33"/>
      <c r="E51" s="33"/>
      <c r="F51" s="13"/>
      <c r="G51" s="19"/>
      <c r="H51" s="409"/>
      <c r="I51" s="30"/>
      <c r="J51" s="30"/>
      <c r="K51" s="32"/>
      <c r="L51" s="33"/>
      <c r="M51" s="33"/>
      <c r="N51" s="33"/>
      <c r="O51" s="33"/>
      <c r="P51" s="33"/>
    </row>
    <row r="52" spans="1:16">
      <c r="A52" s="4"/>
      <c r="B52" s="33"/>
      <c r="C52" s="33"/>
      <c r="D52" s="33"/>
      <c r="E52" s="33"/>
      <c r="F52" s="13"/>
      <c r="G52" s="19"/>
      <c r="H52" s="409"/>
      <c r="I52" s="30"/>
      <c r="J52" s="30"/>
      <c r="K52" s="32"/>
      <c r="L52" s="33"/>
      <c r="M52" s="33"/>
      <c r="N52" s="33"/>
      <c r="O52" s="33"/>
      <c r="P52" s="33"/>
    </row>
    <row r="53" spans="1:16" ht="30">
      <c r="A53" s="4">
        <v>4.3</v>
      </c>
      <c r="B53" s="33"/>
      <c r="C53" s="33"/>
      <c r="D53" s="36" t="s">
        <v>10</v>
      </c>
      <c r="E53" s="36" t="s">
        <v>134</v>
      </c>
      <c r="F53" s="123" t="s">
        <v>135</v>
      </c>
      <c r="G53" s="124"/>
      <c r="H53" s="409"/>
      <c r="I53" s="30"/>
      <c r="J53" s="30"/>
      <c r="K53" s="32"/>
      <c r="L53" s="33"/>
      <c r="M53" s="33"/>
      <c r="N53" s="33"/>
      <c r="O53" s="33"/>
      <c r="P53" s="33"/>
    </row>
    <row r="54" spans="1:16" ht="156.75" customHeight="1">
      <c r="A54" s="4"/>
      <c r="B54" s="33"/>
      <c r="C54" s="33"/>
      <c r="D54" s="125"/>
      <c r="E54" s="124"/>
      <c r="F54" s="36" t="s">
        <v>136</v>
      </c>
      <c r="G54" s="124"/>
      <c r="H54" s="409"/>
      <c r="I54" s="30"/>
      <c r="J54" s="30"/>
      <c r="K54" s="32"/>
      <c r="L54" s="33"/>
      <c r="M54" s="33"/>
      <c r="N54" s="33"/>
      <c r="O54" s="33"/>
      <c r="P54" s="33"/>
    </row>
    <row r="55" spans="1:16" ht="15">
      <c r="A55" s="4"/>
      <c r="B55" s="33"/>
      <c r="C55" s="33"/>
      <c r="D55" s="125"/>
      <c r="E55" s="124"/>
      <c r="F55" s="36" t="s">
        <v>137</v>
      </c>
      <c r="G55" s="124" t="s">
        <v>28</v>
      </c>
      <c r="H55" s="409">
        <v>15</v>
      </c>
      <c r="I55" s="30">
        <f>17</f>
        <v>17</v>
      </c>
      <c r="J55" s="31">
        <f t="shared" ref="J55:J56" si="0">SUM(H55:I55)</f>
        <v>32</v>
      </c>
      <c r="K55" s="32"/>
      <c r="L55" s="33"/>
      <c r="M55" s="33"/>
      <c r="N55" s="75">
        <v>1224</v>
      </c>
      <c r="O55" s="75">
        <f t="shared" ref="O55:O56" si="1">SUM(J55*N55)</f>
        <v>39168</v>
      </c>
      <c r="P55" s="33"/>
    </row>
    <row r="56" spans="1:16" ht="15">
      <c r="A56" s="4"/>
      <c r="B56" s="33"/>
      <c r="C56" s="33"/>
      <c r="D56" s="125"/>
      <c r="E56" s="124"/>
      <c r="F56" s="36" t="s">
        <v>138</v>
      </c>
      <c r="G56" s="124" t="s">
        <v>28</v>
      </c>
      <c r="H56" s="409">
        <v>30</v>
      </c>
      <c r="I56" s="30">
        <v>0</v>
      </c>
      <c r="J56" s="31">
        <f t="shared" si="0"/>
        <v>30</v>
      </c>
      <c r="K56" s="32"/>
      <c r="L56" s="33"/>
      <c r="M56" s="33"/>
      <c r="N56" s="75">
        <v>1500</v>
      </c>
      <c r="O56" s="75">
        <f t="shared" si="1"/>
        <v>45000</v>
      </c>
      <c r="P56" s="33"/>
    </row>
    <row r="57" spans="1:16" ht="15">
      <c r="A57" s="4"/>
      <c r="B57" s="33"/>
      <c r="C57" s="33"/>
      <c r="D57" s="125"/>
      <c r="E57" s="124"/>
      <c r="F57" s="36"/>
      <c r="G57" s="124"/>
      <c r="H57" s="409"/>
      <c r="I57" s="30"/>
      <c r="J57" s="30"/>
      <c r="K57" s="32"/>
      <c r="L57" s="33"/>
      <c r="M57" s="33"/>
      <c r="N57" s="33"/>
      <c r="O57" s="33"/>
      <c r="P57" s="33"/>
    </row>
    <row r="58" spans="1:16" ht="24.75" customHeight="1">
      <c r="A58" s="4">
        <v>4.4000000000000004</v>
      </c>
      <c r="B58" s="33"/>
      <c r="C58" s="33"/>
      <c r="D58" s="21" t="s">
        <v>10</v>
      </c>
      <c r="E58" s="34" t="s">
        <v>139</v>
      </c>
      <c r="F58" s="16" t="s">
        <v>29</v>
      </c>
      <c r="G58" s="19" t="s">
        <v>25</v>
      </c>
      <c r="H58" s="409">
        <v>167.4</v>
      </c>
      <c r="I58" s="30">
        <f>5*3.7+6</f>
        <v>24.5</v>
      </c>
      <c r="J58" s="31">
        <f>SUM(H58:I58)</f>
        <v>191.9</v>
      </c>
      <c r="K58" s="32"/>
      <c r="L58" s="33"/>
      <c r="M58" s="33"/>
      <c r="N58" s="75">
        <v>774</v>
      </c>
      <c r="O58" s="75">
        <f>SUM(J58*N58)</f>
        <v>148530.6</v>
      </c>
      <c r="P58" s="33"/>
    </row>
    <row r="59" spans="1:16" ht="88.5" customHeight="1">
      <c r="A59" s="4"/>
      <c r="B59" s="33"/>
      <c r="C59" s="33"/>
      <c r="D59" s="33"/>
      <c r="E59" s="33"/>
      <c r="F59" s="561" t="s">
        <v>140</v>
      </c>
      <c r="G59" s="19"/>
      <c r="H59" s="409"/>
      <c r="I59" s="30"/>
      <c r="J59" s="30"/>
      <c r="K59" s="32"/>
      <c r="L59" s="33"/>
      <c r="M59" s="33"/>
      <c r="N59" s="33"/>
      <c r="O59" s="33"/>
      <c r="P59" s="33"/>
    </row>
    <row r="60" spans="1:16" ht="13.5" thickBot="1">
      <c r="A60" s="110"/>
      <c r="B60" s="115"/>
      <c r="C60" s="115"/>
      <c r="D60" s="115"/>
      <c r="E60" s="115"/>
      <c r="F60" s="562"/>
      <c r="G60" s="111"/>
      <c r="H60" s="410"/>
      <c r="I60" s="113"/>
      <c r="J60" s="113"/>
      <c r="K60" s="114"/>
      <c r="L60" s="115"/>
      <c r="M60" s="115"/>
      <c r="N60" s="115"/>
      <c r="O60" s="115"/>
      <c r="P60" s="115"/>
    </row>
    <row r="61" spans="1:16" ht="13.5" thickBot="1">
      <c r="A61" s="39" t="s">
        <v>12</v>
      </c>
      <c r="B61" s="117"/>
      <c r="C61" s="117"/>
      <c r="D61" s="117"/>
      <c r="E61" s="117"/>
      <c r="F61" s="126" t="s">
        <v>19</v>
      </c>
      <c r="G61" s="41"/>
      <c r="H61" s="407"/>
      <c r="I61" s="116"/>
      <c r="J61" s="116"/>
      <c r="K61" s="56"/>
      <c r="L61" s="117"/>
      <c r="M61" s="117"/>
      <c r="N61" s="120"/>
      <c r="O61" s="120"/>
      <c r="P61" s="121"/>
    </row>
    <row r="62" spans="1:16">
      <c r="A62" s="100"/>
      <c r="B62" s="122"/>
      <c r="C62" s="122"/>
      <c r="D62" s="122"/>
      <c r="E62" s="122"/>
      <c r="F62" s="127"/>
      <c r="G62" s="101"/>
      <c r="H62" s="408"/>
      <c r="I62" s="103"/>
      <c r="J62" s="103"/>
      <c r="K62" s="104"/>
      <c r="L62" s="122"/>
      <c r="M62" s="122"/>
      <c r="N62" s="122"/>
      <c r="O62" s="122"/>
      <c r="P62" s="122"/>
    </row>
    <row r="63" spans="1:16" ht="25.5">
      <c r="A63" s="4">
        <v>5.0999999999999996</v>
      </c>
      <c r="B63" s="33"/>
      <c r="C63" s="33"/>
      <c r="D63" s="21" t="s">
        <v>141</v>
      </c>
      <c r="E63" s="34" t="s">
        <v>142</v>
      </c>
      <c r="F63" s="35" t="s">
        <v>143</v>
      </c>
      <c r="G63" s="19" t="s">
        <v>25</v>
      </c>
      <c r="H63" s="409">
        <v>42</v>
      </c>
      <c r="I63" s="30">
        <f>2.1*3.6</f>
        <v>7.5600000000000005</v>
      </c>
      <c r="J63" s="31">
        <f>SUM(H63:I63)</f>
        <v>49.56</v>
      </c>
      <c r="K63" s="32"/>
      <c r="L63" s="33"/>
      <c r="M63" s="33"/>
      <c r="N63" s="75">
        <v>8196</v>
      </c>
      <c r="O63" s="75">
        <f>SUM(J63*N63)</f>
        <v>406193.76</v>
      </c>
      <c r="P63" s="33"/>
    </row>
    <row r="64" spans="1:16" ht="129" customHeight="1">
      <c r="A64" s="4"/>
      <c r="B64" s="33"/>
      <c r="C64" s="33"/>
      <c r="D64" s="33"/>
      <c r="E64" s="33"/>
      <c r="F64" s="561" t="s">
        <v>144</v>
      </c>
      <c r="G64" s="19"/>
      <c r="H64" s="409"/>
      <c r="I64" s="30"/>
      <c r="J64" s="30"/>
      <c r="K64" s="32"/>
      <c r="L64" s="33"/>
      <c r="M64" s="33"/>
      <c r="N64" s="33"/>
      <c r="O64" s="33"/>
      <c r="P64" s="33"/>
    </row>
    <row r="65" spans="1:16">
      <c r="A65" s="4"/>
      <c r="B65" s="33"/>
      <c r="C65" s="33"/>
      <c r="D65" s="33"/>
      <c r="E65" s="33"/>
      <c r="F65" s="13"/>
      <c r="G65" s="19"/>
      <c r="H65" s="409"/>
      <c r="I65" s="30"/>
      <c r="J65" s="30"/>
      <c r="K65" s="32"/>
      <c r="L65" s="33"/>
      <c r="M65" s="33"/>
      <c r="N65" s="33"/>
      <c r="O65" s="33"/>
      <c r="P65" s="33"/>
    </row>
    <row r="66" spans="1:16">
      <c r="A66" s="4"/>
      <c r="B66" s="33"/>
      <c r="C66" s="33"/>
      <c r="D66" s="33"/>
      <c r="E66" s="33"/>
      <c r="F66" s="13"/>
      <c r="G66" s="19"/>
      <c r="H66" s="409"/>
      <c r="I66" s="30"/>
      <c r="J66" s="30"/>
      <c r="K66" s="32"/>
      <c r="L66" s="33"/>
      <c r="M66" s="33"/>
      <c r="N66" s="33"/>
      <c r="O66" s="33"/>
      <c r="P66" s="33"/>
    </row>
    <row r="67" spans="1:16" ht="25.5">
      <c r="A67" s="4">
        <v>5.2</v>
      </c>
      <c r="B67" s="33"/>
      <c r="C67" s="33"/>
      <c r="D67" s="21" t="s">
        <v>141</v>
      </c>
      <c r="E67" s="34" t="s">
        <v>142</v>
      </c>
      <c r="F67" s="35" t="s">
        <v>145</v>
      </c>
      <c r="G67" s="19" t="s">
        <v>25</v>
      </c>
      <c r="H67" s="409">
        <v>30.45</v>
      </c>
      <c r="I67" s="30">
        <f>3*3.6</f>
        <v>10.8</v>
      </c>
      <c r="J67" s="31">
        <f>SUM(H67:I67)</f>
        <v>41.25</v>
      </c>
      <c r="K67" s="32"/>
      <c r="L67" s="33"/>
      <c r="M67" s="33"/>
      <c r="N67" s="75">
        <v>3330</v>
      </c>
      <c r="O67" s="75">
        <f>SUM(J67*N67)</f>
        <v>137362.5</v>
      </c>
      <c r="P67" s="33"/>
    </row>
    <row r="68" spans="1:16" ht="124.5" customHeight="1">
      <c r="A68" s="4"/>
      <c r="B68" s="33"/>
      <c r="C68" s="33"/>
      <c r="D68" s="33"/>
      <c r="E68" s="33"/>
      <c r="F68" s="561" t="s">
        <v>144</v>
      </c>
      <c r="G68" s="19"/>
      <c r="H68" s="409"/>
      <c r="I68" s="30"/>
      <c r="J68" s="30"/>
      <c r="K68" s="32"/>
      <c r="L68" s="33"/>
      <c r="M68" s="33"/>
      <c r="N68" s="33"/>
      <c r="O68" s="33"/>
      <c r="P68" s="33"/>
    </row>
    <row r="69" spans="1:16">
      <c r="A69" s="4"/>
      <c r="B69" s="33"/>
      <c r="C69" s="33"/>
      <c r="D69" s="33"/>
      <c r="E69" s="33"/>
      <c r="F69" s="13"/>
      <c r="G69" s="19"/>
      <c r="H69" s="409"/>
      <c r="I69" s="30"/>
      <c r="J69" s="30"/>
      <c r="K69" s="32"/>
      <c r="L69" s="33"/>
      <c r="M69" s="33"/>
      <c r="N69" s="33"/>
      <c r="O69" s="33"/>
      <c r="P69" s="33"/>
    </row>
    <row r="70" spans="1:16">
      <c r="A70" s="4"/>
      <c r="B70" s="33"/>
      <c r="C70" s="33"/>
      <c r="D70" s="33"/>
      <c r="E70" s="33"/>
      <c r="F70" s="561"/>
      <c r="G70" s="19"/>
      <c r="H70" s="409"/>
      <c r="I70" s="30"/>
      <c r="J70" s="30"/>
      <c r="K70" s="32"/>
      <c r="L70" s="33"/>
      <c r="M70" s="33"/>
      <c r="N70" s="33"/>
      <c r="O70" s="33"/>
      <c r="P70" s="33"/>
    </row>
    <row r="71" spans="1:16">
      <c r="A71" s="4">
        <v>5.3</v>
      </c>
      <c r="B71" s="33"/>
      <c r="C71" s="33"/>
      <c r="D71" s="33" t="s">
        <v>30</v>
      </c>
      <c r="E71" s="33" t="s">
        <v>31</v>
      </c>
      <c r="F71" s="35" t="s">
        <v>84</v>
      </c>
      <c r="G71" s="19"/>
      <c r="H71" s="409"/>
      <c r="I71" s="30"/>
      <c r="J71" s="30"/>
      <c r="K71" s="32"/>
      <c r="L71" s="33"/>
      <c r="M71" s="33"/>
      <c r="N71" s="33"/>
      <c r="O71" s="33"/>
      <c r="P71" s="33"/>
    </row>
    <row r="72" spans="1:16" ht="76.5">
      <c r="A72" s="4"/>
      <c r="B72" s="33"/>
      <c r="C72" s="33"/>
      <c r="D72" s="33"/>
      <c r="E72" s="33"/>
      <c r="F72" s="561" t="s">
        <v>556</v>
      </c>
      <c r="G72" s="19"/>
      <c r="H72" s="409"/>
      <c r="I72" s="30"/>
      <c r="J72" s="30"/>
      <c r="K72" s="32"/>
      <c r="L72" s="33"/>
      <c r="M72" s="33"/>
      <c r="N72" s="33"/>
      <c r="O72" s="33"/>
      <c r="P72" s="33"/>
    </row>
    <row r="73" spans="1:16" ht="15">
      <c r="A73" s="4" t="s">
        <v>147</v>
      </c>
      <c r="B73" s="33"/>
      <c r="C73" s="33"/>
      <c r="D73" s="33"/>
      <c r="E73" s="33"/>
      <c r="F73" s="14" t="s">
        <v>557</v>
      </c>
      <c r="G73" s="19" t="s">
        <v>25</v>
      </c>
      <c r="H73" s="409">
        <v>91</v>
      </c>
      <c r="I73" s="30">
        <f>20</f>
        <v>20</v>
      </c>
      <c r="J73" s="31">
        <f t="shared" ref="J73:J76" si="2">SUM(H73:I73)</f>
        <v>111</v>
      </c>
      <c r="K73" s="18"/>
      <c r="L73" s="33"/>
      <c r="M73" s="33"/>
      <c r="N73" s="75">
        <v>3018</v>
      </c>
      <c r="O73" s="75">
        <f t="shared" ref="O73:O76" si="3">SUM(J73*N73)</f>
        <v>334998</v>
      </c>
      <c r="P73" s="33"/>
    </row>
    <row r="74" spans="1:16" ht="15">
      <c r="A74" s="4" t="s">
        <v>148</v>
      </c>
      <c r="B74" s="33"/>
      <c r="C74" s="33"/>
      <c r="D74" s="33"/>
      <c r="E74" s="33"/>
      <c r="F74" s="14" t="s">
        <v>558</v>
      </c>
      <c r="G74" s="19" t="s">
        <v>25</v>
      </c>
      <c r="H74" s="409">
        <v>5</v>
      </c>
      <c r="I74" s="30">
        <v>5</v>
      </c>
      <c r="J74" s="31">
        <f t="shared" si="2"/>
        <v>10</v>
      </c>
      <c r="K74" s="18"/>
      <c r="L74" s="33"/>
      <c r="M74" s="33"/>
      <c r="N74" s="75">
        <v>3426</v>
      </c>
      <c r="O74" s="75">
        <f t="shared" si="3"/>
        <v>34260</v>
      </c>
      <c r="P74" s="33"/>
    </row>
    <row r="75" spans="1:16" ht="15">
      <c r="A75" s="4" t="s">
        <v>149</v>
      </c>
      <c r="B75" s="33"/>
      <c r="C75" s="33"/>
      <c r="D75" s="33"/>
      <c r="E75" s="33"/>
      <c r="F75" s="14" t="s">
        <v>559</v>
      </c>
      <c r="G75" s="19" t="s">
        <v>25</v>
      </c>
      <c r="H75" s="409">
        <v>5</v>
      </c>
      <c r="I75" s="30">
        <v>5</v>
      </c>
      <c r="J75" s="31">
        <f t="shared" si="2"/>
        <v>10</v>
      </c>
      <c r="K75" s="18"/>
      <c r="L75" s="33"/>
      <c r="M75" s="33"/>
      <c r="N75" s="75">
        <v>3990</v>
      </c>
      <c r="O75" s="75">
        <f t="shared" si="3"/>
        <v>39900</v>
      </c>
      <c r="P75" s="33"/>
    </row>
    <row r="76" spans="1:16" ht="15">
      <c r="A76" s="4" t="s">
        <v>150</v>
      </c>
      <c r="B76" s="33"/>
      <c r="C76" s="33"/>
      <c r="D76" s="33"/>
      <c r="E76" s="33"/>
      <c r="F76" s="14" t="s">
        <v>560</v>
      </c>
      <c r="G76" s="19" t="s">
        <v>25</v>
      </c>
      <c r="H76" s="409">
        <v>5</v>
      </c>
      <c r="I76" s="30">
        <v>5</v>
      </c>
      <c r="J76" s="31">
        <f t="shared" si="2"/>
        <v>10</v>
      </c>
      <c r="K76" s="18"/>
      <c r="L76" s="33"/>
      <c r="M76" s="33"/>
      <c r="N76" s="75">
        <v>2040</v>
      </c>
      <c r="O76" s="75">
        <f t="shared" si="3"/>
        <v>20400</v>
      </c>
      <c r="P76" s="33"/>
    </row>
    <row r="77" spans="1:16">
      <c r="A77" s="4"/>
      <c r="B77" s="33"/>
      <c r="C77" s="33"/>
      <c r="D77" s="33"/>
      <c r="E77" s="33"/>
      <c r="F77" s="13"/>
      <c r="G77" s="19"/>
      <c r="H77" s="409"/>
      <c r="I77" s="30"/>
      <c r="J77" s="30"/>
      <c r="K77" s="32"/>
      <c r="L77" s="33"/>
      <c r="M77" s="33"/>
      <c r="N77" s="33"/>
      <c r="O77" s="33"/>
      <c r="P77" s="33"/>
    </row>
    <row r="78" spans="1:16">
      <c r="A78" s="4"/>
      <c r="B78" s="33"/>
      <c r="C78" s="33"/>
      <c r="D78" s="33"/>
      <c r="E78" s="33"/>
      <c r="F78" s="14"/>
      <c r="G78" s="19"/>
      <c r="H78" s="409"/>
      <c r="I78" s="30"/>
      <c r="J78" s="30"/>
      <c r="K78" s="32"/>
      <c r="L78" s="33"/>
      <c r="M78" s="33"/>
      <c r="N78" s="33"/>
      <c r="O78" s="33"/>
      <c r="P78" s="33"/>
    </row>
    <row r="79" spans="1:16">
      <c r="A79" s="4">
        <v>5.4</v>
      </c>
      <c r="B79" s="33"/>
      <c r="C79" s="33"/>
      <c r="D79" s="33" t="s">
        <v>30</v>
      </c>
      <c r="E79" s="33" t="s">
        <v>31</v>
      </c>
      <c r="F79" s="35" t="s">
        <v>151</v>
      </c>
      <c r="G79" s="19"/>
      <c r="H79" s="409"/>
      <c r="I79" s="30"/>
      <c r="J79" s="30"/>
      <c r="K79" s="32"/>
      <c r="L79" s="33"/>
      <c r="M79" s="33"/>
      <c r="N79" s="33"/>
      <c r="O79" s="33"/>
      <c r="P79" s="33"/>
    </row>
    <row r="80" spans="1:16" ht="63.75">
      <c r="A80" s="4"/>
      <c r="B80" s="33"/>
      <c r="C80" s="33"/>
      <c r="D80" s="33"/>
      <c r="E80" s="33"/>
      <c r="F80" s="561" t="s">
        <v>152</v>
      </c>
      <c r="G80" s="19"/>
      <c r="H80" s="409"/>
      <c r="I80" s="30"/>
      <c r="J80" s="30"/>
      <c r="K80" s="32"/>
      <c r="L80" s="33"/>
      <c r="M80" s="33"/>
      <c r="N80" s="33"/>
      <c r="O80" s="33"/>
      <c r="P80" s="33" t="s">
        <v>712</v>
      </c>
    </row>
    <row r="81" spans="1:16" ht="15">
      <c r="A81" s="4"/>
      <c r="B81" s="33"/>
      <c r="C81" s="33"/>
      <c r="D81" s="33"/>
      <c r="E81" s="33"/>
      <c r="F81" s="14" t="s">
        <v>153</v>
      </c>
      <c r="G81" s="19" t="s">
        <v>25</v>
      </c>
      <c r="H81" s="409">
        <v>49.8</v>
      </c>
      <c r="I81" s="30">
        <f>20</f>
        <v>20</v>
      </c>
      <c r="J81" s="31">
        <f t="shared" ref="J81:J82" si="4">SUM(H81:I81)</f>
        <v>69.8</v>
      </c>
      <c r="K81" s="18"/>
      <c r="L81" s="33"/>
      <c r="M81" s="33"/>
      <c r="N81" s="75">
        <v>2544</v>
      </c>
      <c r="O81" s="75">
        <f t="shared" ref="O81:O82" si="5">SUM(J81*N81)</f>
        <v>177571.19999999998</v>
      </c>
      <c r="P81" s="33"/>
    </row>
    <row r="82" spans="1:16" ht="15">
      <c r="A82" s="4"/>
      <c r="B82" s="33"/>
      <c r="C82" s="33"/>
      <c r="D82" s="33"/>
      <c r="E82" s="33"/>
      <c r="F82" s="14" t="s">
        <v>154</v>
      </c>
      <c r="G82" s="19" t="s">
        <v>25</v>
      </c>
      <c r="H82" s="409">
        <v>5</v>
      </c>
      <c r="I82" s="30">
        <v>5</v>
      </c>
      <c r="J82" s="31">
        <f t="shared" si="4"/>
        <v>10</v>
      </c>
      <c r="K82" s="18"/>
      <c r="L82" s="33"/>
      <c r="M82" s="33"/>
      <c r="N82" s="75">
        <v>2394</v>
      </c>
      <c r="O82" s="75">
        <f t="shared" si="5"/>
        <v>23940</v>
      </c>
      <c r="P82" s="33"/>
    </row>
    <row r="83" spans="1:16">
      <c r="A83" s="4"/>
      <c r="B83" s="33"/>
      <c r="C83" s="33"/>
      <c r="D83" s="33"/>
      <c r="E83" s="33"/>
      <c r="F83" s="13"/>
      <c r="G83" s="19"/>
      <c r="H83" s="409"/>
      <c r="I83" s="30"/>
      <c r="J83" s="30"/>
      <c r="K83" s="32"/>
      <c r="L83" s="33"/>
      <c r="M83" s="33"/>
      <c r="N83" s="33"/>
      <c r="O83" s="33"/>
      <c r="P83" s="33"/>
    </row>
    <row r="84" spans="1:16">
      <c r="A84" s="4"/>
      <c r="B84" s="33"/>
      <c r="C84" s="33"/>
      <c r="D84" s="33"/>
      <c r="E84" s="33"/>
      <c r="F84" s="13"/>
      <c r="G84" s="19"/>
      <c r="H84" s="409"/>
      <c r="I84" s="30"/>
      <c r="J84" s="30"/>
      <c r="K84" s="32"/>
      <c r="L84" s="33"/>
      <c r="M84" s="33"/>
      <c r="N84" s="33"/>
      <c r="O84" s="33"/>
      <c r="P84" s="33"/>
    </row>
    <row r="85" spans="1:16" ht="25.5">
      <c r="A85" s="4">
        <v>5.5</v>
      </c>
      <c r="B85" s="33"/>
      <c r="C85" s="33"/>
      <c r="D85" s="33" t="s">
        <v>155</v>
      </c>
      <c r="E85" s="33" t="s">
        <v>156</v>
      </c>
      <c r="F85" s="128" t="s">
        <v>157</v>
      </c>
      <c r="G85" s="19" t="s">
        <v>7</v>
      </c>
      <c r="H85" s="409">
        <v>49.8</v>
      </c>
      <c r="I85" s="30">
        <v>20</v>
      </c>
      <c r="J85" s="31">
        <f>SUM(H85:I85)</f>
        <v>69.8</v>
      </c>
      <c r="K85" s="18"/>
      <c r="L85" s="33"/>
      <c r="M85" s="33"/>
      <c r="N85" s="75">
        <v>18330</v>
      </c>
      <c r="O85" s="75">
        <f>SUM(J85*N85)</f>
        <v>1279434</v>
      </c>
      <c r="P85" s="33"/>
    </row>
    <row r="86" spans="1:16" ht="120.75" customHeight="1">
      <c r="A86" s="4"/>
      <c r="B86" s="33"/>
      <c r="C86" s="33"/>
      <c r="D86" s="33"/>
      <c r="E86" s="19"/>
      <c r="F86" s="129" t="s">
        <v>158</v>
      </c>
      <c r="G86" s="19"/>
      <c r="H86" s="409"/>
      <c r="I86" s="30"/>
      <c r="J86" s="30"/>
      <c r="K86" s="32"/>
      <c r="L86" s="33"/>
      <c r="M86" s="33"/>
      <c r="N86" s="33"/>
      <c r="O86" s="33"/>
      <c r="P86" s="33" t="s">
        <v>713</v>
      </c>
    </row>
    <row r="87" spans="1:16">
      <c r="A87" s="4"/>
      <c r="B87" s="33"/>
      <c r="C87" s="33"/>
      <c r="D87" s="33"/>
      <c r="E87" s="19"/>
      <c r="F87" s="13"/>
      <c r="G87" s="19"/>
      <c r="H87" s="409"/>
      <c r="I87" s="30"/>
      <c r="J87" s="30"/>
      <c r="K87" s="32"/>
      <c r="L87" s="33"/>
      <c r="M87" s="33"/>
      <c r="N87" s="33"/>
      <c r="O87" s="33"/>
      <c r="P87" s="33"/>
    </row>
    <row r="88" spans="1:16">
      <c r="A88" s="4"/>
      <c r="B88" s="33"/>
      <c r="C88" s="33"/>
      <c r="D88" s="33"/>
      <c r="E88" s="33"/>
      <c r="F88" s="561"/>
      <c r="G88" s="19"/>
      <c r="H88" s="409"/>
      <c r="I88" s="30"/>
      <c r="J88" s="30"/>
      <c r="K88" s="32"/>
      <c r="L88" s="33"/>
      <c r="M88" s="33"/>
      <c r="N88" s="33"/>
      <c r="O88" s="33"/>
      <c r="P88" s="33"/>
    </row>
    <row r="89" spans="1:16" ht="25.5">
      <c r="A89" s="4">
        <v>5.6</v>
      </c>
      <c r="B89" s="33"/>
      <c r="C89" s="33"/>
      <c r="D89" s="33" t="s">
        <v>155</v>
      </c>
      <c r="E89" s="33" t="s">
        <v>156</v>
      </c>
      <c r="F89" s="128" t="s">
        <v>159</v>
      </c>
      <c r="G89" s="19" t="s">
        <v>7</v>
      </c>
      <c r="H89" s="409">
        <v>13</v>
      </c>
      <c r="I89" s="30">
        <v>0</v>
      </c>
      <c r="J89" s="31">
        <f>SUM(H89:I89)</f>
        <v>13</v>
      </c>
      <c r="K89" s="18"/>
      <c r="L89" s="33"/>
      <c r="M89" s="33"/>
      <c r="N89" s="75">
        <v>59220</v>
      </c>
      <c r="O89" s="75">
        <f>SUM(J89*N89)</f>
        <v>769860</v>
      </c>
      <c r="P89" s="33"/>
    </row>
    <row r="90" spans="1:16" ht="140.25">
      <c r="A90" s="4"/>
      <c r="B90" s="33"/>
      <c r="C90" s="33"/>
      <c r="D90" s="33"/>
      <c r="E90" s="33"/>
      <c r="F90" s="13" t="s">
        <v>285</v>
      </c>
      <c r="G90" s="19"/>
      <c r="H90" s="409"/>
      <c r="I90" s="30"/>
      <c r="K90" s="30"/>
      <c r="L90" s="33"/>
      <c r="M90" s="33"/>
      <c r="N90" s="33"/>
      <c r="O90" s="33"/>
      <c r="P90" s="33" t="s">
        <v>714</v>
      </c>
    </row>
    <row r="91" spans="1:16">
      <c r="A91" s="4"/>
      <c r="B91" s="33"/>
      <c r="C91" s="33"/>
      <c r="D91" s="33"/>
      <c r="E91" s="33"/>
      <c r="F91" s="13"/>
      <c r="G91" s="19"/>
      <c r="H91" s="409"/>
      <c r="I91" s="30"/>
      <c r="J91" s="30"/>
      <c r="K91" s="32"/>
      <c r="L91" s="33"/>
      <c r="M91" s="33"/>
      <c r="N91" s="33"/>
      <c r="O91" s="33"/>
      <c r="P91" s="33"/>
    </row>
    <row r="92" spans="1:16">
      <c r="A92" s="4"/>
      <c r="B92" s="33"/>
      <c r="C92" s="33"/>
      <c r="D92" s="33"/>
      <c r="E92" s="33"/>
      <c r="F92" s="13"/>
      <c r="G92" s="19"/>
      <c r="H92" s="409"/>
      <c r="I92" s="30"/>
      <c r="J92" s="30"/>
      <c r="K92" s="32"/>
      <c r="L92" s="33"/>
      <c r="M92" s="33"/>
      <c r="N92" s="33"/>
      <c r="O92" s="33"/>
      <c r="P92" s="33"/>
    </row>
    <row r="93" spans="1:16" ht="15">
      <c r="A93" s="4">
        <v>5.7</v>
      </c>
      <c r="B93" s="33"/>
      <c r="C93" s="33"/>
      <c r="D93" s="33" t="s">
        <v>160</v>
      </c>
      <c r="E93" s="33" t="s">
        <v>161</v>
      </c>
      <c r="F93" s="128" t="s">
        <v>162</v>
      </c>
      <c r="G93" s="19" t="s">
        <v>163</v>
      </c>
      <c r="H93" s="409">
        <f>(1.2*3.5)*6</f>
        <v>25.200000000000003</v>
      </c>
      <c r="I93" s="30">
        <v>0</v>
      </c>
      <c r="J93" s="31">
        <f>SUM(H93:I93)</f>
        <v>25.200000000000003</v>
      </c>
      <c r="K93" s="3"/>
      <c r="L93" s="33"/>
      <c r="M93" s="33"/>
      <c r="N93" s="75">
        <v>16614</v>
      </c>
      <c r="O93" s="75">
        <f>SUM(J93*N93)</f>
        <v>418672.80000000005</v>
      </c>
      <c r="P93" s="33"/>
    </row>
    <row r="94" spans="1:16" ht="114.75">
      <c r="A94" s="130"/>
      <c r="B94" s="33"/>
      <c r="C94" s="33"/>
      <c r="D94" s="12"/>
      <c r="E94" s="21"/>
      <c r="F94" s="13" t="s">
        <v>164</v>
      </c>
      <c r="G94" s="19"/>
      <c r="H94" s="409"/>
      <c r="I94" s="30"/>
      <c r="J94" s="30"/>
      <c r="K94" s="32"/>
      <c r="L94" s="33"/>
      <c r="M94" s="33"/>
      <c r="N94" s="33"/>
      <c r="O94" s="33"/>
      <c r="P94" s="33" t="s">
        <v>715</v>
      </c>
    </row>
    <row r="95" spans="1:16">
      <c r="A95" s="130"/>
      <c r="B95" s="33"/>
      <c r="C95" s="33"/>
      <c r="D95" s="12"/>
      <c r="E95" s="21"/>
      <c r="F95" s="13"/>
      <c r="G95" s="19"/>
      <c r="H95" s="409"/>
      <c r="I95" s="30"/>
      <c r="J95" s="30"/>
      <c r="K95" s="32"/>
      <c r="L95" s="33"/>
      <c r="M95" s="33"/>
      <c r="N95" s="33"/>
      <c r="O95" s="33"/>
      <c r="P95" s="33"/>
    </row>
    <row r="96" spans="1:16">
      <c r="A96" s="130"/>
      <c r="B96" s="33"/>
      <c r="C96" s="33"/>
      <c r="D96" s="12"/>
      <c r="E96" s="21"/>
      <c r="F96" s="13"/>
      <c r="G96" s="19"/>
      <c r="H96" s="409"/>
      <c r="I96" s="30"/>
      <c r="J96" s="30"/>
      <c r="K96" s="32"/>
      <c r="L96" s="33"/>
      <c r="M96" s="33"/>
      <c r="N96" s="33"/>
      <c r="O96" s="33"/>
      <c r="P96" s="33"/>
    </row>
    <row r="97" spans="1:16" ht="15">
      <c r="A97" s="4">
        <v>5.8</v>
      </c>
      <c r="B97" s="33"/>
      <c r="C97" s="33"/>
      <c r="D97" s="33" t="s">
        <v>34</v>
      </c>
      <c r="E97" s="33" t="s">
        <v>36</v>
      </c>
      <c r="F97" s="128" t="s">
        <v>37</v>
      </c>
      <c r="G97" s="19" t="s">
        <v>28</v>
      </c>
      <c r="H97" s="409">
        <f>12+7.2</f>
        <v>19.2</v>
      </c>
      <c r="I97" s="30">
        <v>5</v>
      </c>
      <c r="J97" s="31">
        <f>SUM(H97:I97)</f>
        <v>24.2</v>
      </c>
      <c r="K97" s="3"/>
      <c r="L97" s="33"/>
      <c r="M97" s="33"/>
      <c r="N97" s="75">
        <v>1806</v>
      </c>
      <c r="O97" s="75">
        <f>SUM(J97*N97)</f>
        <v>43705.2</v>
      </c>
      <c r="P97" s="33"/>
    </row>
    <row r="98" spans="1:16" ht="25.5">
      <c r="A98" s="4"/>
      <c r="B98" s="33"/>
      <c r="C98" s="33"/>
      <c r="D98" s="33"/>
      <c r="E98" s="19"/>
      <c r="F98" s="129" t="s">
        <v>49</v>
      </c>
      <c r="G98" s="19"/>
      <c r="H98" s="409"/>
      <c r="I98" s="30"/>
      <c r="J98" s="30"/>
      <c r="K98" s="32"/>
      <c r="L98" s="33"/>
      <c r="M98" s="33"/>
      <c r="N98" s="33"/>
      <c r="O98" s="33"/>
      <c r="P98" s="33"/>
    </row>
    <row r="99" spans="1:16">
      <c r="A99" s="4"/>
      <c r="B99" s="33"/>
      <c r="C99" s="33"/>
      <c r="D99" s="33"/>
      <c r="E99" s="19"/>
      <c r="F99" s="13"/>
      <c r="G99" s="19"/>
      <c r="H99" s="409"/>
      <c r="I99" s="30"/>
      <c r="J99" s="30"/>
      <c r="K99" s="32"/>
      <c r="L99" s="33"/>
      <c r="M99" s="33"/>
      <c r="N99" s="33"/>
      <c r="O99" s="33"/>
      <c r="P99" s="33"/>
    </row>
    <row r="100" spans="1:16">
      <c r="A100" s="4"/>
      <c r="B100" s="33"/>
      <c r="C100" s="33"/>
      <c r="D100" s="33"/>
      <c r="E100" s="19"/>
      <c r="F100" s="13"/>
      <c r="G100" s="19"/>
      <c r="H100" s="409"/>
      <c r="I100" s="30"/>
      <c r="J100" s="30"/>
      <c r="K100" s="32"/>
      <c r="L100" s="33"/>
      <c r="M100" s="33"/>
      <c r="N100" s="33"/>
      <c r="O100" s="33"/>
      <c r="P100" s="33"/>
    </row>
    <row r="101" spans="1:16" ht="15">
      <c r="A101" s="4">
        <v>5.9</v>
      </c>
      <c r="B101" s="33"/>
      <c r="C101" s="33"/>
      <c r="D101" s="33" t="s">
        <v>165</v>
      </c>
      <c r="E101" s="33" t="s">
        <v>166</v>
      </c>
      <c r="F101" s="35" t="s">
        <v>167</v>
      </c>
      <c r="G101" s="19" t="s">
        <v>25</v>
      </c>
      <c r="H101" s="409">
        <f>2.6*3.5</f>
        <v>9.1</v>
      </c>
      <c r="I101" s="30">
        <f>0.5*10</f>
        <v>5</v>
      </c>
      <c r="J101" s="31">
        <f>SUM(H101:I101)</f>
        <v>14.1</v>
      </c>
      <c r="K101" s="32"/>
      <c r="L101" s="33"/>
      <c r="M101" s="33"/>
      <c r="N101" s="75">
        <v>23850</v>
      </c>
      <c r="O101" s="75">
        <f>SUM(J101*N101)</f>
        <v>336285</v>
      </c>
      <c r="P101" s="33"/>
    </row>
    <row r="102" spans="1:16" ht="25.5">
      <c r="A102" s="4"/>
      <c r="B102" s="33"/>
      <c r="C102" s="33"/>
      <c r="D102" s="33"/>
      <c r="E102" s="19"/>
      <c r="F102" s="13" t="s">
        <v>168</v>
      </c>
      <c r="G102" s="19"/>
      <c r="H102" s="409"/>
      <c r="I102" s="30"/>
      <c r="J102" s="30"/>
      <c r="K102" s="32"/>
      <c r="L102" s="33"/>
      <c r="M102" s="33"/>
      <c r="N102" s="33"/>
      <c r="O102" s="33"/>
      <c r="P102" s="33" t="s">
        <v>716</v>
      </c>
    </row>
    <row r="103" spans="1:16">
      <c r="A103" s="4"/>
      <c r="B103" s="33"/>
      <c r="C103" s="33"/>
      <c r="D103" s="33"/>
      <c r="E103" s="19"/>
      <c r="F103" s="13"/>
      <c r="G103" s="19"/>
      <c r="H103" s="409"/>
      <c r="I103" s="30"/>
      <c r="J103" s="30"/>
      <c r="K103" s="32"/>
      <c r="L103" s="33"/>
      <c r="M103" s="33"/>
      <c r="N103" s="33"/>
      <c r="O103" s="33"/>
      <c r="P103" s="33"/>
    </row>
    <row r="104" spans="1:16" ht="25.5">
      <c r="A104" s="130">
        <v>5.0999999999999996</v>
      </c>
      <c r="B104" s="33"/>
      <c r="C104" s="33"/>
      <c r="D104" s="33" t="s">
        <v>169</v>
      </c>
      <c r="E104" s="33" t="s">
        <v>170</v>
      </c>
      <c r="F104" s="35" t="s">
        <v>642</v>
      </c>
      <c r="G104" s="19" t="s">
        <v>25</v>
      </c>
      <c r="H104" s="409">
        <f>10*3.5</f>
        <v>35</v>
      </c>
      <c r="I104" s="30">
        <f>2*3.6</f>
        <v>7.2</v>
      </c>
      <c r="J104" s="31">
        <f>SUM(H104:I104)</f>
        <v>42.2</v>
      </c>
      <c r="K104" s="32"/>
      <c r="L104" s="33"/>
      <c r="M104" s="33"/>
      <c r="N104" s="75">
        <v>11292</v>
      </c>
      <c r="O104" s="75">
        <f>SUM(J104*N104)</f>
        <v>476522.4</v>
      </c>
      <c r="P104" s="33" t="s">
        <v>710</v>
      </c>
    </row>
    <row r="105" spans="1:16" ht="25.5">
      <c r="A105" s="4"/>
      <c r="B105" s="33"/>
      <c r="C105" s="33"/>
      <c r="D105" s="33"/>
      <c r="E105" s="19"/>
      <c r="F105" s="13" t="s">
        <v>171</v>
      </c>
      <c r="G105" s="19"/>
      <c r="H105" s="409"/>
      <c r="I105" s="30"/>
      <c r="J105" s="30"/>
      <c r="K105" s="32"/>
      <c r="L105" s="33"/>
      <c r="M105" s="33"/>
      <c r="N105" s="33"/>
      <c r="O105" s="33"/>
      <c r="P105" s="33"/>
    </row>
    <row r="106" spans="1:16">
      <c r="A106" s="4"/>
      <c r="B106" s="33"/>
      <c r="C106" s="33"/>
      <c r="D106" s="33"/>
      <c r="E106" s="19"/>
      <c r="F106" s="13"/>
      <c r="G106" s="19"/>
      <c r="H106" s="409"/>
      <c r="I106" s="30"/>
      <c r="J106" s="30"/>
      <c r="K106" s="32"/>
      <c r="L106" s="33"/>
      <c r="M106" s="33"/>
      <c r="N106" s="33"/>
      <c r="O106" s="33"/>
      <c r="P106" s="33"/>
    </row>
    <row r="107" spans="1:16" ht="15">
      <c r="A107" s="130">
        <v>5.1100000000000003</v>
      </c>
      <c r="B107" s="33"/>
      <c r="C107" s="33"/>
      <c r="D107" s="33" t="s">
        <v>172</v>
      </c>
      <c r="E107" s="33" t="s">
        <v>173</v>
      </c>
      <c r="F107" s="35" t="s">
        <v>174</v>
      </c>
      <c r="G107" s="19" t="s">
        <v>175</v>
      </c>
      <c r="H107" s="409">
        <v>1</v>
      </c>
      <c r="I107" s="30"/>
      <c r="J107" s="31">
        <f>SUM(H107:I107)</f>
        <v>1</v>
      </c>
      <c r="K107" s="32"/>
      <c r="L107" s="33"/>
      <c r="M107" s="33"/>
      <c r="N107" s="75">
        <v>561876</v>
      </c>
      <c r="O107" s="75">
        <f>SUM(J107*N107)</f>
        <v>561876</v>
      </c>
      <c r="P107" s="33"/>
    </row>
    <row r="108" spans="1:16" ht="38.25">
      <c r="A108" s="4"/>
      <c r="B108" s="33"/>
      <c r="C108" s="33"/>
      <c r="D108" s="33"/>
      <c r="E108" s="19"/>
      <c r="F108" s="13" t="s">
        <v>176</v>
      </c>
      <c r="G108" s="19"/>
      <c r="H108" s="409"/>
      <c r="I108" s="30"/>
      <c r="J108" s="30"/>
      <c r="K108" s="32"/>
      <c r="L108" s="33"/>
      <c r="M108" s="33"/>
      <c r="N108" s="33"/>
      <c r="O108" s="33"/>
      <c r="P108" s="33"/>
    </row>
    <row r="109" spans="1:16">
      <c r="A109" s="4"/>
      <c r="B109" s="33"/>
      <c r="C109" s="33"/>
      <c r="D109" s="33"/>
      <c r="E109" s="19"/>
      <c r="F109" s="13"/>
      <c r="G109" s="19"/>
      <c r="H109" s="409"/>
      <c r="I109" s="30"/>
      <c r="J109" s="30"/>
      <c r="K109" s="32"/>
      <c r="L109" s="33"/>
      <c r="M109" s="33"/>
      <c r="N109" s="33"/>
      <c r="O109" s="33"/>
      <c r="P109" s="33"/>
    </row>
    <row r="110" spans="1:16" ht="15">
      <c r="A110" s="130">
        <v>5.12</v>
      </c>
      <c r="B110" s="33"/>
      <c r="C110" s="33"/>
      <c r="D110" s="33" t="s">
        <v>172</v>
      </c>
      <c r="E110" s="33" t="s">
        <v>173</v>
      </c>
      <c r="F110" s="35" t="s">
        <v>177</v>
      </c>
      <c r="G110" s="19" t="s">
        <v>175</v>
      </c>
      <c r="H110" s="409"/>
      <c r="I110" s="30">
        <v>1</v>
      </c>
      <c r="J110" s="31">
        <f>SUM(H110:I110)</f>
        <v>1</v>
      </c>
      <c r="K110" s="32"/>
      <c r="L110" s="33"/>
      <c r="M110" s="33"/>
      <c r="N110" s="75">
        <v>237990</v>
      </c>
      <c r="O110" s="75">
        <f>SUM(J110*N110)</f>
        <v>237990</v>
      </c>
      <c r="P110" s="33"/>
    </row>
    <row r="111" spans="1:16" ht="38.25">
      <c r="A111" s="4"/>
      <c r="B111" s="33"/>
      <c r="C111" s="33"/>
      <c r="D111" s="33"/>
      <c r="E111" s="19"/>
      <c r="F111" s="13" t="s">
        <v>605</v>
      </c>
      <c r="G111" s="19"/>
      <c r="H111" s="409"/>
      <c r="I111" s="30"/>
      <c r="J111" s="30"/>
      <c r="K111" s="32"/>
      <c r="L111" s="33"/>
      <c r="M111" s="33"/>
      <c r="N111" s="33"/>
      <c r="O111" s="33"/>
      <c r="P111" s="33"/>
    </row>
    <row r="112" spans="1:16">
      <c r="A112" s="4"/>
      <c r="B112" s="33"/>
      <c r="C112" s="33"/>
      <c r="D112" s="33"/>
      <c r="E112" s="19"/>
      <c r="F112" s="13"/>
      <c r="G112" s="19"/>
      <c r="H112" s="409"/>
      <c r="I112" s="30"/>
      <c r="J112" s="30"/>
      <c r="K112" s="32"/>
      <c r="L112" s="33"/>
      <c r="M112" s="33"/>
      <c r="N112" s="33"/>
      <c r="O112" s="33"/>
      <c r="P112" s="33"/>
    </row>
    <row r="113" spans="1:16" ht="25.5">
      <c r="A113" s="130">
        <v>5.13</v>
      </c>
      <c r="B113" s="33"/>
      <c r="C113" s="33"/>
      <c r="D113" s="33" t="s">
        <v>178</v>
      </c>
      <c r="E113" s="33" t="s">
        <v>179</v>
      </c>
      <c r="F113" s="35" t="s">
        <v>180</v>
      </c>
      <c r="G113" s="19" t="s">
        <v>181</v>
      </c>
      <c r="H113" s="409">
        <v>2</v>
      </c>
      <c r="I113" s="30">
        <v>0</v>
      </c>
      <c r="J113" s="31">
        <f>SUM(H113:I113)</f>
        <v>2</v>
      </c>
      <c r="K113" s="18"/>
      <c r="L113" s="33"/>
      <c r="M113" s="33"/>
      <c r="N113" s="75">
        <v>109310</v>
      </c>
      <c r="O113" s="75">
        <f>SUM(J113*N113)</f>
        <v>218620</v>
      </c>
      <c r="P113" s="33"/>
    </row>
    <row r="114" spans="1:16">
      <c r="A114" s="4"/>
      <c r="B114" s="33"/>
      <c r="C114" s="33"/>
      <c r="D114" s="33"/>
      <c r="E114" s="19"/>
      <c r="F114" s="129" t="s">
        <v>182</v>
      </c>
      <c r="G114" s="19"/>
      <c r="H114" s="409"/>
      <c r="I114" s="30"/>
      <c r="J114" s="30"/>
      <c r="K114" s="32"/>
      <c r="L114" s="33"/>
      <c r="M114" s="33"/>
      <c r="N114" s="33"/>
      <c r="O114" s="33"/>
      <c r="P114" s="33"/>
    </row>
    <row r="115" spans="1:16">
      <c r="A115" s="4"/>
      <c r="B115" s="33"/>
      <c r="C115" s="33"/>
      <c r="D115" s="33"/>
      <c r="E115" s="19"/>
      <c r="F115" s="128" t="s">
        <v>183</v>
      </c>
      <c r="G115" s="19"/>
      <c r="H115" s="409"/>
      <c r="I115" s="30"/>
      <c r="J115" s="30"/>
      <c r="K115" s="32"/>
      <c r="L115" s="33"/>
      <c r="M115" s="33"/>
      <c r="N115" s="33"/>
      <c r="O115" s="33"/>
      <c r="P115" s="33"/>
    </row>
    <row r="116" spans="1:16" ht="102">
      <c r="A116" s="4"/>
      <c r="B116" s="33"/>
      <c r="C116" s="33"/>
      <c r="D116" s="33"/>
      <c r="E116" s="19"/>
      <c r="F116" s="129" t="s">
        <v>286</v>
      </c>
      <c r="G116" s="19"/>
      <c r="H116" s="409"/>
      <c r="I116" s="30"/>
      <c r="J116" s="30"/>
      <c r="K116" s="32"/>
      <c r="L116" s="33"/>
      <c r="M116" s="33"/>
      <c r="N116" s="33"/>
      <c r="O116" s="33"/>
      <c r="P116" s="33"/>
    </row>
    <row r="117" spans="1:16">
      <c r="A117" s="4"/>
      <c r="B117" s="33"/>
      <c r="C117" s="33"/>
      <c r="D117" s="33"/>
      <c r="E117" s="33"/>
      <c r="F117" s="128" t="s">
        <v>184</v>
      </c>
      <c r="G117" s="19"/>
      <c r="H117" s="409"/>
      <c r="I117" s="30"/>
      <c r="J117" s="30"/>
      <c r="K117" s="32"/>
      <c r="L117" s="33"/>
      <c r="M117" s="33"/>
      <c r="N117" s="33"/>
      <c r="O117" s="33"/>
      <c r="P117" s="33"/>
    </row>
    <row r="118" spans="1:16" ht="131.25" customHeight="1">
      <c r="A118" s="4"/>
      <c r="B118" s="33"/>
      <c r="C118" s="33"/>
      <c r="D118" s="33"/>
      <c r="E118" s="19"/>
      <c r="F118" s="561" t="s">
        <v>287</v>
      </c>
      <c r="G118" s="19"/>
      <c r="H118" s="409"/>
      <c r="I118" s="30"/>
      <c r="J118" s="30"/>
      <c r="K118" s="32"/>
      <c r="L118" s="33"/>
      <c r="M118" s="33"/>
      <c r="N118" s="33"/>
      <c r="O118" s="33"/>
      <c r="P118" s="33"/>
    </row>
    <row r="119" spans="1:16">
      <c r="A119" s="4"/>
      <c r="B119" s="33"/>
      <c r="C119" s="33"/>
      <c r="D119" s="33"/>
      <c r="E119" s="33"/>
      <c r="F119" s="128" t="s">
        <v>185</v>
      </c>
      <c r="G119" s="19"/>
      <c r="H119" s="409"/>
      <c r="I119" s="30"/>
      <c r="J119" s="30"/>
      <c r="K119" s="32"/>
      <c r="L119" s="33"/>
      <c r="M119" s="33"/>
      <c r="N119" s="33"/>
      <c r="O119" s="33"/>
      <c r="P119" s="33"/>
    </row>
    <row r="120" spans="1:16" ht="63.75">
      <c r="A120" s="4"/>
      <c r="B120" s="33"/>
      <c r="C120" s="33"/>
      <c r="D120" s="33"/>
      <c r="E120" s="19"/>
      <c r="F120" s="129" t="s">
        <v>186</v>
      </c>
      <c r="G120" s="19"/>
      <c r="H120" s="409"/>
      <c r="I120" s="30"/>
      <c r="J120" s="30"/>
      <c r="K120" s="32"/>
      <c r="L120" s="33"/>
      <c r="M120" s="33"/>
      <c r="N120" s="33"/>
      <c r="O120" s="33"/>
      <c r="P120" s="33"/>
    </row>
    <row r="121" spans="1:16">
      <c r="A121" s="4"/>
      <c r="B121" s="33"/>
      <c r="C121" s="33"/>
      <c r="D121" s="33"/>
      <c r="E121" s="33"/>
      <c r="F121" s="131"/>
      <c r="G121" s="19"/>
      <c r="H121" s="409"/>
      <c r="I121" s="30"/>
      <c r="J121" s="30"/>
      <c r="K121" s="32"/>
      <c r="L121" s="33"/>
      <c r="M121" s="33"/>
      <c r="N121" s="33"/>
      <c r="O121" s="33"/>
      <c r="P121" s="33"/>
    </row>
    <row r="122" spans="1:16">
      <c r="A122" s="4"/>
      <c r="B122" s="33"/>
      <c r="C122" s="33"/>
      <c r="D122" s="33"/>
      <c r="E122" s="33"/>
      <c r="F122" s="131"/>
      <c r="G122" s="19"/>
      <c r="H122" s="409"/>
      <c r="I122" s="30"/>
      <c r="J122" s="30"/>
      <c r="K122" s="32"/>
      <c r="L122" s="33"/>
      <c r="M122" s="33"/>
      <c r="N122" s="33"/>
      <c r="O122" s="33"/>
      <c r="P122" s="33"/>
    </row>
    <row r="123" spans="1:16" ht="25.5" customHeight="1">
      <c r="A123" s="130">
        <v>5.14</v>
      </c>
      <c r="B123" s="33"/>
      <c r="C123" s="33"/>
      <c r="D123" s="33" t="s">
        <v>178</v>
      </c>
      <c r="E123" s="21" t="s">
        <v>187</v>
      </c>
      <c r="F123" s="441" t="s">
        <v>188</v>
      </c>
      <c r="G123" s="19" t="s">
        <v>126</v>
      </c>
      <c r="H123" s="409">
        <v>1</v>
      </c>
      <c r="I123" s="30"/>
      <c r="J123" s="31">
        <f>SUM(H123:I123)</f>
        <v>1</v>
      </c>
      <c r="K123" s="19"/>
      <c r="L123" s="33"/>
      <c r="M123" s="33"/>
      <c r="N123" s="75">
        <v>149598</v>
      </c>
      <c r="O123" s="75">
        <f>SUM(J123*N123)</f>
        <v>149598</v>
      </c>
      <c r="P123" s="33"/>
    </row>
    <row r="124" spans="1:16">
      <c r="A124" s="130"/>
      <c r="B124" s="33"/>
      <c r="C124" s="33"/>
      <c r="D124" s="33"/>
      <c r="E124" s="21"/>
      <c r="F124" s="440" t="s">
        <v>189</v>
      </c>
      <c r="G124" s="19"/>
      <c r="H124" s="409"/>
      <c r="I124" s="30"/>
      <c r="J124" s="30"/>
      <c r="K124" s="32"/>
      <c r="L124" s="33"/>
      <c r="M124" s="33"/>
      <c r="N124" s="33"/>
      <c r="O124" s="33"/>
      <c r="P124" s="33"/>
    </row>
    <row r="125" spans="1:16" ht="38.25">
      <c r="A125" s="130"/>
      <c r="B125" s="33"/>
      <c r="C125" s="33"/>
      <c r="D125" s="33"/>
      <c r="E125" s="132"/>
      <c r="F125" s="440" t="s">
        <v>190</v>
      </c>
      <c r="G125" s="19"/>
      <c r="H125" s="409"/>
      <c r="I125" s="30"/>
      <c r="J125" s="30"/>
      <c r="K125" s="32"/>
      <c r="L125" s="33"/>
      <c r="M125" s="33"/>
      <c r="N125" s="33"/>
      <c r="O125" s="33"/>
      <c r="P125" s="33"/>
    </row>
    <row r="126" spans="1:16">
      <c r="A126" s="130"/>
      <c r="B126" s="33"/>
      <c r="C126" s="33"/>
      <c r="D126" s="33"/>
      <c r="E126" s="132"/>
      <c r="F126" s="440" t="s">
        <v>185</v>
      </c>
      <c r="G126" s="19"/>
      <c r="H126" s="409"/>
      <c r="I126" s="30"/>
      <c r="J126" s="30"/>
      <c r="K126" s="32"/>
      <c r="L126" s="33"/>
      <c r="M126" s="33"/>
      <c r="N126" s="33"/>
      <c r="O126" s="33"/>
      <c r="P126" s="33"/>
    </row>
    <row r="127" spans="1:16" ht="73.5" customHeight="1">
      <c r="A127" s="130"/>
      <c r="B127" s="33"/>
      <c r="C127" s="33"/>
      <c r="D127" s="33"/>
      <c r="E127" s="132"/>
      <c r="F127" s="440" t="s">
        <v>191</v>
      </c>
      <c r="G127" s="19"/>
      <c r="H127" s="409"/>
      <c r="I127" s="30"/>
      <c r="J127" s="30"/>
      <c r="K127" s="32"/>
      <c r="L127" s="33"/>
      <c r="M127" s="33"/>
      <c r="N127" s="33"/>
      <c r="O127" s="33"/>
      <c r="P127" s="33"/>
    </row>
    <row r="128" spans="1:16">
      <c r="A128" s="130"/>
      <c r="B128" s="33"/>
      <c r="C128" s="33"/>
      <c r="D128" s="33"/>
      <c r="E128" s="132"/>
      <c r="F128" s="563"/>
      <c r="G128" s="19"/>
      <c r="H128" s="409"/>
      <c r="I128" s="30"/>
      <c r="J128" s="30"/>
      <c r="K128" s="32"/>
      <c r="L128" s="33"/>
      <c r="M128" s="33"/>
      <c r="N128" s="33"/>
      <c r="O128" s="33"/>
      <c r="P128" s="33"/>
    </row>
    <row r="129" spans="1:16">
      <c r="A129" s="133"/>
      <c r="B129" s="115"/>
      <c r="C129" s="115"/>
      <c r="D129" s="115"/>
      <c r="E129" s="134"/>
      <c r="F129" s="564"/>
      <c r="G129" s="111"/>
      <c r="H129" s="410"/>
      <c r="I129" s="113"/>
      <c r="J129" s="113"/>
      <c r="K129" s="114"/>
      <c r="L129" s="115"/>
      <c r="M129" s="115"/>
      <c r="N129" s="115"/>
      <c r="O129" s="115"/>
      <c r="P129" s="115"/>
    </row>
    <row r="130" spans="1:16" ht="15">
      <c r="A130" s="130">
        <v>5.15</v>
      </c>
      <c r="B130" s="115"/>
      <c r="C130" s="115"/>
      <c r="D130" s="5" t="s">
        <v>178</v>
      </c>
      <c r="E130" s="5" t="s">
        <v>179</v>
      </c>
      <c r="F130" s="16" t="s">
        <v>192</v>
      </c>
      <c r="G130" s="1" t="s">
        <v>181</v>
      </c>
      <c r="H130" s="409">
        <v>0</v>
      </c>
      <c r="I130" s="30">
        <v>1</v>
      </c>
      <c r="J130" s="77">
        <f>SUM(H130:I130)</f>
        <v>1</v>
      </c>
      <c r="K130" s="19"/>
      <c r="L130" s="33"/>
      <c r="M130" s="33"/>
      <c r="N130" s="75">
        <v>193494</v>
      </c>
      <c r="O130" s="75">
        <f>SUM(J130*N130)</f>
        <v>193494</v>
      </c>
      <c r="P130" s="115"/>
    </row>
    <row r="131" spans="1:16">
      <c r="A131" s="133"/>
      <c r="B131" s="115"/>
      <c r="C131" s="115"/>
      <c r="D131" s="5"/>
      <c r="E131" s="1"/>
      <c r="F131" s="27" t="s">
        <v>193</v>
      </c>
      <c r="G131" s="1"/>
      <c r="H131" s="410"/>
      <c r="I131" s="113"/>
      <c r="J131" s="113"/>
      <c r="K131" s="114"/>
      <c r="L131" s="115"/>
      <c r="M131" s="115"/>
      <c r="N131" s="115"/>
      <c r="O131" s="115"/>
      <c r="P131" s="115"/>
    </row>
    <row r="132" spans="1:16">
      <c r="A132" s="133"/>
      <c r="B132" s="115"/>
      <c r="C132" s="115"/>
      <c r="D132" s="5"/>
      <c r="E132" s="1"/>
      <c r="F132" s="27" t="s">
        <v>183</v>
      </c>
      <c r="G132" s="1"/>
      <c r="H132" s="410"/>
      <c r="I132" s="113"/>
      <c r="J132" s="113"/>
      <c r="K132" s="114"/>
      <c r="L132" s="115"/>
      <c r="M132" s="115"/>
      <c r="N132" s="115"/>
      <c r="O132" s="115"/>
      <c r="P132" s="115"/>
    </row>
    <row r="133" spans="1:16" ht="102">
      <c r="A133" s="133"/>
      <c r="B133" s="115"/>
      <c r="C133" s="115"/>
      <c r="D133" s="5"/>
      <c r="E133" s="1"/>
      <c r="F133" s="27" t="s">
        <v>288</v>
      </c>
      <c r="G133" s="1"/>
      <c r="H133" s="410"/>
      <c r="I133" s="113"/>
      <c r="J133" s="113"/>
      <c r="K133" s="114"/>
      <c r="L133" s="115"/>
      <c r="M133" s="115"/>
      <c r="N133" s="115"/>
      <c r="O133" s="115"/>
      <c r="P133" s="115"/>
    </row>
    <row r="134" spans="1:16">
      <c r="A134" s="133"/>
      <c r="B134" s="115"/>
      <c r="C134" s="115"/>
      <c r="D134" s="5"/>
      <c r="E134" s="5"/>
      <c r="F134" s="26" t="s">
        <v>184</v>
      </c>
      <c r="G134" s="1"/>
      <c r="H134" s="410"/>
      <c r="I134" s="113"/>
      <c r="J134" s="113"/>
      <c r="K134" s="114"/>
      <c r="L134" s="115"/>
      <c r="M134" s="115"/>
      <c r="N134" s="115"/>
      <c r="O134" s="115"/>
      <c r="P134" s="115"/>
    </row>
    <row r="135" spans="1:16" ht="102" customHeight="1">
      <c r="A135" s="133"/>
      <c r="B135" s="115"/>
      <c r="C135" s="115"/>
      <c r="D135" s="5"/>
      <c r="E135" s="1"/>
      <c r="F135" s="561" t="s">
        <v>289</v>
      </c>
      <c r="G135" s="1"/>
      <c r="H135" s="410"/>
      <c r="I135" s="113"/>
      <c r="J135" s="113"/>
      <c r="K135" s="114"/>
      <c r="L135" s="115"/>
      <c r="M135" s="115"/>
      <c r="N135" s="115"/>
      <c r="O135" s="115"/>
      <c r="P135" s="115"/>
    </row>
    <row r="136" spans="1:16">
      <c r="A136" s="133"/>
      <c r="B136" s="115"/>
      <c r="C136" s="115"/>
      <c r="D136" s="5"/>
      <c r="E136" s="5"/>
      <c r="F136" s="26" t="s">
        <v>185</v>
      </c>
      <c r="G136" s="1"/>
      <c r="H136" s="410"/>
      <c r="I136" s="113"/>
      <c r="J136" s="113"/>
      <c r="K136" s="114"/>
      <c r="L136" s="115"/>
      <c r="M136" s="115"/>
      <c r="N136" s="115"/>
      <c r="O136" s="115"/>
      <c r="P136" s="115"/>
    </row>
    <row r="137" spans="1:16" ht="51">
      <c r="A137" s="133"/>
      <c r="B137" s="115"/>
      <c r="C137" s="115"/>
      <c r="D137" s="5"/>
      <c r="E137" s="1"/>
      <c r="F137" s="27" t="s">
        <v>194</v>
      </c>
      <c r="G137" s="1"/>
      <c r="H137" s="410"/>
      <c r="I137" s="113"/>
      <c r="J137" s="113"/>
      <c r="K137" s="114"/>
      <c r="L137" s="115"/>
      <c r="M137" s="115"/>
      <c r="N137" s="115"/>
      <c r="O137" s="115"/>
      <c r="P137" s="115"/>
    </row>
    <row r="138" spans="1:16" ht="13.5" thickBot="1">
      <c r="A138" s="133"/>
      <c r="B138" s="115"/>
      <c r="C138" s="115"/>
      <c r="D138" s="5"/>
      <c r="E138" s="5"/>
      <c r="F138" s="565"/>
      <c r="G138" s="1"/>
      <c r="H138" s="410"/>
      <c r="I138" s="113"/>
      <c r="J138" s="113"/>
      <c r="K138" s="114"/>
      <c r="L138" s="115"/>
      <c r="M138" s="115"/>
      <c r="N138" s="115"/>
      <c r="O138" s="115"/>
      <c r="P138" s="115"/>
    </row>
    <row r="139" spans="1:16" ht="13.5" thickBot="1">
      <c r="A139" s="135" t="s">
        <v>195</v>
      </c>
      <c r="B139" s="117"/>
      <c r="C139" s="117"/>
      <c r="D139" s="117"/>
      <c r="E139" s="117"/>
      <c r="F139" s="96" t="s">
        <v>42</v>
      </c>
      <c r="G139" s="41"/>
      <c r="H139" s="407"/>
      <c r="I139" s="116"/>
      <c r="J139" s="116"/>
      <c r="K139" s="56"/>
      <c r="L139" s="117"/>
      <c r="M139" s="117"/>
      <c r="N139" s="120"/>
      <c r="O139" s="120"/>
      <c r="P139" s="121"/>
    </row>
    <row r="140" spans="1:16">
      <c r="A140" s="100"/>
      <c r="B140" s="122"/>
      <c r="C140" s="122"/>
      <c r="D140" s="122"/>
      <c r="E140" s="122"/>
      <c r="F140" s="566"/>
      <c r="G140" s="101"/>
      <c r="H140" s="408"/>
      <c r="I140" s="103"/>
      <c r="J140" s="103"/>
      <c r="K140" s="104"/>
      <c r="L140" s="122"/>
      <c r="M140" s="122"/>
      <c r="N140" s="122"/>
      <c r="O140" s="122"/>
      <c r="P140" s="122"/>
    </row>
    <row r="141" spans="1:16" ht="15">
      <c r="A141" s="4">
        <v>6.1</v>
      </c>
      <c r="B141" s="33"/>
      <c r="C141" s="33"/>
      <c r="D141" s="33" t="s">
        <v>13</v>
      </c>
      <c r="E141" s="33" t="s">
        <v>43</v>
      </c>
      <c r="F141" s="567" t="s">
        <v>55</v>
      </c>
      <c r="G141" s="19" t="s">
        <v>7</v>
      </c>
      <c r="H141" s="409">
        <v>10</v>
      </c>
      <c r="I141" s="30">
        <v>10</v>
      </c>
      <c r="J141" s="31">
        <f>SUM(H141:I141)</f>
        <v>20</v>
      </c>
      <c r="K141" s="17"/>
      <c r="L141" s="33"/>
      <c r="M141" s="33"/>
      <c r="N141" s="75">
        <v>3912</v>
      </c>
      <c r="O141" s="75">
        <f>SUM(J141*N141)</f>
        <v>78240</v>
      </c>
      <c r="P141" s="33"/>
    </row>
    <row r="142" spans="1:16" ht="41.25" customHeight="1">
      <c r="A142" s="4"/>
      <c r="B142" s="33"/>
      <c r="C142" s="33"/>
      <c r="D142" s="33"/>
      <c r="E142" s="33"/>
      <c r="F142" s="561" t="s">
        <v>196</v>
      </c>
      <c r="G142" s="19"/>
      <c r="H142" s="409"/>
      <c r="I142" s="30"/>
      <c r="J142" s="30"/>
      <c r="K142" s="32"/>
      <c r="L142" s="33"/>
      <c r="M142" s="33"/>
      <c r="N142" s="33"/>
      <c r="O142" s="33"/>
      <c r="P142" s="33"/>
    </row>
    <row r="143" spans="1:16">
      <c r="A143" s="4"/>
      <c r="B143" s="33"/>
      <c r="C143" s="33"/>
      <c r="D143" s="33"/>
      <c r="E143" s="33"/>
      <c r="F143" s="561"/>
      <c r="G143" s="19"/>
      <c r="H143" s="409"/>
      <c r="I143" s="30"/>
      <c r="J143" s="30"/>
      <c r="K143" s="32"/>
      <c r="L143" s="33"/>
      <c r="M143" s="33"/>
      <c r="N143" s="33"/>
      <c r="O143" s="33"/>
      <c r="P143" s="33"/>
    </row>
    <row r="144" spans="1:16" ht="26.25" customHeight="1">
      <c r="A144" s="4">
        <v>6.2</v>
      </c>
      <c r="B144" s="33"/>
      <c r="C144" s="33"/>
      <c r="D144" s="33" t="s">
        <v>13</v>
      </c>
      <c r="E144" s="33" t="s">
        <v>56</v>
      </c>
      <c r="F144" s="567" t="s">
        <v>197</v>
      </c>
      <c r="G144" s="19" t="s">
        <v>7</v>
      </c>
      <c r="H144" s="409">
        <v>10</v>
      </c>
      <c r="I144" s="30">
        <v>5</v>
      </c>
      <c r="J144" s="31">
        <f>SUM(H144:I144)</f>
        <v>15</v>
      </c>
      <c r="K144" s="17"/>
      <c r="L144" s="33"/>
      <c r="M144" s="33"/>
      <c r="N144" s="75">
        <v>4986</v>
      </c>
      <c r="O144" s="75">
        <f>SUM(J144*N144)</f>
        <v>74790</v>
      </c>
      <c r="P144" s="33"/>
    </row>
    <row r="145" spans="1:16">
      <c r="A145" s="4"/>
      <c r="B145" s="33"/>
      <c r="C145" s="33"/>
      <c r="D145" s="33"/>
      <c r="E145" s="33"/>
      <c r="F145" s="561" t="s">
        <v>80</v>
      </c>
      <c r="G145" s="19"/>
      <c r="H145" s="409"/>
      <c r="I145" s="30"/>
      <c r="J145" s="30"/>
      <c r="K145" s="32"/>
      <c r="L145" s="33"/>
      <c r="M145" s="33"/>
      <c r="N145" s="33"/>
      <c r="O145" s="33"/>
      <c r="P145" s="33"/>
    </row>
    <row r="146" spans="1:16">
      <c r="A146" s="4"/>
      <c r="B146" s="33"/>
      <c r="C146" s="33"/>
      <c r="D146" s="33"/>
      <c r="E146" s="33"/>
      <c r="F146" s="561"/>
      <c r="G146" s="19"/>
      <c r="H146" s="409"/>
      <c r="I146" s="30"/>
      <c r="J146" s="30"/>
      <c r="K146" s="32"/>
      <c r="L146" s="33"/>
      <c r="M146" s="33"/>
      <c r="N146" s="33"/>
      <c r="O146" s="33"/>
      <c r="P146" s="33"/>
    </row>
    <row r="147" spans="1:16" ht="25.5">
      <c r="A147" s="4">
        <v>6.3</v>
      </c>
      <c r="B147" s="33"/>
      <c r="C147" s="33"/>
      <c r="D147" s="33" t="s">
        <v>13</v>
      </c>
      <c r="E147" s="33" t="s">
        <v>198</v>
      </c>
      <c r="F147" s="567" t="s">
        <v>199</v>
      </c>
      <c r="G147" s="19" t="s">
        <v>7</v>
      </c>
      <c r="H147" s="409">
        <f>25</f>
        <v>25</v>
      </c>
      <c r="I147" s="30">
        <v>11</v>
      </c>
      <c r="J147" s="31">
        <f>SUM(H147:I147)</f>
        <v>36</v>
      </c>
      <c r="K147" s="138"/>
      <c r="L147" s="33"/>
      <c r="M147" s="33"/>
      <c r="N147" s="75">
        <v>4980</v>
      </c>
      <c r="O147" s="75">
        <f>SUM(J147*N147)</f>
        <v>179280</v>
      </c>
      <c r="P147" s="33"/>
    </row>
    <row r="148" spans="1:16" ht="76.5">
      <c r="A148" s="4"/>
      <c r="B148" s="33"/>
      <c r="C148" s="33"/>
      <c r="D148" s="33"/>
      <c r="E148" s="33"/>
      <c r="F148" s="561" t="s">
        <v>200</v>
      </c>
      <c r="G148" s="19"/>
      <c r="H148" s="409"/>
      <c r="I148" s="30"/>
      <c r="J148" s="30"/>
      <c r="K148" s="32"/>
      <c r="L148" s="33"/>
      <c r="M148" s="33"/>
      <c r="N148" s="33"/>
      <c r="O148" s="33"/>
      <c r="P148" s="33"/>
    </row>
    <row r="149" spans="1:16">
      <c r="A149" s="110"/>
      <c r="B149" s="115"/>
      <c r="C149" s="115"/>
      <c r="D149" s="115"/>
      <c r="E149" s="115"/>
      <c r="F149" s="562"/>
      <c r="G149" s="111"/>
      <c r="H149" s="410"/>
      <c r="I149" s="113"/>
      <c r="J149" s="113"/>
      <c r="K149" s="114"/>
      <c r="L149" s="115"/>
      <c r="M149" s="115"/>
      <c r="N149" s="115"/>
      <c r="O149" s="115"/>
      <c r="P149" s="115"/>
    </row>
    <row r="150" spans="1:16" ht="15">
      <c r="A150" s="4">
        <v>6.4</v>
      </c>
      <c r="B150" s="115"/>
      <c r="C150" s="115"/>
      <c r="D150" s="125" t="s">
        <v>13</v>
      </c>
      <c r="E150" s="125" t="s">
        <v>43</v>
      </c>
      <c r="F150" s="139" t="s">
        <v>201</v>
      </c>
      <c r="G150" s="124" t="s">
        <v>7</v>
      </c>
      <c r="H150" s="411">
        <f>35*3+45</f>
        <v>150</v>
      </c>
      <c r="I150" s="113">
        <v>10</v>
      </c>
      <c r="J150" s="31">
        <f>SUM(H150:I150)</f>
        <v>160</v>
      </c>
      <c r="K150" s="114"/>
      <c r="L150" s="115"/>
      <c r="M150" s="115"/>
      <c r="N150" s="75">
        <v>492</v>
      </c>
      <c r="O150" s="75">
        <f>SUM(J150*N150)</f>
        <v>78720</v>
      </c>
      <c r="P150" s="115"/>
    </row>
    <row r="151" spans="1:16" ht="75">
      <c r="A151" s="110"/>
      <c r="B151" s="115"/>
      <c r="C151" s="115"/>
      <c r="D151" s="125"/>
      <c r="E151" s="125"/>
      <c r="F151" s="36" t="s">
        <v>45</v>
      </c>
      <c r="G151" s="124"/>
      <c r="H151" s="411"/>
      <c r="I151" s="113"/>
      <c r="J151" s="113"/>
      <c r="K151" s="114"/>
      <c r="L151" s="115"/>
      <c r="M151" s="115"/>
      <c r="N151" s="115"/>
      <c r="O151" s="115"/>
      <c r="P151" s="115"/>
    </row>
    <row r="152" spans="1:16" ht="15">
      <c r="A152" s="110"/>
      <c r="B152" s="115"/>
      <c r="C152" s="115"/>
      <c r="D152" s="125"/>
      <c r="E152" s="125"/>
      <c r="F152" s="36"/>
      <c r="G152" s="124"/>
      <c r="H152" s="411"/>
      <c r="I152" s="113"/>
      <c r="J152" s="113"/>
      <c r="K152" s="114"/>
      <c r="L152" s="115"/>
      <c r="M152" s="115"/>
      <c r="N152" s="115"/>
      <c r="O152" s="115"/>
      <c r="P152" s="115"/>
    </row>
    <row r="153" spans="1:16" ht="15">
      <c r="A153" s="4">
        <v>6.5</v>
      </c>
      <c r="B153" s="115"/>
      <c r="C153" s="115"/>
      <c r="D153" s="125" t="s">
        <v>13</v>
      </c>
      <c r="E153" s="125" t="s">
        <v>46</v>
      </c>
      <c r="F153" s="139" t="s">
        <v>14</v>
      </c>
      <c r="G153" s="124" t="s">
        <v>7</v>
      </c>
      <c r="H153" s="411">
        <f>108+42</f>
        <v>150</v>
      </c>
      <c r="I153" s="113">
        <v>30</v>
      </c>
      <c r="J153" s="31">
        <f>SUM(H153:I153)</f>
        <v>180</v>
      </c>
      <c r="K153" s="114"/>
      <c r="L153" s="115"/>
      <c r="M153" s="115"/>
      <c r="N153" s="75">
        <v>552</v>
      </c>
      <c r="O153" s="75">
        <f>SUM(J153*N153)</f>
        <v>99360</v>
      </c>
      <c r="P153" s="115"/>
    </row>
    <row r="154" spans="1:16" ht="60">
      <c r="A154" s="110"/>
      <c r="B154" s="115"/>
      <c r="C154" s="115"/>
      <c r="D154" s="125"/>
      <c r="E154" s="125"/>
      <c r="F154" s="36" t="s">
        <v>47</v>
      </c>
      <c r="G154" s="124"/>
      <c r="H154" s="411"/>
      <c r="I154" s="113"/>
      <c r="J154" s="113"/>
      <c r="K154" s="114"/>
      <c r="L154" s="115"/>
      <c r="M154" s="115"/>
      <c r="N154" s="115"/>
      <c r="O154" s="115"/>
      <c r="P154" s="115"/>
    </row>
    <row r="155" spans="1:16" ht="15">
      <c r="A155" s="110"/>
      <c r="B155" s="115"/>
      <c r="C155" s="115"/>
      <c r="D155" s="125"/>
      <c r="E155" s="125"/>
      <c r="F155" s="36"/>
      <c r="G155" s="124"/>
      <c r="H155" s="412"/>
      <c r="I155" s="113"/>
      <c r="J155" s="113"/>
      <c r="K155" s="114"/>
      <c r="L155" s="115"/>
      <c r="M155" s="115"/>
      <c r="N155" s="115"/>
      <c r="O155" s="115"/>
      <c r="P155" s="115"/>
    </row>
    <row r="156" spans="1:16" ht="30">
      <c r="A156" s="4">
        <v>6.6</v>
      </c>
      <c r="B156" s="115"/>
      <c r="C156" s="115"/>
      <c r="D156" s="125" t="s">
        <v>13</v>
      </c>
      <c r="E156" s="125" t="s">
        <v>202</v>
      </c>
      <c r="F156" s="139" t="s">
        <v>203</v>
      </c>
      <c r="G156" s="124" t="s">
        <v>7</v>
      </c>
      <c r="H156" s="411">
        <v>50</v>
      </c>
      <c r="I156" s="113">
        <v>10</v>
      </c>
      <c r="J156" s="31">
        <f>SUM(H156:I156)</f>
        <v>60</v>
      </c>
      <c r="K156" s="114"/>
      <c r="L156" s="115"/>
      <c r="M156" s="115"/>
      <c r="N156" s="75">
        <v>552</v>
      </c>
      <c r="O156" s="75">
        <f>SUM(J156*N156)</f>
        <v>33120</v>
      </c>
      <c r="P156" s="115"/>
    </row>
    <row r="157" spans="1:16" ht="45">
      <c r="A157" s="110"/>
      <c r="B157" s="115"/>
      <c r="C157" s="115"/>
      <c r="D157" s="125"/>
      <c r="E157" s="125"/>
      <c r="F157" s="36" t="s">
        <v>204</v>
      </c>
      <c r="G157" s="124"/>
      <c r="H157" s="412"/>
      <c r="I157" s="113"/>
      <c r="J157" s="113"/>
      <c r="K157" s="114"/>
      <c r="L157" s="115"/>
      <c r="M157" s="115"/>
      <c r="N157" s="115"/>
      <c r="O157" s="115"/>
      <c r="P157" s="115"/>
    </row>
    <row r="158" spans="1:16" ht="13.5" thickBot="1">
      <c r="A158" s="110"/>
      <c r="B158" s="115"/>
      <c r="C158" s="115"/>
      <c r="D158" s="115"/>
      <c r="E158" s="115"/>
      <c r="F158" s="568"/>
      <c r="G158" s="111"/>
      <c r="H158" s="410"/>
      <c r="I158" s="113"/>
      <c r="J158" s="113"/>
      <c r="K158" s="114"/>
      <c r="L158" s="114"/>
      <c r="M158" s="114"/>
      <c r="N158" s="114"/>
      <c r="O158" s="114"/>
      <c r="P158" s="114"/>
    </row>
    <row r="159" spans="1:16" ht="13.5" thickBot="1">
      <c r="A159" s="142"/>
      <c r="B159" s="143"/>
      <c r="C159" s="143"/>
      <c r="D159" s="143"/>
      <c r="E159" s="143"/>
      <c r="F159" s="96" t="s">
        <v>205</v>
      </c>
      <c r="G159" s="143"/>
      <c r="H159" s="421"/>
      <c r="I159" s="144"/>
      <c r="J159" s="144"/>
      <c r="K159" s="143"/>
      <c r="L159" s="143"/>
      <c r="M159" s="143"/>
      <c r="N159" s="143"/>
      <c r="O159" s="145">
        <f>SUM(O5:O157)</f>
        <v>13378164</v>
      </c>
      <c r="P159" s="146"/>
    </row>
  </sheetData>
  <mergeCells count="3">
    <mergeCell ref="A1:O1"/>
    <mergeCell ref="A2:K2"/>
    <mergeCell ref="L3:O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39"/>
  <sheetViews>
    <sheetView zoomScaleNormal="100" workbookViewId="0">
      <pane ySplit="4" topLeftCell="A136" activePane="bottomLeft" state="frozen"/>
      <selection pane="bottomLeft" activeCell="A142" sqref="A142:XFD152"/>
    </sheetView>
  </sheetViews>
  <sheetFormatPr defaultColWidth="6.125" defaultRowHeight="12.75"/>
  <cols>
    <col min="1" max="1" width="4.375" style="9" bestFit="1" customWidth="1"/>
    <col min="2" max="2" width="6.25" style="9" hidden="1" customWidth="1"/>
    <col min="3" max="3" width="3.125" style="9" hidden="1" customWidth="1"/>
    <col min="4" max="4" width="7" style="9" bestFit="1" customWidth="1"/>
    <col min="5" max="5" width="11" style="9" customWidth="1"/>
    <col min="6" max="6" width="44.375" style="9" customWidth="1"/>
    <col min="7" max="7" width="4.25" style="9" customWidth="1"/>
    <col min="8" max="8" width="6.375" style="414" bestFit="1" customWidth="1"/>
    <col min="9" max="9" width="9.5" style="9" bestFit="1" customWidth="1"/>
    <col min="10" max="10" width="11.875" style="148" bestFit="1" customWidth="1"/>
    <col min="11" max="203" width="6.125" style="9"/>
    <col min="204" max="204" width="5" style="9" customWidth="1"/>
    <col min="205" max="205" width="8.875" style="9" customWidth="1"/>
    <col min="206" max="206" width="5" style="9" customWidth="1"/>
    <col min="207" max="207" width="8.25" style="9" bestFit="1" customWidth="1"/>
    <col min="208" max="208" width="16.125" style="9" customWidth="1"/>
    <col min="209" max="209" width="86" style="9" customWidth="1"/>
    <col min="210" max="210" width="5" style="9" customWidth="1"/>
    <col min="211" max="211" width="11.125" style="9" customWidth="1"/>
    <col min="212" max="212" width="10.375" style="9" customWidth="1"/>
    <col min="213" max="213" width="10.875" style="9" customWidth="1"/>
    <col min="214" max="214" width="7.75" style="9" customWidth="1"/>
    <col min="215" max="215" width="9.875" style="9" customWidth="1"/>
    <col min="216" max="216" width="10.625" style="9" customWidth="1"/>
    <col min="217" max="459" width="6.125" style="9"/>
    <col min="460" max="460" width="5" style="9" customWidth="1"/>
    <col min="461" max="461" width="8.875" style="9" customWidth="1"/>
    <col min="462" max="462" width="5" style="9" customWidth="1"/>
    <col min="463" max="463" width="8.25" style="9" bestFit="1" customWidth="1"/>
    <col min="464" max="464" width="16.125" style="9" customWidth="1"/>
    <col min="465" max="465" width="86" style="9" customWidth="1"/>
    <col min="466" max="466" width="5" style="9" customWidth="1"/>
    <col min="467" max="467" width="11.125" style="9" customWidth="1"/>
    <col min="468" max="468" width="10.375" style="9" customWidth="1"/>
    <col min="469" max="469" width="10.875" style="9" customWidth="1"/>
    <col min="470" max="470" width="7.75" style="9" customWidth="1"/>
    <col min="471" max="471" width="9.875" style="9" customWidth="1"/>
    <col min="472" max="472" width="10.625" style="9" customWidth="1"/>
    <col min="473" max="715" width="6.125" style="9"/>
    <col min="716" max="716" width="5" style="9" customWidth="1"/>
    <col min="717" max="717" width="8.875" style="9" customWidth="1"/>
    <col min="718" max="718" width="5" style="9" customWidth="1"/>
    <col min="719" max="719" width="8.25" style="9" bestFit="1" customWidth="1"/>
    <col min="720" max="720" width="16.125" style="9" customWidth="1"/>
    <col min="721" max="721" width="86" style="9" customWidth="1"/>
    <col min="722" max="722" width="5" style="9" customWidth="1"/>
    <col min="723" max="723" width="11.125" style="9" customWidth="1"/>
    <col min="724" max="724" width="10.375" style="9" customWidth="1"/>
    <col min="725" max="725" width="10.875" style="9" customWidth="1"/>
    <col min="726" max="726" width="7.75" style="9" customWidth="1"/>
    <col min="727" max="727" width="9.875" style="9" customWidth="1"/>
    <col min="728" max="728" width="10.625" style="9" customWidth="1"/>
    <col min="729" max="971" width="6.125" style="9"/>
    <col min="972" max="972" width="5" style="9" customWidth="1"/>
    <col min="973" max="973" width="8.875" style="9" customWidth="1"/>
    <col min="974" max="974" width="5" style="9" customWidth="1"/>
    <col min="975" max="975" width="8.25" style="9" bestFit="1" customWidth="1"/>
    <col min="976" max="976" width="16.125" style="9" customWidth="1"/>
    <col min="977" max="977" width="86" style="9" customWidth="1"/>
    <col min="978" max="978" width="5" style="9" customWidth="1"/>
    <col min="979" max="979" width="11.125" style="9" customWidth="1"/>
    <col min="980" max="980" width="10.375" style="9" customWidth="1"/>
    <col min="981" max="981" width="10.875" style="9" customWidth="1"/>
    <col min="982" max="982" width="7.75" style="9" customWidth="1"/>
    <col min="983" max="983" width="9.875" style="9" customWidth="1"/>
    <col min="984" max="984" width="10.625" style="9" customWidth="1"/>
    <col min="985" max="1227" width="6.125" style="9"/>
    <col min="1228" max="1228" width="5" style="9" customWidth="1"/>
    <col min="1229" max="1229" width="8.875" style="9" customWidth="1"/>
    <col min="1230" max="1230" width="5" style="9" customWidth="1"/>
    <col min="1231" max="1231" width="8.25" style="9" bestFit="1" customWidth="1"/>
    <col min="1232" max="1232" width="16.125" style="9" customWidth="1"/>
    <col min="1233" max="1233" width="86" style="9" customWidth="1"/>
    <col min="1234" max="1234" width="5" style="9" customWidth="1"/>
    <col min="1235" max="1235" width="11.125" style="9" customWidth="1"/>
    <col min="1236" max="1236" width="10.375" style="9" customWidth="1"/>
    <col min="1237" max="1237" width="10.875" style="9" customWidth="1"/>
    <col min="1238" max="1238" width="7.75" style="9" customWidth="1"/>
    <col min="1239" max="1239" width="9.875" style="9" customWidth="1"/>
    <col min="1240" max="1240" width="10.625" style="9" customWidth="1"/>
    <col min="1241" max="1483" width="6.125" style="9"/>
    <col min="1484" max="1484" width="5" style="9" customWidth="1"/>
    <col min="1485" max="1485" width="8.875" style="9" customWidth="1"/>
    <col min="1486" max="1486" width="5" style="9" customWidth="1"/>
    <col min="1487" max="1487" width="8.25" style="9" bestFit="1" customWidth="1"/>
    <col min="1488" max="1488" width="16.125" style="9" customWidth="1"/>
    <col min="1489" max="1489" width="86" style="9" customWidth="1"/>
    <col min="1490" max="1490" width="5" style="9" customWidth="1"/>
    <col min="1491" max="1491" width="11.125" style="9" customWidth="1"/>
    <col min="1492" max="1492" width="10.375" style="9" customWidth="1"/>
    <col min="1493" max="1493" width="10.875" style="9" customWidth="1"/>
    <col min="1494" max="1494" width="7.75" style="9" customWidth="1"/>
    <col min="1495" max="1495" width="9.875" style="9" customWidth="1"/>
    <col min="1496" max="1496" width="10.625" style="9" customWidth="1"/>
    <col min="1497" max="1739" width="6.125" style="9"/>
    <col min="1740" max="1740" width="5" style="9" customWidth="1"/>
    <col min="1741" max="1741" width="8.875" style="9" customWidth="1"/>
    <col min="1742" max="1742" width="5" style="9" customWidth="1"/>
    <col min="1743" max="1743" width="8.25" style="9" bestFit="1" customWidth="1"/>
    <col min="1744" max="1744" width="16.125" style="9" customWidth="1"/>
    <col min="1745" max="1745" width="86" style="9" customWidth="1"/>
    <col min="1746" max="1746" width="5" style="9" customWidth="1"/>
    <col min="1747" max="1747" width="11.125" style="9" customWidth="1"/>
    <col min="1748" max="1748" width="10.375" style="9" customWidth="1"/>
    <col min="1749" max="1749" width="10.875" style="9" customWidth="1"/>
    <col min="1750" max="1750" width="7.75" style="9" customWidth="1"/>
    <col min="1751" max="1751" width="9.875" style="9" customWidth="1"/>
    <col min="1752" max="1752" width="10.625" style="9" customWidth="1"/>
    <col min="1753" max="1995" width="6.125" style="9"/>
    <col min="1996" max="1996" width="5" style="9" customWidth="1"/>
    <col min="1997" max="1997" width="8.875" style="9" customWidth="1"/>
    <col min="1998" max="1998" width="5" style="9" customWidth="1"/>
    <col min="1999" max="1999" width="8.25" style="9" bestFit="1" customWidth="1"/>
    <col min="2000" max="2000" width="16.125" style="9" customWidth="1"/>
    <col min="2001" max="2001" width="86" style="9" customWidth="1"/>
    <col min="2002" max="2002" width="5" style="9" customWidth="1"/>
    <col min="2003" max="2003" width="11.125" style="9" customWidth="1"/>
    <col min="2004" max="2004" width="10.375" style="9" customWidth="1"/>
    <col min="2005" max="2005" width="10.875" style="9" customWidth="1"/>
    <col min="2006" max="2006" width="7.75" style="9" customWidth="1"/>
    <col min="2007" max="2007" width="9.875" style="9" customWidth="1"/>
    <col min="2008" max="2008" width="10.625" style="9" customWidth="1"/>
    <col min="2009" max="2251" width="6.125" style="9"/>
    <col min="2252" max="2252" width="5" style="9" customWidth="1"/>
    <col min="2253" max="2253" width="8.875" style="9" customWidth="1"/>
    <col min="2254" max="2254" width="5" style="9" customWidth="1"/>
    <col min="2255" max="2255" width="8.25" style="9" bestFit="1" customWidth="1"/>
    <col min="2256" max="2256" width="16.125" style="9" customWidth="1"/>
    <col min="2257" max="2257" width="86" style="9" customWidth="1"/>
    <col min="2258" max="2258" width="5" style="9" customWidth="1"/>
    <col min="2259" max="2259" width="11.125" style="9" customWidth="1"/>
    <col min="2260" max="2260" width="10.375" style="9" customWidth="1"/>
    <col min="2261" max="2261" width="10.875" style="9" customWidth="1"/>
    <col min="2262" max="2262" width="7.75" style="9" customWidth="1"/>
    <col min="2263" max="2263" width="9.875" style="9" customWidth="1"/>
    <col min="2264" max="2264" width="10.625" style="9" customWidth="1"/>
    <col min="2265" max="2507" width="6.125" style="9"/>
    <col min="2508" max="2508" width="5" style="9" customWidth="1"/>
    <col min="2509" max="2509" width="8.875" style="9" customWidth="1"/>
    <col min="2510" max="2510" width="5" style="9" customWidth="1"/>
    <col min="2511" max="2511" width="8.25" style="9" bestFit="1" customWidth="1"/>
    <col min="2512" max="2512" width="16.125" style="9" customWidth="1"/>
    <col min="2513" max="2513" width="86" style="9" customWidth="1"/>
    <col min="2514" max="2514" width="5" style="9" customWidth="1"/>
    <col min="2515" max="2515" width="11.125" style="9" customWidth="1"/>
    <col min="2516" max="2516" width="10.375" style="9" customWidth="1"/>
    <col min="2517" max="2517" width="10.875" style="9" customWidth="1"/>
    <col min="2518" max="2518" width="7.75" style="9" customWidth="1"/>
    <col min="2519" max="2519" width="9.875" style="9" customWidth="1"/>
    <col min="2520" max="2520" width="10.625" style="9" customWidth="1"/>
    <col min="2521" max="2763" width="6.125" style="9"/>
    <col min="2764" max="2764" width="5" style="9" customWidth="1"/>
    <col min="2765" max="2765" width="8.875" style="9" customWidth="1"/>
    <col min="2766" max="2766" width="5" style="9" customWidth="1"/>
    <col min="2767" max="2767" width="8.25" style="9" bestFit="1" customWidth="1"/>
    <col min="2768" max="2768" width="16.125" style="9" customWidth="1"/>
    <col min="2769" max="2769" width="86" style="9" customWidth="1"/>
    <col min="2770" max="2770" width="5" style="9" customWidth="1"/>
    <col min="2771" max="2771" width="11.125" style="9" customWidth="1"/>
    <col min="2772" max="2772" width="10.375" style="9" customWidth="1"/>
    <col min="2773" max="2773" width="10.875" style="9" customWidth="1"/>
    <col min="2774" max="2774" width="7.75" style="9" customWidth="1"/>
    <col min="2775" max="2775" width="9.875" style="9" customWidth="1"/>
    <col min="2776" max="2776" width="10.625" style="9" customWidth="1"/>
    <col min="2777" max="3019" width="6.125" style="9"/>
    <col min="3020" max="3020" width="5" style="9" customWidth="1"/>
    <col min="3021" max="3021" width="8.875" style="9" customWidth="1"/>
    <col min="3022" max="3022" width="5" style="9" customWidth="1"/>
    <col min="3023" max="3023" width="8.25" style="9" bestFit="1" customWidth="1"/>
    <col min="3024" max="3024" width="16.125" style="9" customWidth="1"/>
    <col min="3025" max="3025" width="86" style="9" customWidth="1"/>
    <col min="3026" max="3026" width="5" style="9" customWidth="1"/>
    <col min="3027" max="3027" width="11.125" style="9" customWidth="1"/>
    <col min="3028" max="3028" width="10.375" style="9" customWidth="1"/>
    <col min="3029" max="3029" width="10.875" style="9" customWidth="1"/>
    <col min="3030" max="3030" width="7.75" style="9" customWidth="1"/>
    <col min="3031" max="3031" width="9.875" style="9" customWidth="1"/>
    <col min="3032" max="3032" width="10.625" style="9" customWidth="1"/>
    <col min="3033" max="3275" width="6.125" style="9"/>
    <col min="3276" max="3276" width="5" style="9" customWidth="1"/>
    <col min="3277" max="3277" width="8.875" style="9" customWidth="1"/>
    <col min="3278" max="3278" width="5" style="9" customWidth="1"/>
    <col min="3279" max="3279" width="8.25" style="9" bestFit="1" customWidth="1"/>
    <col min="3280" max="3280" width="16.125" style="9" customWidth="1"/>
    <col min="3281" max="3281" width="86" style="9" customWidth="1"/>
    <col min="3282" max="3282" width="5" style="9" customWidth="1"/>
    <col min="3283" max="3283" width="11.125" style="9" customWidth="1"/>
    <col min="3284" max="3284" width="10.375" style="9" customWidth="1"/>
    <col min="3285" max="3285" width="10.875" style="9" customWidth="1"/>
    <col min="3286" max="3286" width="7.75" style="9" customWidth="1"/>
    <col min="3287" max="3287" width="9.875" style="9" customWidth="1"/>
    <col min="3288" max="3288" width="10.625" style="9" customWidth="1"/>
    <col min="3289" max="3531" width="6.125" style="9"/>
    <col min="3532" max="3532" width="5" style="9" customWidth="1"/>
    <col min="3533" max="3533" width="8.875" style="9" customWidth="1"/>
    <col min="3534" max="3534" width="5" style="9" customWidth="1"/>
    <col min="3535" max="3535" width="8.25" style="9" bestFit="1" customWidth="1"/>
    <col min="3536" max="3536" width="16.125" style="9" customWidth="1"/>
    <col min="3537" max="3537" width="86" style="9" customWidth="1"/>
    <col min="3538" max="3538" width="5" style="9" customWidth="1"/>
    <col min="3539" max="3539" width="11.125" style="9" customWidth="1"/>
    <col min="3540" max="3540" width="10.375" style="9" customWidth="1"/>
    <col min="3541" max="3541" width="10.875" style="9" customWidth="1"/>
    <col min="3542" max="3542" width="7.75" style="9" customWidth="1"/>
    <col min="3543" max="3543" width="9.875" style="9" customWidth="1"/>
    <col min="3544" max="3544" width="10.625" style="9" customWidth="1"/>
    <col min="3545" max="3787" width="6.125" style="9"/>
    <col min="3788" max="3788" width="5" style="9" customWidth="1"/>
    <col min="3789" max="3789" width="8.875" style="9" customWidth="1"/>
    <col min="3790" max="3790" width="5" style="9" customWidth="1"/>
    <col min="3791" max="3791" width="8.25" style="9" bestFit="1" customWidth="1"/>
    <col min="3792" max="3792" width="16.125" style="9" customWidth="1"/>
    <col min="3793" max="3793" width="86" style="9" customWidth="1"/>
    <col min="3794" max="3794" width="5" style="9" customWidth="1"/>
    <col min="3795" max="3795" width="11.125" style="9" customWidth="1"/>
    <col min="3796" max="3796" width="10.375" style="9" customWidth="1"/>
    <col min="3797" max="3797" width="10.875" style="9" customWidth="1"/>
    <col min="3798" max="3798" width="7.75" style="9" customWidth="1"/>
    <col min="3799" max="3799" width="9.875" style="9" customWidth="1"/>
    <col min="3800" max="3800" width="10.625" style="9" customWidth="1"/>
    <col min="3801" max="4043" width="6.125" style="9"/>
    <col min="4044" max="4044" width="5" style="9" customWidth="1"/>
    <col min="4045" max="4045" width="8.875" style="9" customWidth="1"/>
    <col min="4046" max="4046" width="5" style="9" customWidth="1"/>
    <col min="4047" max="4047" width="8.25" style="9" bestFit="1" customWidth="1"/>
    <col min="4048" max="4048" width="16.125" style="9" customWidth="1"/>
    <col min="4049" max="4049" width="86" style="9" customWidth="1"/>
    <col min="4050" max="4050" width="5" style="9" customWidth="1"/>
    <col min="4051" max="4051" width="11.125" style="9" customWidth="1"/>
    <col min="4052" max="4052" width="10.375" style="9" customWidth="1"/>
    <col min="4053" max="4053" width="10.875" style="9" customWidth="1"/>
    <col min="4054" max="4054" width="7.75" style="9" customWidth="1"/>
    <col min="4055" max="4055" width="9.875" style="9" customWidth="1"/>
    <col min="4056" max="4056" width="10.625" style="9" customWidth="1"/>
    <col min="4057" max="4299" width="6.125" style="9"/>
    <col min="4300" max="4300" width="5" style="9" customWidth="1"/>
    <col min="4301" max="4301" width="8.875" style="9" customWidth="1"/>
    <col min="4302" max="4302" width="5" style="9" customWidth="1"/>
    <col min="4303" max="4303" width="8.25" style="9" bestFit="1" customWidth="1"/>
    <col min="4304" max="4304" width="16.125" style="9" customWidth="1"/>
    <col min="4305" max="4305" width="86" style="9" customWidth="1"/>
    <col min="4306" max="4306" width="5" style="9" customWidth="1"/>
    <col min="4307" max="4307" width="11.125" style="9" customWidth="1"/>
    <col min="4308" max="4308" width="10.375" style="9" customWidth="1"/>
    <col min="4309" max="4309" width="10.875" style="9" customWidth="1"/>
    <col min="4310" max="4310" width="7.75" style="9" customWidth="1"/>
    <col min="4311" max="4311" width="9.875" style="9" customWidth="1"/>
    <col min="4312" max="4312" width="10.625" style="9" customWidth="1"/>
    <col min="4313" max="4555" width="6.125" style="9"/>
    <col min="4556" max="4556" width="5" style="9" customWidth="1"/>
    <col min="4557" max="4557" width="8.875" style="9" customWidth="1"/>
    <col min="4558" max="4558" width="5" style="9" customWidth="1"/>
    <col min="4559" max="4559" width="8.25" style="9" bestFit="1" customWidth="1"/>
    <col min="4560" max="4560" width="16.125" style="9" customWidth="1"/>
    <col min="4561" max="4561" width="86" style="9" customWidth="1"/>
    <col min="4562" max="4562" width="5" style="9" customWidth="1"/>
    <col min="4563" max="4563" width="11.125" style="9" customWidth="1"/>
    <col min="4564" max="4564" width="10.375" style="9" customWidth="1"/>
    <col min="4565" max="4565" width="10.875" style="9" customWidth="1"/>
    <col min="4566" max="4566" width="7.75" style="9" customWidth="1"/>
    <col min="4567" max="4567" width="9.875" style="9" customWidth="1"/>
    <col min="4568" max="4568" width="10.625" style="9" customWidth="1"/>
    <col min="4569" max="4811" width="6.125" style="9"/>
    <col min="4812" max="4812" width="5" style="9" customWidth="1"/>
    <col min="4813" max="4813" width="8.875" style="9" customWidth="1"/>
    <col min="4814" max="4814" width="5" style="9" customWidth="1"/>
    <col min="4815" max="4815" width="8.25" style="9" bestFit="1" customWidth="1"/>
    <col min="4816" max="4816" width="16.125" style="9" customWidth="1"/>
    <col min="4817" max="4817" width="86" style="9" customWidth="1"/>
    <col min="4818" max="4818" width="5" style="9" customWidth="1"/>
    <col min="4819" max="4819" width="11.125" style="9" customWidth="1"/>
    <col min="4820" max="4820" width="10.375" style="9" customWidth="1"/>
    <col min="4821" max="4821" width="10.875" style="9" customWidth="1"/>
    <col min="4822" max="4822" width="7.75" style="9" customWidth="1"/>
    <col min="4823" max="4823" width="9.875" style="9" customWidth="1"/>
    <col min="4824" max="4824" width="10.625" style="9" customWidth="1"/>
    <col min="4825" max="5067" width="6.125" style="9"/>
    <col min="5068" max="5068" width="5" style="9" customWidth="1"/>
    <col min="5069" max="5069" width="8.875" style="9" customWidth="1"/>
    <col min="5070" max="5070" width="5" style="9" customWidth="1"/>
    <col min="5071" max="5071" width="8.25" style="9" bestFit="1" customWidth="1"/>
    <col min="5072" max="5072" width="16.125" style="9" customWidth="1"/>
    <col min="5073" max="5073" width="86" style="9" customWidth="1"/>
    <col min="5074" max="5074" width="5" style="9" customWidth="1"/>
    <col min="5075" max="5075" width="11.125" style="9" customWidth="1"/>
    <col min="5076" max="5076" width="10.375" style="9" customWidth="1"/>
    <col min="5077" max="5077" width="10.875" style="9" customWidth="1"/>
    <col min="5078" max="5078" width="7.75" style="9" customWidth="1"/>
    <col min="5079" max="5079" width="9.875" style="9" customWidth="1"/>
    <col min="5080" max="5080" width="10.625" style="9" customWidth="1"/>
    <col min="5081" max="5323" width="6.125" style="9"/>
    <col min="5324" max="5324" width="5" style="9" customWidth="1"/>
    <col min="5325" max="5325" width="8.875" style="9" customWidth="1"/>
    <col min="5326" max="5326" width="5" style="9" customWidth="1"/>
    <col min="5327" max="5327" width="8.25" style="9" bestFit="1" customWidth="1"/>
    <col min="5328" max="5328" width="16.125" style="9" customWidth="1"/>
    <col min="5329" max="5329" width="86" style="9" customWidth="1"/>
    <col min="5330" max="5330" width="5" style="9" customWidth="1"/>
    <col min="5331" max="5331" width="11.125" style="9" customWidth="1"/>
    <col min="5332" max="5332" width="10.375" style="9" customWidth="1"/>
    <col min="5333" max="5333" width="10.875" style="9" customWidth="1"/>
    <col min="5334" max="5334" width="7.75" style="9" customWidth="1"/>
    <col min="5335" max="5335" width="9.875" style="9" customWidth="1"/>
    <col min="5336" max="5336" width="10.625" style="9" customWidth="1"/>
    <col min="5337" max="5579" width="6.125" style="9"/>
    <col min="5580" max="5580" width="5" style="9" customWidth="1"/>
    <col min="5581" max="5581" width="8.875" style="9" customWidth="1"/>
    <col min="5582" max="5582" width="5" style="9" customWidth="1"/>
    <col min="5583" max="5583" width="8.25" style="9" bestFit="1" customWidth="1"/>
    <col min="5584" max="5584" width="16.125" style="9" customWidth="1"/>
    <col min="5585" max="5585" width="86" style="9" customWidth="1"/>
    <col min="5586" max="5586" width="5" style="9" customWidth="1"/>
    <col min="5587" max="5587" width="11.125" style="9" customWidth="1"/>
    <col min="5588" max="5588" width="10.375" style="9" customWidth="1"/>
    <col min="5589" max="5589" width="10.875" style="9" customWidth="1"/>
    <col min="5590" max="5590" width="7.75" style="9" customWidth="1"/>
    <col min="5591" max="5591" width="9.875" style="9" customWidth="1"/>
    <col min="5592" max="5592" width="10.625" style="9" customWidth="1"/>
    <col min="5593" max="5835" width="6.125" style="9"/>
    <col min="5836" max="5836" width="5" style="9" customWidth="1"/>
    <col min="5837" max="5837" width="8.875" style="9" customWidth="1"/>
    <col min="5838" max="5838" width="5" style="9" customWidth="1"/>
    <col min="5839" max="5839" width="8.25" style="9" bestFit="1" customWidth="1"/>
    <col min="5840" max="5840" width="16.125" style="9" customWidth="1"/>
    <col min="5841" max="5841" width="86" style="9" customWidth="1"/>
    <col min="5842" max="5842" width="5" style="9" customWidth="1"/>
    <col min="5843" max="5843" width="11.125" style="9" customWidth="1"/>
    <col min="5844" max="5844" width="10.375" style="9" customWidth="1"/>
    <col min="5845" max="5845" width="10.875" style="9" customWidth="1"/>
    <col min="5846" max="5846" width="7.75" style="9" customWidth="1"/>
    <col min="5847" max="5847" width="9.875" style="9" customWidth="1"/>
    <col min="5848" max="5848" width="10.625" style="9" customWidth="1"/>
    <col min="5849" max="6091" width="6.125" style="9"/>
    <col min="6092" max="6092" width="5" style="9" customWidth="1"/>
    <col min="6093" max="6093" width="8.875" style="9" customWidth="1"/>
    <col min="6094" max="6094" width="5" style="9" customWidth="1"/>
    <col min="6095" max="6095" width="8.25" style="9" bestFit="1" customWidth="1"/>
    <col min="6096" max="6096" width="16.125" style="9" customWidth="1"/>
    <col min="6097" max="6097" width="86" style="9" customWidth="1"/>
    <col min="6098" max="6098" width="5" style="9" customWidth="1"/>
    <col min="6099" max="6099" width="11.125" style="9" customWidth="1"/>
    <col min="6100" max="6100" width="10.375" style="9" customWidth="1"/>
    <col min="6101" max="6101" width="10.875" style="9" customWidth="1"/>
    <col min="6102" max="6102" width="7.75" style="9" customWidth="1"/>
    <col min="6103" max="6103" width="9.875" style="9" customWidth="1"/>
    <col min="6104" max="6104" width="10.625" style="9" customWidth="1"/>
    <col min="6105" max="6347" width="6.125" style="9"/>
    <col min="6348" max="6348" width="5" style="9" customWidth="1"/>
    <col min="6349" max="6349" width="8.875" style="9" customWidth="1"/>
    <col min="6350" max="6350" width="5" style="9" customWidth="1"/>
    <col min="6351" max="6351" width="8.25" style="9" bestFit="1" customWidth="1"/>
    <col min="6352" max="6352" width="16.125" style="9" customWidth="1"/>
    <col min="6353" max="6353" width="86" style="9" customWidth="1"/>
    <col min="6354" max="6354" width="5" style="9" customWidth="1"/>
    <col min="6355" max="6355" width="11.125" style="9" customWidth="1"/>
    <col min="6356" max="6356" width="10.375" style="9" customWidth="1"/>
    <col min="6357" max="6357" width="10.875" style="9" customWidth="1"/>
    <col min="6358" max="6358" width="7.75" style="9" customWidth="1"/>
    <col min="6359" max="6359" width="9.875" style="9" customWidth="1"/>
    <col min="6360" max="6360" width="10.625" style="9" customWidth="1"/>
    <col min="6361" max="6603" width="6.125" style="9"/>
    <col min="6604" max="6604" width="5" style="9" customWidth="1"/>
    <col min="6605" max="6605" width="8.875" style="9" customWidth="1"/>
    <col min="6606" max="6606" width="5" style="9" customWidth="1"/>
    <col min="6607" max="6607" width="8.25" style="9" bestFit="1" customWidth="1"/>
    <col min="6608" max="6608" width="16.125" style="9" customWidth="1"/>
    <col min="6609" max="6609" width="86" style="9" customWidth="1"/>
    <col min="6610" max="6610" width="5" style="9" customWidth="1"/>
    <col min="6611" max="6611" width="11.125" style="9" customWidth="1"/>
    <col min="6612" max="6612" width="10.375" style="9" customWidth="1"/>
    <col min="6613" max="6613" width="10.875" style="9" customWidth="1"/>
    <col min="6614" max="6614" width="7.75" style="9" customWidth="1"/>
    <col min="6615" max="6615" width="9.875" style="9" customWidth="1"/>
    <col min="6616" max="6616" width="10.625" style="9" customWidth="1"/>
    <col min="6617" max="6859" width="6.125" style="9"/>
    <col min="6860" max="6860" width="5" style="9" customWidth="1"/>
    <col min="6861" max="6861" width="8.875" style="9" customWidth="1"/>
    <col min="6862" max="6862" width="5" style="9" customWidth="1"/>
    <col min="6863" max="6863" width="8.25" style="9" bestFit="1" customWidth="1"/>
    <col min="6864" max="6864" width="16.125" style="9" customWidth="1"/>
    <col min="6865" max="6865" width="86" style="9" customWidth="1"/>
    <col min="6866" max="6866" width="5" style="9" customWidth="1"/>
    <col min="6867" max="6867" width="11.125" style="9" customWidth="1"/>
    <col min="6868" max="6868" width="10.375" style="9" customWidth="1"/>
    <col min="6869" max="6869" width="10.875" style="9" customWidth="1"/>
    <col min="6870" max="6870" width="7.75" style="9" customWidth="1"/>
    <col min="6871" max="6871" width="9.875" style="9" customWidth="1"/>
    <col min="6872" max="6872" width="10.625" style="9" customWidth="1"/>
    <col min="6873" max="7115" width="6.125" style="9"/>
    <col min="7116" max="7116" width="5" style="9" customWidth="1"/>
    <col min="7117" max="7117" width="8.875" style="9" customWidth="1"/>
    <col min="7118" max="7118" width="5" style="9" customWidth="1"/>
    <col min="7119" max="7119" width="8.25" style="9" bestFit="1" customWidth="1"/>
    <col min="7120" max="7120" width="16.125" style="9" customWidth="1"/>
    <col min="7121" max="7121" width="86" style="9" customWidth="1"/>
    <col min="7122" max="7122" width="5" style="9" customWidth="1"/>
    <col min="7123" max="7123" width="11.125" style="9" customWidth="1"/>
    <col min="7124" max="7124" width="10.375" style="9" customWidth="1"/>
    <col min="7125" max="7125" width="10.875" style="9" customWidth="1"/>
    <col min="7126" max="7126" width="7.75" style="9" customWidth="1"/>
    <col min="7127" max="7127" width="9.875" style="9" customWidth="1"/>
    <col min="7128" max="7128" width="10.625" style="9" customWidth="1"/>
    <col min="7129" max="7371" width="6.125" style="9"/>
    <col min="7372" max="7372" width="5" style="9" customWidth="1"/>
    <col min="7373" max="7373" width="8.875" style="9" customWidth="1"/>
    <col min="7374" max="7374" width="5" style="9" customWidth="1"/>
    <col min="7375" max="7375" width="8.25" style="9" bestFit="1" customWidth="1"/>
    <col min="7376" max="7376" width="16.125" style="9" customWidth="1"/>
    <col min="7377" max="7377" width="86" style="9" customWidth="1"/>
    <col min="7378" max="7378" width="5" style="9" customWidth="1"/>
    <col min="7379" max="7379" width="11.125" style="9" customWidth="1"/>
    <col min="7380" max="7380" width="10.375" style="9" customWidth="1"/>
    <col min="7381" max="7381" width="10.875" style="9" customWidth="1"/>
    <col min="7382" max="7382" width="7.75" style="9" customWidth="1"/>
    <col min="7383" max="7383" width="9.875" style="9" customWidth="1"/>
    <col min="7384" max="7384" width="10.625" style="9" customWidth="1"/>
    <col min="7385" max="7627" width="6.125" style="9"/>
    <col min="7628" max="7628" width="5" style="9" customWidth="1"/>
    <col min="7629" max="7629" width="8.875" style="9" customWidth="1"/>
    <col min="7630" max="7630" width="5" style="9" customWidth="1"/>
    <col min="7631" max="7631" width="8.25" style="9" bestFit="1" customWidth="1"/>
    <col min="7632" max="7632" width="16.125" style="9" customWidth="1"/>
    <col min="7633" max="7633" width="86" style="9" customWidth="1"/>
    <col min="7634" max="7634" width="5" style="9" customWidth="1"/>
    <col min="7635" max="7635" width="11.125" style="9" customWidth="1"/>
    <col min="7636" max="7636" width="10.375" style="9" customWidth="1"/>
    <col min="7637" max="7637" width="10.875" style="9" customWidth="1"/>
    <col min="7638" max="7638" width="7.75" style="9" customWidth="1"/>
    <col min="7639" max="7639" width="9.875" style="9" customWidth="1"/>
    <col min="7640" max="7640" width="10.625" style="9" customWidth="1"/>
    <col min="7641" max="7883" width="6.125" style="9"/>
    <col min="7884" max="7884" width="5" style="9" customWidth="1"/>
    <col min="7885" max="7885" width="8.875" style="9" customWidth="1"/>
    <col min="7886" max="7886" width="5" style="9" customWidth="1"/>
    <col min="7887" max="7887" width="8.25" style="9" bestFit="1" customWidth="1"/>
    <col min="7888" max="7888" width="16.125" style="9" customWidth="1"/>
    <col min="7889" max="7889" width="86" style="9" customWidth="1"/>
    <col min="7890" max="7890" width="5" style="9" customWidth="1"/>
    <col min="7891" max="7891" width="11.125" style="9" customWidth="1"/>
    <col min="7892" max="7892" width="10.375" style="9" customWidth="1"/>
    <col min="7893" max="7893" width="10.875" style="9" customWidth="1"/>
    <col min="7894" max="7894" width="7.75" style="9" customWidth="1"/>
    <col min="7895" max="7895" width="9.875" style="9" customWidth="1"/>
    <col min="7896" max="7896" width="10.625" style="9" customWidth="1"/>
    <col min="7897" max="8139" width="6.125" style="9"/>
    <col min="8140" max="8140" width="5" style="9" customWidth="1"/>
    <col min="8141" max="8141" width="8.875" style="9" customWidth="1"/>
    <col min="8142" max="8142" width="5" style="9" customWidth="1"/>
    <col min="8143" max="8143" width="8.25" style="9" bestFit="1" customWidth="1"/>
    <col min="8144" max="8144" width="16.125" style="9" customWidth="1"/>
    <col min="8145" max="8145" width="86" style="9" customWidth="1"/>
    <col min="8146" max="8146" width="5" style="9" customWidth="1"/>
    <col min="8147" max="8147" width="11.125" style="9" customWidth="1"/>
    <col min="8148" max="8148" width="10.375" style="9" customWidth="1"/>
    <col min="8149" max="8149" width="10.875" style="9" customWidth="1"/>
    <col min="8150" max="8150" width="7.75" style="9" customWidth="1"/>
    <col min="8151" max="8151" width="9.875" style="9" customWidth="1"/>
    <col min="8152" max="8152" width="10.625" style="9" customWidth="1"/>
    <col min="8153" max="8395" width="6.125" style="9"/>
    <col min="8396" max="8396" width="5" style="9" customWidth="1"/>
    <col min="8397" max="8397" width="8.875" style="9" customWidth="1"/>
    <col min="8398" max="8398" width="5" style="9" customWidth="1"/>
    <col min="8399" max="8399" width="8.25" style="9" bestFit="1" customWidth="1"/>
    <col min="8400" max="8400" width="16.125" style="9" customWidth="1"/>
    <col min="8401" max="8401" width="86" style="9" customWidth="1"/>
    <col min="8402" max="8402" width="5" style="9" customWidth="1"/>
    <col min="8403" max="8403" width="11.125" style="9" customWidth="1"/>
    <col min="8404" max="8404" width="10.375" style="9" customWidth="1"/>
    <col min="8405" max="8405" width="10.875" style="9" customWidth="1"/>
    <col min="8406" max="8406" width="7.75" style="9" customWidth="1"/>
    <col min="8407" max="8407" width="9.875" style="9" customWidth="1"/>
    <col min="8408" max="8408" width="10.625" style="9" customWidth="1"/>
    <col min="8409" max="8651" width="6.125" style="9"/>
    <col min="8652" max="8652" width="5" style="9" customWidth="1"/>
    <col min="8653" max="8653" width="8.875" style="9" customWidth="1"/>
    <col min="8654" max="8654" width="5" style="9" customWidth="1"/>
    <col min="8655" max="8655" width="8.25" style="9" bestFit="1" customWidth="1"/>
    <col min="8656" max="8656" width="16.125" style="9" customWidth="1"/>
    <col min="8657" max="8657" width="86" style="9" customWidth="1"/>
    <col min="8658" max="8658" width="5" style="9" customWidth="1"/>
    <col min="8659" max="8659" width="11.125" style="9" customWidth="1"/>
    <col min="8660" max="8660" width="10.375" style="9" customWidth="1"/>
    <col min="8661" max="8661" width="10.875" style="9" customWidth="1"/>
    <col min="8662" max="8662" width="7.75" style="9" customWidth="1"/>
    <col min="8663" max="8663" width="9.875" style="9" customWidth="1"/>
    <col min="8664" max="8664" width="10.625" style="9" customWidth="1"/>
    <col min="8665" max="8907" width="6.125" style="9"/>
    <col min="8908" max="8908" width="5" style="9" customWidth="1"/>
    <col min="8909" max="8909" width="8.875" style="9" customWidth="1"/>
    <col min="8910" max="8910" width="5" style="9" customWidth="1"/>
    <col min="8911" max="8911" width="8.25" style="9" bestFit="1" customWidth="1"/>
    <col min="8912" max="8912" width="16.125" style="9" customWidth="1"/>
    <col min="8913" max="8913" width="86" style="9" customWidth="1"/>
    <col min="8914" max="8914" width="5" style="9" customWidth="1"/>
    <col min="8915" max="8915" width="11.125" style="9" customWidth="1"/>
    <col min="8916" max="8916" width="10.375" style="9" customWidth="1"/>
    <col min="8917" max="8917" width="10.875" style="9" customWidth="1"/>
    <col min="8918" max="8918" width="7.75" style="9" customWidth="1"/>
    <col min="8919" max="8919" width="9.875" style="9" customWidth="1"/>
    <col min="8920" max="8920" width="10.625" style="9" customWidth="1"/>
    <col min="8921" max="9163" width="6.125" style="9"/>
    <col min="9164" max="9164" width="5" style="9" customWidth="1"/>
    <col min="9165" max="9165" width="8.875" style="9" customWidth="1"/>
    <col min="9166" max="9166" width="5" style="9" customWidth="1"/>
    <col min="9167" max="9167" width="8.25" style="9" bestFit="1" customWidth="1"/>
    <col min="9168" max="9168" width="16.125" style="9" customWidth="1"/>
    <col min="9169" max="9169" width="86" style="9" customWidth="1"/>
    <col min="9170" max="9170" width="5" style="9" customWidth="1"/>
    <col min="9171" max="9171" width="11.125" style="9" customWidth="1"/>
    <col min="9172" max="9172" width="10.375" style="9" customWidth="1"/>
    <col min="9173" max="9173" width="10.875" style="9" customWidth="1"/>
    <col min="9174" max="9174" width="7.75" style="9" customWidth="1"/>
    <col min="9175" max="9175" width="9.875" style="9" customWidth="1"/>
    <col min="9176" max="9176" width="10.625" style="9" customWidth="1"/>
    <col min="9177" max="9419" width="6.125" style="9"/>
    <col min="9420" max="9420" width="5" style="9" customWidth="1"/>
    <col min="9421" max="9421" width="8.875" style="9" customWidth="1"/>
    <col min="9422" max="9422" width="5" style="9" customWidth="1"/>
    <col min="9423" max="9423" width="8.25" style="9" bestFit="1" customWidth="1"/>
    <col min="9424" max="9424" width="16.125" style="9" customWidth="1"/>
    <col min="9425" max="9425" width="86" style="9" customWidth="1"/>
    <col min="9426" max="9426" width="5" style="9" customWidth="1"/>
    <col min="9427" max="9427" width="11.125" style="9" customWidth="1"/>
    <col min="9428" max="9428" width="10.375" style="9" customWidth="1"/>
    <col min="9429" max="9429" width="10.875" style="9" customWidth="1"/>
    <col min="9430" max="9430" width="7.75" style="9" customWidth="1"/>
    <col min="9431" max="9431" width="9.875" style="9" customWidth="1"/>
    <col min="9432" max="9432" width="10.625" style="9" customWidth="1"/>
    <col min="9433" max="9675" width="6.125" style="9"/>
    <col min="9676" max="9676" width="5" style="9" customWidth="1"/>
    <col min="9677" max="9677" width="8.875" style="9" customWidth="1"/>
    <col min="9678" max="9678" width="5" style="9" customWidth="1"/>
    <col min="9679" max="9679" width="8.25" style="9" bestFit="1" customWidth="1"/>
    <col min="9680" max="9680" width="16.125" style="9" customWidth="1"/>
    <col min="9681" max="9681" width="86" style="9" customWidth="1"/>
    <col min="9682" max="9682" width="5" style="9" customWidth="1"/>
    <col min="9683" max="9683" width="11.125" style="9" customWidth="1"/>
    <col min="9684" max="9684" width="10.375" style="9" customWidth="1"/>
    <col min="9685" max="9685" width="10.875" style="9" customWidth="1"/>
    <col min="9686" max="9686" width="7.75" style="9" customWidth="1"/>
    <col min="9687" max="9687" width="9.875" style="9" customWidth="1"/>
    <col min="9688" max="9688" width="10.625" style="9" customWidth="1"/>
    <col min="9689" max="9931" width="6.125" style="9"/>
    <col min="9932" max="9932" width="5" style="9" customWidth="1"/>
    <col min="9933" max="9933" width="8.875" style="9" customWidth="1"/>
    <col min="9934" max="9934" width="5" style="9" customWidth="1"/>
    <col min="9935" max="9935" width="8.25" style="9" bestFit="1" customWidth="1"/>
    <col min="9936" max="9936" width="16.125" style="9" customWidth="1"/>
    <col min="9937" max="9937" width="86" style="9" customWidth="1"/>
    <col min="9938" max="9938" width="5" style="9" customWidth="1"/>
    <col min="9939" max="9939" width="11.125" style="9" customWidth="1"/>
    <col min="9940" max="9940" width="10.375" style="9" customWidth="1"/>
    <col min="9941" max="9941" width="10.875" style="9" customWidth="1"/>
    <col min="9942" max="9942" width="7.75" style="9" customWidth="1"/>
    <col min="9943" max="9943" width="9.875" style="9" customWidth="1"/>
    <col min="9944" max="9944" width="10.625" style="9" customWidth="1"/>
    <col min="9945" max="10187" width="6.125" style="9"/>
    <col min="10188" max="10188" width="5" style="9" customWidth="1"/>
    <col min="10189" max="10189" width="8.875" style="9" customWidth="1"/>
    <col min="10190" max="10190" width="5" style="9" customWidth="1"/>
    <col min="10191" max="10191" width="8.25" style="9" bestFit="1" customWidth="1"/>
    <col min="10192" max="10192" width="16.125" style="9" customWidth="1"/>
    <col min="10193" max="10193" width="86" style="9" customWidth="1"/>
    <col min="10194" max="10194" width="5" style="9" customWidth="1"/>
    <col min="10195" max="10195" width="11.125" style="9" customWidth="1"/>
    <col min="10196" max="10196" width="10.375" style="9" customWidth="1"/>
    <col min="10197" max="10197" width="10.875" style="9" customWidth="1"/>
    <col min="10198" max="10198" width="7.75" style="9" customWidth="1"/>
    <col min="10199" max="10199" width="9.875" style="9" customWidth="1"/>
    <col min="10200" max="10200" width="10.625" style="9" customWidth="1"/>
    <col min="10201" max="10443" width="6.125" style="9"/>
    <col min="10444" max="10444" width="5" style="9" customWidth="1"/>
    <col min="10445" max="10445" width="8.875" style="9" customWidth="1"/>
    <col min="10446" max="10446" width="5" style="9" customWidth="1"/>
    <col min="10447" max="10447" width="8.25" style="9" bestFit="1" customWidth="1"/>
    <col min="10448" max="10448" width="16.125" style="9" customWidth="1"/>
    <col min="10449" max="10449" width="86" style="9" customWidth="1"/>
    <col min="10450" max="10450" width="5" style="9" customWidth="1"/>
    <col min="10451" max="10451" width="11.125" style="9" customWidth="1"/>
    <col min="10452" max="10452" width="10.375" style="9" customWidth="1"/>
    <col min="10453" max="10453" width="10.875" style="9" customWidth="1"/>
    <col min="10454" max="10454" width="7.75" style="9" customWidth="1"/>
    <col min="10455" max="10455" width="9.875" style="9" customWidth="1"/>
    <col min="10456" max="10456" width="10.625" style="9" customWidth="1"/>
    <col min="10457" max="10699" width="6.125" style="9"/>
    <col min="10700" max="10700" width="5" style="9" customWidth="1"/>
    <col min="10701" max="10701" width="8.875" style="9" customWidth="1"/>
    <col min="10702" max="10702" width="5" style="9" customWidth="1"/>
    <col min="10703" max="10703" width="8.25" style="9" bestFit="1" customWidth="1"/>
    <col min="10704" max="10704" width="16.125" style="9" customWidth="1"/>
    <col min="10705" max="10705" width="86" style="9" customWidth="1"/>
    <col min="10706" max="10706" width="5" style="9" customWidth="1"/>
    <col min="10707" max="10707" width="11.125" style="9" customWidth="1"/>
    <col min="10708" max="10708" width="10.375" style="9" customWidth="1"/>
    <col min="10709" max="10709" width="10.875" style="9" customWidth="1"/>
    <col min="10710" max="10710" width="7.75" style="9" customWidth="1"/>
    <col min="10711" max="10711" width="9.875" style="9" customWidth="1"/>
    <col min="10712" max="10712" width="10.625" style="9" customWidth="1"/>
    <col min="10713" max="10955" width="6.125" style="9"/>
    <col min="10956" max="10956" width="5" style="9" customWidth="1"/>
    <col min="10957" max="10957" width="8.875" style="9" customWidth="1"/>
    <col min="10958" max="10958" width="5" style="9" customWidth="1"/>
    <col min="10959" max="10959" width="8.25" style="9" bestFit="1" customWidth="1"/>
    <col min="10960" max="10960" width="16.125" style="9" customWidth="1"/>
    <col min="10961" max="10961" width="86" style="9" customWidth="1"/>
    <col min="10962" max="10962" width="5" style="9" customWidth="1"/>
    <col min="10963" max="10963" width="11.125" style="9" customWidth="1"/>
    <col min="10964" max="10964" width="10.375" style="9" customWidth="1"/>
    <col min="10965" max="10965" width="10.875" style="9" customWidth="1"/>
    <col min="10966" max="10966" width="7.75" style="9" customWidth="1"/>
    <col min="10967" max="10967" width="9.875" style="9" customWidth="1"/>
    <col min="10968" max="10968" width="10.625" style="9" customWidth="1"/>
    <col min="10969" max="11211" width="6.125" style="9"/>
    <col min="11212" max="11212" width="5" style="9" customWidth="1"/>
    <col min="11213" max="11213" width="8.875" style="9" customWidth="1"/>
    <col min="11214" max="11214" width="5" style="9" customWidth="1"/>
    <col min="11215" max="11215" width="8.25" style="9" bestFit="1" customWidth="1"/>
    <col min="11216" max="11216" width="16.125" style="9" customWidth="1"/>
    <col min="11217" max="11217" width="86" style="9" customWidth="1"/>
    <col min="11218" max="11218" width="5" style="9" customWidth="1"/>
    <col min="11219" max="11219" width="11.125" style="9" customWidth="1"/>
    <col min="11220" max="11220" width="10.375" style="9" customWidth="1"/>
    <col min="11221" max="11221" width="10.875" style="9" customWidth="1"/>
    <col min="11222" max="11222" width="7.75" style="9" customWidth="1"/>
    <col min="11223" max="11223" width="9.875" style="9" customWidth="1"/>
    <col min="11224" max="11224" width="10.625" style="9" customWidth="1"/>
    <col min="11225" max="11467" width="6.125" style="9"/>
    <col min="11468" max="11468" width="5" style="9" customWidth="1"/>
    <col min="11469" max="11469" width="8.875" style="9" customWidth="1"/>
    <col min="11470" max="11470" width="5" style="9" customWidth="1"/>
    <col min="11471" max="11471" width="8.25" style="9" bestFit="1" customWidth="1"/>
    <col min="11472" max="11472" width="16.125" style="9" customWidth="1"/>
    <col min="11473" max="11473" width="86" style="9" customWidth="1"/>
    <col min="11474" max="11474" width="5" style="9" customWidth="1"/>
    <col min="11475" max="11475" width="11.125" style="9" customWidth="1"/>
    <col min="11476" max="11476" width="10.375" style="9" customWidth="1"/>
    <col min="11477" max="11477" width="10.875" style="9" customWidth="1"/>
    <col min="11478" max="11478" width="7.75" style="9" customWidth="1"/>
    <col min="11479" max="11479" width="9.875" style="9" customWidth="1"/>
    <col min="11480" max="11480" width="10.625" style="9" customWidth="1"/>
    <col min="11481" max="11723" width="6.125" style="9"/>
    <col min="11724" max="11724" width="5" style="9" customWidth="1"/>
    <col min="11725" max="11725" width="8.875" style="9" customWidth="1"/>
    <col min="11726" max="11726" width="5" style="9" customWidth="1"/>
    <col min="11727" max="11727" width="8.25" style="9" bestFit="1" customWidth="1"/>
    <col min="11728" max="11728" width="16.125" style="9" customWidth="1"/>
    <col min="11729" max="11729" width="86" style="9" customWidth="1"/>
    <col min="11730" max="11730" width="5" style="9" customWidth="1"/>
    <col min="11731" max="11731" width="11.125" style="9" customWidth="1"/>
    <col min="11732" max="11732" width="10.375" style="9" customWidth="1"/>
    <col min="11733" max="11733" width="10.875" style="9" customWidth="1"/>
    <col min="11734" max="11734" width="7.75" style="9" customWidth="1"/>
    <col min="11735" max="11735" width="9.875" style="9" customWidth="1"/>
    <col min="11736" max="11736" width="10.625" style="9" customWidth="1"/>
    <col min="11737" max="11979" width="6.125" style="9"/>
    <col min="11980" max="11980" width="5" style="9" customWidth="1"/>
    <col min="11981" max="11981" width="8.875" style="9" customWidth="1"/>
    <col min="11982" max="11982" width="5" style="9" customWidth="1"/>
    <col min="11983" max="11983" width="8.25" style="9" bestFit="1" customWidth="1"/>
    <col min="11984" max="11984" width="16.125" style="9" customWidth="1"/>
    <col min="11985" max="11985" width="86" style="9" customWidth="1"/>
    <col min="11986" max="11986" width="5" style="9" customWidth="1"/>
    <col min="11987" max="11987" width="11.125" style="9" customWidth="1"/>
    <col min="11988" max="11988" width="10.375" style="9" customWidth="1"/>
    <col min="11989" max="11989" width="10.875" style="9" customWidth="1"/>
    <col min="11990" max="11990" width="7.75" style="9" customWidth="1"/>
    <col min="11991" max="11991" width="9.875" style="9" customWidth="1"/>
    <col min="11992" max="11992" width="10.625" style="9" customWidth="1"/>
    <col min="11993" max="12235" width="6.125" style="9"/>
    <col min="12236" max="12236" width="5" style="9" customWidth="1"/>
    <col min="12237" max="12237" width="8.875" style="9" customWidth="1"/>
    <col min="12238" max="12238" width="5" style="9" customWidth="1"/>
    <col min="12239" max="12239" width="8.25" style="9" bestFit="1" customWidth="1"/>
    <col min="12240" max="12240" width="16.125" style="9" customWidth="1"/>
    <col min="12241" max="12241" width="86" style="9" customWidth="1"/>
    <col min="12242" max="12242" width="5" style="9" customWidth="1"/>
    <col min="12243" max="12243" width="11.125" style="9" customWidth="1"/>
    <col min="12244" max="12244" width="10.375" style="9" customWidth="1"/>
    <col min="12245" max="12245" width="10.875" style="9" customWidth="1"/>
    <col min="12246" max="12246" width="7.75" style="9" customWidth="1"/>
    <col min="12247" max="12247" width="9.875" style="9" customWidth="1"/>
    <col min="12248" max="12248" width="10.625" style="9" customWidth="1"/>
    <col min="12249" max="12491" width="6.125" style="9"/>
    <col min="12492" max="12492" width="5" style="9" customWidth="1"/>
    <col min="12493" max="12493" width="8.875" style="9" customWidth="1"/>
    <col min="12494" max="12494" width="5" style="9" customWidth="1"/>
    <col min="12495" max="12495" width="8.25" style="9" bestFit="1" customWidth="1"/>
    <col min="12496" max="12496" width="16.125" style="9" customWidth="1"/>
    <col min="12497" max="12497" width="86" style="9" customWidth="1"/>
    <col min="12498" max="12498" width="5" style="9" customWidth="1"/>
    <col min="12499" max="12499" width="11.125" style="9" customWidth="1"/>
    <col min="12500" max="12500" width="10.375" style="9" customWidth="1"/>
    <col min="12501" max="12501" width="10.875" style="9" customWidth="1"/>
    <col min="12502" max="12502" width="7.75" style="9" customWidth="1"/>
    <col min="12503" max="12503" width="9.875" style="9" customWidth="1"/>
    <col min="12504" max="12504" width="10.625" style="9" customWidth="1"/>
    <col min="12505" max="12747" width="6.125" style="9"/>
    <col min="12748" max="12748" width="5" style="9" customWidth="1"/>
    <col min="12749" max="12749" width="8.875" style="9" customWidth="1"/>
    <col min="12750" max="12750" width="5" style="9" customWidth="1"/>
    <col min="12751" max="12751" width="8.25" style="9" bestFit="1" customWidth="1"/>
    <col min="12752" max="12752" width="16.125" style="9" customWidth="1"/>
    <col min="12753" max="12753" width="86" style="9" customWidth="1"/>
    <col min="12754" max="12754" width="5" style="9" customWidth="1"/>
    <col min="12755" max="12755" width="11.125" style="9" customWidth="1"/>
    <col min="12756" max="12756" width="10.375" style="9" customWidth="1"/>
    <col min="12757" max="12757" width="10.875" style="9" customWidth="1"/>
    <col min="12758" max="12758" width="7.75" style="9" customWidth="1"/>
    <col min="12759" max="12759" width="9.875" style="9" customWidth="1"/>
    <col min="12760" max="12760" width="10.625" style="9" customWidth="1"/>
    <col min="12761" max="13003" width="6.125" style="9"/>
    <col min="13004" max="13004" width="5" style="9" customWidth="1"/>
    <col min="13005" max="13005" width="8.875" style="9" customWidth="1"/>
    <col min="13006" max="13006" width="5" style="9" customWidth="1"/>
    <col min="13007" max="13007" width="8.25" style="9" bestFit="1" customWidth="1"/>
    <col min="13008" max="13008" width="16.125" style="9" customWidth="1"/>
    <col min="13009" max="13009" width="86" style="9" customWidth="1"/>
    <col min="13010" max="13010" width="5" style="9" customWidth="1"/>
    <col min="13011" max="13011" width="11.125" style="9" customWidth="1"/>
    <col min="13012" max="13012" width="10.375" style="9" customWidth="1"/>
    <col min="13013" max="13013" width="10.875" style="9" customWidth="1"/>
    <col min="13014" max="13014" width="7.75" style="9" customWidth="1"/>
    <col min="13015" max="13015" width="9.875" style="9" customWidth="1"/>
    <col min="13016" max="13016" width="10.625" style="9" customWidth="1"/>
    <col min="13017" max="13259" width="6.125" style="9"/>
    <col min="13260" max="13260" width="5" style="9" customWidth="1"/>
    <col min="13261" max="13261" width="8.875" style="9" customWidth="1"/>
    <col min="13262" max="13262" width="5" style="9" customWidth="1"/>
    <col min="13263" max="13263" width="8.25" style="9" bestFit="1" customWidth="1"/>
    <col min="13264" max="13264" width="16.125" style="9" customWidth="1"/>
    <col min="13265" max="13265" width="86" style="9" customWidth="1"/>
    <col min="13266" max="13266" width="5" style="9" customWidth="1"/>
    <col min="13267" max="13267" width="11.125" style="9" customWidth="1"/>
    <col min="13268" max="13268" width="10.375" style="9" customWidth="1"/>
    <col min="13269" max="13269" width="10.875" style="9" customWidth="1"/>
    <col min="13270" max="13270" width="7.75" style="9" customWidth="1"/>
    <col min="13271" max="13271" width="9.875" style="9" customWidth="1"/>
    <col min="13272" max="13272" width="10.625" style="9" customWidth="1"/>
    <col min="13273" max="13515" width="6.125" style="9"/>
    <col min="13516" max="13516" width="5" style="9" customWidth="1"/>
    <col min="13517" max="13517" width="8.875" style="9" customWidth="1"/>
    <col min="13518" max="13518" width="5" style="9" customWidth="1"/>
    <col min="13519" max="13519" width="8.25" style="9" bestFit="1" customWidth="1"/>
    <col min="13520" max="13520" width="16.125" style="9" customWidth="1"/>
    <col min="13521" max="13521" width="86" style="9" customWidth="1"/>
    <col min="13522" max="13522" width="5" style="9" customWidth="1"/>
    <col min="13523" max="13523" width="11.125" style="9" customWidth="1"/>
    <col min="13524" max="13524" width="10.375" style="9" customWidth="1"/>
    <col min="13525" max="13525" width="10.875" style="9" customWidth="1"/>
    <col min="13526" max="13526" width="7.75" style="9" customWidth="1"/>
    <col min="13527" max="13527" width="9.875" style="9" customWidth="1"/>
    <col min="13528" max="13528" width="10.625" style="9" customWidth="1"/>
    <col min="13529" max="13771" width="6.125" style="9"/>
    <col min="13772" max="13772" width="5" style="9" customWidth="1"/>
    <col min="13773" max="13773" width="8.875" style="9" customWidth="1"/>
    <col min="13774" max="13774" width="5" style="9" customWidth="1"/>
    <col min="13775" max="13775" width="8.25" style="9" bestFit="1" customWidth="1"/>
    <col min="13776" max="13776" width="16.125" style="9" customWidth="1"/>
    <col min="13777" max="13777" width="86" style="9" customWidth="1"/>
    <col min="13778" max="13778" width="5" style="9" customWidth="1"/>
    <col min="13779" max="13779" width="11.125" style="9" customWidth="1"/>
    <col min="13780" max="13780" width="10.375" style="9" customWidth="1"/>
    <col min="13781" max="13781" width="10.875" style="9" customWidth="1"/>
    <col min="13782" max="13782" width="7.75" style="9" customWidth="1"/>
    <col min="13783" max="13783" width="9.875" style="9" customWidth="1"/>
    <col min="13784" max="13784" width="10.625" style="9" customWidth="1"/>
    <col min="13785" max="14027" width="6.125" style="9"/>
    <col min="14028" max="14028" width="5" style="9" customWidth="1"/>
    <col min="14029" max="14029" width="8.875" style="9" customWidth="1"/>
    <col min="14030" max="14030" width="5" style="9" customWidth="1"/>
    <col min="14031" max="14031" width="8.25" style="9" bestFit="1" customWidth="1"/>
    <col min="14032" max="14032" width="16.125" style="9" customWidth="1"/>
    <col min="14033" max="14033" width="86" style="9" customWidth="1"/>
    <col min="14034" max="14034" width="5" style="9" customWidth="1"/>
    <col min="14035" max="14035" width="11.125" style="9" customWidth="1"/>
    <col min="14036" max="14036" width="10.375" style="9" customWidth="1"/>
    <col min="14037" max="14037" width="10.875" style="9" customWidth="1"/>
    <col min="14038" max="14038" width="7.75" style="9" customWidth="1"/>
    <col min="14039" max="14039" width="9.875" style="9" customWidth="1"/>
    <col min="14040" max="14040" width="10.625" style="9" customWidth="1"/>
    <col min="14041" max="14283" width="6.125" style="9"/>
    <col min="14284" max="14284" width="5" style="9" customWidth="1"/>
    <col min="14285" max="14285" width="8.875" style="9" customWidth="1"/>
    <col min="14286" max="14286" width="5" style="9" customWidth="1"/>
    <col min="14287" max="14287" width="8.25" style="9" bestFit="1" customWidth="1"/>
    <col min="14288" max="14288" width="16.125" style="9" customWidth="1"/>
    <col min="14289" max="14289" width="86" style="9" customWidth="1"/>
    <col min="14290" max="14290" width="5" style="9" customWidth="1"/>
    <col min="14291" max="14291" width="11.125" style="9" customWidth="1"/>
    <col min="14292" max="14292" width="10.375" style="9" customWidth="1"/>
    <col min="14293" max="14293" width="10.875" style="9" customWidth="1"/>
    <col min="14294" max="14294" width="7.75" style="9" customWidth="1"/>
    <col min="14295" max="14295" width="9.875" style="9" customWidth="1"/>
    <col min="14296" max="14296" width="10.625" style="9" customWidth="1"/>
    <col min="14297" max="14539" width="6.125" style="9"/>
    <col min="14540" max="14540" width="5" style="9" customWidth="1"/>
    <col min="14541" max="14541" width="8.875" style="9" customWidth="1"/>
    <col min="14542" max="14542" width="5" style="9" customWidth="1"/>
    <col min="14543" max="14543" width="8.25" style="9" bestFit="1" customWidth="1"/>
    <col min="14544" max="14544" width="16.125" style="9" customWidth="1"/>
    <col min="14545" max="14545" width="86" style="9" customWidth="1"/>
    <col min="14546" max="14546" width="5" style="9" customWidth="1"/>
    <col min="14547" max="14547" width="11.125" style="9" customWidth="1"/>
    <col min="14548" max="14548" width="10.375" style="9" customWidth="1"/>
    <col min="14549" max="14549" width="10.875" style="9" customWidth="1"/>
    <col min="14550" max="14550" width="7.75" style="9" customWidth="1"/>
    <col min="14551" max="14551" width="9.875" style="9" customWidth="1"/>
    <col min="14552" max="14552" width="10.625" style="9" customWidth="1"/>
    <col min="14553" max="14795" width="6.125" style="9"/>
    <col min="14796" max="14796" width="5" style="9" customWidth="1"/>
    <col min="14797" max="14797" width="8.875" style="9" customWidth="1"/>
    <col min="14798" max="14798" width="5" style="9" customWidth="1"/>
    <col min="14799" max="14799" width="8.25" style="9" bestFit="1" customWidth="1"/>
    <col min="14800" max="14800" width="16.125" style="9" customWidth="1"/>
    <col min="14801" max="14801" width="86" style="9" customWidth="1"/>
    <col min="14802" max="14802" width="5" style="9" customWidth="1"/>
    <col min="14803" max="14803" width="11.125" style="9" customWidth="1"/>
    <col min="14804" max="14804" width="10.375" style="9" customWidth="1"/>
    <col min="14805" max="14805" width="10.875" style="9" customWidth="1"/>
    <col min="14806" max="14806" width="7.75" style="9" customWidth="1"/>
    <col min="14807" max="14807" width="9.875" style="9" customWidth="1"/>
    <col min="14808" max="14808" width="10.625" style="9" customWidth="1"/>
    <col min="14809" max="15051" width="6.125" style="9"/>
    <col min="15052" max="15052" width="5" style="9" customWidth="1"/>
    <col min="15053" max="15053" width="8.875" style="9" customWidth="1"/>
    <col min="15054" max="15054" width="5" style="9" customWidth="1"/>
    <col min="15055" max="15055" width="8.25" style="9" bestFit="1" customWidth="1"/>
    <col min="15056" max="15056" width="16.125" style="9" customWidth="1"/>
    <col min="15057" max="15057" width="86" style="9" customWidth="1"/>
    <col min="15058" max="15058" width="5" style="9" customWidth="1"/>
    <col min="15059" max="15059" width="11.125" style="9" customWidth="1"/>
    <col min="15060" max="15060" width="10.375" style="9" customWidth="1"/>
    <col min="15061" max="15061" width="10.875" style="9" customWidth="1"/>
    <col min="15062" max="15062" width="7.75" style="9" customWidth="1"/>
    <col min="15063" max="15063" width="9.875" style="9" customWidth="1"/>
    <col min="15064" max="15064" width="10.625" style="9" customWidth="1"/>
    <col min="15065" max="15307" width="6.125" style="9"/>
    <col min="15308" max="15308" width="5" style="9" customWidth="1"/>
    <col min="15309" max="15309" width="8.875" style="9" customWidth="1"/>
    <col min="15310" max="15310" width="5" style="9" customWidth="1"/>
    <col min="15311" max="15311" width="8.25" style="9" bestFit="1" customWidth="1"/>
    <col min="15312" max="15312" width="16.125" style="9" customWidth="1"/>
    <col min="15313" max="15313" width="86" style="9" customWidth="1"/>
    <col min="15314" max="15314" width="5" style="9" customWidth="1"/>
    <col min="15315" max="15315" width="11.125" style="9" customWidth="1"/>
    <col min="15316" max="15316" width="10.375" style="9" customWidth="1"/>
    <col min="15317" max="15317" width="10.875" style="9" customWidth="1"/>
    <col min="15318" max="15318" width="7.75" style="9" customWidth="1"/>
    <col min="15319" max="15319" width="9.875" style="9" customWidth="1"/>
    <col min="15320" max="15320" width="10.625" style="9" customWidth="1"/>
    <col min="15321" max="15563" width="6.125" style="9"/>
    <col min="15564" max="15564" width="5" style="9" customWidth="1"/>
    <col min="15565" max="15565" width="8.875" style="9" customWidth="1"/>
    <col min="15566" max="15566" width="5" style="9" customWidth="1"/>
    <col min="15567" max="15567" width="8.25" style="9" bestFit="1" customWidth="1"/>
    <col min="15568" max="15568" width="16.125" style="9" customWidth="1"/>
    <col min="15569" max="15569" width="86" style="9" customWidth="1"/>
    <col min="15570" max="15570" width="5" style="9" customWidth="1"/>
    <col min="15571" max="15571" width="11.125" style="9" customWidth="1"/>
    <col min="15572" max="15572" width="10.375" style="9" customWidth="1"/>
    <col min="15573" max="15573" width="10.875" style="9" customWidth="1"/>
    <col min="15574" max="15574" width="7.75" style="9" customWidth="1"/>
    <col min="15575" max="15575" width="9.875" style="9" customWidth="1"/>
    <col min="15576" max="15576" width="10.625" style="9" customWidth="1"/>
    <col min="15577" max="15819" width="6.125" style="9"/>
    <col min="15820" max="15820" width="5" style="9" customWidth="1"/>
    <col min="15821" max="15821" width="8.875" style="9" customWidth="1"/>
    <col min="15822" max="15822" width="5" style="9" customWidth="1"/>
    <col min="15823" max="15823" width="8.25" style="9" bestFit="1" customWidth="1"/>
    <col min="15824" max="15824" width="16.125" style="9" customWidth="1"/>
    <col min="15825" max="15825" width="86" style="9" customWidth="1"/>
    <col min="15826" max="15826" width="5" style="9" customWidth="1"/>
    <col min="15827" max="15827" width="11.125" style="9" customWidth="1"/>
    <col min="15828" max="15828" width="10.375" style="9" customWidth="1"/>
    <col min="15829" max="15829" width="10.875" style="9" customWidth="1"/>
    <col min="15830" max="15830" width="7.75" style="9" customWidth="1"/>
    <col min="15831" max="15831" width="9.875" style="9" customWidth="1"/>
    <col min="15832" max="15832" width="10.625" style="9" customWidth="1"/>
    <col min="15833" max="16075" width="6.125" style="9"/>
    <col min="16076" max="16076" width="5" style="9" customWidth="1"/>
    <col min="16077" max="16077" width="8.875" style="9" customWidth="1"/>
    <col min="16078" max="16078" width="5" style="9" customWidth="1"/>
    <col min="16079" max="16079" width="8.25" style="9" bestFit="1" customWidth="1"/>
    <col min="16080" max="16080" width="16.125" style="9" customWidth="1"/>
    <col min="16081" max="16081" width="86" style="9" customWidth="1"/>
    <col min="16082" max="16082" width="5" style="9" customWidth="1"/>
    <col min="16083" max="16083" width="11.125" style="9" customWidth="1"/>
    <col min="16084" max="16084" width="10.375" style="9" customWidth="1"/>
    <col min="16085" max="16085" width="10.875" style="9" customWidth="1"/>
    <col min="16086" max="16086" width="7.75" style="9" customWidth="1"/>
    <col min="16087" max="16087" width="9.875" style="9" customWidth="1"/>
    <col min="16088" max="16088" width="10.625" style="9" customWidth="1"/>
    <col min="16089" max="16384" width="6.125" style="9"/>
  </cols>
  <sheetData>
    <row r="1" spans="1:10">
      <c r="A1" s="637" t="s">
        <v>276</v>
      </c>
      <c r="B1" s="637"/>
      <c r="C1" s="637"/>
      <c r="D1" s="637"/>
      <c r="E1" s="637"/>
      <c r="F1" s="637"/>
      <c r="G1" s="637"/>
      <c r="H1" s="637"/>
    </row>
    <row r="2" spans="1:10">
      <c r="A2" s="638"/>
      <c r="B2" s="638"/>
      <c r="C2" s="638"/>
      <c r="D2" s="638"/>
      <c r="E2" s="638"/>
      <c r="F2" s="638"/>
      <c r="G2" s="638"/>
      <c r="H2" s="638"/>
      <c r="I2" s="38"/>
    </row>
    <row r="3" spans="1:10" ht="15.75" thickBot="1">
      <c r="A3" s="149"/>
      <c r="B3" s="149"/>
      <c r="C3" s="149"/>
      <c r="D3" s="149"/>
      <c r="E3" s="149"/>
      <c r="F3" s="149"/>
      <c r="G3" s="149"/>
      <c r="H3" s="404"/>
      <c r="I3" s="640"/>
      <c r="J3" s="640"/>
    </row>
    <row r="4" spans="1:10" s="7" customFormat="1" ht="51.75" thickBot="1">
      <c r="A4" s="39" t="s">
        <v>20</v>
      </c>
      <c r="B4" s="40" t="s">
        <v>0</v>
      </c>
      <c r="C4" s="40" t="s">
        <v>1</v>
      </c>
      <c r="D4" s="40" t="s">
        <v>2</v>
      </c>
      <c r="E4" s="40" t="s">
        <v>3</v>
      </c>
      <c r="F4" s="41" t="s">
        <v>21</v>
      </c>
      <c r="G4" s="41" t="s">
        <v>22</v>
      </c>
      <c r="H4" s="405" t="s">
        <v>4</v>
      </c>
      <c r="I4" s="40" t="s">
        <v>23</v>
      </c>
      <c r="J4" s="150" t="s">
        <v>5</v>
      </c>
    </row>
    <row r="5" spans="1:10" ht="13.5" thickBot="1">
      <c r="A5" s="90"/>
      <c r="B5" s="91"/>
      <c r="C5" s="91"/>
      <c r="D5" s="91"/>
      <c r="E5" s="91"/>
      <c r="F5" s="47"/>
      <c r="G5" s="47"/>
      <c r="H5" s="406"/>
      <c r="I5" s="151"/>
      <c r="J5" s="119"/>
    </row>
    <row r="6" spans="1:10" ht="13.5" thickBot="1">
      <c r="A6" s="39" t="s">
        <v>15</v>
      </c>
      <c r="B6" s="41"/>
      <c r="C6" s="41"/>
      <c r="D6" s="41"/>
      <c r="E6" s="41"/>
      <c r="F6" s="41" t="s">
        <v>24</v>
      </c>
      <c r="G6" s="41"/>
      <c r="H6" s="407"/>
      <c r="I6" s="152"/>
      <c r="J6" s="118"/>
    </row>
    <row r="7" spans="1:10">
      <c r="A7" s="100"/>
      <c r="B7" s="101"/>
      <c r="C7" s="101"/>
      <c r="D7" s="101"/>
      <c r="E7" s="101"/>
      <c r="F7" s="153"/>
      <c r="G7" s="101"/>
      <c r="H7" s="408"/>
      <c r="I7" s="154"/>
      <c r="J7" s="122"/>
    </row>
    <row r="8" spans="1:10">
      <c r="A8" s="4"/>
      <c r="B8" s="19"/>
      <c r="C8" s="19"/>
      <c r="D8" s="19"/>
      <c r="E8" s="19"/>
      <c r="F8" s="19"/>
      <c r="G8" s="19"/>
      <c r="H8" s="409"/>
      <c r="I8" s="3"/>
      <c r="J8" s="33"/>
    </row>
    <row r="9" spans="1:10" ht="25.5">
      <c r="A9" s="4" t="s">
        <v>211</v>
      </c>
      <c r="B9" s="19"/>
      <c r="C9" s="19"/>
      <c r="D9" s="21" t="s">
        <v>6</v>
      </c>
      <c r="E9" s="19" t="s">
        <v>26</v>
      </c>
      <c r="F9" s="8" t="s">
        <v>212</v>
      </c>
      <c r="G9" s="19" t="s">
        <v>25</v>
      </c>
      <c r="H9" s="569">
        <f>110*1.1</f>
        <v>121.00000000000001</v>
      </c>
      <c r="I9" s="3">
        <v>25055</v>
      </c>
      <c r="J9" s="33">
        <f t="shared" ref="J9:J78" si="0">SUM(H9*I9)</f>
        <v>3031655.0000000005</v>
      </c>
    </row>
    <row r="10" spans="1:10" ht="153">
      <c r="A10" s="4"/>
      <c r="B10" s="19"/>
      <c r="C10" s="19"/>
      <c r="D10" s="19"/>
      <c r="E10" s="19"/>
      <c r="F10" s="440" t="s">
        <v>277</v>
      </c>
      <c r="G10" s="19"/>
      <c r="H10" s="569"/>
      <c r="I10" s="3"/>
      <c r="J10" s="33"/>
    </row>
    <row r="11" spans="1:10">
      <c r="A11" s="4"/>
      <c r="B11" s="19"/>
      <c r="C11" s="19"/>
      <c r="D11" s="19"/>
      <c r="E11" s="19"/>
      <c r="F11" s="440"/>
      <c r="G11" s="19"/>
      <c r="H11" s="569"/>
      <c r="I11" s="3"/>
      <c r="J11" s="33"/>
    </row>
    <row r="12" spans="1:10" ht="25.5">
      <c r="A12" s="4" t="s">
        <v>213</v>
      </c>
      <c r="B12" s="19"/>
      <c r="C12" s="19"/>
      <c r="D12" s="21" t="s">
        <v>6</v>
      </c>
      <c r="E12" s="19" t="s">
        <v>214</v>
      </c>
      <c r="F12" s="567" t="s">
        <v>280</v>
      </c>
      <c r="G12" s="10" t="s">
        <v>7</v>
      </c>
      <c r="H12" s="569">
        <v>20</v>
      </c>
      <c r="I12" s="3">
        <v>3264</v>
      </c>
      <c r="J12" s="33">
        <f t="shared" ref="J12" si="1">SUM(H12*I12)</f>
        <v>65280</v>
      </c>
    </row>
    <row r="13" spans="1:10" ht="228">
      <c r="A13" s="4"/>
      <c r="B13" s="19"/>
      <c r="C13" s="19"/>
      <c r="D13" s="19"/>
      <c r="E13" s="19"/>
      <c r="F13" s="204" t="s">
        <v>279</v>
      </c>
      <c r="G13" s="10"/>
      <c r="H13" s="569"/>
      <c r="I13" s="3"/>
      <c r="J13" s="33"/>
    </row>
    <row r="14" spans="1:10" ht="14.25">
      <c r="A14" s="4"/>
      <c r="B14" s="19"/>
      <c r="C14" s="19"/>
      <c r="D14" s="19"/>
      <c r="E14" s="19"/>
      <c r="F14" s="204"/>
      <c r="G14" s="19"/>
      <c r="H14" s="569"/>
      <c r="I14" s="3"/>
      <c r="J14" s="33"/>
    </row>
    <row r="15" spans="1:10" ht="25.5">
      <c r="A15" s="4" t="s">
        <v>738</v>
      </c>
      <c r="B15" s="19"/>
      <c r="C15" s="19"/>
      <c r="D15" s="21" t="s">
        <v>6</v>
      </c>
      <c r="E15" s="19" t="s">
        <v>26</v>
      </c>
      <c r="F15" s="8" t="s">
        <v>739</v>
      </c>
      <c r="G15" s="19" t="s">
        <v>25</v>
      </c>
      <c r="H15" s="569">
        <v>60</v>
      </c>
      <c r="I15" s="3">
        <v>12948</v>
      </c>
      <c r="J15" s="33">
        <f t="shared" ref="J15" si="2">SUM(H15*I15)</f>
        <v>776880</v>
      </c>
    </row>
    <row r="16" spans="1:10" ht="153">
      <c r="A16" s="4"/>
      <c r="B16" s="19"/>
      <c r="C16" s="19"/>
      <c r="D16" s="19"/>
      <c r="E16" s="19"/>
      <c r="F16" s="440" t="s">
        <v>740</v>
      </c>
      <c r="G16" s="10"/>
      <c r="H16" s="569"/>
      <c r="I16" s="3"/>
      <c r="J16" s="33"/>
    </row>
    <row r="17" spans="1:10">
      <c r="A17" s="4"/>
      <c r="B17" s="19"/>
      <c r="C17" s="19"/>
      <c r="D17" s="19"/>
      <c r="E17" s="19"/>
      <c r="F17" s="19"/>
      <c r="G17" s="19"/>
      <c r="H17" s="569"/>
      <c r="I17" s="3"/>
      <c r="J17" s="33"/>
    </row>
    <row r="18" spans="1:10" ht="25.5">
      <c r="A18" s="155">
        <v>1.2</v>
      </c>
      <c r="B18" s="20"/>
      <c r="C18" s="21" t="s">
        <v>102</v>
      </c>
      <c r="D18" s="21" t="s">
        <v>215</v>
      </c>
      <c r="E18" s="21" t="s">
        <v>216</v>
      </c>
      <c r="F18" s="441" t="s">
        <v>217</v>
      </c>
      <c r="G18" s="21" t="s">
        <v>7</v>
      </c>
      <c r="H18" s="569">
        <v>10</v>
      </c>
      <c r="I18" s="3">
        <v>2298</v>
      </c>
      <c r="J18" s="33">
        <f t="shared" si="0"/>
        <v>22980</v>
      </c>
    </row>
    <row r="19" spans="1:10" ht="76.5">
      <c r="A19" s="20"/>
      <c r="B19" s="20"/>
      <c r="C19" s="20"/>
      <c r="D19" s="20"/>
      <c r="E19" s="20"/>
      <c r="F19" s="440" t="s">
        <v>281</v>
      </c>
      <c r="G19" s="21"/>
      <c r="H19" s="569"/>
      <c r="I19" s="3"/>
      <c r="J19" s="33"/>
    </row>
    <row r="20" spans="1:10">
      <c r="A20" s="20"/>
      <c r="B20" s="20"/>
      <c r="C20" s="20"/>
      <c r="D20" s="20"/>
      <c r="E20" s="20"/>
      <c r="F20" s="440"/>
      <c r="G20" s="21"/>
      <c r="H20" s="569"/>
      <c r="I20" s="3"/>
      <c r="J20" s="33"/>
    </row>
    <row r="21" spans="1:10">
      <c r="A21" s="156">
        <v>1.3</v>
      </c>
      <c r="B21" s="20"/>
      <c r="C21" s="20"/>
      <c r="D21" s="10" t="s">
        <v>215</v>
      </c>
      <c r="E21" s="10" t="s">
        <v>216</v>
      </c>
      <c r="F21" s="567" t="s">
        <v>218</v>
      </c>
      <c r="G21" s="10" t="s">
        <v>7</v>
      </c>
      <c r="H21" s="569">
        <f>(14*3.4)</f>
        <v>47.6</v>
      </c>
      <c r="I21" s="3">
        <v>4686</v>
      </c>
      <c r="J21" s="33">
        <f t="shared" si="0"/>
        <v>223053.6</v>
      </c>
    </row>
    <row r="22" spans="1:10" ht="102">
      <c r="A22" s="20"/>
      <c r="B22" s="20"/>
      <c r="C22" s="20"/>
      <c r="D22" s="157"/>
      <c r="E22" s="157"/>
      <c r="F22" s="561" t="s">
        <v>282</v>
      </c>
      <c r="G22" s="10"/>
      <c r="H22" s="569"/>
      <c r="I22" s="3"/>
      <c r="J22" s="33"/>
    </row>
    <row r="23" spans="1:10">
      <c r="A23" s="20"/>
      <c r="B23" s="20"/>
      <c r="C23" s="20"/>
      <c r="D23" s="157"/>
      <c r="E23" s="157"/>
      <c r="F23" s="561"/>
      <c r="G23" s="10"/>
      <c r="H23" s="569"/>
      <c r="I23" s="3"/>
      <c r="J23" s="33"/>
    </row>
    <row r="24" spans="1:10" ht="25.5">
      <c r="A24" s="20">
        <v>1.4</v>
      </c>
      <c r="B24" s="20"/>
      <c r="C24" s="20"/>
      <c r="D24" s="158" t="s">
        <v>219</v>
      </c>
      <c r="E24" s="158" t="s">
        <v>220</v>
      </c>
      <c r="F24" s="158" t="s">
        <v>221</v>
      </c>
      <c r="G24" s="158" t="s">
        <v>7</v>
      </c>
      <c r="H24" s="570">
        <f>3.4*1.7+13</f>
        <v>18.78</v>
      </c>
      <c r="I24" s="3">
        <v>13590</v>
      </c>
      <c r="J24" s="33">
        <f t="shared" si="0"/>
        <v>255220.2</v>
      </c>
    </row>
    <row r="25" spans="1:10" ht="140.25">
      <c r="A25" s="20"/>
      <c r="B25" s="20"/>
      <c r="C25" s="20"/>
      <c r="D25" s="159"/>
      <c r="E25" s="159"/>
      <c r="F25" s="158" t="s">
        <v>561</v>
      </c>
      <c r="G25" s="159"/>
      <c r="H25" s="570"/>
      <c r="I25" s="3"/>
      <c r="J25" s="33"/>
    </row>
    <row r="26" spans="1:10">
      <c r="A26" s="20"/>
      <c r="B26" s="20"/>
      <c r="C26" s="20"/>
      <c r="D26" s="157"/>
      <c r="E26" s="157"/>
      <c r="F26" s="561"/>
      <c r="G26" s="10"/>
      <c r="H26" s="569"/>
      <c r="I26" s="3"/>
      <c r="J26" s="33"/>
    </row>
    <row r="27" spans="1:10" ht="25.5">
      <c r="A27" s="20">
        <v>1.5</v>
      </c>
      <c r="B27" s="20"/>
      <c r="C27" s="20"/>
      <c r="D27" s="158" t="s">
        <v>219</v>
      </c>
      <c r="E27" s="158" t="s">
        <v>220</v>
      </c>
      <c r="F27" s="158" t="s">
        <v>222</v>
      </c>
      <c r="G27" s="158" t="s">
        <v>8</v>
      </c>
      <c r="H27" s="570">
        <v>7</v>
      </c>
      <c r="I27" s="3">
        <v>6815</v>
      </c>
      <c r="J27" s="33">
        <f t="shared" ref="J27:J30" si="3">SUM(H27*I27)</f>
        <v>47705</v>
      </c>
    </row>
    <row r="28" spans="1:10" ht="140.25">
      <c r="A28" s="20"/>
      <c r="B28" s="20"/>
      <c r="C28" s="20"/>
      <c r="D28" s="159"/>
      <c r="E28" s="159"/>
      <c r="F28" s="158" t="s">
        <v>562</v>
      </c>
      <c r="G28" s="159"/>
      <c r="H28" s="570"/>
      <c r="I28" s="3"/>
      <c r="J28" s="33"/>
    </row>
    <row r="29" spans="1:10">
      <c r="A29" s="20"/>
      <c r="B29" s="20"/>
      <c r="C29" s="20"/>
      <c r="D29" s="157"/>
      <c r="E29" s="157"/>
      <c r="F29" s="561"/>
      <c r="G29" s="10"/>
      <c r="H29" s="569"/>
      <c r="I29" s="3"/>
      <c r="J29" s="33"/>
    </row>
    <row r="30" spans="1:10" ht="25.5">
      <c r="A30" s="20">
        <v>1.6</v>
      </c>
      <c r="B30" s="20"/>
      <c r="C30" s="20"/>
      <c r="D30" s="160" t="s">
        <v>27</v>
      </c>
      <c r="E30" s="19" t="s">
        <v>223</v>
      </c>
      <c r="F30" s="161" t="s">
        <v>224</v>
      </c>
      <c r="G30" s="19" t="s">
        <v>8</v>
      </c>
      <c r="H30" s="162">
        <f>10*1.2</f>
        <v>12</v>
      </c>
      <c r="I30" s="3">
        <v>7370</v>
      </c>
      <c r="J30" s="33">
        <f t="shared" si="3"/>
        <v>88440</v>
      </c>
    </row>
    <row r="31" spans="1:10" ht="140.25">
      <c r="A31" s="20"/>
      <c r="B31" s="20"/>
      <c r="C31" s="20"/>
      <c r="D31" s="19"/>
      <c r="E31" s="19"/>
      <c r="F31" s="163" t="s">
        <v>283</v>
      </c>
      <c r="G31" s="19"/>
      <c r="H31" s="162"/>
      <c r="I31" s="162"/>
      <c r="J31" s="33"/>
    </row>
    <row r="32" spans="1:10">
      <c r="A32" s="20"/>
      <c r="B32" s="20"/>
      <c r="C32" s="20"/>
      <c r="D32" s="19"/>
      <c r="E32" s="19"/>
      <c r="F32" s="163"/>
      <c r="G32" s="19"/>
      <c r="H32" s="162"/>
      <c r="I32" s="162"/>
      <c r="J32" s="33"/>
    </row>
    <row r="33" spans="1:10" ht="25.5">
      <c r="A33" s="20">
        <v>1.7</v>
      </c>
      <c r="B33" s="20"/>
      <c r="C33" s="20"/>
      <c r="D33" s="10" t="s">
        <v>64</v>
      </c>
      <c r="E33" s="19" t="s">
        <v>51</v>
      </c>
      <c r="F33" s="575" t="s">
        <v>51</v>
      </c>
      <c r="G33" s="1" t="s">
        <v>8</v>
      </c>
      <c r="H33" s="571">
        <v>10</v>
      </c>
      <c r="I33" s="3">
        <v>1326</v>
      </c>
      <c r="J33" s="28">
        <f>SUM(H33*I33)</f>
        <v>13260</v>
      </c>
    </row>
    <row r="34" spans="1:10" ht="76.5">
      <c r="A34" s="20"/>
      <c r="B34" s="20"/>
      <c r="C34" s="20"/>
      <c r="D34" s="1"/>
      <c r="E34" s="1"/>
      <c r="F34" s="23" t="s">
        <v>284</v>
      </c>
      <c r="G34" s="1"/>
      <c r="H34" s="571"/>
      <c r="I34" s="2"/>
      <c r="J34" s="5"/>
    </row>
    <row r="35" spans="1:10" ht="13.5" thickBot="1">
      <c r="A35" s="65"/>
      <c r="B35" s="65"/>
      <c r="C35" s="65"/>
      <c r="D35" s="65"/>
      <c r="E35" s="65"/>
      <c r="F35" s="576"/>
      <c r="G35" s="164"/>
      <c r="H35" s="572"/>
      <c r="I35" s="165"/>
      <c r="J35" s="115"/>
    </row>
    <row r="36" spans="1:10" ht="15.75" thickBot="1">
      <c r="A36" s="167" t="s">
        <v>16</v>
      </c>
      <c r="B36" s="168"/>
      <c r="C36" s="168"/>
      <c r="D36" s="168"/>
      <c r="E36" s="168"/>
      <c r="F36" s="169" t="s">
        <v>18</v>
      </c>
      <c r="G36" s="169"/>
      <c r="H36" s="170"/>
      <c r="I36" s="170"/>
      <c r="J36" s="171"/>
    </row>
    <row r="37" spans="1:10" ht="15">
      <c r="A37" s="172"/>
      <c r="B37" s="173"/>
      <c r="C37" s="173"/>
      <c r="D37" s="173"/>
      <c r="E37" s="173"/>
      <c r="F37" s="174"/>
      <c r="G37" s="175"/>
      <c r="H37" s="176"/>
      <c r="I37" s="176"/>
      <c r="J37" s="175"/>
    </row>
    <row r="38" spans="1:10" ht="30">
      <c r="A38" s="177">
        <v>2.1</v>
      </c>
      <c r="B38" s="125"/>
      <c r="C38" s="125"/>
      <c r="D38" s="36" t="s">
        <v>10</v>
      </c>
      <c r="E38" s="36" t="s">
        <v>225</v>
      </c>
      <c r="F38" s="123" t="s">
        <v>88</v>
      </c>
      <c r="G38" s="124" t="s">
        <v>25</v>
      </c>
      <c r="H38" s="140">
        <v>20</v>
      </c>
      <c r="I38" s="3">
        <v>2898</v>
      </c>
      <c r="J38" s="124">
        <f t="shared" ref="J38" si="4">SUM(H38*I38)</f>
        <v>57960</v>
      </c>
    </row>
    <row r="39" spans="1:10" ht="140.25">
      <c r="A39" s="177"/>
      <c r="B39" s="125"/>
      <c r="C39" s="125"/>
      <c r="D39" s="125"/>
      <c r="E39" s="124"/>
      <c r="F39" s="178" t="s">
        <v>226</v>
      </c>
      <c r="G39" s="124"/>
      <c r="H39" s="140"/>
      <c r="I39" s="140"/>
      <c r="J39" s="124"/>
    </row>
    <row r="40" spans="1:10" ht="15">
      <c r="A40" s="179"/>
      <c r="B40" s="180"/>
      <c r="C40" s="180"/>
      <c r="D40" s="180"/>
      <c r="E40" s="181"/>
      <c r="F40" s="182"/>
      <c r="G40" s="181"/>
      <c r="H40" s="183"/>
      <c r="I40" s="183"/>
      <c r="J40" s="184"/>
    </row>
    <row r="41" spans="1:10" ht="15">
      <c r="A41" s="177">
        <v>2.4</v>
      </c>
      <c r="B41" s="125"/>
      <c r="C41" s="125"/>
      <c r="D41" s="36" t="s">
        <v>10</v>
      </c>
      <c r="E41" s="36" t="s">
        <v>227</v>
      </c>
      <c r="F41" s="123" t="s">
        <v>29</v>
      </c>
      <c r="G41" s="124" t="s">
        <v>25</v>
      </c>
      <c r="H41" s="140">
        <v>39</v>
      </c>
      <c r="I41" s="3">
        <v>774</v>
      </c>
      <c r="J41" s="124">
        <f t="shared" ref="J41" si="5">SUM(H41*I41)</f>
        <v>30186</v>
      </c>
    </row>
    <row r="42" spans="1:10" ht="76.5">
      <c r="A42" s="177"/>
      <c r="B42" s="125"/>
      <c r="C42" s="125"/>
      <c r="D42" s="125"/>
      <c r="E42" s="125"/>
      <c r="F42" s="178" t="s">
        <v>140</v>
      </c>
      <c r="G42" s="124"/>
      <c r="H42" s="140"/>
      <c r="I42" s="140"/>
      <c r="J42" s="124"/>
    </row>
    <row r="43" spans="1:10" ht="15.75" thickBot="1">
      <c r="A43" s="185"/>
      <c r="B43" s="186"/>
      <c r="C43" s="186"/>
      <c r="D43" s="186"/>
      <c r="E43" s="187"/>
      <c r="F43" s="188"/>
      <c r="G43" s="187"/>
      <c r="H43" s="141"/>
      <c r="I43" s="141"/>
      <c r="J43" s="187"/>
    </row>
    <row r="44" spans="1:10" ht="15.75" thickBot="1">
      <c r="A44" s="167" t="s">
        <v>17</v>
      </c>
      <c r="B44" s="168"/>
      <c r="C44" s="168"/>
      <c r="D44" s="168"/>
      <c r="E44" s="168"/>
      <c r="F44" s="169" t="s">
        <v>19</v>
      </c>
      <c r="G44" s="169"/>
      <c r="H44" s="170"/>
      <c r="I44" s="170"/>
      <c r="J44" s="171"/>
    </row>
    <row r="45" spans="1:10">
      <c r="A45" s="189"/>
      <c r="B45" s="190"/>
      <c r="C45" s="190"/>
      <c r="D45" s="190"/>
      <c r="E45" s="190"/>
      <c r="F45" s="153"/>
      <c r="G45" s="153"/>
      <c r="H45" s="573"/>
      <c r="I45" s="191"/>
      <c r="J45" s="122"/>
    </row>
    <row r="46" spans="1:10" ht="45">
      <c r="A46" s="177">
        <v>3.1</v>
      </c>
      <c r="B46" s="125"/>
      <c r="C46" s="125"/>
      <c r="D46" s="36" t="s">
        <v>141</v>
      </c>
      <c r="E46" s="36" t="s">
        <v>142</v>
      </c>
      <c r="F46" s="192" t="s">
        <v>228</v>
      </c>
      <c r="G46" s="124" t="s">
        <v>25</v>
      </c>
      <c r="H46" s="140">
        <f>(10*3.6)+39</f>
        <v>75</v>
      </c>
      <c r="I46" s="3">
        <v>4410</v>
      </c>
      <c r="J46" s="124">
        <f t="shared" ref="J46" si="6">SUM(H46*I46)</f>
        <v>330750</v>
      </c>
    </row>
    <row r="47" spans="1:10" ht="99.75">
      <c r="A47" s="177"/>
      <c r="B47" s="125"/>
      <c r="C47" s="125"/>
      <c r="D47" s="125"/>
      <c r="E47" s="125"/>
      <c r="F47" s="193" t="s">
        <v>229</v>
      </c>
      <c r="G47" s="124"/>
      <c r="H47" s="140"/>
      <c r="I47" s="140"/>
      <c r="J47" s="124"/>
    </row>
    <row r="48" spans="1:10">
      <c r="A48" s="189"/>
      <c r="B48" s="190"/>
      <c r="C48" s="190"/>
      <c r="D48" s="190"/>
      <c r="E48" s="190"/>
      <c r="F48" s="153"/>
      <c r="G48" s="153"/>
      <c r="H48" s="573"/>
      <c r="I48" s="191"/>
      <c r="J48" s="122"/>
    </row>
    <row r="49" spans="1:10" ht="25.5">
      <c r="A49" s="11">
        <v>3.2</v>
      </c>
      <c r="B49" s="137"/>
      <c r="C49" s="137"/>
      <c r="D49" s="33" t="s">
        <v>30</v>
      </c>
      <c r="E49" s="33" t="s">
        <v>230</v>
      </c>
      <c r="F49" s="8" t="s">
        <v>231</v>
      </c>
      <c r="G49" s="19" t="s">
        <v>25</v>
      </c>
      <c r="H49" s="569">
        <f>(7*2.1+2+3)+(1.35*3.6*4)</f>
        <v>39.14</v>
      </c>
      <c r="I49" s="3">
        <v>16910</v>
      </c>
      <c r="J49" s="28">
        <f>SUM(H49*I49)</f>
        <v>661857.4</v>
      </c>
    </row>
    <row r="50" spans="1:10" ht="102">
      <c r="A50" s="11"/>
      <c r="B50" s="137"/>
      <c r="C50" s="137"/>
      <c r="D50" s="137"/>
      <c r="E50" s="137"/>
      <c r="F50" s="19" t="s">
        <v>591</v>
      </c>
      <c r="G50" s="8"/>
      <c r="H50" s="574"/>
      <c r="I50" s="194"/>
      <c r="J50" s="33"/>
    </row>
    <row r="51" spans="1:10">
      <c r="A51" s="11"/>
      <c r="B51" s="137"/>
      <c r="C51" s="137"/>
      <c r="D51" s="137"/>
      <c r="E51" s="137"/>
      <c r="F51" s="8"/>
      <c r="G51" s="8"/>
      <c r="H51" s="574"/>
      <c r="I51" s="194"/>
      <c r="J51" s="33"/>
    </row>
    <row r="52" spans="1:10" ht="25.5">
      <c r="A52" s="4">
        <v>3.3</v>
      </c>
      <c r="B52" s="33"/>
      <c r="C52" s="33"/>
      <c r="D52" s="33" t="s">
        <v>232</v>
      </c>
      <c r="E52" s="33" t="s">
        <v>233</v>
      </c>
      <c r="F52" s="161" t="s">
        <v>234</v>
      </c>
      <c r="G52" s="19" t="s">
        <v>25</v>
      </c>
      <c r="H52" s="569">
        <f>2*1.35+5.2*1.35</f>
        <v>9.7200000000000006</v>
      </c>
      <c r="I52" s="3">
        <v>67735</v>
      </c>
      <c r="J52" s="33">
        <f t="shared" si="0"/>
        <v>658384.20000000007</v>
      </c>
    </row>
    <row r="53" spans="1:10" ht="191.25">
      <c r="A53" s="4"/>
      <c r="B53" s="33"/>
      <c r="C53" s="33"/>
      <c r="D53" s="33"/>
      <c r="E53" s="33"/>
      <c r="F53" s="163" t="s">
        <v>898</v>
      </c>
      <c r="G53" s="19"/>
      <c r="H53" s="569"/>
      <c r="I53" s="3"/>
      <c r="J53" s="33"/>
    </row>
    <row r="54" spans="1:10">
      <c r="A54" s="4"/>
      <c r="B54" s="33"/>
      <c r="C54" s="33"/>
      <c r="D54" s="33"/>
      <c r="E54" s="33"/>
      <c r="F54" s="163"/>
      <c r="G54" s="19"/>
      <c r="H54" s="569"/>
      <c r="I54" s="3"/>
      <c r="J54" s="33"/>
    </row>
    <row r="55" spans="1:10" ht="25.5">
      <c r="A55" s="4">
        <v>3.4</v>
      </c>
      <c r="B55" s="33"/>
      <c r="C55" s="33"/>
      <c r="D55" s="33" t="s">
        <v>232</v>
      </c>
      <c r="E55" s="33" t="s">
        <v>233</v>
      </c>
      <c r="F55" s="161" t="s">
        <v>235</v>
      </c>
      <c r="G55" s="19" t="s">
        <v>25</v>
      </c>
      <c r="H55" s="569">
        <f>7*1.35+2+1</f>
        <v>12.450000000000001</v>
      </c>
      <c r="I55" s="3">
        <v>60730</v>
      </c>
      <c r="J55" s="33">
        <f t="shared" ref="J55" si="7">SUM(H55*I55)</f>
        <v>756088.50000000012</v>
      </c>
    </row>
    <row r="56" spans="1:10" ht="191.25">
      <c r="A56" s="4"/>
      <c r="B56" s="33"/>
      <c r="C56" s="33"/>
      <c r="D56" s="33"/>
      <c r="E56" s="33"/>
      <c r="F56" s="163" t="s">
        <v>563</v>
      </c>
      <c r="G56" s="19"/>
      <c r="H56" s="569"/>
      <c r="I56" s="3"/>
      <c r="J56" s="33"/>
    </row>
    <row r="57" spans="1:10">
      <c r="A57" s="4"/>
      <c r="B57" s="33"/>
      <c r="C57" s="33"/>
      <c r="D57" s="33"/>
      <c r="E57" s="33"/>
      <c r="F57" s="163"/>
      <c r="G57" s="19"/>
      <c r="H57" s="569"/>
      <c r="I57" s="3"/>
      <c r="J57" s="33"/>
    </row>
    <row r="58" spans="1:10">
      <c r="A58" s="4">
        <v>3.5</v>
      </c>
      <c r="B58" s="33"/>
      <c r="C58" s="33"/>
      <c r="D58" s="33" t="s">
        <v>232</v>
      </c>
      <c r="E58" s="33" t="s">
        <v>236</v>
      </c>
      <c r="F58" s="161" t="s">
        <v>237</v>
      </c>
      <c r="G58" s="19" t="s">
        <v>28</v>
      </c>
      <c r="H58" s="569">
        <v>3</v>
      </c>
      <c r="I58" s="3">
        <v>18455</v>
      </c>
      <c r="J58" s="33">
        <f t="shared" ref="J58" si="8">SUM(H58*I58)</f>
        <v>55365</v>
      </c>
    </row>
    <row r="59" spans="1:10" ht="38.25">
      <c r="A59" s="4"/>
      <c r="B59" s="33"/>
      <c r="C59" s="33"/>
      <c r="D59" s="33"/>
      <c r="E59" s="33"/>
      <c r="F59" s="561" t="s">
        <v>238</v>
      </c>
      <c r="G59" s="19"/>
      <c r="H59" s="569"/>
      <c r="I59" s="3"/>
      <c r="J59" s="33"/>
    </row>
    <row r="60" spans="1:10">
      <c r="A60" s="4"/>
      <c r="B60" s="33"/>
      <c r="C60" s="33"/>
      <c r="D60" s="33"/>
      <c r="E60" s="33"/>
      <c r="F60" s="163"/>
      <c r="G60" s="19"/>
      <c r="H60" s="569"/>
      <c r="I60" s="3"/>
      <c r="J60" s="33"/>
    </row>
    <row r="61" spans="1:10">
      <c r="A61" s="4"/>
      <c r="B61" s="33"/>
      <c r="C61" s="33"/>
      <c r="D61" s="33"/>
      <c r="E61" s="33"/>
      <c r="F61" s="8"/>
      <c r="G61" s="19"/>
      <c r="H61" s="569"/>
      <c r="I61" s="3"/>
      <c r="J61" s="33"/>
    </row>
    <row r="62" spans="1:10" ht="25.5">
      <c r="A62" s="4">
        <v>3.6</v>
      </c>
      <c r="B62" s="195"/>
      <c r="C62" s="33"/>
      <c r="D62" s="33" t="s">
        <v>172</v>
      </c>
      <c r="E62" s="33" t="s">
        <v>239</v>
      </c>
      <c r="F62" s="441" t="s">
        <v>240</v>
      </c>
      <c r="G62" s="19" t="s">
        <v>175</v>
      </c>
      <c r="H62" s="569">
        <v>1</v>
      </c>
      <c r="I62" s="3">
        <v>1086168</v>
      </c>
      <c r="J62" s="33">
        <f t="shared" si="0"/>
        <v>1086168</v>
      </c>
    </row>
    <row r="63" spans="1:10">
      <c r="A63" s="4"/>
      <c r="B63" s="195"/>
      <c r="C63" s="33"/>
      <c r="D63" s="33"/>
      <c r="E63" s="19"/>
      <c r="F63" s="441" t="s">
        <v>241</v>
      </c>
      <c r="G63" s="19"/>
      <c r="H63" s="569"/>
      <c r="I63" s="3"/>
      <c r="J63" s="33"/>
    </row>
    <row r="64" spans="1:10" ht="216.75">
      <c r="A64" s="4"/>
      <c r="B64" s="195"/>
      <c r="C64" s="33"/>
      <c r="D64" s="33"/>
      <c r="E64" s="19"/>
      <c r="F64" s="196" t="s">
        <v>564</v>
      </c>
      <c r="G64" s="19"/>
      <c r="H64" s="569"/>
      <c r="I64" s="3"/>
      <c r="J64" s="33"/>
    </row>
    <row r="65" spans="1:10">
      <c r="A65" s="4"/>
      <c r="B65" s="195"/>
      <c r="C65" s="33"/>
      <c r="D65" s="33"/>
      <c r="E65" s="19"/>
      <c r="F65" s="19"/>
      <c r="G65" s="19"/>
      <c r="H65" s="569"/>
      <c r="I65" s="3"/>
      <c r="J65" s="33"/>
    </row>
    <row r="66" spans="1:10">
      <c r="A66" s="4">
        <v>3.7</v>
      </c>
      <c r="B66" s="33"/>
      <c r="C66" s="33"/>
      <c r="D66" s="33" t="s">
        <v>172</v>
      </c>
      <c r="E66" s="33" t="s">
        <v>242</v>
      </c>
      <c r="F66" s="441" t="s">
        <v>243</v>
      </c>
      <c r="G66" s="19"/>
      <c r="H66" s="569"/>
      <c r="I66" s="3"/>
      <c r="J66" s="33">
        <f t="shared" si="0"/>
        <v>0</v>
      </c>
    </row>
    <row r="67" spans="1:10">
      <c r="A67" s="130"/>
      <c r="B67" s="33"/>
      <c r="C67" s="33"/>
      <c r="D67" s="33"/>
      <c r="E67" s="33"/>
      <c r="F67" s="441" t="s">
        <v>244</v>
      </c>
      <c r="G67" s="19" t="s">
        <v>126</v>
      </c>
      <c r="H67" s="569">
        <v>1</v>
      </c>
      <c r="I67" s="3">
        <v>101400</v>
      </c>
      <c r="J67" s="33">
        <f t="shared" si="0"/>
        <v>101400</v>
      </c>
    </row>
    <row r="68" spans="1:10" ht="204">
      <c r="A68" s="4"/>
      <c r="B68" s="33"/>
      <c r="C68" s="33"/>
      <c r="D68" s="33"/>
      <c r="E68" s="19"/>
      <c r="F68" s="440" t="s">
        <v>565</v>
      </c>
      <c r="G68" s="19"/>
      <c r="H68" s="569"/>
      <c r="I68" s="3"/>
      <c r="J68" s="33"/>
    </row>
    <row r="69" spans="1:10">
      <c r="A69" s="4"/>
      <c r="B69" s="33"/>
      <c r="C69" s="33"/>
      <c r="D69" s="33"/>
      <c r="E69" s="19"/>
      <c r="F69" s="19"/>
      <c r="G69" s="19"/>
      <c r="H69" s="569"/>
      <c r="I69" s="3"/>
      <c r="J69" s="33">
        <f t="shared" si="0"/>
        <v>0</v>
      </c>
    </row>
    <row r="70" spans="1:10">
      <c r="A70" s="4"/>
      <c r="B70" s="33"/>
      <c r="C70" s="33"/>
      <c r="D70" s="33"/>
      <c r="E70" s="19"/>
      <c r="F70" s="19"/>
      <c r="G70" s="19"/>
      <c r="H70" s="569"/>
      <c r="I70" s="3"/>
      <c r="J70" s="33"/>
    </row>
    <row r="71" spans="1:10">
      <c r="A71" s="4">
        <v>3.8</v>
      </c>
      <c r="B71" s="33"/>
      <c r="C71" s="33"/>
      <c r="D71" s="33" t="s">
        <v>245</v>
      </c>
      <c r="E71" s="33" t="s">
        <v>246</v>
      </c>
      <c r="F71" s="441" t="s">
        <v>247</v>
      </c>
      <c r="G71" s="19" t="s">
        <v>7</v>
      </c>
      <c r="H71" s="569">
        <f>(5*1)</f>
        <v>5</v>
      </c>
      <c r="I71" s="3">
        <v>42948</v>
      </c>
      <c r="J71" s="33">
        <f t="shared" si="0"/>
        <v>214740</v>
      </c>
    </row>
    <row r="72" spans="1:10" ht="51">
      <c r="A72" s="4"/>
      <c r="B72" s="33"/>
      <c r="C72" s="33"/>
      <c r="D72" s="33"/>
      <c r="E72" s="19"/>
      <c r="F72" s="197" t="s">
        <v>248</v>
      </c>
      <c r="G72" s="19"/>
      <c r="H72" s="569"/>
      <c r="I72" s="3"/>
      <c r="J72" s="33"/>
    </row>
    <row r="73" spans="1:10">
      <c r="A73" s="4"/>
      <c r="B73" s="33"/>
      <c r="C73" s="33"/>
      <c r="D73" s="33"/>
      <c r="E73" s="19"/>
      <c r="F73" s="19"/>
      <c r="G73" s="19"/>
      <c r="H73" s="569"/>
      <c r="I73" s="3"/>
      <c r="J73" s="33"/>
    </row>
    <row r="74" spans="1:10">
      <c r="A74" s="4"/>
      <c r="B74" s="33"/>
      <c r="C74" s="33"/>
      <c r="D74" s="33"/>
      <c r="E74" s="19"/>
      <c r="F74" s="19"/>
      <c r="G74" s="19"/>
      <c r="H74" s="569"/>
      <c r="I74" s="3"/>
      <c r="J74" s="33"/>
    </row>
    <row r="75" spans="1:10">
      <c r="A75" s="4">
        <v>3.9</v>
      </c>
      <c r="B75" s="33"/>
      <c r="C75" s="33"/>
      <c r="D75" s="33" t="s">
        <v>172</v>
      </c>
      <c r="E75" s="33" t="s">
        <v>249</v>
      </c>
      <c r="F75" s="161" t="s">
        <v>250</v>
      </c>
      <c r="G75" s="19" t="s">
        <v>126</v>
      </c>
      <c r="H75" s="569">
        <v>3</v>
      </c>
      <c r="I75" s="3">
        <v>16272</v>
      </c>
      <c r="J75" s="33">
        <f t="shared" si="0"/>
        <v>48816</v>
      </c>
    </row>
    <row r="76" spans="1:10" ht="76.5">
      <c r="A76" s="4"/>
      <c r="B76" s="33"/>
      <c r="C76" s="33"/>
      <c r="D76" s="33"/>
      <c r="E76" s="19"/>
      <c r="F76" s="163" t="s">
        <v>251</v>
      </c>
      <c r="G76" s="19"/>
      <c r="H76" s="569"/>
      <c r="I76" s="3"/>
      <c r="J76" s="33"/>
    </row>
    <row r="77" spans="1:10">
      <c r="A77" s="4"/>
      <c r="B77" s="33"/>
      <c r="C77" s="33"/>
      <c r="D77" s="33"/>
      <c r="E77" s="19"/>
      <c r="F77" s="19"/>
      <c r="G77" s="19"/>
      <c r="H77" s="569"/>
      <c r="I77" s="3"/>
      <c r="J77" s="33"/>
    </row>
    <row r="78" spans="1:10">
      <c r="A78" s="130">
        <v>3.1</v>
      </c>
      <c r="B78" s="33"/>
      <c r="C78" s="33"/>
      <c r="D78" s="33" t="s">
        <v>245</v>
      </c>
      <c r="E78" s="33" t="s">
        <v>252</v>
      </c>
      <c r="F78" s="441" t="s">
        <v>253</v>
      </c>
      <c r="G78" s="19" t="s">
        <v>126</v>
      </c>
      <c r="H78" s="569">
        <v>4</v>
      </c>
      <c r="I78" s="3">
        <v>8958</v>
      </c>
      <c r="J78" s="33">
        <f t="shared" si="0"/>
        <v>35832</v>
      </c>
    </row>
    <row r="79" spans="1:10" ht="25.5">
      <c r="A79" s="4"/>
      <c r="B79" s="33"/>
      <c r="C79" s="33"/>
      <c r="D79" s="33"/>
      <c r="E79" s="19"/>
      <c r="F79" s="440" t="s">
        <v>254</v>
      </c>
      <c r="G79" s="19"/>
      <c r="H79" s="569"/>
      <c r="I79" s="3"/>
      <c r="J79" s="33"/>
    </row>
    <row r="80" spans="1:10">
      <c r="A80" s="110"/>
      <c r="B80" s="115"/>
      <c r="C80" s="115"/>
      <c r="D80" s="115"/>
      <c r="E80" s="111"/>
      <c r="F80" s="111"/>
      <c r="G80" s="111"/>
      <c r="H80" s="572"/>
      <c r="I80" s="165"/>
      <c r="J80" s="115"/>
    </row>
    <row r="81" spans="1:10">
      <c r="A81" s="130">
        <v>3.11</v>
      </c>
      <c r="B81" s="33"/>
      <c r="C81" s="33"/>
      <c r="D81" s="33" t="s">
        <v>245</v>
      </c>
      <c r="E81" s="33" t="s">
        <v>255</v>
      </c>
      <c r="F81" s="441" t="s">
        <v>256</v>
      </c>
      <c r="G81" s="19" t="s">
        <v>257</v>
      </c>
      <c r="H81" s="569">
        <v>1</v>
      </c>
      <c r="I81" s="3">
        <v>109490</v>
      </c>
      <c r="J81" s="33">
        <f t="shared" ref="J81" si="9">SUM(H81*I81)</f>
        <v>109490</v>
      </c>
    </row>
    <row r="82" spans="1:10" ht="51">
      <c r="A82" s="4"/>
      <c r="B82" s="33"/>
      <c r="C82" s="33"/>
      <c r="D82" s="33"/>
      <c r="E82" s="19"/>
      <c r="F82" s="440" t="s">
        <v>258</v>
      </c>
      <c r="G82" s="19"/>
      <c r="H82" s="569"/>
      <c r="I82" s="3"/>
      <c r="J82" s="33"/>
    </row>
    <row r="83" spans="1:10">
      <c r="A83" s="4"/>
      <c r="B83" s="33"/>
      <c r="C83" s="33"/>
      <c r="D83" s="33"/>
      <c r="E83" s="19"/>
      <c r="F83" s="19"/>
      <c r="G83" s="19"/>
      <c r="H83" s="569"/>
      <c r="I83" s="3"/>
      <c r="J83" s="33"/>
    </row>
    <row r="84" spans="1:10">
      <c r="A84" s="130">
        <v>3.12</v>
      </c>
      <c r="B84" s="33"/>
      <c r="C84" s="33"/>
      <c r="D84" s="33" t="s">
        <v>245</v>
      </c>
      <c r="E84" s="33" t="s">
        <v>255</v>
      </c>
      <c r="F84" s="441" t="s">
        <v>259</v>
      </c>
      <c r="G84" s="19" t="s">
        <v>257</v>
      </c>
      <c r="H84" s="569">
        <v>1</v>
      </c>
      <c r="I84" s="3">
        <v>107320</v>
      </c>
      <c r="J84" s="33">
        <f t="shared" ref="J84" si="10">SUM(H84*I84)</f>
        <v>107320</v>
      </c>
    </row>
    <row r="85" spans="1:10" ht="51">
      <c r="A85" s="4"/>
      <c r="B85" s="33"/>
      <c r="C85" s="33"/>
      <c r="D85" s="33"/>
      <c r="E85" s="19"/>
      <c r="F85" s="440" t="s">
        <v>260</v>
      </c>
      <c r="G85" s="19"/>
      <c r="H85" s="569"/>
      <c r="I85" s="3"/>
      <c r="J85" s="33"/>
    </row>
    <row r="86" spans="1:10">
      <c r="A86" s="110"/>
      <c r="B86" s="115"/>
      <c r="C86" s="115"/>
      <c r="D86" s="115"/>
      <c r="E86" s="111"/>
      <c r="F86" s="111"/>
      <c r="G86" s="111"/>
      <c r="H86" s="572"/>
      <c r="I86" s="165"/>
      <c r="J86" s="115"/>
    </row>
    <row r="87" spans="1:10">
      <c r="A87" s="110"/>
      <c r="B87" s="115"/>
      <c r="C87" s="115"/>
      <c r="D87" s="115"/>
      <c r="E87" s="111"/>
      <c r="F87" s="111"/>
      <c r="G87" s="111"/>
      <c r="H87" s="572"/>
      <c r="I87" s="165"/>
      <c r="J87" s="115"/>
    </row>
    <row r="88" spans="1:10">
      <c r="A88" s="133">
        <v>3.13</v>
      </c>
      <c r="B88" s="115"/>
      <c r="C88" s="115"/>
      <c r="D88" s="5" t="s">
        <v>178</v>
      </c>
      <c r="E88" s="5" t="s">
        <v>261</v>
      </c>
      <c r="F88" s="16" t="s">
        <v>262</v>
      </c>
      <c r="G88" s="1" t="s">
        <v>181</v>
      </c>
      <c r="H88" s="571">
        <v>1</v>
      </c>
      <c r="I88" s="3">
        <v>137385</v>
      </c>
      <c r="J88" s="33">
        <f t="shared" ref="J88" si="11">SUM(H88*I88)</f>
        <v>137385</v>
      </c>
    </row>
    <row r="89" spans="1:10">
      <c r="A89" s="110"/>
      <c r="B89" s="115"/>
      <c r="C89" s="115"/>
      <c r="D89" s="5"/>
      <c r="E89" s="1"/>
      <c r="F89" s="27" t="s">
        <v>263</v>
      </c>
      <c r="G89" s="1"/>
      <c r="H89" s="571"/>
      <c r="I89" s="2"/>
      <c r="J89" s="115"/>
    </row>
    <row r="90" spans="1:10">
      <c r="A90" s="110"/>
      <c r="B90" s="115"/>
      <c r="C90" s="115"/>
      <c r="D90" s="5"/>
      <c r="E90" s="1"/>
      <c r="F90" s="27" t="s">
        <v>183</v>
      </c>
      <c r="G90" s="1"/>
      <c r="H90" s="571"/>
      <c r="I90" s="2"/>
      <c r="J90" s="115"/>
    </row>
    <row r="91" spans="1:10" ht="102">
      <c r="A91" s="110"/>
      <c r="B91" s="115"/>
      <c r="C91" s="115"/>
      <c r="D91" s="5"/>
      <c r="E91" s="1"/>
      <c r="F91" s="27" t="s">
        <v>592</v>
      </c>
      <c r="G91" s="1"/>
      <c r="H91" s="571"/>
      <c r="I91" s="2"/>
      <c r="J91" s="115"/>
    </row>
    <row r="92" spans="1:10">
      <c r="A92" s="110"/>
      <c r="B92" s="115"/>
      <c r="C92" s="115"/>
      <c r="D92" s="5"/>
      <c r="E92" s="5"/>
      <c r="F92" s="26" t="s">
        <v>184</v>
      </c>
      <c r="G92" s="1"/>
      <c r="H92" s="571"/>
      <c r="I92" s="2"/>
      <c r="J92" s="115"/>
    </row>
    <row r="93" spans="1:10" ht="76.5">
      <c r="A93" s="110"/>
      <c r="B93" s="115"/>
      <c r="C93" s="115"/>
      <c r="D93" s="5"/>
      <c r="E93" s="1"/>
      <c r="F93" s="561" t="s">
        <v>264</v>
      </c>
      <c r="G93" s="1"/>
      <c r="H93" s="571"/>
      <c r="I93" s="2"/>
      <c r="J93" s="115"/>
    </row>
    <row r="94" spans="1:10">
      <c r="A94" s="110"/>
      <c r="B94" s="115"/>
      <c r="C94" s="115"/>
      <c r="D94" s="5"/>
      <c r="E94" s="1"/>
      <c r="F94" s="567" t="s">
        <v>265</v>
      </c>
      <c r="G94" s="1"/>
      <c r="H94" s="571"/>
      <c r="I94" s="2"/>
      <c r="J94" s="115"/>
    </row>
    <row r="95" spans="1:10" ht="25.5">
      <c r="A95" s="110"/>
      <c r="B95" s="115"/>
      <c r="C95" s="115"/>
      <c r="D95" s="5"/>
      <c r="E95" s="1"/>
      <c r="F95" s="561" t="s">
        <v>596</v>
      </c>
      <c r="G95" s="1"/>
      <c r="H95" s="571"/>
      <c r="I95" s="2"/>
      <c r="J95" s="115"/>
    </row>
    <row r="96" spans="1:10">
      <c r="A96" s="110"/>
      <c r="B96" s="115"/>
      <c r="C96" s="115"/>
      <c r="D96" s="5"/>
      <c r="E96" s="5"/>
      <c r="F96" s="26" t="s">
        <v>185</v>
      </c>
      <c r="G96" s="1"/>
      <c r="H96" s="571"/>
      <c r="I96" s="2"/>
      <c r="J96" s="115"/>
    </row>
    <row r="97" spans="1:10" ht="51">
      <c r="A97" s="110"/>
      <c r="B97" s="115"/>
      <c r="C97" s="115"/>
      <c r="D97" s="5"/>
      <c r="E97" s="1"/>
      <c r="F97" s="27" t="s">
        <v>266</v>
      </c>
      <c r="G97" s="1"/>
      <c r="H97" s="571"/>
      <c r="I97" s="2"/>
      <c r="J97" s="115"/>
    </row>
    <row r="98" spans="1:10">
      <c r="A98" s="110"/>
      <c r="B98" s="115"/>
      <c r="C98" s="115"/>
      <c r="D98" s="115"/>
      <c r="E98" s="111"/>
      <c r="F98" s="111"/>
      <c r="G98" s="111"/>
      <c r="H98" s="572"/>
      <c r="I98" s="165"/>
      <c r="J98" s="115"/>
    </row>
    <row r="99" spans="1:10" ht="25.5">
      <c r="A99" s="136">
        <v>3.14</v>
      </c>
      <c r="B99" s="137"/>
      <c r="C99" s="137"/>
      <c r="D99" s="33" t="s">
        <v>30</v>
      </c>
      <c r="E99" s="33" t="s">
        <v>267</v>
      </c>
      <c r="F99" s="8" t="s">
        <v>268</v>
      </c>
      <c r="G99" s="19" t="s">
        <v>28</v>
      </c>
      <c r="H99" s="569">
        <v>10</v>
      </c>
      <c r="I99" s="3">
        <v>5860</v>
      </c>
      <c r="J99" s="28">
        <f>SUM(H99*I99)</f>
        <v>58600</v>
      </c>
    </row>
    <row r="100" spans="1:10" ht="102">
      <c r="A100" s="11"/>
      <c r="B100" s="137"/>
      <c r="C100" s="137"/>
      <c r="D100" s="137"/>
      <c r="E100" s="137"/>
      <c r="F100" s="19" t="s">
        <v>593</v>
      </c>
      <c r="G100" s="8"/>
      <c r="H100" s="574"/>
      <c r="I100" s="194"/>
      <c r="J100" s="33"/>
    </row>
    <row r="101" spans="1:10">
      <c r="A101" s="110"/>
      <c r="B101" s="115"/>
      <c r="C101" s="115"/>
      <c r="D101" s="115"/>
      <c r="E101" s="111"/>
      <c r="F101" s="111"/>
      <c r="G101" s="111"/>
      <c r="H101" s="572"/>
      <c r="I101" s="165"/>
      <c r="J101" s="115"/>
    </row>
    <row r="102" spans="1:10">
      <c r="A102" s="136">
        <v>3.15</v>
      </c>
      <c r="B102" s="137"/>
      <c r="C102" s="137"/>
      <c r="D102" s="33"/>
      <c r="E102" s="33"/>
      <c r="F102" s="16" t="s">
        <v>82</v>
      </c>
      <c r="G102" s="1" t="s">
        <v>8</v>
      </c>
      <c r="H102" s="571">
        <v>22</v>
      </c>
      <c r="I102" s="3">
        <v>48475</v>
      </c>
      <c r="J102" s="13">
        <f>SUM(H102*I102)</f>
        <v>1066450</v>
      </c>
    </row>
    <row r="103" spans="1:10" ht="178.5">
      <c r="A103" s="11"/>
      <c r="B103" s="137"/>
      <c r="C103" s="137"/>
      <c r="D103" s="33"/>
      <c r="E103" s="33"/>
      <c r="F103" s="561" t="s">
        <v>269</v>
      </c>
      <c r="G103" s="19"/>
      <c r="H103" s="569"/>
      <c r="I103" s="3"/>
      <c r="J103" s="28"/>
    </row>
    <row r="104" spans="1:10">
      <c r="A104" s="11"/>
      <c r="B104" s="137"/>
      <c r="C104" s="137"/>
      <c r="D104" s="33"/>
      <c r="E104" s="33"/>
      <c r="F104" s="561"/>
      <c r="G104" s="19"/>
      <c r="H104" s="569"/>
      <c r="I104" s="3"/>
      <c r="J104" s="28"/>
    </row>
    <row r="105" spans="1:10">
      <c r="A105" s="136">
        <v>3.16</v>
      </c>
      <c r="B105" s="137"/>
      <c r="C105" s="137"/>
      <c r="D105" s="33"/>
      <c r="E105" s="33"/>
      <c r="F105" s="16" t="s">
        <v>270</v>
      </c>
      <c r="G105" s="1" t="s">
        <v>271</v>
      </c>
      <c r="H105" s="571">
        <v>10</v>
      </c>
      <c r="I105" s="3">
        <v>22014</v>
      </c>
      <c r="J105" s="13">
        <f>SUM(H105*I105)</f>
        <v>220140</v>
      </c>
    </row>
    <row r="106" spans="1:10" ht="76.5">
      <c r="A106" s="11"/>
      <c r="B106" s="137"/>
      <c r="C106" s="137"/>
      <c r="D106" s="33"/>
      <c r="E106" s="33"/>
      <c r="F106" s="561" t="s">
        <v>594</v>
      </c>
      <c r="G106" s="19"/>
      <c r="H106" s="569"/>
      <c r="I106" s="3"/>
      <c r="J106" s="28"/>
    </row>
    <row r="107" spans="1:10">
      <c r="A107" s="11"/>
      <c r="B107" s="137"/>
      <c r="C107" s="137"/>
      <c r="D107" s="33"/>
      <c r="E107" s="33"/>
      <c r="F107" s="8"/>
      <c r="G107" s="19"/>
      <c r="H107" s="569"/>
      <c r="I107" s="3"/>
      <c r="J107" s="28"/>
    </row>
    <row r="108" spans="1:10">
      <c r="A108" s="136">
        <v>3.17</v>
      </c>
      <c r="B108" s="137"/>
      <c r="C108" s="137"/>
      <c r="D108" s="33"/>
      <c r="E108" s="33"/>
      <c r="F108" s="8" t="s">
        <v>272</v>
      </c>
      <c r="G108" s="1" t="s">
        <v>8</v>
      </c>
      <c r="H108" s="571">
        <v>6</v>
      </c>
      <c r="I108" s="3">
        <v>28620</v>
      </c>
      <c r="J108" s="13">
        <f>SUM(H108*I108)</f>
        <v>171720</v>
      </c>
    </row>
    <row r="109" spans="1:10" ht="76.5">
      <c r="A109" s="11"/>
      <c r="B109" s="137"/>
      <c r="C109" s="137"/>
      <c r="D109" s="33"/>
      <c r="E109" s="33"/>
      <c r="F109" s="19" t="s">
        <v>566</v>
      </c>
      <c r="G109" s="19"/>
      <c r="H109" s="569"/>
      <c r="I109" s="3"/>
      <c r="J109" s="28"/>
    </row>
    <row r="110" spans="1:10">
      <c r="A110" s="11"/>
      <c r="B110" s="137"/>
      <c r="C110" s="137"/>
      <c r="D110" s="33"/>
      <c r="E110" s="33"/>
      <c r="F110" s="8"/>
      <c r="G110" s="19"/>
      <c r="H110" s="569"/>
      <c r="I110" s="3"/>
      <c r="J110" s="28"/>
    </row>
    <row r="111" spans="1:10">
      <c r="A111" s="136">
        <v>3.18</v>
      </c>
      <c r="B111" s="137"/>
      <c r="C111" s="137"/>
      <c r="D111" s="33"/>
      <c r="E111" s="33"/>
      <c r="F111" s="8" t="s">
        <v>273</v>
      </c>
      <c r="G111" s="1" t="s">
        <v>7</v>
      </c>
      <c r="H111" s="571">
        <f>5*3.6</f>
        <v>18</v>
      </c>
      <c r="I111" s="3">
        <v>6935</v>
      </c>
      <c r="J111" s="13">
        <f>SUM(H111*I111)</f>
        <v>124830</v>
      </c>
    </row>
    <row r="112" spans="1:10" ht="76.5">
      <c r="A112" s="64"/>
      <c r="B112" s="149"/>
      <c r="C112" s="149"/>
      <c r="D112" s="115"/>
      <c r="E112" s="115"/>
      <c r="F112" s="561" t="s">
        <v>274</v>
      </c>
      <c r="G112" s="111"/>
      <c r="H112" s="572"/>
      <c r="I112" s="165"/>
      <c r="J112" s="198"/>
    </row>
    <row r="113" spans="1:10">
      <c r="A113" s="110"/>
      <c r="B113" s="115"/>
      <c r="C113" s="115"/>
      <c r="D113" s="115"/>
      <c r="E113" s="111"/>
      <c r="F113" s="562"/>
      <c r="G113" s="111"/>
      <c r="H113" s="572"/>
      <c r="I113" s="165"/>
      <c r="J113" s="115"/>
    </row>
    <row r="114" spans="1:10" ht="25.5">
      <c r="A114" s="136">
        <v>3.19</v>
      </c>
      <c r="B114" s="149"/>
      <c r="C114" s="149"/>
      <c r="D114" s="33" t="s">
        <v>723</v>
      </c>
      <c r="E114" s="33" t="s">
        <v>724</v>
      </c>
      <c r="F114" s="161" t="s">
        <v>725</v>
      </c>
      <c r="G114" s="111"/>
      <c r="H114" s="572"/>
      <c r="I114" s="165"/>
      <c r="J114" s="198"/>
    </row>
    <row r="115" spans="1:10">
      <c r="A115" s="64"/>
      <c r="B115" s="149"/>
      <c r="C115" s="149"/>
      <c r="D115" s="115"/>
      <c r="E115" s="115"/>
      <c r="F115" s="161" t="s">
        <v>726</v>
      </c>
      <c r="G115" s="19"/>
      <c r="H115" s="572"/>
      <c r="I115" s="165"/>
      <c r="J115" s="198"/>
    </row>
    <row r="116" spans="1:10" ht="204">
      <c r="A116" s="64"/>
      <c r="B116" s="149"/>
      <c r="C116" s="149"/>
      <c r="D116" s="115"/>
      <c r="E116" s="115"/>
      <c r="F116" s="163" t="s">
        <v>727</v>
      </c>
      <c r="G116" s="19"/>
      <c r="H116" s="572"/>
      <c r="I116" s="165"/>
      <c r="J116" s="198"/>
    </row>
    <row r="117" spans="1:10">
      <c r="A117" s="64"/>
      <c r="B117" s="149"/>
      <c r="C117" s="149"/>
      <c r="D117" s="115"/>
      <c r="E117" s="115"/>
      <c r="F117" s="161" t="s">
        <v>662</v>
      </c>
      <c r="G117" s="19"/>
      <c r="H117" s="572"/>
      <c r="I117" s="165"/>
      <c r="J117" s="198"/>
    </row>
    <row r="118" spans="1:10" ht="63.75">
      <c r="A118" s="64"/>
      <c r="B118" s="149"/>
      <c r="C118" s="149"/>
      <c r="D118" s="115"/>
      <c r="E118" s="115"/>
      <c r="F118" s="163" t="s">
        <v>728</v>
      </c>
      <c r="G118" s="19"/>
      <c r="H118" s="572"/>
      <c r="I118" s="165"/>
      <c r="J118" s="198"/>
    </row>
    <row r="119" spans="1:10">
      <c r="A119" s="64"/>
      <c r="B119" s="149"/>
      <c r="C119" s="149"/>
      <c r="D119" s="115"/>
      <c r="E119" s="115"/>
      <c r="F119" s="161" t="s">
        <v>729</v>
      </c>
      <c r="G119" s="19"/>
      <c r="H119" s="572"/>
      <c r="I119" s="165"/>
      <c r="J119" s="198"/>
    </row>
    <row r="120" spans="1:10" ht="76.5">
      <c r="A120" s="64"/>
      <c r="B120" s="149"/>
      <c r="C120" s="149"/>
      <c r="D120" s="115"/>
      <c r="E120" s="115"/>
      <c r="F120" s="163" t="s">
        <v>730</v>
      </c>
      <c r="G120" s="19"/>
      <c r="H120" s="572"/>
      <c r="I120" s="165"/>
      <c r="J120" s="198"/>
    </row>
    <row r="121" spans="1:10" ht="25.5">
      <c r="A121" s="64" t="s">
        <v>147</v>
      </c>
      <c r="B121" s="149"/>
      <c r="C121" s="149"/>
      <c r="D121" s="115"/>
      <c r="E121" s="115"/>
      <c r="F121" s="163" t="s">
        <v>731</v>
      </c>
      <c r="G121" s="19" t="s">
        <v>126</v>
      </c>
      <c r="H121" s="572">
        <v>1</v>
      </c>
      <c r="I121" s="3">
        <v>552924</v>
      </c>
      <c r="J121" s="13">
        <f t="shared" ref="J121:J124" si="12">SUM(H121*I121)</f>
        <v>552924</v>
      </c>
    </row>
    <row r="122" spans="1:10" ht="25.5">
      <c r="A122" s="64" t="s">
        <v>148</v>
      </c>
      <c r="B122" s="149"/>
      <c r="C122" s="149"/>
      <c r="D122" s="115"/>
      <c r="E122" s="115"/>
      <c r="F122" s="163" t="s">
        <v>732</v>
      </c>
      <c r="G122" s="19" t="s">
        <v>126</v>
      </c>
      <c r="H122" s="572">
        <v>2</v>
      </c>
      <c r="I122" s="3">
        <v>0</v>
      </c>
      <c r="J122" s="13">
        <f t="shared" si="12"/>
        <v>0</v>
      </c>
    </row>
    <row r="123" spans="1:10">
      <c r="A123" s="64"/>
      <c r="B123" s="149"/>
      <c r="C123" s="149"/>
      <c r="D123" s="115"/>
      <c r="E123" s="115"/>
      <c r="F123" s="427"/>
      <c r="G123" s="111"/>
      <c r="H123" s="572"/>
      <c r="I123" s="165"/>
      <c r="J123" s="112"/>
    </row>
    <row r="124" spans="1:10">
      <c r="A124" s="428">
        <v>3.2</v>
      </c>
      <c r="B124" s="149"/>
      <c r="C124" s="149"/>
      <c r="D124" s="33" t="s">
        <v>733</v>
      </c>
      <c r="E124" s="33" t="s">
        <v>734</v>
      </c>
      <c r="F124" s="161" t="s">
        <v>735</v>
      </c>
      <c r="G124" s="19" t="s">
        <v>175</v>
      </c>
      <c r="H124" s="572">
        <v>12</v>
      </c>
      <c r="I124" s="3">
        <v>0</v>
      </c>
      <c r="J124" s="13">
        <f t="shared" si="12"/>
        <v>0</v>
      </c>
    </row>
    <row r="125" spans="1:10">
      <c r="A125" s="64"/>
      <c r="B125" s="149"/>
      <c r="C125" s="149"/>
      <c r="D125" s="33"/>
      <c r="E125" s="19"/>
      <c r="F125" s="441" t="s">
        <v>736</v>
      </c>
      <c r="G125" s="19"/>
      <c r="H125" s="572"/>
      <c r="I125" s="165"/>
      <c r="J125" s="112"/>
    </row>
    <row r="126" spans="1:10" ht="153">
      <c r="A126" s="64"/>
      <c r="B126" s="149"/>
      <c r="C126" s="149"/>
      <c r="D126" s="33"/>
      <c r="E126" s="19"/>
      <c r="F126" s="440" t="s">
        <v>737</v>
      </c>
      <c r="G126" s="19"/>
      <c r="H126" s="572"/>
      <c r="I126" s="165"/>
      <c r="J126" s="112"/>
    </row>
    <row r="127" spans="1:10" ht="13.5" thickBot="1">
      <c r="A127" s="110"/>
      <c r="B127" s="115"/>
      <c r="C127" s="115"/>
      <c r="D127" s="115"/>
      <c r="E127" s="111"/>
      <c r="F127" s="111"/>
      <c r="G127" s="111"/>
      <c r="H127" s="572"/>
      <c r="I127" s="165"/>
      <c r="J127" s="115"/>
    </row>
    <row r="128" spans="1:10" ht="15.75" thickBot="1">
      <c r="A128" s="199" t="s">
        <v>11</v>
      </c>
      <c r="B128" s="168"/>
      <c r="C128" s="168"/>
      <c r="D128" s="168"/>
      <c r="E128" s="168"/>
      <c r="F128" s="169" t="s">
        <v>42</v>
      </c>
      <c r="G128" s="169"/>
      <c r="H128" s="170"/>
      <c r="I128" s="200"/>
      <c r="J128" s="171"/>
    </row>
    <row r="129" spans="1:10" ht="15">
      <c r="A129" s="201"/>
      <c r="B129" s="173"/>
      <c r="C129" s="173"/>
      <c r="D129" s="173"/>
      <c r="E129" s="173"/>
      <c r="F129" s="174"/>
      <c r="G129" s="175"/>
      <c r="H129" s="176"/>
      <c r="I129" s="202"/>
      <c r="J129" s="175"/>
    </row>
    <row r="130" spans="1:10" ht="15">
      <c r="A130" s="177">
        <v>4.0999999999999996</v>
      </c>
      <c r="B130" s="125"/>
      <c r="C130" s="125"/>
      <c r="D130" s="125" t="s">
        <v>13</v>
      </c>
      <c r="E130" s="125" t="s">
        <v>43</v>
      </c>
      <c r="F130" s="139" t="s">
        <v>201</v>
      </c>
      <c r="G130" s="124" t="s">
        <v>7</v>
      </c>
      <c r="H130" s="140">
        <v>10</v>
      </c>
      <c r="I130" s="3">
        <v>492</v>
      </c>
      <c r="J130" s="124">
        <f t="shared" ref="J130:J136" si="13">SUM(H130*I130)</f>
        <v>4920</v>
      </c>
    </row>
    <row r="131" spans="1:10" ht="75">
      <c r="A131" s="177"/>
      <c r="B131" s="125"/>
      <c r="C131" s="125"/>
      <c r="D131" s="125"/>
      <c r="E131" s="125"/>
      <c r="F131" s="36" t="s">
        <v>45</v>
      </c>
      <c r="G131" s="124"/>
      <c r="H131" s="140"/>
      <c r="I131" s="138"/>
      <c r="J131" s="124"/>
    </row>
    <row r="132" spans="1:10" ht="15">
      <c r="A132" s="177"/>
      <c r="B132" s="125"/>
      <c r="C132" s="125"/>
      <c r="D132" s="125"/>
      <c r="E132" s="125"/>
      <c r="F132" s="36"/>
      <c r="G132" s="124"/>
      <c r="H132" s="140"/>
      <c r="I132" s="138"/>
      <c r="J132" s="124"/>
    </row>
    <row r="133" spans="1:10" ht="15">
      <c r="A133" s="177">
        <v>4.2</v>
      </c>
      <c r="B133" s="125"/>
      <c r="C133" s="125"/>
      <c r="D133" s="125" t="s">
        <v>13</v>
      </c>
      <c r="E133" s="125" t="s">
        <v>46</v>
      </c>
      <c r="F133" s="139" t="s">
        <v>14</v>
      </c>
      <c r="G133" s="124" t="s">
        <v>7</v>
      </c>
      <c r="H133" s="140">
        <v>20</v>
      </c>
      <c r="I133" s="3">
        <v>552</v>
      </c>
      <c r="J133" s="124">
        <f t="shared" si="13"/>
        <v>11040</v>
      </c>
    </row>
    <row r="134" spans="1:10" ht="60">
      <c r="A134" s="177"/>
      <c r="B134" s="125"/>
      <c r="C134" s="125"/>
      <c r="D134" s="125"/>
      <c r="E134" s="125"/>
      <c r="F134" s="36" t="s">
        <v>47</v>
      </c>
      <c r="G134" s="124"/>
      <c r="H134" s="140"/>
      <c r="I134" s="138"/>
      <c r="J134" s="124"/>
    </row>
    <row r="135" spans="1:10" ht="15">
      <c r="A135" s="177"/>
      <c r="B135" s="125"/>
      <c r="C135" s="125"/>
      <c r="D135" s="125"/>
      <c r="E135" s="125"/>
      <c r="F135" s="36"/>
      <c r="G135" s="124"/>
      <c r="H135" s="140"/>
      <c r="I135" s="138"/>
      <c r="J135" s="124"/>
    </row>
    <row r="136" spans="1:10" ht="30">
      <c r="A136" s="177">
        <v>4.3</v>
      </c>
      <c r="B136" s="125"/>
      <c r="C136" s="125"/>
      <c r="D136" s="125" t="s">
        <v>13</v>
      </c>
      <c r="E136" s="125" t="s">
        <v>202</v>
      </c>
      <c r="F136" s="139" t="s">
        <v>203</v>
      </c>
      <c r="G136" s="124" t="s">
        <v>7</v>
      </c>
      <c r="H136" s="140">
        <v>10</v>
      </c>
      <c r="I136" s="3">
        <v>552</v>
      </c>
      <c r="J136" s="124">
        <f t="shared" si="13"/>
        <v>5520</v>
      </c>
    </row>
    <row r="137" spans="1:10" ht="45">
      <c r="A137" s="177"/>
      <c r="B137" s="125"/>
      <c r="C137" s="125"/>
      <c r="D137" s="125"/>
      <c r="E137" s="125"/>
      <c r="F137" s="36" t="s">
        <v>204</v>
      </c>
      <c r="G137" s="124"/>
      <c r="H137" s="411"/>
      <c r="I137" s="138"/>
      <c r="J137" s="124"/>
    </row>
    <row r="138" spans="1:10" ht="15.75" thickBot="1">
      <c r="A138" s="177"/>
      <c r="B138" s="125"/>
      <c r="C138" s="125"/>
      <c r="D138" s="125"/>
      <c r="E138" s="125"/>
      <c r="F138" s="36"/>
      <c r="G138" s="124"/>
      <c r="H138" s="411"/>
      <c r="I138" s="138"/>
      <c r="J138" s="124"/>
    </row>
    <row r="139" spans="1:10" ht="13.5" thickBot="1">
      <c r="A139" s="94"/>
      <c r="B139" s="120"/>
      <c r="C139" s="120"/>
      <c r="D139" s="120"/>
      <c r="E139" s="95"/>
      <c r="F139" s="41" t="s">
        <v>275</v>
      </c>
      <c r="G139" s="95"/>
      <c r="H139" s="413"/>
      <c r="I139" s="166"/>
      <c r="J139" s="603">
        <f>SUM(J8:J137)</f>
        <v>11132359.900000002</v>
      </c>
    </row>
  </sheetData>
  <mergeCells count="3">
    <mergeCell ref="A1:H1"/>
    <mergeCell ref="A2:H2"/>
    <mergeCell ref="I3:J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BF667-001E-4D94-BD67-D358A576E201}">
  <dimension ref="A1:K51"/>
  <sheetViews>
    <sheetView zoomScaleNormal="100" workbookViewId="0">
      <pane ySplit="4" topLeftCell="A55" activePane="bottomLeft" state="frozen"/>
      <selection pane="bottomLeft" activeCell="A55" sqref="A55"/>
    </sheetView>
  </sheetViews>
  <sheetFormatPr defaultColWidth="6.125" defaultRowHeight="12.75"/>
  <cols>
    <col min="1" max="1" width="6.75" style="210" customWidth="1"/>
    <col min="2" max="2" width="11.125" style="210" customWidth="1"/>
    <col min="3" max="3" width="5.625" style="210" customWidth="1"/>
    <col min="4" max="4" width="10.75" style="210" customWidth="1"/>
    <col min="5" max="5" width="8.625" style="210" bestFit="1" customWidth="1"/>
    <col min="6" max="6" width="43.125" style="247" customWidth="1"/>
    <col min="7" max="7" width="4.375" style="210" customWidth="1"/>
    <col min="8" max="8" width="7" style="210" customWidth="1"/>
    <col min="9" max="9" width="7.875" style="210" bestFit="1" customWidth="1"/>
    <col min="10" max="10" width="9.25" style="210" bestFit="1" customWidth="1"/>
    <col min="11" max="11" width="11.375" style="246" bestFit="1" customWidth="1"/>
    <col min="12" max="229" width="6.125" style="210"/>
    <col min="230" max="230" width="5" style="210" customWidth="1"/>
    <col min="231" max="231" width="8.875" style="210" customWidth="1"/>
    <col min="232" max="232" width="5" style="210" customWidth="1"/>
    <col min="233" max="233" width="8.25" style="210" bestFit="1" customWidth="1"/>
    <col min="234" max="234" width="16.125" style="210" customWidth="1"/>
    <col min="235" max="235" width="86" style="210" customWidth="1"/>
    <col min="236" max="236" width="5" style="210" customWidth="1"/>
    <col min="237" max="237" width="11.125" style="210" bestFit="1" customWidth="1"/>
    <col min="238" max="238" width="10.375" style="210" customWidth="1"/>
    <col min="239" max="239" width="10.875" style="210" customWidth="1"/>
    <col min="240" max="240" width="7.75" style="210" customWidth="1"/>
    <col min="241" max="241" width="9.875" style="210" customWidth="1"/>
    <col min="242" max="242" width="10.625" style="210" customWidth="1"/>
    <col min="243" max="485" width="6.125" style="210"/>
    <col min="486" max="486" width="5" style="210" customWidth="1"/>
    <col min="487" max="487" width="8.875" style="210" customWidth="1"/>
    <col min="488" max="488" width="5" style="210" customWidth="1"/>
    <col min="489" max="489" width="8.25" style="210" bestFit="1" customWidth="1"/>
    <col min="490" max="490" width="16.125" style="210" customWidth="1"/>
    <col min="491" max="491" width="86" style="210" customWidth="1"/>
    <col min="492" max="492" width="5" style="210" customWidth="1"/>
    <col min="493" max="493" width="11.125" style="210" bestFit="1" customWidth="1"/>
    <col min="494" max="494" width="10.375" style="210" customWidth="1"/>
    <col min="495" max="495" width="10.875" style="210" customWidth="1"/>
    <col min="496" max="496" width="7.75" style="210" customWidth="1"/>
    <col min="497" max="497" width="9.875" style="210" customWidth="1"/>
    <col min="498" max="498" width="10.625" style="210" customWidth="1"/>
    <col min="499" max="741" width="6.125" style="210"/>
    <col min="742" max="742" width="5" style="210" customWidth="1"/>
    <col min="743" max="743" width="8.875" style="210" customWidth="1"/>
    <col min="744" max="744" width="5" style="210" customWidth="1"/>
    <col min="745" max="745" width="8.25" style="210" bestFit="1" customWidth="1"/>
    <col min="746" max="746" width="16.125" style="210" customWidth="1"/>
    <col min="747" max="747" width="86" style="210" customWidth="1"/>
    <col min="748" max="748" width="5" style="210" customWidth="1"/>
    <col min="749" max="749" width="11.125" style="210" bestFit="1" customWidth="1"/>
    <col min="750" max="750" width="10.375" style="210" customWidth="1"/>
    <col min="751" max="751" width="10.875" style="210" customWidth="1"/>
    <col min="752" max="752" width="7.75" style="210" customWidth="1"/>
    <col min="753" max="753" width="9.875" style="210" customWidth="1"/>
    <col min="754" max="754" width="10.625" style="210" customWidth="1"/>
    <col min="755" max="997" width="6.125" style="210"/>
    <col min="998" max="998" width="5" style="210" customWidth="1"/>
    <col min="999" max="999" width="8.875" style="210" customWidth="1"/>
    <col min="1000" max="1000" width="5" style="210" customWidth="1"/>
    <col min="1001" max="1001" width="8.25" style="210" bestFit="1" customWidth="1"/>
    <col min="1002" max="1002" width="16.125" style="210" customWidth="1"/>
    <col min="1003" max="1003" width="86" style="210" customWidth="1"/>
    <col min="1004" max="1004" width="5" style="210" customWidth="1"/>
    <col min="1005" max="1005" width="11.125" style="210" bestFit="1" customWidth="1"/>
    <col min="1006" max="1006" width="10.375" style="210" customWidth="1"/>
    <col min="1007" max="1007" width="10.875" style="210" customWidth="1"/>
    <col min="1008" max="1008" width="7.75" style="210" customWidth="1"/>
    <col min="1009" max="1009" width="9.875" style="210" customWidth="1"/>
    <col min="1010" max="1010" width="10.625" style="210" customWidth="1"/>
    <col min="1011" max="1253" width="6.125" style="210"/>
    <col min="1254" max="1254" width="5" style="210" customWidth="1"/>
    <col min="1255" max="1255" width="8.875" style="210" customWidth="1"/>
    <col min="1256" max="1256" width="5" style="210" customWidth="1"/>
    <col min="1257" max="1257" width="8.25" style="210" bestFit="1" customWidth="1"/>
    <col min="1258" max="1258" width="16.125" style="210" customWidth="1"/>
    <col min="1259" max="1259" width="86" style="210" customWidth="1"/>
    <col min="1260" max="1260" width="5" style="210" customWidth="1"/>
    <col min="1261" max="1261" width="11.125" style="210" bestFit="1" customWidth="1"/>
    <col min="1262" max="1262" width="10.375" style="210" customWidth="1"/>
    <col min="1263" max="1263" width="10.875" style="210" customWidth="1"/>
    <col min="1264" max="1264" width="7.75" style="210" customWidth="1"/>
    <col min="1265" max="1265" width="9.875" style="210" customWidth="1"/>
    <col min="1266" max="1266" width="10.625" style="210" customWidth="1"/>
    <col min="1267" max="1509" width="6.125" style="210"/>
    <col min="1510" max="1510" width="5" style="210" customWidth="1"/>
    <col min="1511" max="1511" width="8.875" style="210" customWidth="1"/>
    <col min="1512" max="1512" width="5" style="210" customWidth="1"/>
    <col min="1513" max="1513" width="8.25" style="210" bestFit="1" customWidth="1"/>
    <col min="1514" max="1514" width="16.125" style="210" customWidth="1"/>
    <col min="1515" max="1515" width="86" style="210" customWidth="1"/>
    <col min="1516" max="1516" width="5" style="210" customWidth="1"/>
    <col min="1517" max="1517" width="11.125" style="210" bestFit="1" customWidth="1"/>
    <col min="1518" max="1518" width="10.375" style="210" customWidth="1"/>
    <col min="1519" max="1519" width="10.875" style="210" customWidth="1"/>
    <col min="1520" max="1520" width="7.75" style="210" customWidth="1"/>
    <col min="1521" max="1521" width="9.875" style="210" customWidth="1"/>
    <col min="1522" max="1522" width="10.625" style="210" customWidth="1"/>
    <col min="1523" max="1765" width="6.125" style="210"/>
    <col min="1766" max="1766" width="5" style="210" customWidth="1"/>
    <col min="1767" max="1767" width="8.875" style="210" customWidth="1"/>
    <col min="1768" max="1768" width="5" style="210" customWidth="1"/>
    <col min="1769" max="1769" width="8.25" style="210" bestFit="1" customWidth="1"/>
    <col min="1770" max="1770" width="16.125" style="210" customWidth="1"/>
    <col min="1771" max="1771" width="86" style="210" customWidth="1"/>
    <col min="1772" max="1772" width="5" style="210" customWidth="1"/>
    <col min="1773" max="1773" width="11.125" style="210" bestFit="1" customWidth="1"/>
    <col min="1774" max="1774" width="10.375" style="210" customWidth="1"/>
    <col min="1775" max="1775" width="10.875" style="210" customWidth="1"/>
    <col min="1776" max="1776" width="7.75" style="210" customWidth="1"/>
    <col min="1777" max="1777" width="9.875" style="210" customWidth="1"/>
    <col min="1778" max="1778" width="10.625" style="210" customWidth="1"/>
    <col min="1779" max="2021" width="6.125" style="210"/>
    <col min="2022" max="2022" width="5" style="210" customWidth="1"/>
    <col min="2023" max="2023" width="8.875" style="210" customWidth="1"/>
    <col min="2024" max="2024" width="5" style="210" customWidth="1"/>
    <col min="2025" max="2025" width="8.25" style="210" bestFit="1" customWidth="1"/>
    <col min="2026" max="2026" width="16.125" style="210" customWidth="1"/>
    <col min="2027" max="2027" width="86" style="210" customWidth="1"/>
    <col min="2028" max="2028" width="5" style="210" customWidth="1"/>
    <col min="2029" max="2029" width="11.125" style="210" bestFit="1" customWidth="1"/>
    <col min="2030" max="2030" width="10.375" style="210" customWidth="1"/>
    <col min="2031" max="2031" width="10.875" style="210" customWidth="1"/>
    <col min="2032" max="2032" width="7.75" style="210" customWidth="1"/>
    <col min="2033" max="2033" width="9.875" style="210" customWidth="1"/>
    <col min="2034" max="2034" width="10.625" style="210" customWidth="1"/>
    <col min="2035" max="2277" width="6.125" style="210"/>
    <col min="2278" max="2278" width="5" style="210" customWidth="1"/>
    <col min="2279" max="2279" width="8.875" style="210" customWidth="1"/>
    <col min="2280" max="2280" width="5" style="210" customWidth="1"/>
    <col min="2281" max="2281" width="8.25" style="210" bestFit="1" customWidth="1"/>
    <col min="2282" max="2282" width="16.125" style="210" customWidth="1"/>
    <col min="2283" max="2283" width="86" style="210" customWidth="1"/>
    <col min="2284" max="2284" width="5" style="210" customWidth="1"/>
    <col min="2285" max="2285" width="11.125" style="210" bestFit="1" customWidth="1"/>
    <col min="2286" max="2286" width="10.375" style="210" customWidth="1"/>
    <col min="2287" max="2287" width="10.875" style="210" customWidth="1"/>
    <col min="2288" max="2288" width="7.75" style="210" customWidth="1"/>
    <col min="2289" max="2289" width="9.875" style="210" customWidth="1"/>
    <col min="2290" max="2290" width="10.625" style="210" customWidth="1"/>
    <col min="2291" max="2533" width="6.125" style="210"/>
    <col min="2534" max="2534" width="5" style="210" customWidth="1"/>
    <col min="2535" max="2535" width="8.875" style="210" customWidth="1"/>
    <col min="2536" max="2536" width="5" style="210" customWidth="1"/>
    <col min="2537" max="2537" width="8.25" style="210" bestFit="1" customWidth="1"/>
    <col min="2538" max="2538" width="16.125" style="210" customWidth="1"/>
    <col min="2539" max="2539" width="86" style="210" customWidth="1"/>
    <col min="2540" max="2540" width="5" style="210" customWidth="1"/>
    <col min="2541" max="2541" width="11.125" style="210" bestFit="1" customWidth="1"/>
    <col min="2542" max="2542" width="10.375" style="210" customWidth="1"/>
    <col min="2543" max="2543" width="10.875" style="210" customWidth="1"/>
    <col min="2544" max="2544" width="7.75" style="210" customWidth="1"/>
    <col min="2545" max="2545" width="9.875" style="210" customWidth="1"/>
    <col min="2546" max="2546" width="10.625" style="210" customWidth="1"/>
    <col min="2547" max="2789" width="6.125" style="210"/>
    <col min="2790" max="2790" width="5" style="210" customWidth="1"/>
    <col min="2791" max="2791" width="8.875" style="210" customWidth="1"/>
    <col min="2792" max="2792" width="5" style="210" customWidth="1"/>
    <col min="2793" max="2793" width="8.25" style="210" bestFit="1" customWidth="1"/>
    <col min="2794" max="2794" width="16.125" style="210" customWidth="1"/>
    <col min="2795" max="2795" width="86" style="210" customWidth="1"/>
    <col min="2796" max="2796" width="5" style="210" customWidth="1"/>
    <col min="2797" max="2797" width="11.125" style="210" bestFit="1" customWidth="1"/>
    <col min="2798" max="2798" width="10.375" style="210" customWidth="1"/>
    <col min="2799" max="2799" width="10.875" style="210" customWidth="1"/>
    <col min="2800" max="2800" width="7.75" style="210" customWidth="1"/>
    <col min="2801" max="2801" width="9.875" style="210" customWidth="1"/>
    <col min="2802" max="2802" width="10.625" style="210" customWidth="1"/>
    <col min="2803" max="3045" width="6.125" style="210"/>
    <col min="3046" max="3046" width="5" style="210" customWidth="1"/>
    <col min="3047" max="3047" width="8.875" style="210" customWidth="1"/>
    <col min="3048" max="3048" width="5" style="210" customWidth="1"/>
    <col min="3049" max="3049" width="8.25" style="210" bestFit="1" customWidth="1"/>
    <col min="3050" max="3050" width="16.125" style="210" customWidth="1"/>
    <col min="3051" max="3051" width="86" style="210" customWidth="1"/>
    <col min="3052" max="3052" width="5" style="210" customWidth="1"/>
    <col min="3053" max="3053" width="11.125" style="210" bestFit="1" customWidth="1"/>
    <col min="3054" max="3054" width="10.375" style="210" customWidth="1"/>
    <col min="3055" max="3055" width="10.875" style="210" customWidth="1"/>
    <col min="3056" max="3056" width="7.75" style="210" customWidth="1"/>
    <col min="3057" max="3057" width="9.875" style="210" customWidth="1"/>
    <col min="3058" max="3058" width="10.625" style="210" customWidth="1"/>
    <col min="3059" max="3301" width="6.125" style="210"/>
    <col min="3302" max="3302" width="5" style="210" customWidth="1"/>
    <col min="3303" max="3303" width="8.875" style="210" customWidth="1"/>
    <col min="3304" max="3304" width="5" style="210" customWidth="1"/>
    <col min="3305" max="3305" width="8.25" style="210" bestFit="1" customWidth="1"/>
    <col min="3306" max="3306" width="16.125" style="210" customWidth="1"/>
    <col min="3307" max="3307" width="86" style="210" customWidth="1"/>
    <col min="3308" max="3308" width="5" style="210" customWidth="1"/>
    <col min="3309" max="3309" width="11.125" style="210" bestFit="1" customWidth="1"/>
    <col min="3310" max="3310" width="10.375" style="210" customWidth="1"/>
    <col min="3311" max="3311" width="10.875" style="210" customWidth="1"/>
    <col min="3312" max="3312" width="7.75" style="210" customWidth="1"/>
    <col min="3313" max="3313" width="9.875" style="210" customWidth="1"/>
    <col min="3314" max="3314" width="10.625" style="210" customWidth="1"/>
    <col min="3315" max="3557" width="6.125" style="210"/>
    <col min="3558" max="3558" width="5" style="210" customWidth="1"/>
    <col min="3559" max="3559" width="8.875" style="210" customWidth="1"/>
    <col min="3560" max="3560" width="5" style="210" customWidth="1"/>
    <col min="3561" max="3561" width="8.25" style="210" bestFit="1" customWidth="1"/>
    <col min="3562" max="3562" width="16.125" style="210" customWidth="1"/>
    <col min="3563" max="3563" width="86" style="210" customWidth="1"/>
    <col min="3564" max="3564" width="5" style="210" customWidth="1"/>
    <col min="3565" max="3565" width="11.125" style="210" bestFit="1" customWidth="1"/>
    <col min="3566" max="3566" width="10.375" style="210" customWidth="1"/>
    <col min="3567" max="3567" width="10.875" style="210" customWidth="1"/>
    <col min="3568" max="3568" width="7.75" style="210" customWidth="1"/>
    <col min="3569" max="3569" width="9.875" style="210" customWidth="1"/>
    <col min="3570" max="3570" width="10.625" style="210" customWidth="1"/>
    <col min="3571" max="3813" width="6.125" style="210"/>
    <col min="3814" max="3814" width="5" style="210" customWidth="1"/>
    <col min="3815" max="3815" width="8.875" style="210" customWidth="1"/>
    <col min="3816" max="3816" width="5" style="210" customWidth="1"/>
    <col min="3817" max="3817" width="8.25" style="210" bestFit="1" customWidth="1"/>
    <col min="3818" max="3818" width="16.125" style="210" customWidth="1"/>
    <col min="3819" max="3819" width="86" style="210" customWidth="1"/>
    <col min="3820" max="3820" width="5" style="210" customWidth="1"/>
    <col min="3821" max="3821" width="11.125" style="210" bestFit="1" customWidth="1"/>
    <col min="3822" max="3822" width="10.375" style="210" customWidth="1"/>
    <col min="3823" max="3823" width="10.875" style="210" customWidth="1"/>
    <col min="3824" max="3824" width="7.75" style="210" customWidth="1"/>
    <col min="3825" max="3825" width="9.875" style="210" customWidth="1"/>
    <col min="3826" max="3826" width="10.625" style="210" customWidth="1"/>
    <col min="3827" max="4069" width="6.125" style="210"/>
    <col min="4070" max="4070" width="5" style="210" customWidth="1"/>
    <col min="4071" max="4071" width="8.875" style="210" customWidth="1"/>
    <col min="4072" max="4072" width="5" style="210" customWidth="1"/>
    <col min="4073" max="4073" width="8.25" style="210" bestFit="1" customWidth="1"/>
    <col min="4074" max="4074" width="16.125" style="210" customWidth="1"/>
    <col min="4075" max="4075" width="86" style="210" customWidth="1"/>
    <col min="4076" max="4076" width="5" style="210" customWidth="1"/>
    <col min="4077" max="4077" width="11.125" style="210" bestFit="1" customWidth="1"/>
    <col min="4078" max="4078" width="10.375" style="210" customWidth="1"/>
    <col min="4079" max="4079" width="10.875" style="210" customWidth="1"/>
    <col min="4080" max="4080" width="7.75" style="210" customWidth="1"/>
    <col min="4081" max="4081" width="9.875" style="210" customWidth="1"/>
    <col min="4082" max="4082" width="10.625" style="210" customWidth="1"/>
    <col min="4083" max="4325" width="6.125" style="210"/>
    <col min="4326" max="4326" width="5" style="210" customWidth="1"/>
    <col min="4327" max="4327" width="8.875" style="210" customWidth="1"/>
    <col min="4328" max="4328" width="5" style="210" customWidth="1"/>
    <col min="4329" max="4329" width="8.25" style="210" bestFit="1" customWidth="1"/>
    <col min="4330" max="4330" width="16.125" style="210" customWidth="1"/>
    <col min="4331" max="4331" width="86" style="210" customWidth="1"/>
    <col min="4332" max="4332" width="5" style="210" customWidth="1"/>
    <col min="4333" max="4333" width="11.125" style="210" bestFit="1" customWidth="1"/>
    <col min="4334" max="4334" width="10.375" style="210" customWidth="1"/>
    <col min="4335" max="4335" width="10.875" style="210" customWidth="1"/>
    <col min="4336" max="4336" width="7.75" style="210" customWidth="1"/>
    <col min="4337" max="4337" width="9.875" style="210" customWidth="1"/>
    <col min="4338" max="4338" width="10.625" style="210" customWidth="1"/>
    <col min="4339" max="4581" width="6.125" style="210"/>
    <col min="4582" max="4582" width="5" style="210" customWidth="1"/>
    <col min="4583" max="4583" width="8.875" style="210" customWidth="1"/>
    <col min="4584" max="4584" width="5" style="210" customWidth="1"/>
    <col min="4585" max="4585" width="8.25" style="210" bestFit="1" customWidth="1"/>
    <col min="4586" max="4586" width="16.125" style="210" customWidth="1"/>
    <col min="4587" max="4587" width="86" style="210" customWidth="1"/>
    <col min="4588" max="4588" width="5" style="210" customWidth="1"/>
    <col min="4589" max="4589" width="11.125" style="210" bestFit="1" customWidth="1"/>
    <col min="4590" max="4590" width="10.375" style="210" customWidth="1"/>
    <col min="4591" max="4591" width="10.875" style="210" customWidth="1"/>
    <col min="4592" max="4592" width="7.75" style="210" customWidth="1"/>
    <col min="4593" max="4593" width="9.875" style="210" customWidth="1"/>
    <col min="4594" max="4594" width="10.625" style="210" customWidth="1"/>
    <col min="4595" max="4837" width="6.125" style="210"/>
    <col min="4838" max="4838" width="5" style="210" customWidth="1"/>
    <col min="4839" max="4839" width="8.875" style="210" customWidth="1"/>
    <col min="4840" max="4840" width="5" style="210" customWidth="1"/>
    <col min="4841" max="4841" width="8.25" style="210" bestFit="1" customWidth="1"/>
    <col min="4842" max="4842" width="16.125" style="210" customWidth="1"/>
    <col min="4843" max="4843" width="86" style="210" customWidth="1"/>
    <col min="4844" max="4844" width="5" style="210" customWidth="1"/>
    <col min="4845" max="4845" width="11.125" style="210" bestFit="1" customWidth="1"/>
    <col min="4846" max="4846" width="10.375" style="210" customWidth="1"/>
    <col min="4847" max="4847" width="10.875" style="210" customWidth="1"/>
    <col min="4848" max="4848" width="7.75" style="210" customWidth="1"/>
    <col min="4849" max="4849" width="9.875" style="210" customWidth="1"/>
    <col min="4850" max="4850" width="10.625" style="210" customWidth="1"/>
    <col min="4851" max="5093" width="6.125" style="210"/>
    <col min="5094" max="5094" width="5" style="210" customWidth="1"/>
    <col min="5095" max="5095" width="8.875" style="210" customWidth="1"/>
    <col min="5096" max="5096" width="5" style="210" customWidth="1"/>
    <col min="5097" max="5097" width="8.25" style="210" bestFit="1" customWidth="1"/>
    <col min="5098" max="5098" width="16.125" style="210" customWidth="1"/>
    <col min="5099" max="5099" width="86" style="210" customWidth="1"/>
    <col min="5100" max="5100" width="5" style="210" customWidth="1"/>
    <col min="5101" max="5101" width="11.125" style="210" bestFit="1" customWidth="1"/>
    <col min="5102" max="5102" width="10.375" style="210" customWidth="1"/>
    <col min="5103" max="5103" width="10.875" style="210" customWidth="1"/>
    <col min="5104" max="5104" width="7.75" style="210" customWidth="1"/>
    <col min="5105" max="5105" width="9.875" style="210" customWidth="1"/>
    <col min="5106" max="5106" width="10.625" style="210" customWidth="1"/>
    <col min="5107" max="5349" width="6.125" style="210"/>
    <col min="5350" max="5350" width="5" style="210" customWidth="1"/>
    <col min="5351" max="5351" width="8.875" style="210" customWidth="1"/>
    <col min="5352" max="5352" width="5" style="210" customWidth="1"/>
    <col min="5353" max="5353" width="8.25" style="210" bestFit="1" customWidth="1"/>
    <col min="5354" max="5354" width="16.125" style="210" customWidth="1"/>
    <col min="5355" max="5355" width="86" style="210" customWidth="1"/>
    <col min="5356" max="5356" width="5" style="210" customWidth="1"/>
    <col min="5357" max="5357" width="11.125" style="210" bestFit="1" customWidth="1"/>
    <col min="5358" max="5358" width="10.375" style="210" customWidth="1"/>
    <col min="5359" max="5359" width="10.875" style="210" customWidth="1"/>
    <col min="5360" max="5360" width="7.75" style="210" customWidth="1"/>
    <col min="5361" max="5361" width="9.875" style="210" customWidth="1"/>
    <col min="5362" max="5362" width="10.625" style="210" customWidth="1"/>
    <col min="5363" max="5605" width="6.125" style="210"/>
    <col min="5606" max="5606" width="5" style="210" customWidth="1"/>
    <col min="5607" max="5607" width="8.875" style="210" customWidth="1"/>
    <col min="5608" max="5608" width="5" style="210" customWidth="1"/>
    <col min="5609" max="5609" width="8.25" style="210" bestFit="1" customWidth="1"/>
    <col min="5610" max="5610" width="16.125" style="210" customWidth="1"/>
    <col min="5611" max="5611" width="86" style="210" customWidth="1"/>
    <col min="5612" max="5612" width="5" style="210" customWidth="1"/>
    <col min="5613" max="5613" width="11.125" style="210" bestFit="1" customWidth="1"/>
    <col min="5614" max="5614" width="10.375" style="210" customWidth="1"/>
    <col min="5615" max="5615" width="10.875" style="210" customWidth="1"/>
    <col min="5616" max="5616" width="7.75" style="210" customWidth="1"/>
    <col min="5617" max="5617" width="9.875" style="210" customWidth="1"/>
    <col min="5618" max="5618" width="10.625" style="210" customWidth="1"/>
    <col min="5619" max="5861" width="6.125" style="210"/>
    <col min="5862" max="5862" width="5" style="210" customWidth="1"/>
    <col min="5863" max="5863" width="8.875" style="210" customWidth="1"/>
    <col min="5864" max="5864" width="5" style="210" customWidth="1"/>
    <col min="5865" max="5865" width="8.25" style="210" bestFit="1" customWidth="1"/>
    <col min="5866" max="5866" width="16.125" style="210" customWidth="1"/>
    <col min="5867" max="5867" width="86" style="210" customWidth="1"/>
    <col min="5868" max="5868" width="5" style="210" customWidth="1"/>
    <col min="5869" max="5869" width="11.125" style="210" bestFit="1" customWidth="1"/>
    <col min="5870" max="5870" width="10.375" style="210" customWidth="1"/>
    <col min="5871" max="5871" width="10.875" style="210" customWidth="1"/>
    <col min="5872" max="5872" width="7.75" style="210" customWidth="1"/>
    <col min="5873" max="5873" width="9.875" style="210" customWidth="1"/>
    <col min="5874" max="5874" width="10.625" style="210" customWidth="1"/>
    <col min="5875" max="6117" width="6.125" style="210"/>
    <col min="6118" max="6118" width="5" style="210" customWidth="1"/>
    <col min="6119" max="6119" width="8.875" style="210" customWidth="1"/>
    <col min="6120" max="6120" width="5" style="210" customWidth="1"/>
    <col min="6121" max="6121" width="8.25" style="210" bestFit="1" customWidth="1"/>
    <col min="6122" max="6122" width="16.125" style="210" customWidth="1"/>
    <col min="6123" max="6123" width="86" style="210" customWidth="1"/>
    <col min="6124" max="6124" width="5" style="210" customWidth="1"/>
    <col min="6125" max="6125" width="11.125" style="210" bestFit="1" customWidth="1"/>
    <col min="6126" max="6126" width="10.375" style="210" customWidth="1"/>
    <col min="6127" max="6127" width="10.875" style="210" customWidth="1"/>
    <col min="6128" max="6128" width="7.75" style="210" customWidth="1"/>
    <col min="6129" max="6129" width="9.875" style="210" customWidth="1"/>
    <col min="6130" max="6130" width="10.625" style="210" customWidth="1"/>
    <col min="6131" max="6373" width="6.125" style="210"/>
    <col min="6374" max="6374" width="5" style="210" customWidth="1"/>
    <col min="6375" max="6375" width="8.875" style="210" customWidth="1"/>
    <col min="6376" max="6376" width="5" style="210" customWidth="1"/>
    <col min="6377" max="6377" width="8.25" style="210" bestFit="1" customWidth="1"/>
    <col min="6378" max="6378" width="16.125" style="210" customWidth="1"/>
    <col min="6379" max="6379" width="86" style="210" customWidth="1"/>
    <col min="6380" max="6380" width="5" style="210" customWidth="1"/>
    <col min="6381" max="6381" width="11.125" style="210" bestFit="1" customWidth="1"/>
    <col min="6382" max="6382" width="10.375" style="210" customWidth="1"/>
    <col min="6383" max="6383" width="10.875" style="210" customWidth="1"/>
    <col min="6384" max="6384" width="7.75" style="210" customWidth="1"/>
    <col min="6385" max="6385" width="9.875" style="210" customWidth="1"/>
    <col min="6386" max="6386" width="10.625" style="210" customWidth="1"/>
    <col min="6387" max="6629" width="6.125" style="210"/>
    <col min="6630" max="6630" width="5" style="210" customWidth="1"/>
    <col min="6631" max="6631" width="8.875" style="210" customWidth="1"/>
    <col min="6632" max="6632" width="5" style="210" customWidth="1"/>
    <col min="6633" max="6633" width="8.25" style="210" bestFit="1" customWidth="1"/>
    <col min="6634" max="6634" width="16.125" style="210" customWidth="1"/>
    <col min="6635" max="6635" width="86" style="210" customWidth="1"/>
    <col min="6636" max="6636" width="5" style="210" customWidth="1"/>
    <col min="6637" max="6637" width="11.125" style="210" bestFit="1" customWidth="1"/>
    <col min="6638" max="6638" width="10.375" style="210" customWidth="1"/>
    <col min="6639" max="6639" width="10.875" style="210" customWidth="1"/>
    <col min="6640" max="6640" width="7.75" style="210" customWidth="1"/>
    <col min="6641" max="6641" width="9.875" style="210" customWidth="1"/>
    <col min="6642" max="6642" width="10.625" style="210" customWidth="1"/>
    <col min="6643" max="6885" width="6.125" style="210"/>
    <col min="6886" max="6886" width="5" style="210" customWidth="1"/>
    <col min="6887" max="6887" width="8.875" style="210" customWidth="1"/>
    <col min="6888" max="6888" width="5" style="210" customWidth="1"/>
    <col min="6889" max="6889" width="8.25" style="210" bestFit="1" customWidth="1"/>
    <col min="6890" max="6890" width="16.125" style="210" customWidth="1"/>
    <col min="6891" max="6891" width="86" style="210" customWidth="1"/>
    <col min="6892" max="6892" width="5" style="210" customWidth="1"/>
    <col min="6893" max="6893" width="11.125" style="210" bestFit="1" customWidth="1"/>
    <col min="6894" max="6894" width="10.375" style="210" customWidth="1"/>
    <col min="6895" max="6895" width="10.875" style="210" customWidth="1"/>
    <col min="6896" max="6896" width="7.75" style="210" customWidth="1"/>
    <col min="6897" max="6897" width="9.875" style="210" customWidth="1"/>
    <col min="6898" max="6898" width="10.625" style="210" customWidth="1"/>
    <col min="6899" max="7141" width="6.125" style="210"/>
    <col min="7142" max="7142" width="5" style="210" customWidth="1"/>
    <col min="7143" max="7143" width="8.875" style="210" customWidth="1"/>
    <col min="7144" max="7144" width="5" style="210" customWidth="1"/>
    <col min="7145" max="7145" width="8.25" style="210" bestFit="1" customWidth="1"/>
    <col min="7146" max="7146" width="16.125" style="210" customWidth="1"/>
    <col min="7147" max="7147" width="86" style="210" customWidth="1"/>
    <col min="7148" max="7148" width="5" style="210" customWidth="1"/>
    <col min="7149" max="7149" width="11.125" style="210" bestFit="1" customWidth="1"/>
    <col min="7150" max="7150" width="10.375" style="210" customWidth="1"/>
    <col min="7151" max="7151" width="10.875" style="210" customWidth="1"/>
    <col min="7152" max="7152" width="7.75" style="210" customWidth="1"/>
    <col min="7153" max="7153" width="9.875" style="210" customWidth="1"/>
    <col min="7154" max="7154" width="10.625" style="210" customWidth="1"/>
    <col min="7155" max="7397" width="6.125" style="210"/>
    <col min="7398" max="7398" width="5" style="210" customWidth="1"/>
    <col min="7399" max="7399" width="8.875" style="210" customWidth="1"/>
    <col min="7400" max="7400" width="5" style="210" customWidth="1"/>
    <col min="7401" max="7401" width="8.25" style="210" bestFit="1" customWidth="1"/>
    <col min="7402" max="7402" width="16.125" style="210" customWidth="1"/>
    <col min="7403" max="7403" width="86" style="210" customWidth="1"/>
    <col min="7404" max="7404" width="5" style="210" customWidth="1"/>
    <col min="7405" max="7405" width="11.125" style="210" bestFit="1" customWidth="1"/>
    <col min="7406" max="7406" width="10.375" style="210" customWidth="1"/>
    <col min="7407" max="7407" width="10.875" style="210" customWidth="1"/>
    <col min="7408" max="7408" width="7.75" style="210" customWidth="1"/>
    <col min="7409" max="7409" width="9.875" style="210" customWidth="1"/>
    <col min="7410" max="7410" width="10.625" style="210" customWidth="1"/>
    <col min="7411" max="7653" width="6.125" style="210"/>
    <col min="7654" max="7654" width="5" style="210" customWidth="1"/>
    <col min="7655" max="7655" width="8.875" style="210" customWidth="1"/>
    <col min="7656" max="7656" width="5" style="210" customWidth="1"/>
    <col min="7657" max="7657" width="8.25" style="210" bestFit="1" customWidth="1"/>
    <col min="7658" max="7658" width="16.125" style="210" customWidth="1"/>
    <col min="7659" max="7659" width="86" style="210" customWidth="1"/>
    <col min="7660" max="7660" width="5" style="210" customWidth="1"/>
    <col min="7661" max="7661" width="11.125" style="210" bestFit="1" customWidth="1"/>
    <col min="7662" max="7662" width="10.375" style="210" customWidth="1"/>
    <col min="7663" max="7663" width="10.875" style="210" customWidth="1"/>
    <col min="7664" max="7664" width="7.75" style="210" customWidth="1"/>
    <col min="7665" max="7665" width="9.875" style="210" customWidth="1"/>
    <col min="7666" max="7666" width="10.625" style="210" customWidth="1"/>
    <col min="7667" max="7909" width="6.125" style="210"/>
    <col min="7910" max="7910" width="5" style="210" customWidth="1"/>
    <col min="7911" max="7911" width="8.875" style="210" customWidth="1"/>
    <col min="7912" max="7912" width="5" style="210" customWidth="1"/>
    <col min="7913" max="7913" width="8.25" style="210" bestFit="1" customWidth="1"/>
    <col min="7914" max="7914" width="16.125" style="210" customWidth="1"/>
    <col min="7915" max="7915" width="86" style="210" customWidth="1"/>
    <col min="7916" max="7916" width="5" style="210" customWidth="1"/>
    <col min="7917" max="7917" width="11.125" style="210" bestFit="1" customWidth="1"/>
    <col min="7918" max="7918" width="10.375" style="210" customWidth="1"/>
    <col min="7919" max="7919" width="10.875" style="210" customWidth="1"/>
    <col min="7920" max="7920" width="7.75" style="210" customWidth="1"/>
    <col min="7921" max="7921" width="9.875" style="210" customWidth="1"/>
    <col min="7922" max="7922" width="10.625" style="210" customWidth="1"/>
    <col min="7923" max="8165" width="6.125" style="210"/>
    <col min="8166" max="8166" width="5" style="210" customWidth="1"/>
    <col min="8167" max="8167" width="8.875" style="210" customWidth="1"/>
    <col min="8168" max="8168" width="5" style="210" customWidth="1"/>
    <col min="8169" max="8169" width="8.25" style="210" bestFit="1" customWidth="1"/>
    <col min="8170" max="8170" width="16.125" style="210" customWidth="1"/>
    <col min="8171" max="8171" width="86" style="210" customWidth="1"/>
    <col min="8172" max="8172" width="5" style="210" customWidth="1"/>
    <col min="8173" max="8173" width="11.125" style="210" bestFit="1" customWidth="1"/>
    <col min="8174" max="8174" width="10.375" style="210" customWidth="1"/>
    <col min="8175" max="8175" width="10.875" style="210" customWidth="1"/>
    <col min="8176" max="8176" width="7.75" style="210" customWidth="1"/>
    <col min="8177" max="8177" width="9.875" style="210" customWidth="1"/>
    <col min="8178" max="8178" width="10.625" style="210" customWidth="1"/>
    <col min="8179" max="8421" width="6.125" style="210"/>
    <col min="8422" max="8422" width="5" style="210" customWidth="1"/>
    <col min="8423" max="8423" width="8.875" style="210" customWidth="1"/>
    <col min="8424" max="8424" width="5" style="210" customWidth="1"/>
    <col min="8425" max="8425" width="8.25" style="210" bestFit="1" customWidth="1"/>
    <col min="8426" max="8426" width="16.125" style="210" customWidth="1"/>
    <col min="8427" max="8427" width="86" style="210" customWidth="1"/>
    <col min="8428" max="8428" width="5" style="210" customWidth="1"/>
    <col min="8429" max="8429" width="11.125" style="210" bestFit="1" customWidth="1"/>
    <col min="8430" max="8430" width="10.375" style="210" customWidth="1"/>
    <col min="8431" max="8431" width="10.875" style="210" customWidth="1"/>
    <col min="8432" max="8432" width="7.75" style="210" customWidth="1"/>
    <col min="8433" max="8433" width="9.875" style="210" customWidth="1"/>
    <col min="8434" max="8434" width="10.625" style="210" customWidth="1"/>
    <col min="8435" max="8677" width="6.125" style="210"/>
    <col min="8678" max="8678" width="5" style="210" customWidth="1"/>
    <col min="8679" max="8679" width="8.875" style="210" customWidth="1"/>
    <col min="8680" max="8680" width="5" style="210" customWidth="1"/>
    <col min="8681" max="8681" width="8.25" style="210" bestFit="1" customWidth="1"/>
    <col min="8682" max="8682" width="16.125" style="210" customWidth="1"/>
    <col min="8683" max="8683" width="86" style="210" customWidth="1"/>
    <col min="8684" max="8684" width="5" style="210" customWidth="1"/>
    <col min="8685" max="8685" width="11.125" style="210" bestFit="1" customWidth="1"/>
    <col min="8686" max="8686" width="10.375" style="210" customWidth="1"/>
    <col min="8687" max="8687" width="10.875" style="210" customWidth="1"/>
    <col min="8688" max="8688" width="7.75" style="210" customWidth="1"/>
    <col min="8689" max="8689" width="9.875" style="210" customWidth="1"/>
    <col min="8690" max="8690" width="10.625" style="210" customWidth="1"/>
    <col min="8691" max="8933" width="6.125" style="210"/>
    <col min="8934" max="8934" width="5" style="210" customWidth="1"/>
    <col min="8935" max="8935" width="8.875" style="210" customWidth="1"/>
    <col min="8936" max="8936" width="5" style="210" customWidth="1"/>
    <col min="8937" max="8937" width="8.25" style="210" bestFit="1" customWidth="1"/>
    <col min="8938" max="8938" width="16.125" style="210" customWidth="1"/>
    <col min="8939" max="8939" width="86" style="210" customWidth="1"/>
    <col min="8940" max="8940" width="5" style="210" customWidth="1"/>
    <col min="8941" max="8941" width="11.125" style="210" bestFit="1" customWidth="1"/>
    <col min="8942" max="8942" width="10.375" style="210" customWidth="1"/>
    <col min="8943" max="8943" width="10.875" style="210" customWidth="1"/>
    <col min="8944" max="8944" width="7.75" style="210" customWidth="1"/>
    <col min="8945" max="8945" width="9.875" style="210" customWidth="1"/>
    <col min="8946" max="8946" width="10.625" style="210" customWidth="1"/>
    <col min="8947" max="9189" width="6.125" style="210"/>
    <col min="9190" max="9190" width="5" style="210" customWidth="1"/>
    <col min="9191" max="9191" width="8.875" style="210" customWidth="1"/>
    <col min="9192" max="9192" width="5" style="210" customWidth="1"/>
    <col min="9193" max="9193" width="8.25" style="210" bestFit="1" customWidth="1"/>
    <col min="9194" max="9194" width="16.125" style="210" customWidth="1"/>
    <col min="9195" max="9195" width="86" style="210" customWidth="1"/>
    <col min="9196" max="9196" width="5" style="210" customWidth="1"/>
    <col min="9197" max="9197" width="11.125" style="210" bestFit="1" customWidth="1"/>
    <col min="9198" max="9198" width="10.375" style="210" customWidth="1"/>
    <col min="9199" max="9199" width="10.875" style="210" customWidth="1"/>
    <col min="9200" max="9200" width="7.75" style="210" customWidth="1"/>
    <col min="9201" max="9201" width="9.875" style="210" customWidth="1"/>
    <col min="9202" max="9202" width="10.625" style="210" customWidth="1"/>
    <col min="9203" max="9445" width="6.125" style="210"/>
    <col min="9446" max="9446" width="5" style="210" customWidth="1"/>
    <col min="9447" max="9447" width="8.875" style="210" customWidth="1"/>
    <col min="9448" max="9448" width="5" style="210" customWidth="1"/>
    <col min="9449" max="9449" width="8.25" style="210" bestFit="1" customWidth="1"/>
    <col min="9450" max="9450" width="16.125" style="210" customWidth="1"/>
    <col min="9451" max="9451" width="86" style="210" customWidth="1"/>
    <col min="9452" max="9452" width="5" style="210" customWidth="1"/>
    <col min="9453" max="9453" width="11.125" style="210" bestFit="1" customWidth="1"/>
    <col min="9454" max="9454" width="10.375" style="210" customWidth="1"/>
    <col min="9455" max="9455" width="10.875" style="210" customWidth="1"/>
    <col min="9456" max="9456" width="7.75" style="210" customWidth="1"/>
    <col min="9457" max="9457" width="9.875" style="210" customWidth="1"/>
    <col min="9458" max="9458" width="10.625" style="210" customWidth="1"/>
    <col min="9459" max="9701" width="6.125" style="210"/>
    <col min="9702" max="9702" width="5" style="210" customWidth="1"/>
    <col min="9703" max="9703" width="8.875" style="210" customWidth="1"/>
    <col min="9704" max="9704" width="5" style="210" customWidth="1"/>
    <col min="9705" max="9705" width="8.25" style="210" bestFit="1" customWidth="1"/>
    <col min="9706" max="9706" width="16.125" style="210" customWidth="1"/>
    <col min="9707" max="9707" width="86" style="210" customWidth="1"/>
    <col min="9708" max="9708" width="5" style="210" customWidth="1"/>
    <col min="9709" max="9709" width="11.125" style="210" bestFit="1" customWidth="1"/>
    <col min="9710" max="9710" width="10.375" style="210" customWidth="1"/>
    <col min="9711" max="9711" width="10.875" style="210" customWidth="1"/>
    <col min="9712" max="9712" width="7.75" style="210" customWidth="1"/>
    <col min="9713" max="9713" width="9.875" style="210" customWidth="1"/>
    <col min="9714" max="9714" width="10.625" style="210" customWidth="1"/>
    <col min="9715" max="9957" width="6.125" style="210"/>
    <col min="9958" max="9958" width="5" style="210" customWidth="1"/>
    <col min="9959" max="9959" width="8.875" style="210" customWidth="1"/>
    <col min="9960" max="9960" width="5" style="210" customWidth="1"/>
    <col min="9961" max="9961" width="8.25" style="210" bestFit="1" customWidth="1"/>
    <col min="9962" max="9962" width="16.125" style="210" customWidth="1"/>
    <col min="9963" max="9963" width="86" style="210" customWidth="1"/>
    <col min="9964" max="9964" width="5" style="210" customWidth="1"/>
    <col min="9965" max="9965" width="11.125" style="210" bestFit="1" customWidth="1"/>
    <col min="9966" max="9966" width="10.375" style="210" customWidth="1"/>
    <col min="9967" max="9967" width="10.875" style="210" customWidth="1"/>
    <col min="9968" max="9968" width="7.75" style="210" customWidth="1"/>
    <col min="9969" max="9969" width="9.875" style="210" customWidth="1"/>
    <col min="9970" max="9970" width="10.625" style="210" customWidth="1"/>
    <col min="9971" max="10213" width="6.125" style="210"/>
    <col min="10214" max="10214" width="5" style="210" customWidth="1"/>
    <col min="10215" max="10215" width="8.875" style="210" customWidth="1"/>
    <col min="10216" max="10216" width="5" style="210" customWidth="1"/>
    <col min="10217" max="10217" width="8.25" style="210" bestFit="1" customWidth="1"/>
    <col min="10218" max="10218" width="16.125" style="210" customWidth="1"/>
    <col min="10219" max="10219" width="86" style="210" customWidth="1"/>
    <col min="10220" max="10220" width="5" style="210" customWidth="1"/>
    <col min="10221" max="10221" width="11.125" style="210" bestFit="1" customWidth="1"/>
    <col min="10222" max="10222" width="10.375" style="210" customWidth="1"/>
    <col min="10223" max="10223" width="10.875" style="210" customWidth="1"/>
    <col min="10224" max="10224" width="7.75" style="210" customWidth="1"/>
    <col min="10225" max="10225" width="9.875" style="210" customWidth="1"/>
    <col min="10226" max="10226" width="10.625" style="210" customWidth="1"/>
    <col min="10227" max="10469" width="6.125" style="210"/>
    <col min="10470" max="10470" width="5" style="210" customWidth="1"/>
    <col min="10471" max="10471" width="8.875" style="210" customWidth="1"/>
    <col min="10472" max="10472" width="5" style="210" customWidth="1"/>
    <col min="10473" max="10473" width="8.25" style="210" bestFit="1" customWidth="1"/>
    <col min="10474" max="10474" width="16.125" style="210" customWidth="1"/>
    <col min="10475" max="10475" width="86" style="210" customWidth="1"/>
    <col min="10476" max="10476" width="5" style="210" customWidth="1"/>
    <col min="10477" max="10477" width="11.125" style="210" bestFit="1" customWidth="1"/>
    <col min="10478" max="10478" width="10.375" style="210" customWidth="1"/>
    <col min="10479" max="10479" width="10.875" style="210" customWidth="1"/>
    <col min="10480" max="10480" width="7.75" style="210" customWidth="1"/>
    <col min="10481" max="10481" width="9.875" style="210" customWidth="1"/>
    <col min="10482" max="10482" width="10.625" style="210" customWidth="1"/>
    <col min="10483" max="10725" width="6.125" style="210"/>
    <col min="10726" max="10726" width="5" style="210" customWidth="1"/>
    <col min="10727" max="10727" width="8.875" style="210" customWidth="1"/>
    <col min="10728" max="10728" width="5" style="210" customWidth="1"/>
    <col min="10729" max="10729" width="8.25" style="210" bestFit="1" customWidth="1"/>
    <col min="10730" max="10730" width="16.125" style="210" customWidth="1"/>
    <col min="10731" max="10731" width="86" style="210" customWidth="1"/>
    <col min="10732" max="10732" width="5" style="210" customWidth="1"/>
    <col min="10733" max="10733" width="11.125" style="210" bestFit="1" customWidth="1"/>
    <col min="10734" max="10734" width="10.375" style="210" customWidth="1"/>
    <col min="10735" max="10735" width="10.875" style="210" customWidth="1"/>
    <col min="10736" max="10736" width="7.75" style="210" customWidth="1"/>
    <col min="10737" max="10737" width="9.875" style="210" customWidth="1"/>
    <col min="10738" max="10738" width="10.625" style="210" customWidth="1"/>
    <col min="10739" max="10981" width="6.125" style="210"/>
    <col min="10982" max="10982" width="5" style="210" customWidth="1"/>
    <col min="10983" max="10983" width="8.875" style="210" customWidth="1"/>
    <col min="10984" max="10984" width="5" style="210" customWidth="1"/>
    <col min="10985" max="10985" width="8.25" style="210" bestFit="1" customWidth="1"/>
    <col min="10986" max="10986" width="16.125" style="210" customWidth="1"/>
    <col min="10987" max="10987" width="86" style="210" customWidth="1"/>
    <col min="10988" max="10988" width="5" style="210" customWidth="1"/>
    <col min="10989" max="10989" width="11.125" style="210" bestFit="1" customWidth="1"/>
    <col min="10990" max="10990" width="10.375" style="210" customWidth="1"/>
    <col min="10991" max="10991" width="10.875" style="210" customWidth="1"/>
    <col min="10992" max="10992" width="7.75" style="210" customWidth="1"/>
    <col min="10993" max="10993" width="9.875" style="210" customWidth="1"/>
    <col min="10994" max="10994" width="10.625" style="210" customWidth="1"/>
    <col min="10995" max="11237" width="6.125" style="210"/>
    <col min="11238" max="11238" width="5" style="210" customWidth="1"/>
    <col min="11239" max="11239" width="8.875" style="210" customWidth="1"/>
    <col min="11240" max="11240" width="5" style="210" customWidth="1"/>
    <col min="11241" max="11241" width="8.25" style="210" bestFit="1" customWidth="1"/>
    <col min="11242" max="11242" width="16.125" style="210" customWidth="1"/>
    <col min="11243" max="11243" width="86" style="210" customWidth="1"/>
    <col min="11244" max="11244" width="5" style="210" customWidth="1"/>
    <col min="11245" max="11245" width="11.125" style="210" bestFit="1" customWidth="1"/>
    <col min="11246" max="11246" width="10.375" style="210" customWidth="1"/>
    <col min="11247" max="11247" width="10.875" style="210" customWidth="1"/>
    <col min="11248" max="11248" width="7.75" style="210" customWidth="1"/>
    <col min="11249" max="11249" width="9.875" style="210" customWidth="1"/>
    <col min="11250" max="11250" width="10.625" style="210" customWidth="1"/>
    <col min="11251" max="11493" width="6.125" style="210"/>
    <col min="11494" max="11494" width="5" style="210" customWidth="1"/>
    <col min="11495" max="11495" width="8.875" style="210" customWidth="1"/>
    <col min="11496" max="11496" width="5" style="210" customWidth="1"/>
    <col min="11497" max="11497" width="8.25" style="210" bestFit="1" customWidth="1"/>
    <col min="11498" max="11498" width="16.125" style="210" customWidth="1"/>
    <col min="11499" max="11499" width="86" style="210" customWidth="1"/>
    <col min="11500" max="11500" width="5" style="210" customWidth="1"/>
    <col min="11501" max="11501" width="11.125" style="210" bestFit="1" customWidth="1"/>
    <col min="11502" max="11502" width="10.375" style="210" customWidth="1"/>
    <col min="11503" max="11503" width="10.875" style="210" customWidth="1"/>
    <col min="11504" max="11504" width="7.75" style="210" customWidth="1"/>
    <col min="11505" max="11505" width="9.875" style="210" customWidth="1"/>
    <col min="11506" max="11506" width="10.625" style="210" customWidth="1"/>
    <col min="11507" max="11749" width="6.125" style="210"/>
    <col min="11750" max="11750" width="5" style="210" customWidth="1"/>
    <col min="11751" max="11751" width="8.875" style="210" customWidth="1"/>
    <col min="11752" max="11752" width="5" style="210" customWidth="1"/>
    <col min="11753" max="11753" width="8.25" style="210" bestFit="1" customWidth="1"/>
    <col min="11754" max="11754" width="16.125" style="210" customWidth="1"/>
    <col min="11755" max="11755" width="86" style="210" customWidth="1"/>
    <col min="11756" max="11756" width="5" style="210" customWidth="1"/>
    <col min="11757" max="11757" width="11.125" style="210" bestFit="1" customWidth="1"/>
    <col min="11758" max="11758" width="10.375" style="210" customWidth="1"/>
    <col min="11759" max="11759" width="10.875" style="210" customWidth="1"/>
    <col min="11760" max="11760" width="7.75" style="210" customWidth="1"/>
    <col min="11761" max="11761" width="9.875" style="210" customWidth="1"/>
    <col min="11762" max="11762" width="10.625" style="210" customWidth="1"/>
    <col min="11763" max="12005" width="6.125" style="210"/>
    <col min="12006" max="12006" width="5" style="210" customWidth="1"/>
    <col min="12007" max="12007" width="8.875" style="210" customWidth="1"/>
    <col min="12008" max="12008" width="5" style="210" customWidth="1"/>
    <col min="12009" max="12009" width="8.25" style="210" bestFit="1" customWidth="1"/>
    <col min="12010" max="12010" width="16.125" style="210" customWidth="1"/>
    <col min="12011" max="12011" width="86" style="210" customWidth="1"/>
    <col min="12012" max="12012" width="5" style="210" customWidth="1"/>
    <col min="12013" max="12013" width="11.125" style="210" bestFit="1" customWidth="1"/>
    <col min="12014" max="12014" width="10.375" style="210" customWidth="1"/>
    <col min="12015" max="12015" width="10.875" style="210" customWidth="1"/>
    <col min="12016" max="12016" width="7.75" style="210" customWidth="1"/>
    <col min="12017" max="12017" width="9.875" style="210" customWidth="1"/>
    <col min="12018" max="12018" width="10.625" style="210" customWidth="1"/>
    <col min="12019" max="12261" width="6.125" style="210"/>
    <col min="12262" max="12262" width="5" style="210" customWidth="1"/>
    <col min="12263" max="12263" width="8.875" style="210" customWidth="1"/>
    <col min="12264" max="12264" width="5" style="210" customWidth="1"/>
    <col min="12265" max="12265" width="8.25" style="210" bestFit="1" customWidth="1"/>
    <col min="12266" max="12266" width="16.125" style="210" customWidth="1"/>
    <col min="12267" max="12267" width="86" style="210" customWidth="1"/>
    <col min="12268" max="12268" width="5" style="210" customWidth="1"/>
    <col min="12269" max="12269" width="11.125" style="210" bestFit="1" customWidth="1"/>
    <col min="12270" max="12270" width="10.375" style="210" customWidth="1"/>
    <col min="12271" max="12271" width="10.875" style="210" customWidth="1"/>
    <col min="12272" max="12272" width="7.75" style="210" customWidth="1"/>
    <col min="12273" max="12273" width="9.875" style="210" customWidth="1"/>
    <col min="12274" max="12274" width="10.625" style="210" customWidth="1"/>
    <col min="12275" max="12517" width="6.125" style="210"/>
    <col min="12518" max="12518" width="5" style="210" customWidth="1"/>
    <col min="12519" max="12519" width="8.875" style="210" customWidth="1"/>
    <col min="12520" max="12520" width="5" style="210" customWidth="1"/>
    <col min="12521" max="12521" width="8.25" style="210" bestFit="1" customWidth="1"/>
    <col min="12522" max="12522" width="16.125" style="210" customWidth="1"/>
    <col min="12523" max="12523" width="86" style="210" customWidth="1"/>
    <col min="12524" max="12524" width="5" style="210" customWidth="1"/>
    <col min="12525" max="12525" width="11.125" style="210" bestFit="1" customWidth="1"/>
    <col min="12526" max="12526" width="10.375" style="210" customWidth="1"/>
    <col min="12527" max="12527" width="10.875" style="210" customWidth="1"/>
    <col min="12528" max="12528" width="7.75" style="210" customWidth="1"/>
    <col min="12529" max="12529" width="9.875" style="210" customWidth="1"/>
    <col min="12530" max="12530" width="10.625" style="210" customWidth="1"/>
    <col min="12531" max="12773" width="6.125" style="210"/>
    <col min="12774" max="12774" width="5" style="210" customWidth="1"/>
    <col min="12775" max="12775" width="8.875" style="210" customWidth="1"/>
    <col min="12776" max="12776" width="5" style="210" customWidth="1"/>
    <col min="12777" max="12777" width="8.25" style="210" bestFit="1" customWidth="1"/>
    <col min="12778" max="12778" width="16.125" style="210" customWidth="1"/>
    <col min="12779" max="12779" width="86" style="210" customWidth="1"/>
    <col min="12780" max="12780" width="5" style="210" customWidth="1"/>
    <col min="12781" max="12781" width="11.125" style="210" bestFit="1" customWidth="1"/>
    <col min="12782" max="12782" width="10.375" style="210" customWidth="1"/>
    <col min="12783" max="12783" width="10.875" style="210" customWidth="1"/>
    <col min="12784" max="12784" width="7.75" style="210" customWidth="1"/>
    <col min="12785" max="12785" width="9.875" style="210" customWidth="1"/>
    <col min="12786" max="12786" width="10.625" style="210" customWidth="1"/>
    <col min="12787" max="13029" width="6.125" style="210"/>
    <col min="13030" max="13030" width="5" style="210" customWidth="1"/>
    <col min="13031" max="13031" width="8.875" style="210" customWidth="1"/>
    <col min="13032" max="13032" width="5" style="210" customWidth="1"/>
    <col min="13033" max="13033" width="8.25" style="210" bestFit="1" customWidth="1"/>
    <col min="13034" max="13034" width="16.125" style="210" customWidth="1"/>
    <col min="13035" max="13035" width="86" style="210" customWidth="1"/>
    <col min="13036" max="13036" width="5" style="210" customWidth="1"/>
    <col min="13037" max="13037" width="11.125" style="210" bestFit="1" customWidth="1"/>
    <col min="13038" max="13038" width="10.375" style="210" customWidth="1"/>
    <col min="13039" max="13039" width="10.875" style="210" customWidth="1"/>
    <col min="13040" max="13040" width="7.75" style="210" customWidth="1"/>
    <col min="13041" max="13041" width="9.875" style="210" customWidth="1"/>
    <col min="13042" max="13042" width="10.625" style="210" customWidth="1"/>
    <col min="13043" max="13285" width="6.125" style="210"/>
    <col min="13286" max="13286" width="5" style="210" customWidth="1"/>
    <col min="13287" max="13287" width="8.875" style="210" customWidth="1"/>
    <col min="13288" max="13288" width="5" style="210" customWidth="1"/>
    <col min="13289" max="13289" width="8.25" style="210" bestFit="1" customWidth="1"/>
    <col min="13290" max="13290" width="16.125" style="210" customWidth="1"/>
    <col min="13291" max="13291" width="86" style="210" customWidth="1"/>
    <col min="13292" max="13292" width="5" style="210" customWidth="1"/>
    <col min="13293" max="13293" width="11.125" style="210" bestFit="1" customWidth="1"/>
    <col min="13294" max="13294" width="10.375" style="210" customWidth="1"/>
    <col min="13295" max="13295" width="10.875" style="210" customWidth="1"/>
    <col min="13296" max="13296" width="7.75" style="210" customWidth="1"/>
    <col min="13297" max="13297" width="9.875" style="210" customWidth="1"/>
    <col min="13298" max="13298" width="10.625" style="210" customWidth="1"/>
    <col min="13299" max="13541" width="6.125" style="210"/>
    <col min="13542" max="13542" width="5" style="210" customWidth="1"/>
    <col min="13543" max="13543" width="8.875" style="210" customWidth="1"/>
    <col min="13544" max="13544" width="5" style="210" customWidth="1"/>
    <col min="13545" max="13545" width="8.25" style="210" bestFit="1" customWidth="1"/>
    <col min="13546" max="13546" width="16.125" style="210" customWidth="1"/>
    <col min="13547" max="13547" width="86" style="210" customWidth="1"/>
    <col min="13548" max="13548" width="5" style="210" customWidth="1"/>
    <col min="13549" max="13549" width="11.125" style="210" bestFit="1" customWidth="1"/>
    <col min="13550" max="13550" width="10.375" style="210" customWidth="1"/>
    <col min="13551" max="13551" width="10.875" style="210" customWidth="1"/>
    <col min="13552" max="13552" width="7.75" style="210" customWidth="1"/>
    <col min="13553" max="13553" width="9.875" style="210" customWidth="1"/>
    <col min="13554" max="13554" width="10.625" style="210" customWidth="1"/>
    <col min="13555" max="13797" width="6.125" style="210"/>
    <col min="13798" max="13798" width="5" style="210" customWidth="1"/>
    <col min="13799" max="13799" width="8.875" style="210" customWidth="1"/>
    <col min="13800" max="13800" width="5" style="210" customWidth="1"/>
    <col min="13801" max="13801" width="8.25" style="210" bestFit="1" customWidth="1"/>
    <col min="13802" max="13802" width="16.125" style="210" customWidth="1"/>
    <col min="13803" max="13803" width="86" style="210" customWidth="1"/>
    <col min="13804" max="13804" width="5" style="210" customWidth="1"/>
    <col min="13805" max="13805" width="11.125" style="210" bestFit="1" customWidth="1"/>
    <col min="13806" max="13806" width="10.375" style="210" customWidth="1"/>
    <col min="13807" max="13807" width="10.875" style="210" customWidth="1"/>
    <col min="13808" max="13808" width="7.75" style="210" customWidth="1"/>
    <col min="13809" max="13809" width="9.875" style="210" customWidth="1"/>
    <col min="13810" max="13810" width="10.625" style="210" customWidth="1"/>
    <col min="13811" max="14053" width="6.125" style="210"/>
    <col min="14054" max="14054" width="5" style="210" customWidth="1"/>
    <col min="14055" max="14055" width="8.875" style="210" customWidth="1"/>
    <col min="14056" max="14056" width="5" style="210" customWidth="1"/>
    <col min="14057" max="14057" width="8.25" style="210" bestFit="1" customWidth="1"/>
    <col min="14058" max="14058" width="16.125" style="210" customWidth="1"/>
    <col min="14059" max="14059" width="86" style="210" customWidth="1"/>
    <col min="14060" max="14060" width="5" style="210" customWidth="1"/>
    <col min="14061" max="14061" width="11.125" style="210" bestFit="1" customWidth="1"/>
    <col min="14062" max="14062" width="10.375" style="210" customWidth="1"/>
    <col min="14063" max="14063" width="10.875" style="210" customWidth="1"/>
    <col min="14064" max="14064" width="7.75" style="210" customWidth="1"/>
    <col min="14065" max="14065" width="9.875" style="210" customWidth="1"/>
    <col min="14066" max="14066" width="10.625" style="210" customWidth="1"/>
    <col min="14067" max="14309" width="6.125" style="210"/>
    <col min="14310" max="14310" width="5" style="210" customWidth="1"/>
    <col min="14311" max="14311" width="8.875" style="210" customWidth="1"/>
    <col min="14312" max="14312" width="5" style="210" customWidth="1"/>
    <col min="14313" max="14313" width="8.25" style="210" bestFit="1" customWidth="1"/>
    <col min="14314" max="14314" width="16.125" style="210" customWidth="1"/>
    <col min="14315" max="14315" width="86" style="210" customWidth="1"/>
    <col min="14316" max="14316" width="5" style="210" customWidth="1"/>
    <col min="14317" max="14317" width="11.125" style="210" bestFit="1" customWidth="1"/>
    <col min="14318" max="14318" width="10.375" style="210" customWidth="1"/>
    <col min="14319" max="14319" width="10.875" style="210" customWidth="1"/>
    <col min="14320" max="14320" width="7.75" style="210" customWidth="1"/>
    <col min="14321" max="14321" width="9.875" style="210" customWidth="1"/>
    <col min="14322" max="14322" width="10.625" style="210" customWidth="1"/>
    <col min="14323" max="14565" width="6.125" style="210"/>
    <col min="14566" max="14566" width="5" style="210" customWidth="1"/>
    <col min="14567" max="14567" width="8.875" style="210" customWidth="1"/>
    <col min="14568" max="14568" width="5" style="210" customWidth="1"/>
    <col min="14569" max="14569" width="8.25" style="210" bestFit="1" customWidth="1"/>
    <col min="14570" max="14570" width="16.125" style="210" customWidth="1"/>
    <col min="14571" max="14571" width="86" style="210" customWidth="1"/>
    <col min="14572" max="14572" width="5" style="210" customWidth="1"/>
    <col min="14573" max="14573" width="11.125" style="210" bestFit="1" customWidth="1"/>
    <col min="14574" max="14574" width="10.375" style="210" customWidth="1"/>
    <col min="14575" max="14575" width="10.875" style="210" customWidth="1"/>
    <col min="14576" max="14576" width="7.75" style="210" customWidth="1"/>
    <col min="14577" max="14577" width="9.875" style="210" customWidth="1"/>
    <col min="14578" max="14578" width="10.625" style="210" customWidth="1"/>
    <col min="14579" max="14821" width="6.125" style="210"/>
    <col min="14822" max="14822" width="5" style="210" customWidth="1"/>
    <col min="14823" max="14823" width="8.875" style="210" customWidth="1"/>
    <col min="14824" max="14824" width="5" style="210" customWidth="1"/>
    <col min="14825" max="14825" width="8.25" style="210" bestFit="1" customWidth="1"/>
    <col min="14826" max="14826" width="16.125" style="210" customWidth="1"/>
    <col min="14827" max="14827" width="86" style="210" customWidth="1"/>
    <col min="14828" max="14828" width="5" style="210" customWidth="1"/>
    <col min="14829" max="14829" width="11.125" style="210" bestFit="1" customWidth="1"/>
    <col min="14830" max="14830" width="10.375" style="210" customWidth="1"/>
    <col min="14831" max="14831" width="10.875" style="210" customWidth="1"/>
    <col min="14832" max="14832" width="7.75" style="210" customWidth="1"/>
    <col min="14833" max="14833" width="9.875" style="210" customWidth="1"/>
    <col min="14834" max="14834" width="10.625" style="210" customWidth="1"/>
    <col min="14835" max="15077" width="6.125" style="210"/>
    <col min="15078" max="15078" width="5" style="210" customWidth="1"/>
    <col min="15079" max="15079" width="8.875" style="210" customWidth="1"/>
    <col min="15080" max="15080" width="5" style="210" customWidth="1"/>
    <col min="15081" max="15081" width="8.25" style="210" bestFit="1" customWidth="1"/>
    <col min="15082" max="15082" width="16.125" style="210" customWidth="1"/>
    <col min="15083" max="15083" width="86" style="210" customWidth="1"/>
    <col min="15084" max="15084" width="5" style="210" customWidth="1"/>
    <col min="15085" max="15085" width="11.125" style="210" bestFit="1" customWidth="1"/>
    <col min="15086" max="15086" width="10.375" style="210" customWidth="1"/>
    <col min="15087" max="15087" width="10.875" style="210" customWidth="1"/>
    <col min="15088" max="15088" width="7.75" style="210" customWidth="1"/>
    <col min="15089" max="15089" width="9.875" style="210" customWidth="1"/>
    <col min="15090" max="15090" width="10.625" style="210" customWidth="1"/>
    <col min="15091" max="15333" width="6.125" style="210"/>
    <col min="15334" max="15334" width="5" style="210" customWidth="1"/>
    <col min="15335" max="15335" width="8.875" style="210" customWidth="1"/>
    <col min="15336" max="15336" width="5" style="210" customWidth="1"/>
    <col min="15337" max="15337" width="8.25" style="210" bestFit="1" customWidth="1"/>
    <col min="15338" max="15338" width="16.125" style="210" customWidth="1"/>
    <col min="15339" max="15339" width="86" style="210" customWidth="1"/>
    <col min="15340" max="15340" width="5" style="210" customWidth="1"/>
    <col min="15341" max="15341" width="11.125" style="210" bestFit="1" customWidth="1"/>
    <col min="15342" max="15342" width="10.375" style="210" customWidth="1"/>
    <col min="15343" max="15343" width="10.875" style="210" customWidth="1"/>
    <col min="15344" max="15344" width="7.75" style="210" customWidth="1"/>
    <col min="15345" max="15345" width="9.875" style="210" customWidth="1"/>
    <col min="15346" max="15346" width="10.625" style="210" customWidth="1"/>
    <col min="15347" max="15589" width="6.125" style="210"/>
    <col min="15590" max="15590" width="5" style="210" customWidth="1"/>
    <col min="15591" max="15591" width="8.875" style="210" customWidth="1"/>
    <col min="15592" max="15592" width="5" style="210" customWidth="1"/>
    <col min="15593" max="15593" width="8.25" style="210" bestFit="1" customWidth="1"/>
    <col min="15594" max="15594" width="16.125" style="210" customWidth="1"/>
    <col min="15595" max="15595" width="86" style="210" customWidth="1"/>
    <col min="15596" max="15596" width="5" style="210" customWidth="1"/>
    <col min="15597" max="15597" width="11.125" style="210" bestFit="1" customWidth="1"/>
    <col min="15598" max="15598" width="10.375" style="210" customWidth="1"/>
    <col min="15599" max="15599" width="10.875" style="210" customWidth="1"/>
    <col min="15600" max="15600" width="7.75" style="210" customWidth="1"/>
    <col min="15601" max="15601" width="9.875" style="210" customWidth="1"/>
    <col min="15602" max="15602" width="10.625" style="210" customWidth="1"/>
    <col min="15603" max="15845" width="6.125" style="210"/>
    <col min="15846" max="15846" width="5" style="210" customWidth="1"/>
    <col min="15847" max="15847" width="8.875" style="210" customWidth="1"/>
    <col min="15848" max="15848" width="5" style="210" customWidth="1"/>
    <col min="15849" max="15849" width="8.25" style="210" bestFit="1" customWidth="1"/>
    <col min="15850" max="15850" width="16.125" style="210" customWidth="1"/>
    <col min="15851" max="15851" width="86" style="210" customWidth="1"/>
    <col min="15852" max="15852" width="5" style="210" customWidth="1"/>
    <col min="15853" max="15853" width="11.125" style="210" bestFit="1" customWidth="1"/>
    <col min="15854" max="15854" width="10.375" style="210" customWidth="1"/>
    <col min="15855" max="15855" width="10.875" style="210" customWidth="1"/>
    <col min="15856" max="15856" width="7.75" style="210" customWidth="1"/>
    <col min="15857" max="15857" width="9.875" style="210" customWidth="1"/>
    <col min="15858" max="15858" width="10.625" style="210" customWidth="1"/>
    <col min="15859" max="16101" width="6.125" style="210"/>
    <col min="16102" max="16102" width="5" style="210" customWidth="1"/>
    <col min="16103" max="16103" width="8.875" style="210" customWidth="1"/>
    <col min="16104" max="16104" width="5" style="210" customWidth="1"/>
    <col min="16105" max="16105" width="8.25" style="210" bestFit="1" customWidth="1"/>
    <col min="16106" max="16106" width="16.125" style="210" customWidth="1"/>
    <col min="16107" max="16107" width="86" style="210" customWidth="1"/>
    <col min="16108" max="16108" width="5" style="210" customWidth="1"/>
    <col min="16109" max="16109" width="11.125" style="210" bestFit="1" customWidth="1"/>
    <col min="16110" max="16110" width="10.375" style="210" customWidth="1"/>
    <col min="16111" max="16111" width="10.875" style="210" customWidth="1"/>
    <col min="16112" max="16112" width="7.75" style="210" customWidth="1"/>
    <col min="16113" max="16113" width="9.875" style="210" customWidth="1"/>
    <col min="16114" max="16114" width="10.625" style="210" customWidth="1"/>
    <col min="16115" max="16384" width="6.125" style="210"/>
  </cols>
  <sheetData>
    <row r="1" spans="1:11">
      <c r="A1" s="205"/>
      <c r="B1" s="429"/>
      <c r="C1" s="429"/>
      <c r="D1" s="429"/>
      <c r="E1" s="429"/>
      <c r="F1" s="430" t="s">
        <v>543</v>
      </c>
      <c r="G1" s="429"/>
      <c r="H1" s="429"/>
      <c r="I1" s="429"/>
      <c r="J1" s="429"/>
      <c r="K1" s="208"/>
    </row>
    <row r="2" spans="1:11">
      <c r="A2" s="205"/>
      <c r="B2" s="205"/>
      <c r="C2" s="205"/>
      <c r="D2" s="205"/>
      <c r="E2" s="205"/>
      <c r="F2" s="211"/>
      <c r="G2" s="205"/>
      <c r="H2" s="205"/>
      <c r="I2" s="205"/>
      <c r="J2" s="205"/>
      <c r="K2" s="208"/>
    </row>
    <row r="3" spans="1:11" ht="26.25" customHeight="1">
      <c r="A3" s="205"/>
      <c r="B3" s="205"/>
      <c r="C3" s="205"/>
      <c r="D3" s="205"/>
      <c r="E3" s="205"/>
      <c r="F3" s="211"/>
      <c r="G3" s="205"/>
      <c r="H3" s="205"/>
      <c r="I3" s="205"/>
      <c r="J3" s="641"/>
      <c r="K3" s="641"/>
    </row>
    <row r="4" spans="1:11" s="217" customFormat="1" ht="51">
      <c r="A4" s="212" t="s">
        <v>20</v>
      </c>
      <c r="B4" s="431" t="s">
        <v>0</v>
      </c>
      <c r="C4" s="431" t="s">
        <v>1</v>
      </c>
      <c r="D4" s="431" t="s">
        <v>2</v>
      </c>
      <c r="E4" s="431" t="s">
        <v>3</v>
      </c>
      <c r="F4" s="214" t="s">
        <v>291</v>
      </c>
      <c r="G4" s="215" t="s">
        <v>22</v>
      </c>
      <c r="H4" s="431" t="s">
        <v>741</v>
      </c>
      <c r="I4" s="431" t="s">
        <v>294</v>
      </c>
      <c r="J4" s="431" t="s">
        <v>23</v>
      </c>
      <c r="K4" s="216" t="s">
        <v>5</v>
      </c>
    </row>
    <row r="5" spans="1:11">
      <c r="A5" s="218"/>
      <c r="B5" s="205"/>
      <c r="C5" s="205"/>
      <c r="D5" s="205"/>
      <c r="E5" s="205"/>
      <c r="F5" s="214"/>
      <c r="G5" s="215"/>
      <c r="H5" s="432"/>
      <c r="I5" s="432"/>
      <c r="J5" s="433"/>
      <c r="K5" s="208"/>
    </row>
    <row r="6" spans="1:11" ht="25.5">
      <c r="A6" s="218">
        <v>1.1000000000000001</v>
      </c>
      <c r="B6" s="205"/>
      <c r="C6" s="205"/>
      <c r="D6" s="429" t="s">
        <v>6</v>
      </c>
      <c r="E6" s="205" t="s">
        <v>742</v>
      </c>
      <c r="F6" s="214" t="s">
        <v>899</v>
      </c>
      <c r="G6" s="205" t="s">
        <v>25</v>
      </c>
      <c r="H6" s="434">
        <v>110</v>
      </c>
      <c r="I6" s="434">
        <f>SUM(H6:H6)</f>
        <v>110</v>
      </c>
      <c r="J6" s="434">
        <v>16440</v>
      </c>
      <c r="K6" s="208">
        <f>SUM(I6*J6)</f>
        <v>1808400</v>
      </c>
    </row>
    <row r="7" spans="1:11" ht="408.75" customHeight="1" thickBot="1">
      <c r="A7" s="218"/>
      <c r="B7" s="205"/>
      <c r="C7" s="205"/>
      <c r="D7" s="205"/>
      <c r="E7" s="205"/>
      <c r="F7" s="435" t="s">
        <v>743</v>
      </c>
      <c r="G7" s="205"/>
      <c r="H7" s="434"/>
      <c r="I7" s="434"/>
      <c r="J7" s="434"/>
      <c r="K7" s="208"/>
    </row>
    <row r="8" spans="1:11">
      <c r="A8" s="218"/>
      <c r="B8" s="205"/>
      <c r="C8" s="205"/>
      <c r="D8" s="205"/>
      <c r="E8" s="205"/>
      <c r="F8" s="211"/>
      <c r="G8" s="205"/>
      <c r="H8" s="434"/>
      <c r="I8" s="434"/>
      <c r="J8" s="434"/>
      <c r="K8" s="208"/>
    </row>
    <row r="9" spans="1:11">
      <c r="A9" s="212"/>
      <c r="B9" s="215"/>
      <c r="C9" s="215"/>
      <c r="D9" s="215"/>
      <c r="E9" s="215"/>
      <c r="F9" s="214" t="s">
        <v>300</v>
      </c>
      <c r="G9" s="215"/>
      <c r="H9" s="432"/>
      <c r="I9" s="432"/>
      <c r="J9" s="432"/>
      <c r="K9" s="216"/>
    </row>
    <row r="10" spans="1:11">
      <c r="A10" s="218"/>
      <c r="B10" s="205"/>
      <c r="C10" s="205"/>
      <c r="D10" s="205"/>
      <c r="E10" s="205"/>
      <c r="F10" s="214"/>
      <c r="G10" s="205"/>
      <c r="H10" s="434"/>
      <c r="I10" s="434"/>
      <c r="J10" s="434"/>
      <c r="K10" s="208"/>
    </row>
    <row r="11" spans="1:11" ht="25.5">
      <c r="A11" s="218">
        <v>1.2</v>
      </c>
      <c r="B11" s="205"/>
      <c r="C11" s="205"/>
      <c r="D11" s="429" t="s">
        <v>301</v>
      </c>
      <c r="E11" s="205" t="s">
        <v>302</v>
      </c>
      <c r="F11" s="214" t="s">
        <v>744</v>
      </c>
      <c r="G11" s="205" t="s">
        <v>126</v>
      </c>
      <c r="H11" s="434">
        <v>1</v>
      </c>
      <c r="I11" s="434">
        <f>SUM(H11:H11)</f>
        <v>1</v>
      </c>
      <c r="J11" s="434">
        <v>1417540</v>
      </c>
      <c r="K11" s="208">
        <f t="shared" ref="K11:K21" si="0">SUM(I11*J11)</f>
        <v>1417540</v>
      </c>
    </row>
    <row r="12" spans="1:11" ht="25.5">
      <c r="A12" s="218"/>
      <c r="B12" s="231"/>
      <c r="C12" s="231"/>
      <c r="D12" s="231"/>
      <c r="E12" s="205"/>
      <c r="F12" s="430" t="s">
        <v>745</v>
      </c>
      <c r="G12" s="205"/>
      <c r="H12" s="434"/>
      <c r="I12" s="434"/>
      <c r="J12" s="434"/>
      <c r="K12" s="208"/>
    </row>
    <row r="13" spans="1:11">
      <c r="A13" s="218"/>
      <c r="B13" s="231"/>
      <c r="C13" s="231"/>
      <c r="D13" s="231"/>
      <c r="E13" s="205"/>
      <c r="F13" s="430" t="s">
        <v>305</v>
      </c>
      <c r="G13" s="205"/>
      <c r="H13" s="434"/>
      <c r="I13" s="434"/>
      <c r="J13" s="434"/>
      <c r="K13" s="208"/>
    </row>
    <row r="14" spans="1:11" ht="140.25">
      <c r="A14" s="218"/>
      <c r="B14" s="231"/>
      <c r="C14" s="231"/>
      <c r="D14" s="231"/>
      <c r="E14" s="205"/>
      <c r="F14" s="436" t="s">
        <v>746</v>
      </c>
      <c r="G14" s="205"/>
      <c r="H14" s="434"/>
      <c r="I14" s="434"/>
      <c r="J14" s="434"/>
      <c r="K14" s="208"/>
    </row>
    <row r="15" spans="1:11">
      <c r="A15" s="218"/>
      <c r="B15" s="231"/>
      <c r="C15" s="231"/>
      <c r="D15" s="231"/>
      <c r="E15" s="205"/>
      <c r="F15" s="430" t="s">
        <v>306</v>
      </c>
      <c r="G15" s="205"/>
      <c r="H15" s="434"/>
      <c r="I15" s="434"/>
      <c r="J15" s="434"/>
      <c r="K15" s="208"/>
    </row>
    <row r="16" spans="1:11" ht="102">
      <c r="A16" s="218"/>
      <c r="B16" s="231"/>
      <c r="C16" s="231"/>
      <c r="D16" s="231"/>
      <c r="E16" s="205"/>
      <c r="F16" s="436" t="s">
        <v>747</v>
      </c>
      <c r="G16" s="205"/>
      <c r="H16" s="434"/>
      <c r="I16" s="434"/>
      <c r="J16" s="434"/>
      <c r="K16" s="208"/>
    </row>
    <row r="17" spans="1:11">
      <c r="A17" s="218"/>
      <c r="B17" s="231"/>
      <c r="C17" s="231"/>
      <c r="D17" s="231"/>
      <c r="E17" s="205"/>
      <c r="F17" s="430" t="s">
        <v>307</v>
      </c>
      <c r="G17" s="205"/>
      <c r="H17" s="434"/>
      <c r="I17" s="434"/>
      <c r="J17" s="434"/>
      <c r="K17" s="208"/>
    </row>
    <row r="18" spans="1:11" ht="102">
      <c r="A18" s="218"/>
      <c r="B18" s="231"/>
      <c r="C18" s="231"/>
      <c r="D18" s="231"/>
      <c r="E18" s="205"/>
      <c r="F18" s="436" t="s">
        <v>748</v>
      </c>
      <c r="G18" s="205"/>
      <c r="H18" s="434"/>
      <c r="I18" s="434"/>
      <c r="J18" s="434"/>
      <c r="K18" s="208"/>
    </row>
    <row r="19" spans="1:11">
      <c r="A19" s="218"/>
      <c r="B19" s="231"/>
      <c r="C19" s="231"/>
      <c r="D19" s="231"/>
      <c r="E19" s="205"/>
      <c r="F19" s="211"/>
      <c r="G19" s="205"/>
      <c r="H19" s="434"/>
      <c r="I19" s="434"/>
      <c r="J19" s="434"/>
      <c r="K19" s="208"/>
    </row>
    <row r="20" spans="1:11" ht="25.5">
      <c r="A20" s="218">
        <v>1.3</v>
      </c>
      <c r="B20" s="205"/>
      <c r="C20" s="205"/>
      <c r="D20" s="429" t="s">
        <v>301</v>
      </c>
      <c r="E20" s="205" t="s">
        <v>308</v>
      </c>
      <c r="F20" s="430" t="s">
        <v>749</v>
      </c>
      <c r="G20" s="205"/>
      <c r="H20" s="434"/>
      <c r="I20" s="434"/>
      <c r="J20" s="434"/>
      <c r="K20" s="208"/>
    </row>
    <row r="21" spans="1:11">
      <c r="A21" s="218"/>
      <c r="B21" s="231"/>
      <c r="C21" s="231"/>
      <c r="D21" s="231"/>
      <c r="E21" s="205"/>
      <c r="F21" s="430" t="s">
        <v>750</v>
      </c>
      <c r="G21" s="205" t="s">
        <v>126</v>
      </c>
      <c r="H21" s="434">
        <v>1</v>
      </c>
      <c r="I21" s="434">
        <f>SUM(H21:H21)</f>
        <v>1</v>
      </c>
      <c r="J21" s="434">
        <v>469780</v>
      </c>
      <c r="K21" s="208">
        <f t="shared" si="0"/>
        <v>469780</v>
      </c>
    </row>
    <row r="22" spans="1:11" s="235" customFormat="1" ht="114.75">
      <c r="A22" s="232"/>
      <c r="B22" s="233"/>
      <c r="C22" s="233"/>
      <c r="D22" s="233"/>
      <c r="E22" s="209"/>
      <c r="F22" s="436" t="s">
        <v>751</v>
      </c>
      <c r="G22" s="209"/>
      <c r="H22" s="437"/>
      <c r="I22" s="437"/>
      <c r="J22" s="437"/>
      <c r="K22" s="208"/>
    </row>
    <row r="23" spans="1:11">
      <c r="A23" s="218"/>
      <c r="B23" s="205"/>
      <c r="C23" s="205"/>
      <c r="D23" s="205"/>
      <c r="E23" s="205"/>
      <c r="F23" s="211"/>
      <c r="G23" s="205"/>
      <c r="H23" s="434"/>
      <c r="I23" s="434"/>
      <c r="J23" s="434"/>
      <c r="K23" s="208"/>
    </row>
    <row r="24" spans="1:11">
      <c r="A24" s="212" t="s">
        <v>16</v>
      </c>
      <c r="B24" s="236"/>
      <c r="C24" s="236"/>
      <c r="D24" s="236"/>
      <c r="E24" s="236"/>
      <c r="F24" s="214" t="s">
        <v>19</v>
      </c>
      <c r="G24" s="215"/>
      <c r="H24" s="432"/>
      <c r="I24" s="432"/>
      <c r="J24" s="432"/>
      <c r="K24" s="208"/>
    </row>
    <row r="25" spans="1:11">
      <c r="A25" s="218"/>
      <c r="B25" s="231"/>
      <c r="C25" s="231"/>
      <c r="D25" s="231"/>
      <c r="E25" s="231"/>
      <c r="F25" s="214"/>
      <c r="G25" s="205"/>
      <c r="H25" s="434"/>
      <c r="I25" s="434"/>
      <c r="J25" s="434"/>
      <c r="K25" s="208"/>
    </row>
    <row r="26" spans="1:11" ht="25.5">
      <c r="A26" s="218">
        <v>2.1</v>
      </c>
      <c r="B26" s="231"/>
      <c r="C26" s="231"/>
      <c r="D26" s="33" t="s">
        <v>232</v>
      </c>
      <c r="E26" s="231" t="s">
        <v>316</v>
      </c>
      <c r="F26" s="240" t="s">
        <v>752</v>
      </c>
      <c r="G26" s="205" t="s">
        <v>8</v>
      </c>
      <c r="H26" s="434">
        <v>15</v>
      </c>
      <c r="I26" s="434">
        <f>SUM(H26:H26)</f>
        <v>15</v>
      </c>
      <c r="J26" s="434">
        <v>59830</v>
      </c>
      <c r="K26" s="208">
        <f t="shared" ref="K26" si="1">SUM(I26*J26)</f>
        <v>897450</v>
      </c>
    </row>
    <row r="27" spans="1:11" ht="153" customHeight="1">
      <c r="A27" s="241"/>
      <c r="B27" s="231"/>
      <c r="C27" s="231"/>
      <c r="D27" s="231"/>
      <c r="E27" s="231"/>
      <c r="F27" s="242" t="s">
        <v>753</v>
      </c>
      <c r="G27" s="205"/>
      <c r="H27" s="434"/>
      <c r="I27" s="434"/>
      <c r="J27" s="434"/>
      <c r="K27" s="208"/>
    </row>
    <row r="28" spans="1:11">
      <c r="A28" s="218"/>
      <c r="B28" s="231"/>
      <c r="C28" s="231"/>
      <c r="D28" s="231"/>
      <c r="E28" s="231"/>
      <c r="F28" s="438"/>
      <c r="G28" s="205"/>
      <c r="H28" s="434"/>
      <c r="I28" s="434"/>
      <c r="J28" s="434"/>
      <c r="K28" s="208"/>
    </row>
    <row r="29" spans="1:11" ht="25.5">
      <c r="A29" s="218">
        <v>2.2000000000000002</v>
      </c>
      <c r="B29" s="231"/>
      <c r="C29" s="231"/>
      <c r="D29" s="33" t="s">
        <v>232</v>
      </c>
      <c r="E29" s="231" t="s">
        <v>316</v>
      </c>
      <c r="F29" s="240" t="s">
        <v>754</v>
      </c>
      <c r="G29" s="205" t="s">
        <v>8</v>
      </c>
      <c r="H29" s="434">
        <v>10</v>
      </c>
      <c r="I29" s="434">
        <f>SUM(H29:H29)</f>
        <v>10</v>
      </c>
      <c r="J29" s="434">
        <v>77405</v>
      </c>
      <c r="K29" s="208">
        <f t="shared" ref="K29" si="2">SUM(I29*J29)</f>
        <v>774050</v>
      </c>
    </row>
    <row r="30" spans="1:11" ht="165.75">
      <c r="A30" s="241"/>
      <c r="B30" s="231"/>
      <c r="C30" s="231"/>
      <c r="D30" s="231"/>
      <c r="E30" s="231"/>
      <c r="F30" s="242" t="s">
        <v>755</v>
      </c>
      <c r="G30" s="205"/>
      <c r="H30" s="434"/>
      <c r="I30" s="434"/>
      <c r="J30" s="434"/>
      <c r="K30" s="208"/>
    </row>
    <row r="31" spans="1:11">
      <c r="A31" s="218"/>
      <c r="B31" s="231"/>
      <c r="C31" s="231"/>
      <c r="D31" s="231"/>
      <c r="E31" s="231"/>
      <c r="F31" s="438"/>
      <c r="G31" s="205"/>
      <c r="H31" s="434"/>
      <c r="I31" s="434"/>
      <c r="J31" s="434"/>
      <c r="K31" s="208"/>
    </row>
    <row r="32" spans="1:11" ht="25.5">
      <c r="A32" s="218">
        <v>2.2999999999999998</v>
      </c>
      <c r="B32" s="231"/>
      <c r="C32" s="231"/>
      <c r="D32" s="33" t="s">
        <v>232</v>
      </c>
      <c r="E32" s="231" t="s">
        <v>316</v>
      </c>
      <c r="F32" s="240" t="s">
        <v>756</v>
      </c>
      <c r="G32" s="205" t="s">
        <v>8</v>
      </c>
      <c r="H32" s="434">
        <v>4</v>
      </c>
      <c r="I32" s="434">
        <f>SUM(H32:H32)</f>
        <v>4</v>
      </c>
      <c r="J32" s="434">
        <v>64700</v>
      </c>
      <c r="K32" s="208">
        <f t="shared" ref="K32" si="3">SUM(I32*J32)</f>
        <v>258800</v>
      </c>
    </row>
    <row r="33" spans="1:11" ht="140.25">
      <c r="A33" s="241"/>
      <c r="B33" s="231"/>
      <c r="C33" s="231"/>
      <c r="D33" s="231"/>
      <c r="E33" s="231"/>
      <c r="F33" s="242" t="s">
        <v>757</v>
      </c>
      <c r="G33" s="205"/>
      <c r="H33" s="434"/>
      <c r="I33" s="434"/>
      <c r="J33" s="434"/>
      <c r="K33" s="208"/>
    </row>
    <row r="34" spans="1:11">
      <c r="A34" s="218"/>
      <c r="B34" s="231"/>
      <c r="C34" s="231"/>
      <c r="D34" s="231"/>
      <c r="E34" s="231"/>
      <c r="F34" s="238"/>
      <c r="G34" s="205"/>
      <c r="H34" s="434"/>
      <c r="I34" s="434"/>
      <c r="J34" s="439"/>
      <c r="K34" s="208"/>
    </row>
    <row r="35" spans="1:11">
      <c r="A35" s="218">
        <v>2.4</v>
      </c>
      <c r="B35" s="231"/>
      <c r="C35" s="231"/>
      <c r="D35" s="231" t="s">
        <v>315</v>
      </c>
      <c r="E35" s="231" t="s">
        <v>321</v>
      </c>
      <c r="F35" s="430" t="s">
        <v>322</v>
      </c>
      <c r="G35" s="205" t="s">
        <v>8</v>
      </c>
      <c r="H35" s="434">
        <v>12</v>
      </c>
      <c r="I35" s="434">
        <f>SUM(H35:H35)</f>
        <v>12</v>
      </c>
      <c r="J35" s="434">
        <v>29360</v>
      </c>
      <c r="K35" s="208">
        <f t="shared" ref="K35" si="4">SUM(I35*J35)</f>
        <v>352320</v>
      </c>
    </row>
    <row r="36" spans="1:11" ht="63.75">
      <c r="A36" s="218"/>
      <c r="B36" s="231"/>
      <c r="C36" s="231"/>
      <c r="D36" s="231"/>
      <c r="E36" s="205"/>
      <c r="F36" s="438" t="s">
        <v>323</v>
      </c>
      <c r="G36" s="205"/>
      <c r="H36" s="434"/>
      <c r="I36" s="434">
        <f>SUM(H36:H36)</f>
        <v>0</v>
      </c>
      <c r="J36" s="434"/>
      <c r="K36" s="208"/>
    </row>
    <row r="37" spans="1:11">
      <c r="A37" s="218"/>
      <c r="B37" s="231"/>
      <c r="C37" s="231"/>
      <c r="D37" s="231"/>
      <c r="E37" s="231"/>
      <c r="F37" s="238"/>
      <c r="G37" s="205"/>
      <c r="H37" s="434"/>
      <c r="I37" s="434"/>
      <c r="J37" s="434"/>
      <c r="K37" s="208"/>
    </row>
    <row r="38" spans="1:11" ht="30">
      <c r="A38" s="218">
        <v>2.5</v>
      </c>
      <c r="B38" s="231"/>
      <c r="C38" s="266"/>
      <c r="D38" s="266" t="s">
        <v>758</v>
      </c>
      <c r="E38" s="266" t="s">
        <v>759</v>
      </c>
      <c r="F38" s="402" t="s">
        <v>662</v>
      </c>
      <c r="G38" s="205" t="s">
        <v>8</v>
      </c>
      <c r="H38" s="434">
        <v>15</v>
      </c>
      <c r="I38" s="434">
        <f>SUM(H38:H38)</f>
        <v>15</v>
      </c>
      <c r="J38" s="434">
        <v>50255</v>
      </c>
      <c r="K38" s="208">
        <f t="shared" ref="K38" si="5">SUM(I38*J38)</f>
        <v>753825</v>
      </c>
    </row>
    <row r="39" spans="1:11" ht="135">
      <c r="A39" s="218"/>
      <c r="B39" s="231"/>
      <c r="C39" s="231"/>
      <c r="D39" s="231"/>
      <c r="E39" s="231"/>
      <c r="F39" s="395" t="s">
        <v>760</v>
      </c>
      <c r="G39" s="205"/>
      <c r="H39" s="434"/>
      <c r="I39" s="434"/>
      <c r="J39" s="434"/>
      <c r="K39" s="208"/>
    </row>
    <row r="40" spans="1:11">
      <c r="A40" s="218"/>
      <c r="B40" s="231"/>
      <c r="C40" s="231"/>
      <c r="D40" s="231"/>
      <c r="E40" s="231"/>
      <c r="F40" s="438"/>
      <c r="G40" s="205"/>
      <c r="H40" s="434"/>
      <c r="I40" s="434"/>
      <c r="J40" s="434"/>
      <c r="K40" s="208"/>
    </row>
    <row r="41" spans="1:11" ht="25.5">
      <c r="A41" s="218">
        <v>2.6</v>
      </c>
      <c r="B41" s="231"/>
      <c r="C41" s="231"/>
      <c r="D41" s="440" t="s">
        <v>301</v>
      </c>
      <c r="E41" s="19" t="s">
        <v>761</v>
      </c>
      <c r="F41" s="8" t="s">
        <v>762</v>
      </c>
      <c r="G41" s="205" t="s">
        <v>8</v>
      </c>
      <c r="H41" s="434">
        <v>1</v>
      </c>
      <c r="I41" s="434">
        <f>SUM(H41:H41)</f>
        <v>1</v>
      </c>
      <c r="J41" s="434">
        <v>4122822</v>
      </c>
      <c r="K41" s="208">
        <f t="shared" ref="K41" si="6">SUM(I41*J41)</f>
        <v>4122822</v>
      </c>
    </row>
    <row r="42" spans="1:11">
      <c r="A42" s="218"/>
      <c r="B42" s="236"/>
      <c r="C42" s="236"/>
      <c r="D42" s="231"/>
      <c r="E42" s="231"/>
      <c r="F42" s="441" t="s">
        <v>763</v>
      </c>
      <c r="G42" s="205"/>
      <c r="H42" s="434"/>
      <c r="I42" s="434"/>
      <c r="J42" s="434"/>
      <c r="K42" s="208"/>
    </row>
    <row r="43" spans="1:11">
      <c r="A43" s="212"/>
      <c r="B43" s="236"/>
      <c r="C43" s="236"/>
      <c r="D43" s="236"/>
      <c r="E43" s="236"/>
      <c r="F43" s="441" t="s">
        <v>764</v>
      </c>
      <c r="G43" s="215"/>
      <c r="H43" s="432"/>
      <c r="I43" s="432"/>
      <c r="J43" s="432"/>
      <c r="K43" s="208"/>
    </row>
    <row r="44" spans="1:11" ht="102">
      <c r="A44" s="218"/>
      <c r="B44" s="231"/>
      <c r="C44" s="231"/>
      <c r="D44" s="231"/>
      <c r="E44" s="231"/>
      <c r="F44" s="440" t="s">
        <v>765</v>
      </c>
      <c r="G44" s="205"/>
      <c r="H44" s="434"/>
      <c r="I44" s="434"/>
      <c r="J44" s="434"/>
      <c r="K44" s="208"/>
    </row>
    <row r="45" spans="1:11">
      <c r="A45" s="218"/>
      <c r="B45" s="236"/>
      <c r="C45" s="236"/>
      <c r="D45" s="231"/>
      <c r="E45" s="231"/>
      <c r="F45" s="441" t="s">
        <v>766</v>
      </c>
      <c r="G45" s="205"/>
      <c r="H45" s="434"/>
      <c r="I45" s="434"/>
      <c r="J45" s="434"/>
      <c r="K45" s="208"/>
    </row>
    <row r="46" spans="1:11" ht="63.75">
      <c r="A46" s="212"/>
      <c r="B46" s="236"/>
      <c r="C46" s="236"/>
      <c r="D46" s="236"/>
      <c r="E46" s="236"/>
      <c r="F46" s="440" t="s">
        <v>767</v>
      </c>
      <c r="G46" s="215"/>
      <c r="H46" s="432"/>
      <c r="I46" s="432"/>
      <c r="J46" s="432"/>
      <c r="K46" s="208"/>
    </row>
    <row r="47" spans="1:11">
      <c r="A47" s="218"/>
      <c r="B47" s="231"/>
      <c r="C47" s="231"/>
      <c r="D47" s="231"/>
      <c r="E47" s="231"/>
      <c r="F47" s="441" t="s">
        <v>768</v>
      </c>
      <c r="G47" s="205"/>
      <c r="H47" s="434"/>
      <c r="I47" s="434"/>
      <c r="J47" s="434"/>
      <c r="K47" s="208"/>
    </row>
    <row r="48" spans="1:11" ht="38.25">
      <c r="A48" s="218"/>
      <c r="B48" s="231"/>
      <c r="C48" s="231"/>
      <c r="D48" s="231"/>
      <c r="E48" s="231"/>
      <c r="F48" s="440" t="s">
        <v>769</v>
      </c>
      <c r="G48" s="205"/>
      <c r="H48" s="434"/>
      <c r="I48" s="434"/>
      <c r="J48" s="434"/>
      <c r="K48" s="208"/>
    </row>
    <row r="49" spans="1:11">
      <c r="A49" s="218"/>
      <c r="B49" s="231"/>
      <c r="C49" s="231"/>
      <c r="D49" s="231"/>
      <c r="E49" s="231"/>
      <c r="F49" s="438"/>
      <c r="G49" s="205"/>
      <c r="H49" s="434"/>
      <c r="I49" s="434"/>
      <c r="J49" s="442"/>
      <c r="K49" s="208"/>
    </row>
    <row r="50" spans="1:11">
      <c r="A50" s="218"/>
      <c r="B50" s="231"/>
      <c r="C50" s="231"/>
      <c r="D50" s="231"/>
      <c r="E50" s="231"/>
      <c r="F50" s="211"/>
      <c r="G50" s="205"/>
      <c r="H50" s="434"/>
      <c r="I50" s="434"/>
      <c r="J50" s="442"/>
      <c r="K50" s="208"/>
    </row>
    <row r="51" spans="1:11" ht="24.75" customHeight="1">
      <c r="A51" s="212"/>
      <c r="B51" s="236"/>
      <c r="C51" s="236"/>
      <c r="D51" s="236"/>
      <c r="E51" s="236"/>
      <c r="F51" s="214" t="s">
        <v>770</v>
      </c>
      <c r="G51" s="215"/>
      <c r="H51" s="432"/>
      <c r="I51" s="432"/>
      <c r="J51" s="432"/>
      <c r="K51" s="216">
        <f>SUM(K6:K50)</f>
        <v>10854987</v>
      </c>
    </row>
  </sheetData>
  <mergeCells count="1">
    <mergeCell ref="J3:K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03"/>
  <sheetViews>
    <sheetView zoomScaleNormal="100" workbookViewId="0">
      <pane ySplit="4" topLeftCell="A90" activePane="bottomLeft" state="frozen"/>
      <selection pane="bottomLeft" activeCell="A90" sqref="A90"/>
    </sheetView>
  </sheetViews>
  <sheetFormatPr defaultColWidth="6.125" defaultRowHeight="12.75"/>
  <cols>
    <col min="1" max="1" width="6.75" style="210" customWidth="1"/>
    <col min="2" max="2" width="8.375" style="210" customWidth="1"/>
    <col min="3" max="3" width="3.125" style="210" bestFit="1" customWidth="1"/>
    <col min="4" max="4" width="7.375" style="210" bestFit="1" customWidth="1"/>
    <col min="5" max="5" width="8.875" style="210" customWidth="1"/>
    <col min="6" max="6" width="43.125" style="247" customWidth="1"/>
    <col min="7" max="7" width="4.375" style="210" customWidth="1"/>
    <col min="8" max="8" width="7" style="210" customWidth="1"/>
    <col min="9" max="9" width="5.875" style="210" customWidth="1"/>
    <col min="10" max="10" width="7.875" style="210" bestFit="1" customWidth="1"/>
    <col min="11" max="11" width="9.25" style="210" bestFit="1" customWidth="1"/>
    <col min="12" max="12" width="11.375" style="246" bestFit="1" customWidth="1"/>
    <col min="13" max="233" width="6.125" style="210"/>
    <col min="234" max="234" width="5" style="210" customWidth="1"/>
    <col min="235" max="235" width="8.875" style="210" customWidth="1"/>
    <col min="236" max="236" width="5" style="210" customWidth="1"/>
    <col min="237" max="237" width="8.25" style="210" bestFit="1" customWidth="1"/>
    <col min="238" max="238" width="16.125" style="210" customWidth="1"/>
    <col min="239" max="239" width="86" style="210" customWidth="1"/>
    <col min="240" max="240" width="5" style="210" customWidth="1"/>
    <col min="241" max="241" width="11.125" style="210" bestFit="1" customWidth="1"/>
    <col min="242" max="242" width="10.375" style="210" customWidth="1"/>
    <col min="243" max="243" width="10.875" style="210" customWidth="1"/>
    <col min="244" max="244" width="7.75" style="210" customWidth="1"/>
    <col min="245" max="245" width="9.875" style="210" customWidth="1"/>
    <col min="246" max="246" width="10.625" style="210" customWidth="1"/>
    <col min="247" max="489" width="6.125" style="210"/>
    <col min="490" max="490" width="5" style="210" customWidth="1"/>
    <col min="491" max="491" width="8.875" style="210" customWidth="1"/>
    <col min="492" max="492" width="5" style="210" customWidth="1"/>
    <col min="493" max="493" width="8.25" style="210" bestFit="1" customWidth="1"/>
    <col min="494" max="494" width="16.125" style="210" customWidth="1"/>
    <col min="495" max="495" width="86" style="210" customWidth="1"/>
    <col min="496" max="496" width="5" style="210" customWidth="1"/>
    <col min="497" max="497" width="11.125" style="210" bestFit="1" customWidth="1"/>
    <col min="498" max="498" width="10.375" style="210" customWidth="1"/>
    <col min="499" max="499" width="10.875" style="210" customWidth="1"/>
    <col min="500" max="500" width="7.75" style="210" customWidth="1"/>
    <col min="501" max="501" width="9.875" style="210" customWidth="1"/>
    <col min="502" max="502" width="10.625" style="210" customWidth="1"/>
    <col min="503" max="745" width="6.125" style="210"/>
    <col min="746" max="746" width="5" style="210" customWidth="1"/>
    <col min="747" max="747" width="8.875" style="210" customWidth="1"/>
    <col min="748" max="748" width="5" style="210" customWidth="1"/>
    <col min="749" max="749" width="8.25" style="210" bestFit="1" customWidth="1"/>
    <col min="750" max="750" width="16.125" style="210" customWidth="1"/>
    <col min="751" max="751" width="86" style="210" customWidth="1"/>
    <col min="752" max="752" width="5" style="210" customWidth="1"/>
    <col min="753" max="753" width="11.125" style="210" bestFit="1" customWidth="1"/>
    <col min="754" max="754" width="10.375" style="210" customWidth="1"/>
    <col min="755" max="755" width="10.875" style="210" customWidth="1"/>
    <col min="756" max="756" width="7.75" style="210" customWidth="1"/>
    <col min="757" max="757" width="9.875" style="210" customWidth="1"/>
    <col min="758" max="758" width="10.625" style="210" customWidth="1"/>
    <col min="759" max="1001" width="6.125" style="210"/>
    <col min="1002" max="1002" width="5" style="210" customWidth="1"/>
    <col min="1003" max="1003" width="8.875" style="210" customWidth="1"/>
    <col min="1004" max="1004" width="5" style="210" customWidth="1"/>
    <col min="1005" max="1005" width="8.25" style="210" bestFit="1" customWidth="1"/>
    <col min="1006" max="1006" width="16.125" style="210" customWidth="1"/>
    <col min="1007" max="1007" width="86" style="210" customWidth="1"/>
    <col min="1008" max="1008" width="5" style="210" customWidth="1"/>
    <col min="1009" max="1009" width="11.125" style="210" bestFit="1" customWidth="1"/>
    <col min="1010" max="1010" width="10.375" style="210" customWidth="1"/>
    <col min="1011" max="1011" width="10.875" style="210" customWidth="1"/>
    <col min="1012" max="1012" width="7.75" style="210" customWidth="1"/>
    <col min="1013" max="1013" width="9.875" style="210" customWidth="1"/>
    <col min="1014" max="1014" width="10.625" style="210" customWidth="1"/>
    <col min="1015" max="1257" width="6.125" style="210"/>
    <col min="1258" max="1258" width="5" style="210" customWidth="1"/>
    <col min="1259" max="1259" width="8.875" style="210" customWidth="1"/>
    <col min="1260" max="1260" width="5" style="210" customWidth="1"/>
    <col min="1261" max="1261" width="8.25" style="210" bestFit="1" customWidth="1"/>
    <col min="1262" max="1262" width="16.125" style="210" customWidth="1"/>
    <col min="1263" max="1263" width="86" style="210" customWidth="1"/>
    <col min="1264" max="1264" width="5" style="210" customWidth="1"/>
    <col min="1265" max="1265" width="11.125" style="210" bestFit="1" customWidth="1"/>
    <col min="1266" max="1266" width="10.375" style="210" customWidth="1"/>
    <col min="1267" max="1267" width="10.875" style="210" customWidth="1"/>
    <col min="1268" max="1268" width="7.75" style="210" customWidth="1"/>
    <col min="1269" max="1269" width="9.875" style="210" customWidth="1"/>
    <col min="1270" max="1270" width="10.625" style="210" customWidth="1"/>
    <col min="1271" max="1513" width="6.125" style="210"/>
    <col min="1514" max="1514" width="5" style="210" customWidth="1"/>
    <col min="1515" max="1515" width="8.875" style="210" customWidth="1"/>
    <col min="1516" max="1516" width="5" style="210" customWidth="1"/>
    <col min="1517" max="1517" width="8.25" style="210" bestFit="1" customWidth="1"/>
    <col min="1518" max="1518" width="16.125" style="210" customWidth="1"/>
    <col min="1519" max="1519" width="86" style="210" customWidth="1"/>
    <col min="1520" max="1520" width="5" style="210" customWidth="1"/>
    <col min="1521" max="1521" width="11.125" style="210" bestFit="1" customWidth="1"/>
    <col min="1522" max="1522" width="10.375" style="210" customWidth="1"/>
    <col min="1523" max="1523" width="10.875" style="210" customWidth="1"/>
    <col min="1524" max="1524" width="7.75" style="210" customWidth="1"/>
    <col min="1525" max="1525" width="9.875" style="210" customWidth="1"/>
    <col min="1526" max="1526" width="10.625" style="210" customWidth="1"/>
    <col min="1527" max="1769" width="6.125" style="210"/>
    <col min="1770" max="1770" width="5" style="210" customWidth="1"/>
    <col min="1771" max="1771" width="8.875" style="210" customWidth="1"/>
    <col min="1772" max="1772" width="5" style="210" customWidth="1"/>
    <col min="1773" max="1773" width="8.25" style="210" bestFit="1" customWidth="1"/>
    <col min="1774" max="1774" width="16.125" style="210" customWidth="1"/>
    <col min="1775" max="1775" width="86" style="210" customWidth="1"/>
    <col min="1776" max="1776" width="5" style="210" customWidth="1"/>
    <col min="1777" max="1777" width="11.125" style="210" bestFit="1" customWidth="1"/>
    <col min="1778" max="1778" width="10.375" style="210" customWidth="1"/>
    <col min="1779" max="1779" width="10.875" style="210" customWidth="1"/>
    <col min="1780" max="1780" width="7.75" style="210" customWidth="1"/>
    <col min="1781" max="1781" width="9.875" style="210" customWidth="1"/>
    <col min="1782" max="1782" width="10.625" style="210" customWidth="1"/>
    <col min="1783" max="2025" width="6.125" style="210"/>
    <col min="2026" max="2026" width="5" style="210" customWidth="1"/>
    <col min="2027" max="2027" width="8.875" style="210" customWidth="1"/>
    <col min="2028" max="2028" width="5" style="210" customWidth="1"/>
    <col min="2029" max="2029" width="8.25" style="210" bestFit="1" customWidth="1"/>
    <col min="2030" max="2030" width="16.125" style="210" customWidth="1"/>
    <col min="2031" max="2031" width="86" style="210" customWidth="1"/>
    <col min="2032" max="2032" width="5" style="210" customWidth="1"/>
    <col min="2033" max="2033" width="11.125" style="210" bestFit="1" customWidth="1"/>
    <col min="2034" max="2034" width="10.375" style="210" customWidth="1"/>
    <col min="2035" max="2035" width="10.875" style="210" customWidth="1"/>
    <col min="2036" max="2036" width="7.75" style="210" customWidth="1"/>
    <col min="2037" max="2037" width="9.875" style="210" customWidth="1"/>
    <col min="2038" max="2038" width="10.625" style="210" customWidth="1"/>
    <col min="2039" max="2281" width="6.125" style="210"/>
    <col min="2282" max="2282" width="5" style="210" customWidth="1"/>
    <col min="2283" max="2283" width="8.875" style="210" customWidth="1"/>
    <col min="2284" max="2284" width="5" style="210" customWidth="1"/>
    <col min="2285" max="2285" width="8.25" style="210" bestFit="1" customWidth="1"/>
    <col min="2286" max="2286" width="16.125" style="210" customWidth="1"/>
    <col min="2287" max="2287" width="86" style="210" customWidth="1"/>
    <col min="2288" max="2288" width="5" style="210" customWidth="1"/>
    <col min="2289" max="2289" width="11.125" style="210" bestFit="1" customWidth="1"/>
    <col min="2290" max="2290" width="10.375" style="210" customWidth="1"/>
    <col min="2291" max="2291" width="10.875" style="210" customWidth="1"/>
    <col min="2292" max="2292" width="7.75" style="210" customWidth="1"/>
    <col min="2293" max="2293" width="9.875" style="210" customWidth="1"/>
    <col min="2294" max="2294" width="10.625" style="210" customWidth="1"/>
    <col min="2295" max="2537" width="6.125" style="210"/>
    <col min="2538" max="2538" width="5" style="210" customWidth="1"/>
    <col min="2539" max="2539" width="8.875" style="210" customWidth="1"/>
    <col min="2540" max="2540" width="5" style="210" customWidth="1"/>
    <col min="2541" max="2541" width="8.25" style="210" bestFit="1" customWidth="1"/>
    <col min="2542" max="2542" width="16.125" style="210" customWidth="1"/>
    <col min="2543" max="2543" width="86" style="210" customWidth="1"/>
    <col min="2544" max="2544" width="5" style="210" customWidth="1"/>
    <col min="2545" max="2545" width="11.125" style="210" bestFit="1" customWidth="1"/>
    <col min="2546" max="2546" width="10.375" style="210" customWidth="1"/>
    <col min="2547" max="2547" width="10.875" style="210" customWidth="1"/>
    <col min="2548" max="2548" width="7.75" style="210" customWidth="1"/>
    <col min="2549" max="2549" width="9.875" style="210" customWidth="1"/>
    <col min="2550" max="2550" width="10.625" style="210" customWidth="1"/>
    <col min="2551" max="2793" width="6.125" style="210"/>
    <col min="2794" max="2794" width="5" style="210" customWidth="1"/>
    <col min="2795" max="2795" width="8.875" style="210" customWidth="1"/>
    <col min="2796" max="2796" width="5" style="210" customWidth="1"/>
    <col min="2797" max="2797" width="8.25" style="210" bestFit="1" customWidth="1"/>
    <col min="2798" max="2798" width="16.125" style="210" customWidth="1"/>
    <col min="2799" max="2799" width="86" style="210" customWidth="1"/>
    <col min="2800" max="2800" width="5" style="210" customWidth="1"/>
    <col min="2801" max="2801" width="11.125" style="210" bestFit="1" customWidth="1"/>
    <col min="2802" max="2802" width="10.375" style="210" customWidth="1"/>
    <col min="2803" max="2803" width="10.875" style="210" customWidth="1"/>
    <col min="2804" max="2804" width="7.75" style="210" customWidth="1"/>
    <col min="2805" max="2805" width="9.875" style="210" customWidth="1"/>
    <col min="2806" max="2806" width="10.625" style="210" customWidth="1"/>
    <col min="2807" max="3049" width="6.125" style="210"/>
    <col min="3050" max="3050" width="5" style="210" customWidth="1"/>
    <col min="3051" max="3051" width="8.875" style="210" customWidth="1"/>
    <col min="3052" max="3052" width="5" style="210" customWidth="1"/>
    <col min="3053" max="3053" width="8.25" style="210" bestFit="1" customWidth="1"/>
    <col min="3054" max="3054" width="16.125" style="210" customWidth="1"/>
    <col min="3055" max="3055" width="86" style="210" customWidth="1"/>
    <col min="3056" max="3056" width="5" style="210" customWidth="1"/>
    <col min="3057" max="3057" width="11.125" style="210" bestFit="1" customWidth="1"/>
    <col min="3058" max="3058" width="10.375" style="210" customWidth="1"/>
    <col min="3059" max="3059" width="10.875" style="210" customWidth="1"/>
    <col min="3060" max="3060" width="7.75" style="210" customWidth="1"/>
    <col min="3061" max="3061" width="9.875" style="210" customWidth="1"/>
    <col min="3062" max="3062" width="10.625" style="210" customWidth="1"/>
    <col min="3063" max="3305" width="6.125" style="210"/>
    <col min="3306" max="3306" width="5" style="210" customWidth="1"/>
    <col min="3307" max="3307" width="8.875" style="210" customWidth="1"/>
    <col min="3308" max="3308" width="5" style="210" customWidth="1"/>
    <col min="3309" max="3309" width="8.25" style="210" bestFit="1" customWidth="1"/>
    <col min="3310" max="3310" width="16.125" style="210" customWidth="1"/>
    <col min="3311" max="3311" width="86" style="210" customWidth="1"/>
    <col min="3312" max="3312" width="5" style="210" customWidth="1"/>
    <col min="3313" max="3313" width="11.125" style="210" bestFit="1" customWidth="1"/>
    <col min="3314" max="3314" width="10.375" style="210" customWidth="1"/>
    <col min="3315" max="3315" width="10.875" style="210" customWidth="1"/>
    <col min="3316" max="3316" width="7.75" style="210" customWidth="1"/>
    <col min="3317" max="3317" width="9.875" style="210" customWidth="1"/>
    <col min="3318" max="3318" width="10.625" style="210" customWidth="1"/>
    <col min="3319" max="3561" width="6.125" style="210"/>
    <col min="3562" max="3562" width="5" style="210" customWidth="1"/>
    <col min="3563" max="3563" width="8.875" style="210" customWidth="1"/>
    <col min="3564" max="3564" width="5" style="210" customWidth="1"/>
    <col min="3565" max="3565" width="8.25" style="210" bestFit="1" customWidth="1"/>
    <col min="3566" max="3566" width="16.125" style="210" customWidth="1"/>
    <col min="3567" max="3567" width="86" style="210" customWidth="1"/>
    <col min="3568" max="3568" width="5" style="210" customWidth="1"/>
    <col min="3569" max="3569" width="11.125" style="210" bestFit="1" customWidth="1"/>
    <col min="3570" max="3570" width="10.375" style="210" customWidth="1"/>
    <col min="3571" max="3571" width="10.875" style="210" customWidth="1"/>
    <col min="3572" max="3572" width="7.75" style="210" customWidth="1"/>
    <col min="3573" max="3573" width="9.875" style="210" customWidth="1"/>
    <col min="3574" max="3574" width="10.625" style="210" customWidth="1"/>
    <col min="3575" max="3817" width="6.125" style="210"/>
    <col min="3818" max="3818" width="5" style="210" customWidth="1"/>
    <col min="3819" max="3819" width="8.875" style="210" customWidth="1"/>
    <col min="3820" max="3820" width="5" style="210" customWidth="1"/>
    <col min="3821" max="3821" width="8.25" style="210" bestFit="1" customWidth="1"/>
    <col min="3822" max="3822" width="16.125" style="210" customWidth="1"/>
    <col min="3823" max="3823" width="86" style="210" customWidth="1"/>
    <col min="3824" max="3824" width="5" style="210" customWidth="1"/>
    <col min="3825" max="3825" width="11.125" style="210" bestFit="1" customWidth="1"/>
    <col min="3826" max="3826" width="10.375" style="210" customWidth="1"/>
    <col min="3827" max="3827" width="10.875" style="210" customWidth="1"/>
    <col min="3828" max="3828" width="7.75" style="210" customWidth="1"/>
    <col min="3829" max="3829" width="9.875" style="210" customWidth="1"/>
    <col min="3830" max="3830" width="10.625" style="210" customWidth="1"/>
    <col min="3831" max="4073" width="6.125" style="210"/>
    <col min="4074" max="4074" width="5" style="210" customWidth="1"/>
    <col min="4075" max="4075" width="8.875" style="210" customWidth="1"/>
    <col min="4076" max="4076" width="5" style="210" customWidth="1"/>
    <col min="4077" max="4077" width="8.25" style="210" bestFit="1" customWidth="1"/>
    <col min="4078" max="4078" width="16.125" style="210" customWidth="1"/>
    <col min="4079" max="4079" width="86" style="210" customWidth="1"/>
    <col min="4080" max="4080" width="5" style="210" customWidth="1"/>
    <col min="4081" max="4081" width="11.125" style="210" bestFit="1" customWidth="1"/>
    <col min="4082" max="4082" width="10.375" style="210" customWidth="1"/>
    <col min="4083" max="4083" width="10.875" style="210" customWidth="1"/>
    <col min="4084" max="4084" width="7.75" style="210" customWidth="1"/>
    <col min="4085" max="4085" width="9.875" style="210" customWidth="1"/>
    <col min="4086" max="4086" width="10.625" style="210" customWidth="1"/>
    <col min="4087" max="4329" width="6.125" style="210"/>
    <col min="4330" max="4330" width="5" style="210" customWidth="1"/>
    <col min="4331" max="4331" width="8.875" style="210" customWidth="1"/>
    <col min="4332" max="4332" width="5" style="210" customWidth="1"/>
    <col min="4333" max="4333" width="8.25" style="210" bestFit="1" customWidth="1"/>
    <col min="4334" max="4334" width="16.125" style="210" customWidth="1"/>
    <col min="4335" max="4335" width="86" style="210" customWidth="1"/>
    <col min="4336" max="4336" width="5" style="210" customWidth="1"/>
    <col min="4337" max="4337" width="11.125" style="210" bestFit="1" customWidth="1"/>
    <col min="4338" max="4338" width="10.375" style="210" customWidth="1"/>
    <col min="4339" max="4339" width="10.875" style="210" customWidth="1"/>
    <col min="4340" max="4340" width="7.75" style="210" customWidth="1"/>
    <col min="4341" max="4341" width="9.875" style="210" customWidth="1"/>
    <col min="4342" max="4342" width="10.625" style="210" customWidth="1"/>
    <col min="4343" max="4585" width="6.125" style="210"/>
    <col min="4586" max="4586" width="5" style="210" customWidth="1"/>
    <col min="4587" max="4587" width="8.875" style="210" customWidth="1"/>
    <col min="4588" max="4588" width="5" style="210" customWidth="1"/>
    <col min="4589" max="4589" width="8.25" style="210" bestFit="1" customWidth="1"/>
    <col min="4590" max="4590" width="16.125" style="210" customWidth="1"/>
    <col min="4591" max="4591" width="86" style="210" customWidth="1"/>
    <col min="4592" max="4592" width="5" style="210" customWidth="1"/>
    <col min="4593" max="4593" width="11.125" style="210" bestFit="1" customWidth="1"/>
    <col min="4594" max="4594" width="10.375" style="210" customWidth="1"/>
    <col min="4595" max="4595" width="10.875" style="210" customWidth="1"/>
    <col min="4596" max="4596" width="7.75" style="210" customWidth="1"/>
    <col min="4597" max="4597" width="9.875" style="210" customWidth="1"/>
    <col min="4598" max="4598" width="10.625" style="210" customWidth="1"/>
    <col min="4599" max="4841" width="6.125" style="210"/>
    <col min="4842" max="4842" width="5" style="210" customWidth="1"/>
    <col min="4843" max="4843" width="8.875" style="210" customWidth="1"/>
    <col min="4844" max="4844" width="5" style="210" customWidth="1"/>
    <col min="4845" max="4845" width="8.25" style="210" bestFit="1" customWidth="1"/>
    <col min="4846" max="4846" width="16.125" style="210" customWidth="1"/>
    <col min="4847" max="4847" width="86" style="210" customWidth="1"/>
    <col min="4848" max="4848" width="5" style="210" customWidth="1"/>
    <col min="4849" max="4849" width="11.125" style="210" bestFit="1" customWidth="1"/>
    <col min="4850" max="4850" width="10.375" style="210" customWidth="1"/>
    <col min="4851" max="4851" width="10.875" style="210" customWidth="1"/>
    <col min="4852" max="4852" width="7.75" style="210" customWidth="1"/>
    <col min="4853" max="4853" width="9.875" style="210" customWidth="1"/>
    <col min="4854" max="4854" width="10.625" style="210" customWidth="1"/>
    <col min="4855" max="5097" width="6.125" style="210"/>
    <col min="5098" max="5098" width="5" style="210" customWidth="1"/>
    <col min="5099" max="5099" width="8.875" style="210" customWidth="1"/>
    <col min="5100" max="5100" width="5" style="210" customWidth="1"/>
    <col min="5101" max="5101" width="8.25" style="210" bestFit="1" customWidth="1"/>
    <col min="5102" max="5102" width="16.125" style="210" customWidth="1"/>
    <col min="5103" max="5103" width="86" style="210" customWidth="1"/>
    <col min="5104" max="5104" width="5" style="210" customWidth="1"/>
    <col min="5105" max="5105" width="11.125" style="210" bestFit="1" customWidth="1"/>
    <col min="5106" max="5106" width="10.375" style="210" customWidth="1"/>
    <col min="5107" max="5107" width="10.875" style="210" customWidth="1"/>
    <col min="5108" max="5108" width="7.75" style="210" customWidth="1"/>
    <col min="5109" max="5109" width="9.875" style="210" customWidth="1"/>
    <col min="5110" max="5110" width="10.625" style="210" customWidth="1"/>
    <col min="5111" max="5353" width="6.125" style="210"/>
    <col min="5354" max="5354" width="5" style="210" customWidth="1"/>
    <col min="5355" max="5355" width="8.875" style="210" customWidth="1"/>
    <col min="5356" max="5356" width="5" style="210" customWidth="1"/>
    <col min="5357" max="5357" width="8.25" style="210" bestFit="1" customWidth="1"/>
    <col min="5358" max="5358" width="16.125" style="210" customWidth="1"/>
    <col min="5359" max="5359" width="86" style="210" customWidth="1"/>
    <col min="5360" max="5360" width="5" style="210" customWidth="1"/>
    <col min="5361" max="5361" width="11.125" style="210" bestFit="1" customWidth="1"/>
    <col min="5362" max="5362" width="10.375" style="210" customWidth="1"/>
    <col min="5363" max="5363" width="10.875" style="210" customWidth="1"/>
    <col min="5364" max="5364" width="7.75" style="210" customWidth="1"/>
    <col min="5365" max="5365" width="9.875" style="210" customWidth="1"/>
    <col min="5366" max="5366" width="10.625" style="210" customWidth="1"/>
    <col min="5367" max="5609" width="6.125" style="210"/>
    <col min="5610" max="5610" width="5" style="210" customWidth="1"/>
    <col min="5611" max="5611" width="8.875" style="210" customWidth="1"/>
    <col min="5612" max="5612" width="5" style="210" customWidth="1"/>
    <col min="5613" max="5613" width="8.25" style="210" bestFit="1" customWidth="1"/>
    <col min="5614" max="5614" width="16.125" style="210" customWidth="1"/>
    <col min="5615" max="5615" width="86" style="210" customWidth="1"/>
    <col min="5616" max="5616" width="5" style="210" customWidth="1"/>
    <col min="5617" max="5617" width="11.125" style="210" bestFit="1" customWidth="1"/>
    <col min="5618" max="5618" width="10.375" style="210" customWidth="1"/>
    <col min="5619" max="5619" width="10.875" style="210" customWidth="1"/>
    <col min="5620" max="5620" width="7.75" style="210" customWidth="1"/>
    <col min="5621" max="5621" width="9.875" style="210" customWidth="1"/>
    <col min="5622" max="5622" width="10.625" style="210" customWidth="1"/>
    <col min="5623" max="5865" width="6.125" style="210"/>
    <col min="5866" max="5866" width="5" style="210" customWidth="1"/>
    <col min="5867" max="5867" width="8.875" style="210" customWidth="1"/>
    <col min="5868" max="5868" width="5" style="210" customWidth="1"/>
    <col min="5869" max="5869" width="8.25" style="210" bestFit="1" customWidth="1"/>
    <col min="5870" max="5870" width="16.125" style="210" customWidth="1"/>
    <col min="5871" max="5871" width="86" style="210" customWidth="1"/>
    <col min="5872" max="5872" width="5" style="210" customWidth="1"/>
    <col min="5873" max="5873" width="11.125" style="210" bestFit="1" customWidth="1"/>
    <col min="5874" max="5874" width="10.375" style="210" customWidth="1"/>
    <col min="5875" max="5875" width="10.875" style="210" customWidth="1"/>
    <col min="5876" max="5876" width="7.75" style="210" customWidth="1"/>
    <col min="5877" max="5877" width="9.875" style="210" customWidth="1"/>
    <col min="5878" max="5878" width="10.625" style="210" customWidth="1"/>
    <col min="5879" max="6121" width="6.125" style="210"/>
    <col min="6122" max="6122" width="5" style="210" customWidth="1"/>
    <col min="6123" max="6123" width="8.875" style="210" customWidth="1"/>
    <col min="6124" max="6124" width="5" style="210" customWidth="1"/>
    <col min="6125" max="6125" width="8.25" style="210" bestFit="1" customWidth="1"/>
    <col min="6126" max="6126" width="16.125" style="210" customWidth="1"/>
    <col min="6127" max="6127" width="86" style="210" customWidth="1"/>
    <col min="6128" max="6128" width="5" style="210" customWidth="1"/>
    <col min="6129" max="6129" width="11.125" style="210" bestFit="1" customWidth="1"/>
    <col min="6130" max="6130" width="10.375" style="210" customWidth="1"/>
    <col min="6131" max="6131" width="10.875" style="210" customWidth="1"/>
    <col min="6132" max="6132" width="7.75" style="210" customWidth="1"/>
    <col min="6133" max="6133" width="9.875" style="210" customWidth="1"/>
    <col min="6134" max="6134" width="10.625" style="210" customWidth="1"/>
    <col min="6135" max="6377" width="6.125" style="210"/>
    <col min="6378" max="6378" width="5" style="210" customWidth="1"/>
    <col min="6379" max="6379" width="8.875" style="210" customWidth="1"/>
    <col min="6380" max="6380" width="5" style="210" customWidth="1"/>
    <col min="6381" max="6381" width="8.25" style="210" bestFit="1" customWidth="1"/>
    <col min="6382" max="6382" width="16.125" style="210" customWidth="1"/>
    <col min="6383" max="6383" width="86" style="210" customWidth="1"/>
    <col min="6384" max="6384" width="5" style="210" customWidth="1"/>
    <col min="6385" max="6385" width="11.125" style="210" bestFit="1" customWidth="1"/>
    <col min="6386" max="6386" width="10.375" style="210" customWidth="1"/>
    <col min="6387" max="6387" width="10.875" style="210" customWidth="1"/>
    <col min="6388" max="6388" width="7.75" style="210" customWidth="1"/>
    <col min="6389" max="6389" width="9.875" style="210" customWidth="1"/>
    <col min="6390" max="6390" width="10.625" style="210" customWidth="1"/>
    <col min="6391" max="6633" width="6.125" style="210"/>
    <col min="6634" max="6634" width="5" style="210" customWidth="1"/>
    <col min="6635" max="6635" width="8.875" style="210" customWidth="1"/>
    <col min="6636" max="6636" width="5" style="210" customWidth="1"/>
    <col min="6637" max="6637" width="8.25" style="210" bestFit="1" customWidth="1"/>
    <col min="6638" max="6638" width="16.125" style="210" customWidth="1"/>
    <col min="6639" max="6639" width="86" style="210" customWidth="1"/>
    <col min="6640" max="6640" width="5" style="210" customWidth="1"/>
    <col min="6641" max="6641" width="11.125" style="210" bestFit="1" customWidth="1"/>
    <col min="6642" max="6642" width="10.375" style="210" customWidth="1"/>
    <col min="6643" max="6643" width="10.875" style="210" customWidth="1"/>
    <col min="6644" max="6644" width="7.75" style="210" customWidth="1"/>
    <col min="6645" max="6645" width="9.875" style="210" customWidth="1"/>
    <col min="6646" max="6646" width="10.625" style="210" customWidth="1"/>
    <col min="6647" max="6889" width="6.125" style="210"/>
    <col min="6890" max="6890" width="5" style="210" customWidth="1"/>
    <col min="6891" max="6891" width="8.875" style="210" customWidth="1"/>
    <col min="6892" max="6892" width="5" style="210" customWidth="1"/>
    <col min="6893" max="6893" width="8.25" style="210" bestFit="1" customWidth="1"/>
    <col min="6894" max="6894" width="16.125" style="210" customWidth="1"/>
    <col min="6895" max="6895" width="86" style="210" customWidth="1"/>
    <col min="6896" max="6896" width="5" style="210" customWidth="1"/>
    <col min="6897" max="6897" width="11.125" style="210" bestFit="1" customWidth="1"/>
    <col min="6898" max="6898" width="10.375" style="210" customWidth="1"/>
    <col min="6899" max="6899" width="10.875" style="210" customWidth="1"/>
    <col min="6900" max="6900" width="7.75" style="210" customWidth="1"/>
    <col min="6901" max="6901" width="9.875" style="210" customWidth="1"/>
    <col min="6902" max="6902" width="10.625" style="210" customWidth="1"/>
    <col min="6903" max="7145" width="6.125" style="210"/>
    <col min="7146" max="7146" width="5" style="210" customWidth="1"/>
    <col min="7147" max="7147" width="8.875" style="210" customWidth="1"/>
    <col min="7148" max="7148" width="5" style="210" customWidth="1"/>
    <col min="7149" max="7149" width="8.25" style="210" bestFit="1" customWidth="1"/>
    <col min="7150" max="7150" width="16.125" style="210" customWidth="1"/>
    <col min="7151" max="7151" width="86" style="210" customWidth="1"/>
    <col min="7152" max="7152" width="5" style="210" customWidth="1"/>
    <col min="7153" max="7153" width="11.125" style="210" bestFit="1" customWidth="1"/>
    <col min="7154" max="7154" width="10.375" style="210" customWidth="1"/>
    <col min="7155" max="7155" width="10.875" style="210" customWidth="1"/>
    <col min="7156" max="7156" width="7.75" style="210" customWidth="1"/>
    <col min="7157" max="7157" width="9.875" style="210" customWidth="1"/>
    <col min="7158" max="7158" width="10.625" style="210" customWidth="1"/>
    <col min="7159" max="7401" width="6.125" style="210"/>
    <col min="7402" max="7402" width="5" style="210" customWidth="1"/>
    <col min="7403" max="7403" width="8.875" style="210" customWidth="1"/>
    <col min="7404" max="7404" width="5" style="210" customWidth="1"/>
    <col min="7405" max="7405" width="8.25" style="210" bestFit="1" customWidth="1"/>
    <col min="7406" max="7406" width="16.125" style="210" customWidth="1"/>
    <col min="7407" max="7407" width="86" style="210" customWidth="1"/>
    <col min="7408" max="7408" width="5" style="210" customWidth="1"/>
    <col min="7409" max="7409" width="11.125" style="210" bestFit="1" customWidth="1"/>
    <col min="7410" max="7410" width="10.375" style="210" customWidth="1"/>
    <col min="7411" max="7411" width="10.875" style="210" customWidth="1"/>
    <col min="7412" max="7412" width="7.75" style="210" customWidth="1"/>
    <col min="7413" max="7413" width="9.875" style="210" customWidth="1"/>
    <col min="7414" max="7414" width="10.625" style="210" customWidth="1"/>
    <col min="7415" max="7657" width="6.125" style="210"/>
    <col min="7658" max="7658" width="5" style="210" customWidth="1"/>
    <col min="7659" max="7659" width="8.875" style="210" customWidth="1"/>
    <col min="7660" max="7660" width="5" style="210" customWidth="1"/>
    <col min="7661" max="7661" width="8.25" style="210" bestFit="1" customWidth="1"/>
    <col min="7662" max="7662" width="16.125" style="210" customWidth="1"/>
    <col min="7663" max="7663" width="86" style="210" customWidth="1"/>
    <col min="7664" max="7664" width="5" style="210" customWidth="1"/>
    <col min="7665" max="7665" width="11.125" style="210" bestFit="1" customWidth="1"/>
    <col min="7666" max="7666" width="10.375" style="210" customWidth="1"/>
    <col min="7667" max="7667" width="10.875" style="210" customWidth="1"/>
    <col min="7668" max="7668" width="7.75" style="210" customWidth="1"/>
    <col min="7669" max="7669" width="9.875" style="210" customWidth="1"/>
    <col min="7670" max="7670" width="10.625" style="210" customWidth="1"/>
    <col min="7671" max="7913" width="6.125" style="210"/>
    <col min="7914" max="7914" width="5" style="210" customWidth="1"/>
    <col min="7915" max="7915" width="8.875" style="210" customWidth="1"/>
    <col min="7916" max="7916" width="5" style="210" customWidth="1"/>
    <col min="7917" max="7917" width="8.25" style="210" bestFit="1" customWidth="1"/>
    <col min="7918" max="7918" width="16.125" style="210" customWidth="1"/>
    <col min="7919" max="7919" width="86" style="210" customWidth="1"/>
    <col min="7920" max="7920" width="5" style="210" customWidth="1"/>
    <col min="7921" max="7921" width="11.125" style="210" bestFit="1" customWidth="1"/>
    <col min="7922" max="7922" width="10.375" style="210" customWidth="1"/>
    <col min="7923" max="7923" width="10.875" style="210" customWidth="1"/>
    <col min="7924" max="7924" width="7.75" style="210" customWidth="1"/>
    <col min="7925" max="7925" width="9.875" style="210" customWidth="1"/>
    <col min="7926" max="7926" width="10.625" style="210" customWidth="1"/>
    <col min="7927" max="8169" width="6.125" style="210"/>
    <col min="8170" max="8170" width="5" style="210" customWidth="1"/>
    <col min="8171" max="8171" width="8.875" style="210" customWidth="1"/>
    <col min="8172" max="8172" width="5" style="210" customWidth="1"/>
    <col min="8173" max="8173" width="8.25" style="210" bestFit="1" customWidth="1"/>
    <col min="8174" max="8174" width="16.125" style="210" customWidth="1"/>
    <col min="8175" max="8175" width="86" style="210" customWidth="1"/>
    <col min="8176" max="8176" width="5" style="210" customWidth="1"/>
    <col min="8177" max="8177" width="11.125" style="210" bestFit="1" customWidth="1"/>
    <col min="8178" max="8178" width="10.375" style="210" customWidth="1"/>
    <col min="8179" max="8179" width="10.875" style="210" customWidth="1"/>
    <col min="8180" max="8180" width="7.75" style="210" customWidth="1"/>
    <col min="8181" max="8181" width="9.875" style="210" customWidth="1"/>
    <col min="8182" max="8182" width="10.625" style="210" customWidth="1"/>
    <col min="8183" max="8425" width="6.125" style="210"/>
    <col min="8426" max="8426" width="5" style="210" customWidth="1"/>
    <col min="8427" max="8427" width="8.875" style="210" customWidth="1"/>
    <col min="8428" max="8428" width="5" style="210" customWidth="1"/>
    <col min="8429" max="8429" width="8.25" style="210" bestFit="1" customWidth="1"/>
    <col min="8430" max="8430" width="16.125" style="210" customWidth="1"/>
    <col min="8431" max="8431" width="86" style="210" customWidth="1"/>
    <col min="8432" max="8432" width="5" style="210" customWidth="1"/>
    <col min="8433" max="8433" width="11.125" style="210" bestFit="1" customWidth="1"/>
    <col min="8434" max="8434" width="10.375" style="210" customWidth="1"/>
    <col min="8435" max="8435" width="10.875" style="210" customWidth="1"/>
    <col min="8436" max="8436" width="7.75" style="210" customWidth="1"/>
    <col min="8437" max="8437" width="9.875" style="210" customWidth="1"/>
    <col min="8438" max="8438" width="10.625" style="210" customWidth="1"/>
    <col min="8439" max="8681" width="6.125" style="210"/>
    <col min="8682" max="8682" width="5" style="210" customWidth="1"/>
    <col min="8683" max="8683" width="8.875" style="210" customWidth="1"/>
    <col min="8684" max="8684" width="5" style="210" customWidth="1"/>
    <col min="8685" max="8685" width="8.25" style="210" bestFit="1" customWidth="1"/>
    <col min="8686" max="8686" width="16.125" style="210" customWidth="1"/>
    <col min="8687" max="8687" width="86" style="210" customWidth="1"/>
    <col min="8688" max="8688" width="5" style="210" customWidth="1"/>
    <col min="8689" max="8689" width="11.125" style="210" bestFit="1" customWidth="1"/>
    <col min="8690" max="8690" width="10.375" style="210" customWidth="1"/>
    <col min="8691" max="8691" width="10.875" style="210" customWidth="1"/>
    <col min="8692" max="8692" width="7.75" style="210" customWidth="1"/>
    <col min="8693" max="8693" width="9.875" style="210" customWidth="1"/>
    <col min="8694" max="8694" width="10.625" style="210" customWidth="1"/>
    <col min="8695" max="8937" width="6.125" style="210"/>
    <col min="8938" max="8938" width="5" style="210" customWidth="1"/>
    <col min="8939" max="8939" width="8.875" style="210" customWidth="1"/>
    <col min="8940" max="8940" width="5" style="210" customWidth="1"/>
    <col min="8941" max="8941" width="8.25" style="210" bestFit="1" customWidth="1"/>
    <col min="8942" max="8942" width="16.125" style="210" customWidth="1"/>
    <col min="8943" max="8943" width="86" style="210" customWidth="1"/>
    <col min="8944" max="8944" width="5" style="210" customWidth="1"/>
    <col min="8945" max="8945" width="11.125" style="210" bestFit="1" customWidth="1"/>
    <col min="8946" max="8946" width="10.375" style="210" customWidth="1"/>
    <col min="8947" max="8947" width="10.875" style="210" customWidth="1"/>
    <col min="8948" max="8948" width="7.75" style="210" customWidth="1"/>
    <col min="8949" max="8949" width="9.875" style="210" customWidth="1"/>
    <col min="8950" max="8950" width="10.625" style="210" customWidth="1"/>
    <col min="8951" max="9193" width="6.125" style="210"/>
    <col min="9194" max="9194" width="5" style="210" customWidth="1"/>
    <col min="9195" max="9195" width="8.875" style="210" customWidth="1"/>
    <col min="9196" max="9196" width="5" style="210" customWidth="1"/>
    <col min="9197" max="9197" width="8.25" style="210" bestFit="1" customWidth="1"/>
    <col min="9198" max="9198" width="16.125" style="210" customWidth="1"/>
    <col min="9199" max="9199" width="86" style="210" customWidth="1"/>
    <col min="9200" max="9200" width="5" style="210" customWidth="1"/>
    <col min="9201" max="9201" width="11.125" style="210" bestFit="1" customWidth="1"/>
    <col min="9202" max="9202" width="10.375" style="210" customWidth="1"/>
    <col min="9203" max="9203" width="10.875" style="210" customWidth="1"/>
    <col min="9204" max="9204" width="7.75" style="210" customWidth="1"/>
    <col min="9205" max="9205" width="9.875" style="210" customWidth="1"/>
    <col min="9206" max="9206" width="10.625" style="210" customWidth="1"/>
    <col min="9207" max="9449" width="6.125" style="210"/>
    <col min="9450" max="9450" width="5" style="210" customWidth="1"/>
    <col min="9451" max="9451" width="8.875" style="210" customWidth="1"/>
    <col min="9452" max="9452" width="5" style="210" customWidth="1"/>
    <col min="9453" max="9453" width="8.25" style="210" bestFit="1" customWidth="1"/>
    <col min="9454" max="9454" width="16.125" style="210" customWidth="1"/>
    <col min="9455" max="9455" width="86" style="210" customWidth="1"/>
    <col min="9456" max="9456" width="5" style="210" customWidth="1"/>
    <col min="9457" max="9457" width="11.125" style="210" bestFit="1" customWidth="1"/>
    <col min="9458" max="9458" width="10.375" style="210" customWidth="1"/>
    <col min="9459" max="9459" width="10.875" style="210" customWidth="1"/>
    <col min="9460" max="9460" width="7.75" style="210" customWidth="1"/>
    <col min="9461" max="9461" width="9.875" style="210" customWidth="1"/>
    <col min="9462" max="9462" width="10.625" style="210" customWidth="1"/>
    <col min="9463" max="9705" width="6.125" style="210"/>
    <col min="9706" max="9706" width="5" style="210" customWidth="1"/>
    <col min="9707" max="9707" width="8.875" style="210" customWidth="1"/>
    <col min="9708" max="9708" width="5" style="210" customWidth="1"/>
    <col min="9709" max="9709" width="8.25" style="210" bestFit="1" customWidth="1"/>
    <col min="9710" max="9710" width="16.125" style="210" customWidth="1"/>
    <col min="9711" max="9711" width="86" style="210" customWidth="1"/>
    <col min="9712" max="9712" width="5" style="210" customWidth="1"/>
    <col min="9713" max="9713" width="11.125" style="210" bestFit="1" customWidth="1"/>
    <col min="9714" max="9714" width="10.375" style="210" customWidth="1"/>
    <col min="9715" max="9715" width="10.875" style="210" customWidth="1"/>
    <col min="9716" max="9716" width="7.75" style="210" customWidth="1"/>
    <col min="9717" max="9717" width="9.875" style="210" customWidth="1"/>
    <col min="9718" max="9718" width="10.625" style="210" customWidth="1"/>
    <col min="9719" max="9961" width="6.125" style="210"/>
    <col min="9962" max="9962" width="5" style="210" customWidth="1"/>
    <col min="9963" max="9963" width="8.875" style="210" customWidth="1"/>
    <col min="9964" max="9964" width="5" style="210" customWidth="1"/>
    <col min="9965" max="9965" width="8.25" style="210" bestFit="1" customWidth="1"/>
    <col min="9966" max="9966" width="16.125" style="210" customWidth="1"/>
    <col min="9967" max="9967" width="86" style="210" customWidth="1"/>
    <col min="9968" max="9968" width="5" style="210" customWidth="1"/>
    <col min="9969" max="9969" width="11.125" style="210" bestFit="1" customWidth="1"/>
    <col min="9970" max="9970" width="10.375" style="210" customWidth="1"/>
    <col min="9971" max="9971" width="10.875" style="210" customWidth="1"/>
    <col min="9972" max="9972" width="7.75" style="210" customWidth="1"/>
    <col min="9973" max="9973" width="9.875" style="210" customWidth="1"/>
    <col min="9974" max="9974" width="10.625" style="210" customWidth="1"/>
    <col min="9975" max="10217" width="6.125" style="210"/>
    <col min="10218" max="10218" width="5" style="210" customWidth="1"/>
    <col min="10219" max="10219" width="8.875" style="210" customWidth="1"/>
    <col min="10220" max="10220" width="5" style="210" customWidth="1"/>
    <col min="10221" max="10221" width="8.25" style="210" bestFit="1" customWidth="1"/>
    <col min="10222" max="10222" width="16.125" style="210" customWidth="1"/>
    <col min="10223" max="10223" width="86" style="210" customWidth="1"/>
    <col min="10224" max="10224" width="5" style="210" customWidth="1"/>
    <col min="10225" max="10225" width="11.125" style="210" bestFit="1" customWidth="1"/>
    <col min="10226" max="10226" width="10.375" style="210" customWidth="1"/>
    <col min="10227" max="10227" width="10.875" style="210" customWidth="1"/>
    <col min="10228" max="10228" width="7.75" style="210" customWidth="1"/>
    <col min="10229" max="10229" width="9.875" style="210" customWidth="1"/>
    <col min="10230" max="10230" width="10.625" style="210" customWidth="1"/>
    <col min="10231" max="10473" width="6.125" style="210"/>
    <col min="10474" max="10474" width="5" style="210" customWidth="1"/>
    <col min="10475" max="10475" width="8.875" style="210" customWidth="1"/>
    <col min="10476" max="10476" width="5" style="210" customWidth="1"/>
    <col min="10477" max="10477" width="8.25" style="210" bestFit="1" customWidth="1"/>
    <col min="10478" max="10478" width="16.125" style="210" customWidth="1"/>
    <col min="10479" max="10479" width="86" style="210" customWidth="1"/>
    <col min="10480" max="10480" width="5" style="210" customWidth="1"/>
    <col min="10481" max="10481" width="11.125" style="210" bestFit="1" customWidth="1"/>
    <col min="10482" max="10482" width="10.375" style="210" customWidth="1"/>
    <col min="10483" max="10483" width="10.875" style="210" customWidth="1"/>
    <col min="10484" max="10484" width="7.75" style="210" customWidth="1"/>
    <col min="10485" max="10485" width="9.875" style="210" customWidth="1"/>
    <col min="10486" max="10486" width="10.625" style="210" customWidth="1"/>
    <col min="10487" max="10729" width="6.125" style="210"/>
    <col min="10730" max="10730" width="5" style="210" customWidth="1"/>
    <col min="10731" max="10731" width="8.875" style="210" customWidth="1"/>
    <col min="10732" max="10732" width="5" style="210" customWidth="1"/>
    <col min="10733" max="10733" width="8.25" style="210" bestFit="1" customWidth="1"/>
    <col min="10734" max="10734" width="16.125" style="210" customWidth="1"/>
    <col min="10735" max="10735" width="86" style="210" customWidth="1"/>
    <col min="10736" max="10736" width="5" style="210" customWidth="1"/>
    <col min="10737" max="10737" width="11.125" style="210" bestFit="1" customWidth="1"/>
    <col min="10738" max="10738" width="10.375" style="210" customWidth="1"/>
    <col min="10739" max="10739" width="10.875" style="210" customWidth="1"/>
    <col min="10740" max="10740" width="7.75" style="210" customWidth="1"/>
    <col min="10741" max="10741" width="9.875" style="210" customWidth="1"/>
    <col min="10742" max="10742" width="10.625" style="210" customWidth="1"/>
    <col min="10743" max="10985" width="6.125" style="210"/>
    <col min="10986" max="10986" width="5" style="210" customWidth="1"/>
    <col min="10987" max="10987" width="8.875" style="210" customWidth="1"/>
    <col min="10988" max="10988" width="5" style="210" customWidth="1"/>
    <col min="10989" max="10989" width="8.25" style="210" bestFit="1" customWidth="1"/>
    <col min="10990" max="10990" width="16.125" style="210" customWidth="1"/>
    <col min="10991" max="10991" width="86" style="210" customWidth="1"/>
    <col min="10992" max="10992" width="5" style="210" customWidth="1"/>
    <col min="10993" max="10993" width="11.125" style="210" bestFit="1" customWidth="1"/>
    <col min="10994" max="10994" width="10.375" style="210" customWidth="1"/>
    <col min="10995" max="10995" width="10.875" style="210" customWidth="1"/>
    <col min="10996" max="10996" width="7.75" style="210" customWidth="1"/>
    <col min="10997" max="10997" width="9.875" style="210" customWidth="1"/>
    <col min="10998" max="10998" width="10.625" style="210" customWidth="1"/>
    <col min="10999" max="11241" width="6.125" style="210"/>
    <col min="11242" max="11242" width="5" style="210" customWidth="1"/>
    <col min="11243" max="11243" width="8.875" style="210" customWidth="1"/>
    <col min="11244" max="11244" width="5" style="210" customWidth="1"/>
    <col min="11245" max="11245" width="8.25" style="210" bestFit="1" customWidth="1"/>
    <col min="11246" max="11246" width="16.125" style="210" customWidth="1"/>
    <col min="11247" max="11247" width="86" style="210" customWidth="1"/>
    <col min="11248" max="11248" width="5" style="210" customWidth="1"/>
    <col min="11249" max="11249" width="11.125" style="210" bestFit="1" customWidth="1"/>
    <col min="11250" max="11250" width="10.375" style="210" customWidth="1"/>
    <col min="11251" max="11251" width="10.875" style="210" customWidth="1"/>
    <col min="11252" max="11252" width="7.75" style="210" customWidth="1"/>
    <col min="11253" max="11253" width="9.875" style="210" customWidth="1"/>
    <col min="11254" max="11254" width="10.625" style="210" customWidth="1"/>
    <col min="11255" max="11497" width="6.125" style="210"/>
    <col min="11498" max="11498" width="5" style="210" customWidth="1"/>
    <col min="11499" max="11499" width="8.875" style="210" customWidth="1"/>
    <col min="11500" max="11500" width="5" style="210" customWidth="1"/>
    <col min="11501" max="11501" width="8.25" style="210" bestFit="1" customWidth="1"/>
    <col min="11502" max="11502" width="16.125" style="210" customWidth="1"/>
    <col min="11503" max="11503" width="86" style="210" customWidth="1"/>
    <col min="11504" max="11504" width="5" style="210" customWidth="1"/>
    <col min="11505" max="11505" width="11.125" style="210" bestFit="1" customWidth="1"/>
    <col min="11506" max="11506" width="10.375" style="210" customWidth="1"/>
    <col min="11507" max="11507" width="10.875" style="210" customWidth="1"/>
    <col min="11508" max="11508" width="7.75" style="210" customWidth="1"/>
    <col min="11509" max="11509" width="9.875" style="210" customWidth="1"/>
    <col min="11510" max="11510" width="10.625" style="210" customWidth="1"/>
    <col min="11511" max="11753" width="6.125" style="210"/>
    <col min="11754" max="11754" width="5" style="210" customWidth="1"/>
    <col min="11755" max="11755" width="8.875" style="210" customWidth="1"/>
    <col min="11756" max="11756" width="5" style="210" customWidth="1"/>
    <col min="11757" max="11757" width="8.25" style="210" bestFit="1" customWidth="1"/>
    <col min="11758" max="11758" width="16.125" style="210" customWidth="1"/>
    <col min="11759" max="11759" width="86" style="210" customWidth="1"/>
    <col min="11760" max="11760" width="5" style="210" customWidth="1"/>
    <col min="11761" max="11761" width="11.125" style="210" bestFit="1" customWidth="1"/>
    <col min="11762" max="11762" width="10.375" style="210" customWidth="1"/>
    <col min="11763" max="11763" width="10.875" style="210" customWidth="1"/>
    <col min="11764" max="11764" width="7.75" style="210" customWidth="1"/>
    <col min="11765" max="11765" width="9.875" style="210" customWidth="1"/>
    <col min="11766" max="11766" width="10.625" style="210" customWidth="1"/>
    <col min="11767" max="12009" width="6.125" style="210"/>
    <col min="12010" max="12010" width="5" style="210" customWidth="1"/>
    <col min="12011" max="12011" width="8.875" style="210" customWidth="1"/>
    <col min="12012" max="12012" width="5" style="210" customWidth="1"/>
    <col min="12013" max="12013" width="8.25" style="210" bestFit="1" customWidth="1"/>
    <col min="12014" max="12014" width="16.125" style="210" customWidth="1"/>
    <col min="12015" max="12015" width="86" style="210" customWidth="1"/>
    <col min="12016" max="12016" width="5" style="210" customWidth="1"/>
    <col min="12017" max="12017" width="11.125" style="210" bestFit="1" customWidth="1"/>
    <col min="12018" max="12018" width="10.375" style="210" customWidth="1"/>
    <col min="12019" max="12019" width="10.875" style="210" customWidth="1"/>
    <col min="12020" max="12020" width="7.75" style="210" customWidth="1"/>
    <col min="12021" max="12021" width="9.875" style="210" customWidth="1"/>
    <col min="12022" max="12022" width="10.625" style="210" customWidth="1"/>
    <col min="12023" max="12265" width="6.125" style="210"/>
    <col min="12266" max="12266" width="5" style="210" customWidth="1"/>
    <col min="12267" max="12267" width="8.875" style="210" customWidth="1"/>
    <col min="12268" max="12268" width="5" style="210" customWidth="1"/>
    <col min="12269" max="12269" width="8.25" style="210" bestFit="1" customWidth="1"/>
    <col min="12270" max="12270" width="16.125" style="210" customWidth="1"/>
    <col min="12271" max="12271" width="86" style="210" customWidth="1"/>
    <col min="12272" max="12272" width="5" style="210" customWidth="1"/>
    <col min="12273" max="12273" width="11.125" style="210" bestFit="1" customWidth="1"/>
    <col min="12274" max="12274" width="10.375" style="210" customWidth="1"/>
    <col min="12275" max="12275" width="10.875" style="210" customWidth="1"/>
    <col min="12276" max="12276" width="7.75" style="210" customWidth="1"/>
    <col min="12277" max="12277" width="9.875" style="210" customWidth="1"/>
    <col min="12278" max="12278" width="10.625" style="210" customWidth="1"/>
    <col min="12279" max="12521" width="6.125" style="210"/>
    <col min="12522" max="12522" width="5" style="210" customWidth="1"/>
    <col min="12523" max="12523" width="8.875" style="210" customWidth="1"/>
    <col min="12524" max="12524" width="5" style="210" customWidth="1"/>
    <col min="12525" max="12525" width="8.25" style="210" bestFit="1" customWidth="1"/>
    <col min="12526" max="12526" width="16.125" style="210" customWidth="1"/>
    <col min="12527" max="12527" width="86" style="210" customWidth="1"/>
    <col min="12528" max="12528" width="5" style="210" customWidth="1"/>
    <col min="12529" max="12529" width="11.125" style="210" bestFit="1" customWidth="1"/>
    <col min="12530" max="12530" width="10.375" style="210" customWidth="1"/>
    <col min="12531" max="12531" width="10.875" style="210" customWidth="1"/>
    <col min="12532" max="12532" width="7.75" style="210" customWidth="1"/>
    <col min="12533" max="12533" width="9.875" style="210" customWidth="1"/>
    <col min="12534" max="12534" width="10.625" style="210" customWidth="1"/>
    <col min="12535" max="12777" width="6.125" style="210"/>
    <col min="12778" max="12778" width="5" style="210" customWidth="1"/>
    <col min="12779" max="12779" width="8.875" style="210" customWidth="1"/>
    <col min="12780" max="12780" width="5" style="210" customWidth="1"/>
    <col min="12781" max="12781" width="8.25" style="210" bestFit="1" customWidth="1"/>
    <col min="12782" max="12782" width="16.125" style="210" customWidth="1"/>
    <col min="12783" max="12783" width="86" style="210" customWidth="1"/>
    <col min="12784" max="12784" width="5" style="210" customWidth="1"/>
    <col min="12785" max="12785" width="11.125" style="210" bestFit="1" customWidth="1"/>
    <col min="12786" max="12786" width="10.375" style="210" customWidth="1"/>
    <col min="12787" max="12787" width="10.875" style="210" customWidth="1"/>
    <col min="12788" max="12788" width="7.75" style="210" customWidth="1"/>
    <col min="12789" max="12789" width="9.875" style="210" customWidth="1"/>
    <col min="12790" max="12790" width="10.625" style="210" customWidth="1"/>
    <col min="12791" max="13033" width="6.125" style="210"/>
    <col min="13034" max="13034" width="5" style="210" customWidth="1"/>
    <col min="13035" max="13035" width="8.875" style="210" customWidth="1"/>
    <col min="13036" max="13036" width="5" style="210" customWidth="1"/>
    <col min="13037" max="13037" width="8.25" style="210" bestFit="1" customWidth="1"/>
    <col min="13038" max="13038" width="16.125" style="210" customWidth="1"/>
    <col min="13039" max="13039" width="86" style="210" customWidth="1"/>
    <col min="13040" max="13040" width="5" style="210" customWidth="1"/>
    <col min="13041" max="13041" width="11.125" style="210" bestFit="1" customWidth="1"/>
    <col min="13042" max="13042" width="10.375" style="210" customWidth="1"/>
    <col min="13043" max="13043" width="10.875" style="210" customWidth="1"/>
    <col min="13044" max="13044" width="7.75" style="210" customWidth="1"/>
    <col min="13045" max="13045" width="9.875" style="210" customWidth="1"/>
    <col min="13046" max="13046" width="10.625" style="210" customWidth="1"/>
    <col min="13047" max="13289" width="6.125" style="210"/>
    <col min="13290" max="13290" width="5" style="210" customWidth="1"/>
    <col min="13291" max="13291" width="8.875" style="210" customWidth="1"/>
    <col min="13292" max="13292" width="5" style="210" customWidth="1"/>
    <col min="13293" max="13293" width="8.25" style="210" bestFit="1" customWidth="1"/>
    <col min="13294" max="13294" width="16.125" style="210" customWidth="1"/>
    <col min="13295" max="13295" width="86" style="210" customWidth="1"/>
    <col min="13296" max="13296" width="5" style="210" customWidth="1"/>
    <col min="13297" max="13297" width="11.125" style="210" bestFit="1" customWidth="1"/>
    <col min="13298" max="13298" width="10.375" style="210" customWidth="1"/>
    <col min="13299" max="13299" width="10.875" style="210" customWidth="1"/>
    <col min="13300" max="13300" width="7.75" style="210" customWidth="1"/>
    <col min="13301" max="13301" width="9.875" style="210" customWidth="1"/>
    <col min="13302" max="13302" width="10.625" style="210" customWidth="1"/>
    <col min="13303" max="13545" width="6.125" style="210"/>
    <col min="13546" max="13546" width="5" style="210" customWidth="1"/>
    <col min="13547" max="13547" width="8.875" style="210" customWidth="1"/>
    <col min="13548" max="13548" width="5" style="210" customWidth="1"/>
    <col min="13549" max="13549" width="8.25" style="210" bestFit="1" customWidth="1"/>
    <col min="13550" max="13550" width="16.125" style="210" customWidth="1"/>
    <col min="13551" max="13551" width="86" style="210" customWidth="1"/>
    <col min="13552" max="13552" width="5" style="210" customWidth="1"/>
    <col min="13553" max="13553" width="11.125" style="210" bestFit="1" customWidth="1"/>
    <col min="13554" max="13554" width="10.375" style="210" customWidth="1"/>
    <col min="13555" max="13555" width="10.875" style="210" customWidth="1"/>
    <col min="13556" max="13556" width="7.75" style="210" customWidth="1"/>
    <col min="13557" max="13557" width="9.875" style="210" customWidth="1"/>
    <col min="13558" max="13558" width="10.625" style="210" customWidth="1"/>
    <col min="13559" max="13801" width="6.125" style="210"/>
    <col min="13802" max="13802" width="5" style="210" customWidth="1"/>
    <col min="13803" max="13803" width="8.875" style="210" customWidth="1"/>
    <col min="13804" max="13804" width="5" style="210" customWidth="1"/>
    <col min="13805" max="13805" width="8.25" style="210" bestFit="1" customWidth="1"/>
    <col min="13806" max="13806" width="16.125" style="210" customWidth="1"/>
    <col min="13807" max="13807" width="86" style="210" customWidth="1"/>
    <col min="13808" max="13808" width="5" style="210" customWidth="1"/>
    <col min="13809" max="13809" width="11.125" style="210" bestFit="1" customWidth="1"/>
    <col min="13810" max="13810" width="10.375" style="210" customWidth="1"/>
    <col min="13811" max="13811" width="10.875" style="210" customWidth="1"/>
    <col min="13812" max="13812" width="7.75" style="210" customWidth="1"/>
    <col min="13813" max="13813" width="9.875" style="210" customWidth="1"/>
    <col min="13814" max="13814" width="10.625" style="210" customWidth="1"/>
    <col min="13815" max="14057" width="6.125" style="210"/>
    <col min="14058" max="14058" width="5" style="210" customWidth="1"/>
    <col min="14059" max="14059" width="8.875" style="210" customWidth="1"/>
    <col min="14060" max="14060" width="5" style="210" customWidth="1"/>
    <col min="14061" max="14061" width="8.25" style="210" bestFit="1" customWidth="1"/>
    <col min="14062" max="14062" width="16.125" style="210" customWidth="1"/>
    <col min="14063" max="14063" width="86" style="210" customWidth="1"/>
    <col min="14064" max="14064" width="5" style="210" customWidth="1"/>
    <col min="14065" max="14065" width="11.125" style="210" bestFit="1" customWidth="1"/>
    <col min="14066" max="14066" width="10.375" style="210" customWidth="1"/>
    <col min="14067" max="14067" width="10.875" style="210" customWidth="1"/>
    <col min="14068" max="14068" width="7.75" style="210" customWidth="1"/>
    <col min="14069" max="14069" width="9.875" style="210" customWidth="1"/>
    <col min="14070" max="14070" width="10.625" style="210" customWidth="1"/>
    <col min="14071" max="14313" width="6.125" style="210"/>
    <col min="14314" max="14314" width="5" style="210" customWidth="1"/>
    <col min="14315" max="14315" width="8.875" style="210" customWidth="1"/>
    <col min="14316" max="14316" width="5" style="210" customWidth="1"/>
    <col min="14317" max="14317" width="8.25" style="210" bestFit="1" customWidth="1"/>
    <col min="14318" max="14318" width="16.125" style="210" customWidth="1"/>
    <col min="14319" max="14319" width="86" style="210" customWidth="1"/>
    <col min="14320" max="14320" width="5" style="210" customWidth="1"/>
    <col min="14321" max="14321" width="11.125" style="210" bestFit="1" customWidth="1"/>
    <col min="14322" max="14322" width="10.375" style="210" customWidth="1"/>
    <col min="14323" max="14323" width="10.875" style="210" customWidth="1"/>
    <col min="14324" max="14324" width="7.75" style="210" customWidth="1"/>
    <col min="14325" max="14325" width="9.875" style="210" customWidth="1"/>
    <col min="14326" max="14326" width="10.625" style="210" customWidth="1"/>
    <col min="14327" max="14569" width="6.125" style="210"/>
    <col min="14570" max="14570" width="5" style="210" customWidth="1"/>
    <col min="14571" max="14571" width="8.875" style="210" customWidth="1"/>
    <col min="14572" max="14572" width="5" style="210" customWidth="1"/>
    <col min="14573" max="14573" width="8.25" style="210" bestFit="1" customWidth="1"/>
    <col min="14574" max="14574" width="16.125" style="210" customWidth="1"/>
    <col min="14575" max="14575" width="86" style="210" customWidth="1"/>
    <col min="14576" max="14576" width="5" style="210" customWidth="1"/>
    <col min="14577" max="14577" width="11.125" style="210" bestFit="1" customWidth="1"/>
    <col min="14578" max="14578" width="10.375" style="210" customWidth="1"/>
    <col min="14579" max="14579" width="10.875" style="210" customWidth="1"/>
    <col min="14580" max="14580" width="7.75" style="210" customWidth="1"/>
    <col min="14581" max="14581" width="9.875" style="210" customWidth="1"/>
    <col min="14582" max="14582" width="10.625" style="210" customWidth="1"/>
    <col min="14583" max="14825" width="6.125" style="210"/>
    <col min="14826" max="14826" width="5" style="210" customWidth="1"/>
    <col min="14827" max="14827" width="8.875" style="210" customWidth="1"/>
    <col min="14828" max="14828" width="5" style="210" customWidth="1"/>
    <col min="14829" max="14829" width="8.25" style="210" bestFit="1" customWidth="1"/>
    <col min="14830" max="14830" width="16.125" style="210" customWidth="1"/>
    <col min="14831" max="14831" width="86" style="210" customWidth="1"/>
    <col min="14832" max="14832" width="5" style="210" customWidth="1"/>
    <col min="14833" max="14833" width="11.125" style="210" bestFit="1" customWidth="1"/>
    <col min="14834" max="14834" width="10.375" style="210" customWidth="1"/>
    <col min="14835" max="14835" width="10.875" style="210" customWidth="1"/>
    <col min="14836" max="14836" width="7.75" style="210" customWidth="1"/>
    <col min="14837" max="14837" width="9.875" style="210" customWidth="1"/>
    <col min="14838" max="14838" width="10.625" style="210" customWidth="1"/>
    <col min="14839" max="15081" width="6.125" style="210"/>
    <col min="15082" max="15082" width="5" style="210" customWidth="1"/>
    <col min="15083" max="15083" width="8.875" style="210" customWidth="1"/>
    <col min="15084" max="15084" width="5" style="210" customWidth="1"/>
    <col min="15085" max="15085" width="8.25" style="210" bestFit="1" customWidth="1"/>
    <col min="15086" max="15086" width="16.125" style="210" customWidth="1"/>
    <col min="15087" max="15087" width="86" style="210" customWidth="1"/>
    <col min="15088" max="15088" width="5" style="210" customWidth="1"/>
    <col min="15089" max="15089" width="11.125" style="210" bestFit="1" customWidth="1"/>
    <col min="15090" max="15090" width="10.375" style="210" customWidth="1"/>
    <col min="15091" max="15091" width="10.875" style="210" customWidth="1"/>
    <col min="15092" max="15092" width="7.75" style="210" customWidth="1"/>
    <col min="15093" max="15093" width="9.875" style="210" customWidth="1"/>
    <col min="15094" max="15094" width="10.625" style="210" customWidth="1"/>
    <col min="15095" max="15337" width="6.125" style="210"/>
    <col min="15338" max="15338" width="5" style="210" customWidth="1"/>
    <col min="15339" max="15339" width="8.875" style="210" customWidth="1"/>
    <col min="15340" max="15340" width="5" style="210" customWidth="1"/>
    <col min="15341" max="15341" width="8.25" style="210" bestFit="1" customWidth="1"/>
    <col min="15342" max="15342" width="16.125" style="210" customWidth="1"/>
    <col min="15343" max="15343" width="86" style="210" customWidth="1"/>
    <col min="15344" max="15344" width="5" style="210" customWidth="1"/>
    <col min="15345" max="15345" width="11.125" style="210" bestFit="1" customWidth="1"/>
    <col min="15346" max="15346" width="10.375" style="210" customWidth="1"/>
    <col min="15347" max="15347" width="10.875" style="210" customWidth="1"/>
    <col min="15348" max="15348" width="7.75" style="210" customWidth="1"/>
    <col min="15349" max="15349" width="9.875" style="210" customWidth="1"/>
    <col min="15350" max="15350" width="10.625" style="210" customWidth="1"/>
    <col min="15351" max="15593" width="6.125" style="210"/>
    <col min="15594" max="15594" width="5" style="210" customWidth="1"/>
    <col min="15595" max="15595" width="8.875" style="210" customWidth="1"/>
    <col min="15596" max="15596" width="5" style="210" customWidth="1"/>
    <col min="15597" max="15597" width="8.25" style="210" bestFit="1" customWidth="1"/>
    <col min="15598" max="15598" width="16.125" style="210" customWidth="1"/>
    <col min="15599" max="15599" width="86" style="210" customWidth="1"/>
    <col min="15600" max="15600" width="5" style="210" customWidth="1"/>
    <col min="15601" max="15601" width="11.125" style="210" bestFit="1" customWidth="1"/>
    <col min="15602" max="15602" width="10.375" style="210" customWidth="1"/>
    <col min="15603" max="15603" width="10.875" style="210" customWidth="1"/>
    <col min="15604" max="15604" width="7.75" style="210" customWidth="1"/>
    <col min="15605" max="15605" width="9.875" style="210" customWidth="1"/>
    <col min="15606" max="15606" width="10.625" style="210" customWidth="1"/>
    <col min="15607" max="15849" width="6.125" style="210"/>
    <col min="15850" max="15850" width="5" style="210" customWidth="1"/>
    <col min="15851" max="15851" width="8.875" style="210" customWidth="1"/>
    <col min="15852" max="15852" width="5" style="210" customWidth="1"/>
    <col min="15853" max="15853" width="8.25" style="210" bestFit="1" customWidth="1"/>
    <col min="15854" max="15854" width="16.125" style="210" customWidth="1"/>
    <col min="15855" max="15855" width="86" style="210" customWidth="1"/>
    <col min="15856" max="15856" width="5" style="210" customWidth="1"/>
    <col min="15857" max="15857" width="11.125" style="210" bestFit="1" customWidth="1"/>
    <col min="15858" max="15858" width="10.375" style="210" customWidth="1"/>
    <col min="15859" max="15859" width="10.875" style="210" customWidth="1"/>
    <col min="15860" max="15860" width="7.75" style="210" customWidth="1"/>
    <col min="15861" max="15861" width="9.875" style="210" customWidth="1"/>
    <col min="15862" max="15862" width="10.625" style="210" customWidth="1"/>
    <col min="15863" max="16105" width="6.125" style="210"/>
    <col min="16106" max="16106" width="5" style="210" customWidth="1"/>
    <col min="16107" max="16107" width="8.875" style="210" customWidth="1"/>
    <col min="16108" max="16108" width="5" style="210" customWidth="1"/>
    <col min="16109" max="16109" width="8.25" style="210" bestFit="1" customWidth="1"/>
    <col min="16110" max="16110" width="16.125" style="210" customWidth="1"/>
    <col min="16111" max="16111" width="86" style="210" customWidth="1"/>
    <col min="16112" max="16112" width="5" style="210" customWidth="1"/>
    <col min="16113" max="16113" width="11.125" style="210" bestFit="1" customWidth="1"/>
    <col min="16114" max="16114" width="10.375" style="210" customWidth="1"/>
    <col min="16115" max="16115" width="10.875" style="210" customWidth="1"/>
    <col min="16116" max="16116" width="7.75" style="210" customWidth="1"/>
    <col min="16117" max="16117" width="9.875" style="210" customWidth="1"/>
    <col min="16118" max="16118" width="10.625" style="210" customWidth="1"/>
    <col min="16119" max="16384" width="6.125" style="210"/>
  </cols>
  <sheetData>
    <row r="1" spans="1:12">
      <c r="A1" s="205"/>
      <c r="B1" s="206"/>
      <c r="C1" s="206"/>
      <c r="D1" s="206"/>
      <c r="E1" s="206"/>
      <c r="F1" s="207" t="s">
        <v>290</v>
      </c>
      <c r="G1" s="206"/>
      <c r="H1" s="206"/>
      <c r="I1" s="206"/>
      <c r="J1" s="206"/>
      <c r="K1" s="206"/>
      <c r="L1" s="208"/>
    </row>
    <row r="2" spans="1:12">
      <c r="A2" s="205"/>
      <c r="B2" s="205"/>
      <c r="C2" s="205"/>
      <c r="D2" s="205"/>
      <c r="E2" s="205"/>
      <c r="F2" s="211"/>
      <c r="G2" s="205"/>
      <c r="H2" s="205"/>
      <c r="I2" s="205"/>
      <c r="J2" s="205"/>
      <c r="K2" s="205"/>
      <c r="L2" s="208"/>
    </row>
    <row r="3" spans="1:12" ht="26.25" customHeight="1">
      <c r="A3" s="205"/>
      <c r="B3" s="205"/>
      <c r="C3" s="205"/>
      <c r="D3" s="205"/>
      <c r="E3" s="205"/>
      <c r="F3" s="211"/>
      <c r="G3" s="205"/>
      <c r="H3" s="205"/>
      <c r="I3" s="205"/>
      <c r="J3" s="205"/>
      <c r="K3" s="641"/>
      <c r="L3" s="641"/>
    </row>
    <row r="4" spans="1:12" s="217" customFormat="1" ht="76.5">
      <c r="A4" s="212" t="s">
        <v>20</v>
      </c>
      <c r="B4" s="213" t="s">
        <v>0</v>
      </c>
      <c r="C4" s="213" t="s">
        <v>1</v>
      </c>
      <c r="D4" s="213" t="s">
        <v>2</v>
      </c>
      <c r="E4" s="213" t="s">
        <v>3</v>
      </c>
      <c r="F4" s="214" t="s">
        <v>291</v>
      </c>
      <c r="G4" s="215" t="s">
        <v>22</v>
      </c>
      <c r="H4" s="213" t="s">
        <v>292</v>
      </c>
      <c r="I4" s="213" t="s">
        <v>293</v>
      </c>
      <c r="J4" s="213" t="s">
        <v>294</v>
      </c>
      <c r="K4" s="213" t="s">
        <v>23</v>
      </c>
      <c r="L4" s="216" t="s">
        <v>5</v>
      </c>
    </row>
    <row r="5" spans="1:12">
      <c r="A5" s="218"/>
      <c r="B5" s="205"/>
      <c r="C5" s="205"/>
      <c r="D5" s="205"/>
      <c r="E5" s="205"/>
      <c r="F5" s="214"/>
      <c r="G5" s="215"/>
      <c r="H5" s="219"/>
      <c r="I5" s="219"/>
      <c r="J5" s="219"/>
      <c r="K5" s="220"/>
      <c r="L5" s="208"/>
    </row>
    <row r="6" spans="1:12" ht="25.5">
      <c r="A6" s="218">
        <v>1.1000000000000001</v>
      </c>
      <c r="B6" s="205"/>
      <c r="C6" s="205"/>
      <c r="D6" s="206" t="s">
        <v>6</v>
      </c>
      <c r="E6" s="205" t="s">
        <v>26</v>
      </c>
      <c r="F6" s="214" t="s">
        <v>295</v>
      </c>
      <c r="G6" s="205" t="s">
        <v>25</v>
      </c>
      <c r="H6" s="221">
        <v>40</v>
      </c>
      <c r="I6" s="221">
        <v>0</v>
      </c>
      <c r="J6" s="221">
        <f>SUM(H6:I6)</f>
        <v>40</v>
      </c>
      <c r="K6" s="221">
        <v>13386</v>
      </c>
      <c r="L6" s="208">
        <f>SUM(J6*K6)</f>
        <v>535440</v>
      </c>
    </row>
    <row r="7" spans="1:12" ht="155.25" customHeight="1">
      <c r="A7" s="218"/>
      <c r="B7" s="205"/>
      <c r="C7" s="205"/>
      <c r="D7" s="205"/>
      <c r="E7" s="205"/>
      <c r="F7" s="222" t="s">
        <v>334</v>
      </c>
      <c r="G7" s="205"/>
      <c r="H7" s="221"/>
      <c r="I7" s="221"/>
      <c r="J7" s="221"/>
      <c r="K7" s="221"/>
      <c r="L7" s="208"/>
    </row>
    <row r="8" spans="1:12">
      <c r="A8" s="218"/>
      <c r="B8" s="205"/>
      <c r="C8" s="205"/>
      <c r="D8" s="205"/>
      <c r="E8" s="205"/>
      <c r="F8" s="203"/>
      <c r="G8" s="205"/>
      <c r="H8" s="221"/>
      <c r="I8" s="221"/>
      <c r="J8" s="221"/>
      <c r="K8" s="221"/>
      <c r="L8" s="208"/>
    </row>
    <row r="9" spans="1:12" ht="25.5">
      <c r="A9" s="218">
        <v>1.2</v>
      </c>
      <c r="B9" s="205"/>
      <c r="C9" s="205"/>
      <c r="D9" s="206" t="s">
        <v>6</v>
      </c>
      <c r="E9" s="205" t="s">
        <v>26</v>
      </c>
      <c r="F9" s="214" t="s">
        <v>296</v>
      </c>
      <c r="G9" s="205" t="s">
        <v>25</v>
      </c>
      <c r="H9" s="221">
        <f>200-33</f>
        <v>167</v>
      </c>
      <c r="I9" s="221">
        <v>85</v>
      </c>
      <c r="J9" s="221">
        <f>SUM(H9:I9)</f>
        <v>252</v>
      </c>
      <c r="K9" s="221">
        <v>13386</v>
      </c>
      <c r="L9" s="208">
        <f t="shared" ref="L9:L66" si="0">SUM(J9*K9)</f>
        <v>3373272</v>
      </c>
    </row>
    <row r="10" spans="1:12" ht="159" customHeight="1">
      <c r="A10" s="218"/>
      <c r="B10" s="205"/>
      <c r="C10" s="205"/>
      <c r="D10" s="205"/>
      <c r="E10" s="205"/>
      <c r="F10" s="222" t="s">
        <v>340</v>
      </c>
      <c r="G10" s="205"/>
      <c r="H10" s="221"/>
      <c r="I10" s="221"/>
      <c r="J10" s="221"/>
      <c r="K10" s="221"/>
      <c r="L10" s="208"/>
    </row>
    <row r="11" spans="1:12">
      <c r="A11" s="218"/>
      <c r="B11" s="205"/>
      <c r="C11" s="205"/>
      <c r="D11" s="205"/>
      <c r="E11" s="205"/>
      <c r="F11" s="203"/>
      <c r="G11" s="205"/>
      <c r="H11" s="221"/>
      <c r="I11" s="221"/>
      <c r="J11" s="221"/>
      <c r="K11" s="221"/>
      <c r="L11" s="208"/>
    </row>
    <row r="12" spans="1:12" ht="25.5">
      <c r="A12" s="218">
        <v>1.3</v>
      </c>
      <c r="B12" s="205"/>
      <c r="C12" s="205"/>
      <c r="D12" s="206" t="s">
        <v>6</v>
      </c>
      <c r="E12" s="205" t="s">
        <v>214</v>
      </c>
      <c r="F12" s="207" t="s">
        <v>297</v>
      </c>
      <c r="G12" s="223" t="s">
        <v>7</v>
      </c>
      <c r="H12" s="221">
        <v>30</v>
      </c>
      <c r="I12" s="221">
        <v>0</v>
      </c>
      <c r="J12" s="221">
        <f>SUM(H12:I12)</f>
        <v>30</v>
      </c>
      <c r="K12" s="221">
        <v>4032</v>
      </c>
      <c r="L12" s="208">
        <f t="shared" si="0"/>
        <v>120960</v>
      </c>
    </row>
    <row r="13" spans="1:12" ht="155.25" customHeight="1">
      <c r="A13" s="218"/>
      <c r="B13" s="205"/>
      <c r="C13" s="205"/>
      <c r="D13" s="205"/>
      <c r="E13" s="205"/>
      <c r="F13" s="203" t="s">
        <v>278</v>
      </c>
      <c r="G13" s="223"/>
      <c r="H13" s="221"/>
      <c r="I13" s="221"/>
      <c r="J13" s="221"/>
      <c r="K13" s="221"/>
      <c r="L13" s="208"/>
    </row>
    <row r="14" spans="1:12">
      <c r="A14" s="218"/>
      <c r="B14" s="205"/>
      <c r="C14" s="205"/>
      <c r="D14" s="205"/>
      <c r="E14" s="205"/>
      <c r="F14" s="211"/>
      <c r="G14" s="205"/>
      <c r="H14" s="221"/>
      <c r="I14" s="221"/>
      <c r="J14" s="221"/>
      <c r="K14" s="221"/>
      <c r="L14" s="208"/>
    </row>
    <row r="15" spans="1:12" ht="25.5">
      <c r="A15" s="224">
        <v>1.4</v>
      </c>
      <c r="B15" s="213"/>
      <c r="C15" s="206" t="s">
        <v>102</v>
      </c>
      <c r="D15" s="206" t="s">
        <v>215</v>
      </c>
      <c r="E15" s="206" t="s">
        <v>216</v>
      </c>
      <c r="F15" s="207" t="s">
        <v>298</v>
      </c>
      <c r="G15" s="206" t="s">
        <v>7</v>
      </c>
      <c r="H15" s="221">
        <f>(3*3.6)+(25*3.6)</f>
        <v>100.8</v>
      </c>
      <c r="I15" s="221">
        <v>0</v>
      </c>
      <c r="J15" s="221">
        <f>SUM(H15:I15)</f>
        <v>100.8</v>
      </c>
      <c r="K15" s="221">
        <v>2298</v>
      </c>
      <c r="L15" s="208">
        <f t="shared" si="0"/>
        <v>231638.39999999999</v>
      </c>
    </row>
    <row r="16" spans="1:12" ht="69.599999999999994" customHeight="1">
      <c r="A16" s="213"/>
      <c r="B16" s="213"/>
      <c r="C16" s="213"/>
      <c r="D16" s="213"/>
      <c r="E16" s="213"/>
      <c r="F16" s="222" t="s">
        <v>341</v>
      </c>
      <c r="G16" s="206"/>
      <c r="H16" s="221"/>
      <c r="I16" s="221"/>
      <c r="J16" s="221"/>
      <c r="K16" s="221"/>
      <c r="L16" s="208"/>
    </row>
    <row r="17" spans="1:12">
      <c r="A17" s="213"/>
      <c r="B17" s="213"/>
      <c r="C17" s="213"/>
      <c r="D17" s="213"/>
      <c r="E17" s="213"/>
      <c r="F17" s="203"/>
      <c r="G17" s="206"/>
      <c r="H17" s="221"/>
      <c r="I17" s="221"/>
      <c r="J17" s="221"/>
      <c r="K17" s="221"/>
      <c r="L17" s="208"/>
    </row>
    <row r="18" spans="1:12">
      <c r="A18" s="224">
        <v>1.5</v>
      </c>
      <c r="B18" s="213"/>
      <c r="C18" s="213"/>
      <c r="D18" s="223" t="s">
        <v>215</v>
      </c>
      <c r="E18" s="223" t="s">
        <v>216</v>
      </c>
      <c r="F18" s="207" t="s">
        <v>299</v>
      </c>
      <c r="G18" s="223" t="s">
        <v>7</v>
      </c>
      <c r="H18" s="221">
        <v>12</v>
      </c>
      <c r="I18" s="221">
        <v>0</v>
      </c>
      <c r="J18" s="221">
        <f>SUM(H18:I18)</f>
        <v>12</v>
      </c>
      <c r="K18" s="221">
        <v>3430</v>
      </c>
      <c r="L18" s="208">
        <f t="shared" si="0"/>
        <v>41160</v>
      </c>
    </row>
    <row r="19" spans="1:12" ht="73.900000000000006" customHeight="1">
      <c r="A19" s="213"/>
      <c r="B19" s="213"/>
      <c r="C19" s="213"/>
      <c r="D19" s="225"/>
      <c r="E19" s="225"/>
      <c r="F19" s="222" t="s">
        <v>342</v>
      </c>
      <c r="G19" s="223"/>
      <c r="H19" s="221"/>
      <c r="I19" s="221"/>
      <c r="J19" s="221"/>
      <c r="K19" s="221"/>
      <c r="L19" s="208"/>
    </row>
    <row r="20" spans="1:12">
      <c r="A20" s="213"/>
      <c r="B20" s="213"/>
      <c r="C20" s="213"/>
      <c r="D20" s="225"/>
      <c r="E20" s="225"/>
      <c r="F20" s="203"/>
      <c r="G20" s="223"/>
      <c r="H20" s="221"/>
      <c r="I20" s="221"/>
      <c r="J20" s="221"/>
      <c r="K20" s="221"/>
      <c r="L20" s="208"/>
    </row>
    <row r="21" spans="1:12" ht="38.25">
      <c r="A21" s="206">
        <v>1.6</v>
      </c>
      <c r="B21" s="213"/>
      <c r="C21" s="213"/>
      <c r="D21" s="226" t="s">
        <v>219</v>
      </c>
      <c r="E21" s="226" t="s">
        <v>220</v>
      </c>
      <c r="F21" s="227" t="s">
        <v>221</v>
      </c>
      <c r="G21" s="226" t="s">
        <v>7</v>
      </c>
      <c r="H21" s="228">
        <v>1</v>
      </c>
      <c r="I21" s="228">
        <v>6</v>
      </c>
      <c r="J21" s="221">
        <f>SUM(H21:I21)</f>
        <v>7</v>
      </c>
      <c r="K21" s="221">
        <v>10278</v>
      </c>
      <c r="L21" s="208">
        <f t="shared" si="0"/>
        <v>71946</v>
      </c>
    </row>
    <row r="22" spans="1:12" ht="150" customHeight="1">
      <c r="A22" s="213"/>
      <c r="B22" s="213"/>
      <c r="C22" s="213"/>
      <c r="D22" s="229"/>
      <c r="E22" s="229"/>
      <c r="F22" s="230" t="s">
        <v>567</v>
      </c>
      <c r="G22" s="229"/>
      <c r="H22" s="228"/>
      <c r="I22" s="228"/>
      <c r="J22" s="228"/>
      <c r="K22" s="221"/>
      <c r="L22" s="208"/>
    </row>
    <row r="23" spans="1:12">
      <c r="A23" s="218"/>
      <c r="B23" s="205"/>
      <c r="C23" s="205"/>
      <c r="D23" s="205"/>
      <c r="E23" s="205"/>
      <c r="F23" s="211"/>
      <c r="G23" s="205"/>
      <c r="H23" s="221"/>
      <c r="I23" s="221"/>
      <c r="J23" s="221"/>
      <c r="K23" s="221"/>
      <c r="L23" s="208"/>
    </row>
    <row r="24" spans="1:12">
      <c r="A24" s="212"/>
      <c r="B24" s="215"/>
      <c r="C24" s="215"/>
      <c r="D24" s="215"/>
      <c r="E24" s="215"/>
      <c r="F24" s="214" t="s">
        <v>300</v>
      </c>
      <c r="G24" s="215"/>
      <c r="H24" s="219"/>
      <c r="I24" s="219"/>
      <c r="J24" s="219"/>
      <c r="K24" s="219"/>
      <c r="L24" s="216"/>
    </row>
    <row r="25" spans="1:12">
      <c r="A25" s="218"/>
      <c r="B25" s="205"/>
      <c r="C25" s="205"/>
      <c r="D25" s="205"/>
      <c r="E25" s="205"/>
      <c r="F25" s="214"/>
      <c r="G25" s="205"/>
      <c r="H25" s="221"/>
      <c r="I25" s="221"/>
      <c r="J25" s="221"/>
      <c r="K25" s="221"/>
      <c r="L25" s="208"/>
    </row>
    <row r="26" spans="1:12" ht="25.5">
      <c r="A26" s="218">
        <v>1.7</v>
      </c>
      <c r="B26" s="205"/>
      <c r="C26" s="205"/>
      <c r="D26" s="206" t="s">
        <v>301</v>
      </c>
      <c r="E26" s="205" t="s">
        <v>302</v>
      </c>
      <c r="F26" s="214" t="s">
        <v>303</v>
      </c>
      <c r="G26" s="205" t="s">
        <v>126</v>
      </c>
      <c r="H26" s="221">
        <v>1</v>
      </c>
      <c r="I26" s="221">
        <v>0</v>
      </c>
      <c r="J26" s="221">
        <f>SUM(H26:I26)</f>
        <v>1</v>
      </c>
      <c r="K26" s="221">
        <v>2256215</v>
      </c>
      <c r="L26" s="208">
        <f t="shared" si="0"/>
        <v>2256215</v>
      </c>
    </row>
    <row r="27" spans="1:12" ht="25.5">
      <c r="A27" s="218"/>
      <c r="B27" s="231"/>
      <c r="C27" s="231"/>
      <c r="D27" s="231"/>
      <c r="E27" s="205"/>
      <c r="F27" s="207" t="s">
        <v>304</v>
      </c>
      <c r="G27" s="205"/>
      <c r="H27" s="221"/>
      <c r="I27" s="221"/>
      <c r="J27" s="221"/>
      <c r="K27" s="221"/>
      <c r="L27" s="208"/>
    </row>
    <row r="28" spans="1:12">
      <c r="A28" s="218"/>
      <c r="B28" s="231"/>
      <c r="C28" s="231"/>
      <c r="D28" s="231"/>
      <c r="E28" s="205"/>
      <c r="F28" s="207" t="s">
        <v>305</v>
      </c>
      <c r="G28" s="205"/>
      <c r="H28" s="221"/>
      <c r="I28" s="221"/>
      <c r="J28" s="221"/>
      <c r="K28" s="221"/>
      <c r="L28" s="208"/>
    </row>
    <row r="29" spans="1:12" ht="204">
      <c r="A29" s="218"/>
      <c r="B29" s="231"/>
      <c r="C29" s="231"/>
      <c r="D29" s="231"/>
      <c r="E29" s="205"/>
      <c r="F29" s="222" t="s">
        <v>568</v>
      </c>
      <c r="G29" s="205"/>
      <c r="H29" s="221"/>
      <c r="I29" s="221"/>
      <c r="J29" s="221"/>
      <c r="K29" s="221"/>
      <c r="L29" s="208"/>
    </row>
    <row r="30" spans="1:12">
      <c r="A30" s="218"/>
      <c r="B30" s="231"/>
      <c r="C30" s="231"/>
      <c r="D30" s="231"/>
      <c r="E30" s="205"/>
      <c r="F30" s="207" t="s">
        <v>306</v>
      </c>
      <c r="G30" s="205"/>
      <c r="H30" s="221"/>
      <c r="I30" s="221"/>
      <c r="J30" s="221"/>
      <c r="K30" s="221"/>
      <c r="L30" s="208"/>
    </row>
    <row r="31" spans="1:12" ht="105.6" customHeight="1">
      <c r="A31" s="218"/>
      <c r="B31" s="231"/>
      <c r="C31" s="231"/>
      <c r="D31" s="231"/>
      <c r="E31" s="205"/>
      <c r="F31" s="222" t="s">
        <v>569</v>
      </c>
      <c r="G31" s="205"/>
      <c r="H31" s="221"/>
      <c r="I31" s="221"/>
      <c r="J31" s="221"/>
      <c r="K31" s="221"/>
      <c r="L31" s="208"/>
    </row>
    <row r="32" spans="1:12">
      <c r="A32" s="218"/>
      <c r="B32" s="231"/>
      <c r="C32" s="231"/>
      <c r="D32" s="231"/>
      <c r="E32" s="205"/>
      <c r="F32" s="207" t="s">
        <v>307</v>
      </c>
      <c r="G32" s="205"/>
      <c r="H32" s="221"/>
      <c r="I32" s="221"/>
      <c r="J32" s="221"/>
      <c r="K32" s="221"/>
      <c r="L32" s="208"/>
    </row>
    <row r="33" spans="1:12" ht="153">
      <c r="A33" s="218"/>
      <c r="B33" s="231"/>
      <c r="C33" s="231"/>
      <c r="D33" s="231"/>
      <c r="E33" s="205"/>
      <c r="F33" s="222" t="s">
        <v>570</v>
      </c>
      <c r="G33" s="205"/>
      <c r="H33" s="221"/>
      <c r="I33" s="221"/>
      <c r="J33" s="221"/>
      <c r="K33" s="221"/>
      <c r="L33" s="208"/>
    </row>
    <row r="34" spans="1:12">
      <c r="A34" s="218"/>
      <c r="B34" s="231"/>
      <c r="C34" s="231"/>
      <c r="D34" s="231"/>
      <c r="E34" s="205"/>
      <c r="F34" s="211"/>
      <c r="G34" s="205"/>
      <c r="H34" s="221"/>
      <c r="I34" s="221"/>
      <c r="J34" s="221"/>
      <c r="K34" s="221"/>
      <c r="L34" s="208"/>
    </row>
    <row r="35" spans="1:12" ht="25.5">
      <c r="A35" s="218">
        <v>1.8</v>
      </c>
      <c r="B35" s="205"/>
      <c r="C35" s="205"/>
      <c r="D35" s="206" t="s">
        <v>301</v>
      </c>
      <c r="E35" s="205" t="s">
        <v>308</v>
      </c>
      <c r="F35" s="207" t="s">
        <v>309</v>
      </c>
      <c r="G35" s="205"/>
      <c r="H35" s="221"/>
      <c r="I35" s="221"/>
      <c r="J35" s="221"/>
      <c r="K35" s="221"/>
      <c r="L35" s="208"/>
    </row>
    <row r="36" spans="1:12">
      <c r="A36" s="218"/>
      <c r="B36" s="231"/>
      <c r="C36" s="231"/>
      <c r="D36" s="231"/>
      <c r="E36" s="205"/>
      <c r="F36" s="207" t="s">
        <v>310</v>
      </c>
      <c r="G36" s="205" t="s">
        <v>126</v>
      </c>
      <c r="H36" s="221">
        <v>1</v>
      </c>
      <c r="I36" s="221">
        <v>0</v>
      </c>
      <c r="J36" s="221">
        <f>SUM(H36:I36)</f>
        <v>1</v>
      </c>
      <c r="K36" s="221">
        <v>386735</v>
      </c>
      <c r="L36" s="208">
        <f t="shared" si="0"/>
        <v>386735</v>
      </c>
    </row>
    <row r="37" spans="1:12" s="235" customFormat="1" ht="249" customHeight="1">
      <c r="A37" s="232"/>
      <c r="B37" s="233"/>
      <c r="C37" s="233"/>
      <c r="D37" s="233"/>
      <c r="E37" s="209"/>
      <c r="F37" s="222" t="s">
        <v>571</v>
      </c>
      <c r="G37" s="209"/>
      <c r="H37" s="234"/>
      <c r="I37" s="234"/>
      <c r="J37" s="234"/>
      <c r="K37" s="234"/>
      <c r="L37" s="208"/>
    </row>
    <row r="38" spans="1:12">
      <c r="A38" s="218"/>
      <c r="B38" s="205"/>
      <c r="C38" s="205"/>
      <c r="D38" s="205"/>
      <c r="E38" s="205"/>
      <c r="F38" s="211"/>
      <c r="G38" s="205"/>
      <c r="H38" s="221"/>
      <c r="I38" s="221"/>
      <c r="J38" s="221"/>
      <c r="K38" s="221"/>
      <c r="L38" s="208"/>
    </row>
    <row r="39" spans="1:12">
      <c r="A39" s="212" t="s">
        <v>16</v>
      </c>
      <c r="B39" s="236"/>
      <c r="C39" s="236"/>
      <c r="D39" s="236"/>
      <c r="E39" s="236"/>
      <c r="F39" s="214" t="s">
        <v>19</v>
      </c>
      <c r="G39" s="215"/>
      <c r="H39" s="219"/>
      <c r="I39" s="219"/>
      <c r="J39" s="219"/>
      <c r="K39" s="219"/>
      <c r="L39" s="208"/>
    </row>
    <row r="40" spans="1:12">
      <c r="A40" s="218"/>
      <c r="B40" s="231"/>
      <c r="C40" s="231"/>
      <c r="D40" s="231"/>
      <c r="E40" s="231"/>
      <c r="F40" s="214"/>
      <c r="G40" s="205"/>
      <c r="H40" s="221"/>
      <c r="I40" s="221"/>
      <c r="J40" s="221"/>
      <c r="K40" s="221"/>
      <c r="L40" s="208"/>
    </row>
    <row r="41" spans="1:12" ht="38.25">
      <c r="A41" s="218">
        <v>2.1</v>
      </c>
      <c r="B41" s="231"/>
      <c r="C41" s="231"/>
      <c r="D41" s="206" t="s">
        <v>141</v>
      </c>
      <c r="E41" s="206" t="s">
        <v>142</v>
      </c>
      <c r="F41" s="214" t="s">
        <v>335</v>
      </c>
      <c r="G41" s="205" t="s">
        <v>25</v>
      </c>
      <c r="H41" s="221">
        <f>10*4</f>
        <v>40</v>
      </c>
      <c r="I41" s="221"/>
      <c r="J41" s="221">
        <f>SUM(H41:I41)</f>
        <v>40</v>
      </c>
      <c r="K41" s="221">
        <v>4410</v>
      </c>
      <c r="L41" s="208">
        <f t="shared" si="0"/>
        <v>176400</v>
      </c>
    </row>
    <row r="42" spans="1:12" ht="89.45" customHeight="1">
      <c r="A42" s="218"/>
      <c r="B42" s="231"/>
      <c r="C42" s="231"/>
      <c r="D42" s="231"/>
      <c r="E42" s="231"/>
      <c r="F42" s="222" t="s">
        <v>336</v>
      </c>
      <c r="G42" s="205"/>
      <c r="H42" s="221"/>
      <c r="I42" s="221"/>
      <c r="J42" s="221"/>
      <c r="K42" s="221"/>
      <c r="L42" s="208"/>
    </row>
    <row r="43" spans="1:12">
      <c r="A43" s="218"/>
      <c r="B43" s="231"/>
      <c r="C43" s="231"/>
      <c r="D43" s="231"/>
      <c r="E43" s="231"/>
      <c r="F43" s="203" t="s">
        <v>311</v>
      </c>
      <c r="G43" s="205"/>
      <c r="H43" s="221"/>
      <c r="I43" s="221"/>
      <c r="J43" s="221"/>
      <c r="K43" s="221"/>
      <c r="L43" s="208"/>
    </row>
    <row r="44" spans="1:12">
      <c r="A44" s="218"/>
      <c r="B44" s="231"/>
      <c r="C44" s="231"/>
      <c r="D44" s="231"/>
      <c r="E44" s="231"/>
      <c r="F44" s="203"/>
      <c r="G44" s="205"/>
      <c r="H44" s="221"/>
      <c r="I44" s="221"/>
      <c r="J44" s="221"/>
      <c r="K44" s="221"/>
      <c r="L44" s="208"/>
    </row>
    <row r="45" spans="1:12" ht="25.5">
      <c r="A45" s="218">
        <v>2.2000000000000002</v>
      </c>
      <c r="B45" s="231"/>
      <c r="C45" s="231"/>
      <c r="D45" s="231" t="s">
        <v>30</v>
      </c>
      <c r="E45" s="231" t="s">
        <v>337</v>
      </c>
      <c r="F45" s="214" t="s">
        <v>146</v>
      </c>
      <c r="G45" s="205"/>
      <c r="H45" s="221"/>
      <c r="I45" s="221"/>
      <c r="J45" s="221"/>
      <c r="K45" s="237"/>
      <c r="L45" s="208"/>
    </row>
    <row r="46" spans="1:12" ht="108" customHeight="1">
      <c r="A46" s="218"/>
      <c r="B46" s="231"/>
      <c r="C46" s="231"/>
      <c r="D46" s="231"/>
      <c r="E46" s="231"/>
      <c r="F46" s="203" t="s">
        <v>549</v>
      </c>
      <c r="G46" s="205"/>
      <c r="H46" s="221"/>
      <c r="I46" s="221"/>
      <c r="J46" s="221"/>
      <c r="K46" s="221"/>
      <c r="L46" s="208"/>
    </row>
    <row r="47" spans="1:12">
      <c r="A47" s="218" t="s">
        <v>147</v>
      </c>
      <c r="B47" s="231"/>
      <c r="C47" s="231"/>
      <c r="D47" s="231"/>
      <c r="E47" s="231"/>
      <c r="F47" s="238" t="s">
        <v>550</v>
      </c>
      <c r="G47" s="205" t="s">
        <v>25</v>
      </c>
      <c r="H47" s="221">
        <f>13*4.5+40</f>
        <v>98.5</v>
      </c>
      <c r="I47" s="221">
        <v>15</v>
      </c>
      <c r="J47" s="221">
        <f t="shared" ref="J47:J50" si="1">SUM(H47:I47)</f>
        <v>113.5</v>
      </c>
      <c r="K47" s="221">
        <v>3018</v>
      </c>
      <c r="L47" s="208">
        <f t="shared" si="0"/>
        <v>342543</v>
      </c>
    </row>
    <row r="48" spans="1:12">
      <c r="A48" s="218" t="s">
        <v>148</v>
      </c>
      <c r="B48" s="231"/>
      <c r="C48" s="231"/>
      <c r="D48" s="231"/>
      <c r="E48" s="231"/>
      <c r="F48" s="238" t="s">
        <v>572</v>
      </c>
      <c r="G48" s="205" t="s">
        <v>25</v>
      </c>
      <c r="H48" s="221">
        <v>5</v>
      </c>
      <c r="I48" s="221">
        <v>5</v>
      </c>
      <c r="J48" s="221">
        <f t="shared" si="1"/>
        <v>10</v>
      </c>
      <c r="K48" s="221">
        <v>3426</v>
      </c>
      <c r="L48" s="208">
        <f t="shared" si="0"/>
        <v>34260</v>
      </c>
    </row>
    <row r="49" spans="1:12">
      <c r="A49" s="218" t="s">
        <v>149</v>
      </c>
      <c r="B49" s="231"/>
      <c r="C49" s="231"/>
      <c r="D49" s="231"/>
      <c r="E49" s="231"/>
      <c r="F49" s="238" t="s">
        <v>573</v>
      </c>
      <c r="G49" s="205" t="s">
        <v>25</v>
      </c>
      <c r="H49" s="221">
        <v>5</v>
      </c>
      <c r="I49" s="221">
        <v>5</v>
      </c>
      <c r="J49" s="221">
        <f t="shared" si="1"/>
        <v>10</v>
      </c>
      <c r="K49" s="221">
        <v>3990</v>
      </c>
      <c r="L49" s="208">
        <f t="shared" si="0"/>
        <v>39900</v>
      </c>
    </row>
    <row r="50" spans="1:12">
      <c r="A50" s="218" t="s">
        <v>150</v>
      </c>
      <c r="B50" s="231"/>
      <c r="C50" s="231"/>
      <c r="D50" s="231"/>
      <c r="E50" s="231"/>
      <c r="F50" s="238" t="s">
        <v>574</v>
      </c>
      <c r="G50" s="205" t="s">
        <v>25</v>
      </c>
      <c r="H50" s="221">
        <v>5</v>
      </c>
      <c r="I50" s="221">
        <v>5</v>
      </c>
      <c r="J50" s="221">
        <f t="shared" si="1"/>
        <v>10</v>
      </c>
      <c r="K50" s="221">
        <v>2040</v>
      </c>
      <c r="L50" s="208">
        <f t="shared" si="0"/>
        <v>20400</v>
      </c>
    </row>
    <row r="51" spans="1:12">
      <c r="A51" s="218"/>
      <c r="B51" s="231"/>
      <c r="C51" s="231"/>
      <c r="D51" s="231"/>
      <c r="E51" s="231"/>
      <c r="F51" s="203"/>
      <c r="G51" s="205"/>
      <c r="H51" s="221"/>
      <c r="I51" s="221"/>
      <c r="J51" s="221"/>
      <c r="K51" s="221"/>
      <c r="L51" s="208"/>
    </row>
    <row r="52" spans="1:12">
      <c r="A52" s="218"/>
      <c r="B52" s="231"/>
      <c r="C52" s="231"/>
      <c r="D52" s="231"/>
      <c r="E52" s="231"/>
      <c r="F52" s="238"/>
      <c r="G52" s="205"/>
      <c r="H52" s="221"/>
      <c r="I52" s="221"/>
      <c r="J52" s="221"/>
      <c r="K52" s="221"/>
      <c r="L52" s="208"/>
    </row>
    <row r="53" spans="1:12" ht="25.5">
      <c r="A53" s="218">
        <v>2.2999999999999998</v>
      </c>
      <c r="B53" s="231"/>
      <c r="C53" s="231"/>
      <c r="D53" s="231" t="s">
        <v>30</v>
      </c>
      <c r="E53" s="231" t="s">
        <v>312</v>
      </c>
      <c r="F53" s="214" t="s">
        <v>313</v>
      </c>
      <c r="G53" s="205" t="s">
        <v>25</v>
      </c>
      <c r="H53" s="221">
        <f>31+(1.5*3.6*4)</f>
        <v>52.6</v>
      </c>
      <c r="I53" s="221">
        <v>1</v>
      </c>
      <c r="J53" s="221">
        <f t="shared" ref="J53" si="2">SUM(H53:I53)</f>
        <v>53.6</v>
      </c>
      <c r="K53" s="221">
        <v>9600</v>
      </c>
      <c r="L53" s="208">
        <f t="shared" si="0"/>
        <v>514560</v>
      </c>
    </row>
    <row r="54" spans="1:12" ht="89.25">
      <c r="A54" s="218"/>
      <c r="B54" s="231"/>
      <c r="C54" s="231"/>
      <c r="D54" s="231"/>
      <c r="E54" s="231"/>
      <c r="F54" s="203" t="s">
        <v>597</v>
      </c>
      <c r="G54" s="205"/>
      <c r="H54" s="221"/>
      <c r="I54" s="221"/>
      <c r="J54" s="221"/>
      <c r="K54" s="221"/>
      <c r="L54" s="208"/>
    </row>
    <row r="55" spans="1:12">
      <c r="A55" s="218"/>
      <c r="B55" s="231"/>
      <c r="C55" s="231"/>
      <c r="D55" s="231"/>
      <c r="E55" s="231"/>
      <c r="F55" s="203" t="s">
        <v>314</v>
      </c>
      <c r="G55" s="205"/>
      <c r="H55" s="221"/>
      <c r="I55" s="221"/>
      <c r="J55" s="221"/>
      <c r="K55" s="221"/>
      <c r="L55" s="208"/>
    </row>
    <row r="56" spans="1:12">
      <c r="A56" s="218"/>
      <c r="B56" s="231"/>
      <c r="C56" s="231"/>
      <c r="D56" s="231"/>
      <c r="E56" s="231"/>
      <c r="F56" s="203"/>
      <c r="G56" s="205"/>
      <c r="H56" s="221"/>
      <c r="I56" s="221"/>
      <c r="J56" s="221"/>
      <c r="K56" s="221"/>
      <c r="L56" s="208"/>
    </row>
    <row r="57" spans="1:12" ht="25.5">
      <c r="A57" s="218">
        <v>2.4</v>
      </c>
      <c r="B57" s="236"/>
      <c r="C57" s="236"/>
      <c r="D57" s="231" t="s">
        <v>30</v>
      </c>
      <c r="E57" s="231" t="s">
        <v>267</v>
      </c>
      <c r="F57" s="214" t="s">
        <v>268</v>
      </c>
      <c r="G57" s="205" t="s">
        <v>28</v>
      </c>
      <c r="H57" s="221">
        <v>10</v>
      </c>
      <c r="I57" s="221">
        <v>0</v>
      </c>
      <c r="J57" s="221">
        <f>SUM(H57:I57)</f>
        <v>10</v>
      </c>
      <c r="K57" s="221">
        <v>5860</v>
      </c>
      <c r="L57" s="208">
        <f t="shared" si="0"/>
        <v>58600</v>
      </c>
    </row>
    <row r="58" spans="1:12" ht="138.75" customHeight="1">
      <c r="A58" s="212"/>
      <c r="B58" s="236"/>
      <c r="C58" s="236"/>
      <c r="D58" s="236"/>
      <c r="E58" s="236"/>
      <c r="F58" s="211" t="s">
        <v>598</v>
      </c>
      <c r="G58" s="215"/>
      <c r="H58" s="219"/>
      <c r="I58" s="219"/>
      <c r="J58" s="219"/>
      <c r="K58" s="219"/>
      <c r="L58" s="208"/>
    </row>
    <row r="59" spans="1:12">
      <c r="A59" s="218"/>
      <c r="B59" s="231"/>
      <c r="C59" s="231"/>
      <c r="D59" s="231"/>
      <c r="E59" s="231"/>
      <c r="F59" s="203"/>
      <c r="G59" s="205"/>
      <c r="H59" s="221"/>
      <c r="I59" s="221"/>
      <c r="J59" s="221"/>
      <c r="K59" s="221"/>
      <c r="L59" s="208"/>
    </row>
    <row r="60" spans="1:12" ht="38.25">
      <c r="A60" s="218">
        <v>2.5</v>
      </c>
      <c r="B60" s="236"/>
      <c r="C60" s="236"/>
      <c r="D60" s="231" t="s">
        <v>30</v>
      </c>
      <c r="E60" s="231" t="s">
        <v>230</v>
      </c>
      <c r="F60" s="214" t="s">
        <v>231</v>
      </c>
      <c r="G60" s="205" t="s">
        <v>25</v>
      </c>
      <c r="H60" s="221">
        <f>30+(1.35*3.6*4)</f>
        <v>49.44</v>
      </c>
      <c r="I60" s="221">
        <v>0</v>
      </c>
      <c r="J60" s="221">
        <f>SUM(H60:I60)</f>
        <v>49.44</v>
      </c>
      <c r="K60" s="221">
        <v>28755</v>
      </c>
      <c r="L60" s="208">
        <f t="shared" si="0"/>
        <v>1421647.2</v>
      </c>
    </row>
    <row r="61" spans="1:12" ht="134.25" customHeight="1">
      <c r="A61" s="212"/>
      <c r="B61" s="236"/>
      <c r="C61" s="236"/>
      <c r="D61" s="236"/>
      <c r="E61" s="236"/>
      <c r="F61" s="211" t="s">
        <v>599</v>
      </c>
      <c r="G61" s="215"/>
      <c r="H61" s="219"/>
      <c r="I61" s="219"/>
      <c r="J61" s="219"/>
      <c r="K61" s="219"/>
      <c r="L61" s="208"/>
    </row>
    <row r="62" spans="1:12">
      <c r="A62" s="218"/>
      <c r="B62" s="231"/>
      <c r="C62" s="231"/>
      <c r="D62" s="231"/>
      <c r="E62" s="231"/>
      <c r="F62" s="203"/>
      <c r="G62" s="205"/>
      <c r="H62" s="221"/>
      <c r="I62" s="221"/>
      <c r="J62" s="221"/>
      <c r="K62" s="221"/>
      <c r="L62" s="208"/>
    </row>
    <row r="63" spans="1:12" ht="25.5">
      <c r="A63" s="218">
        <v>2.6</v>
      </c>
      <c r="B63" s="231"/>
      <c r="C63" s="231"/>
      <c r="D63" s="231" t="s">
        <v>315</v>
      </c>
      <c r="E63" s="231" t="s">
        <v>316</v>
      </c>
      <c r="F63" s="240" t="s">
        <v>317</v>
      </c>
      <c r="G63" s="205" t="s">
        <v>8</v>
      </c>
      <c r="H63" s="221">
        <f>11+11</f>
        <v>22</v>
      </c>
      <c r="I63" s="221">
        <v>11</v>
      </c>
      <c r="J63" s="221">
        <f t="shared" ref="J63:J100" si="3">SUM(H63:I63)</f>
        <v>33</v>
      </c>
      <c r="K63" s="221">
        <v>67735</v>
      </c>
      <c r="L63" s="208">
        <f t="shared" si="0"/>
        <v>2235255</v>
      </c>
    </row>
    <row r="64" spans="1:12" ht="135" customHeight="1">
      <c r="A64" s="241"/>
      <c r="B64" s="231"/>
      <c r="C64" s="231"/>
      <c r="D64" s="231"/>
      <c r="E64" s="231"/>
      <c r="F64" s="242" t="s">
        <v>600</v>
      </c>
      <c r="G64" s="205"/>
      <c r="H64" s="221"/>
      <c r="I64" s="221"/>
      <c r="J64" s="221"/>
      <c r="K64" s="221"/>
      <c r="L64" s="208"/>
    </row>
    <row r="65" spans="1:12">
      <c r="A65" s="218"/>
      <c r="B65" s="231"/>
      <c r="C65" s="231"/>
      <c r="D65" s="231"/>
      <c r="E65" s="231"/>
      <c r="F65" s="211"/>
      <c r="G65" s="205"/>
      <c r="H65" s="221"/>
      <c r="I65" s="221"/>
      <c r="J65" s="221">
        <f t="shared" si="3"/>
        <v>0</v>
      </c>
      <c r="K65" s="221"/>
      <c r="L65" s="208"/>
    </row>
    <row r="66" spans="1:12" ht="25.5">
      <c r="A66" s="218">
        <v>2.7</v>
      </c>
      <c r="B66" s="231"/>
      <c r="C66" s="231"/>
      <c r="D66" s="231" t="s">
        <v>318</v>
      </c>
      <c r="E66" s="231" t="s">
        <v>338</v>
      </c>
      <c r="F66" s="240" t="s">
        <v>319</v>
      </c>
      <c r="G66" s="205" t="s">
        <v>126</v>
      </c>
      <c r="H66" s="221">
        <v>6</v>
      </c>
      <c r="I66" s="221">
        <v>0</v>
      </c>
      <c r="J66" s="221">
        <f t="shared" si="3"/>
        <v>6</v>
      </c>
      <c r="K66" s="221">
        <v>97690</v>
      </c>
      <c r="L66" s="208">
        <f t="shared" si="0"/>
        <v>586140</v>
      </c>
    </row>
    <row r="67" spans="1:12" ht="51">
      <c r="A67" s="205"/>
      <c r="B67" s="205"/>
      <c r="C67" s="205"/>
      <c r="D67" s="205"/>
      <c r="E67" s="205"/>
      <c r="F67" s="211" t="s">
        <v>601</v>
      </c>
      <c r="G67" s="205"/>
      <c r="H67" s="205"/>
      <c r="I67" s="205"/>
      <c r="J67" s="221">
        <f t="shared" si="3"/>
        <v>0</v>
      </c>
      <c r="K67" s="205"/>
      <c r="L67" s="208"/>
    </row>
    <row r="68" spans="1:12">
      <c r="A68" s="218"/>
      <c r="B68" s="231"/>
      <c r="C68" s="231"/>
      <c r="D68" s="231"/>
      <c r="E68" s="205"/>
      <c r="F68" s="211"/>
      <c r="G68" s="205"/>
      <c r="H68" s="221"/>
      <c r="I68" s="221"/>
      <c r="J68" s="221">
        <f t="shared" si="3"/>
        <v>0</v>
      </c>
      <c r="K68" s="221"/>
      <c r="L68" s="208"/>
    </row>
    <row r="69" spans="1:12">
      <c r="A69" s="218">
        <v>2.8</v>
      </c>
      <c r="B69" s="231"/>
      <c r="C69" s="231"/>
      <c r="D69" s="231" t="s">
        <v>34</v>
      </c>
      <c r="E69" s="231" t="s">
        <v>36</v>
      </c>
      <c r="F69" s="240" t="s">
        <v>320</v>
      </c>
      <c r="G69" s="205" t="s">
        <v>8</v>
      </c>
      <c r="H69" s="221">
        <v>12</v>
      </c>
      <c r="I69" s="221">
        <v>5</v>
      </c>
      <c r="J69" s="221">
        <f t="shared" si="3"/>
        <v>17</v>
      </c>
      <c r="K69" s="221">
        <v>1806</v>
      </c>
      <c r="L69" s="208">
        <f t="shared" ref="L69:L100" si="4">SUM(J69*K69)</f>
        <v>30702</v>
      </c>
    </row>
    <row r="70" spans="1:12" ht="33" customHeight="1">
      <c r="A70" s="218"/>
      <c r="B70" s="231"/>
      <c r="C70" s="231"/>
      <c r="D70" s="231"/>
      <c r="E70" s="205"/>
      <c r="F70" s="242" t="s">
        <v>49</v>
      </c>
      <c r="G70" s="205"/>
      <c r="H70" s="221"/>
      <c r="I70" s="221"/>
      <c r="J70" s="221">
        <f t="shared" si="3"/>
        <v>0</v>
      </c>
      <c r="K70" s="221"/>
      <c r="L70" s="208"/>
    </row>
    <row r="71" spans="1:12">
      <c r="A71" s="218"/>
      <c r="B71" s="231"/>
      <c r="C71" s="231"/>
      <c r="D71" s="231"/>
      <c r="E71" s="205"/>
      <c r="F71" s="211"/>
      <c r="G71" s="205"/>
      <c r="H71" s="221"/>
      <c r="I71" s="221"/>
      <c r="J71" s="221">
        <f t="shared" si="3"/>
        <v>0</v>
      </c>
      <c r="K71" s="221"/>
      <c r="L71" s="208"/>
    </row>
    <row r="72" spans="1:12">
      <c r="A72" s="218">
        <v>2.9</v>
      </c>
      <c r="B72" s="231"/>
      <c r="C72" s="231"/>
      <c r="D72" s="231" t="s">
        <v>315</v>
      </c>
      <c r="E72" s="231" t="s">
        <v>321</v>
      </c>
      <c r="F72" s="207" t="s">
        <v>322</v>
      </c>
      <c r="G72" s="205" t="s">
        <v>8</v>
      </c>
      <c r="H72" s="221">
        <v>12</v>
      </c>
      <c r="I72" s="221">
        <v>5</v>
      </c>
      <c r="J72" s="221">
        <f t="shared" si="3"/>
        <v>17</v>
      </c>
      <c r="K72" s="221">
        <v>9114</v>
      </c>
      <c r="L72" s="208">
        <f t="shared" si="4"/>
        <v>154938</v>
      </c>
    </row>
    <row r="73" spans="1:12" ht="63.75">
      <c r="A73" s="218"/>
      <c r="B73" s="231"/>
      <c r="C73" s="231"/>
      <c r="D73" s="231"/>
      <c r="E73" s="205"/>
      <c r="F73" s="203" t="s">
        <v>323</v>
      </c>
      <c r="G73" s="205"/>
      <c r="H73" s="221"/>
      <c r="I73" s="221"/>
      <c r="J73" s="221">
        <f t="shared" si="3"/>
        <v>0</v>
      </c>
      <c r="K73" s="221"/>
      <c r="L73" s="208"/>
    </row>
    <row r="74" spans="1:12">
      <c r="A74" s="218"/>
      <c r="B74" s="231"/>
      <c r="C74" s="231"/>
      <c r="D74" s="231"/>
      <c r="E74" s="205"/>
      <c r="F74" s="203"/>
      <c r="G74" s="205"/>
      <c r="H74" s="221"/>
      <c r="I74" s="221"/>
      <c r="J74" s="221">
        <f t="shared" si="3"/>
        <v>0</v>
      </c>
      <c r="K74" s="221"/>
      <c r="L74" s="208"/>
    </row>
    <row r="75" spans="1:12">
      <c r="A75" s="241">
        <v>2.1</v>
      </c>
      <c r="B75" s="231"/>
      <c r="C75" s="231"/>
      <c r="D75" s="231" t="s">
        <v>172</v>
      </c>
      <c r="E75" s="231" t="s">
        <v>249</v>
      </c>
      <c r="F75" s="240" t="s">
        <v>250</v>
      </c>
      <c r="G75" s="205" t="s">
        <v>126</v>
      </c>
      <c r="H75" s="221">
        <v>4</v>
      </c>
      <c r="I75" s="221">
        <v>0</v>
      </c>
      <c r="J75" s="221">
        <f t="shared" si="3"/>
        <v>4</v>
      </c>
      <c r="K75" s="221">
        <v>16272</v>
      </c>
      <c r="L75" s="208">
        <f t="shared" si="4"/>
        <v>65088</v>
      </c>
    </row>
    <row r="76" spans="1:12" ht="99.75" customHeight="1">
      <c r="A76" s="218"/>
      <c r="B76" s="231"/>
      <c r="C76" s="231"/>
      <c r="D76" s="231"/>
      <c r="E76" s="205"/>
      <c r="F76" s="242" t="s">
        <v>251</v>
      </c>
      <c r="G76" s="205"/>
      <c r="H76" s="221"/>
      <c r="I76" s="221"/>
      <c r="J76" s="221">
        <f t="shared" si="3"/>
        <v>0</v>
      </c>
      <c r="K76" s="221"/>
      <c r="L76" s="208"/>
    </row>
    <row r="77" spans="1:12">
      <c r="A77" s="218"/>
      <c r="B77" s="231"/>
      <c r="C77" s="231"/>
      <c r="D77" s="231"/>
      <c r="E77" s="205"/>
      <c r="F77" s="211"/>
      <c r="G77" s="205"/>
      <c r="H77" s="221"/>
      <c r="I77" s="221"/>
      <c r="J77" s="221">
        <f t="shared" si="3"/>
        <v>0</v>
      </c>
      <c r="K77" s="221"/>
      <c r="L77" s="208"/>
    </row>
    <row r="78" spans="1:12">
      <c r="A78" s="241">
        <v>2.11</v>
      </c>
      <c r="B78" s="236"/>
      <c r="C78" s="236"/>
      <c r="D78" s="231"/>
      <c r="E78" s="231"/>
      <c r="F78" s="214" t="s">
        <v>273</v>
      </c>
      <c r="G78" s="243" t="s">
        <v>7</v>
      </c>
      <c r="H78" s="239">
        <f>25+(2.5*8)</f>
        <v>45</v>
      </c>
      <c r="I78" s="239">
        <v>15</v>
      </c>
      <c r="J78" s="221">
        <f t="shared" si="3"/>
        <v>60</v>
      </c>
      <c r="K78" s="221">
        <v>6935</v>
      </c>
      <c r="L78" s="208">
        <f t="shared" si="4"/>
        <v>416100</v>
      </c>
    </row>
    <row r="79" spans="1:12" ht="76.5">
      <c r="A79" s="212"/>
      <c r="B79" s="236"/>
      <c r="C79" s="236"/>
      <c r="D79" s="231"/>
      <c r="E79" s="231"/>
      <c r="F79" s="203" t="s">
        <v>274</v>
      </c>
      <c r="G79" s="205"/>
      <c r="H79" s="221"/>
      <c r="I79" s="221"/>
      <c r="J79" s="221">
        <f t="shared" si="3"/>
        <v>0</v>
      </c>
      <c r="K79" s="221"/>
      <c r="L79" s="208"/>
    </row>
    <row r="80" spans="1:12">
      <c r="A80" s="205"/>
      <c r="B80" s="205"/>
      <c r="C80" s="205"/>
      <c r="D80" s="205"/>
      <c r="E80" s="205"/>
      <c r="F80" s="211"/>
      <c r="G80" s="205"/>
      <c r="H80" s="205"/>
      <c r="I80" s="205"/>
      <c r="J80" s="221">
        <f t="shared" si="3"/>
        <v>0</v>
      </c>
      <c r="K80" s="205"/>
      <c r="L80" s="208"/>
    </row>
    <row r="81" spans="1:12" ht="25.5">
      <c r="A81" s="241">
        <v>2.12</v>
      </c>
      <c r="B81" s="231"/>
      <c r="C81" s="231"/>
      <c r="D81" s="231" t="s">
        <v>172</v>
      </c>
      <c r="E81" s="231" t="s">
        <v>324</v>
      </c>
      <c r="F81" s="214" t="s">
        <v>325</v>
      </c>
      <c r="G81" s="205" t="s">
        <v>126</v>
      </c>
      <c r="H81" s="221">
        <v>1</v>
      </c>
      <c r="I81" s="221">
        <v>0</v>
      </c>
      <c r="J81" s="221">
        <f t="shared" si="3"/>
        <v>1</v>
      </c>
      <c r="K81" s="221">
        <v>45145</v>
      </c>
      <c r="L81" s="208">
        <f t="shared" si="4"/>
        <v>45145</v>
      </c>
    </row>
    <row r="82" spans="1:12" ht="140.25">
      <c r="A82" s="218"/>
      <c r="B82" s="231"/>
      <c r="C82" s="231"/>
      <c r="D82" s="231"/>
      <c r="E82" s="231"/>
      <c r="F82" s="203" t="s">
        <v>575</v>
      </c>
      <c r="G82" s="205"/>
      <c r="H82" s="221"/>
      <c r="I82" s="221"/>
      <c r="J82" s="221">
        <f t="shared" si="3"/>
        <v>0</v>
      </c>
      <c r="K82" s="221"/>
      <c r="L82" s="208"/>
    </row>
    <row r="83" spans="1:12">
      <c r="A83" s="241"/>
      <c r="B83" s="231"/>
      <c r="C83" s="231"/>
      <c r="D83" s="231"/>
      <c r="E83" s="231"/>
      <c r="F83" s="242"/>
      <c r="G83" s="205"/>
      <c r="H83" s="221"/>
      <c r="I83" s="221"/>
      <c r="J83" s="221">
        <f t="shared" si="3"/>
        <v>0</v>
      </c>
      <c r="K83" s="221"/>
      <c r="L83" s="208"/>
    </row>
    <row r="84" spans="1:12" ht="25.5">
      <c r="A84" s="241">
        <v>2.13</v>
      </c>
      <c r="B84" s="231"/>
      <c r="C84" s="231"/>
      <c r="D84" s="244" t="s">
        <v>178</v>
      </c>
      <c r="E84" s="244" t="s">
        <v>261</v>
      </c>
      <c r="F84" s="214" t="s">
        <v>262</v>
      </c>
      <c r="G84" s="243" t="s">
        <v>181</v>
      </c>
      <c r="H84" s="239">
        <v>1</v>
      </c>
      <c r="I84" s="239">
        <v>0</v>
      </c>
      <c r="J84" s="221">
        <f t="shared" si="3"/>
        <v>1</v>
      </c>
      <c r="K84" s="221">
        <v>119766</v>
      </c>
      <c r="L84" s="208">
        <f t="shared" si="4"/>
        <v>119766</v>
      </c>
    </row>
    <row r="85" spans="1:12">
      <c r="A85" s="218"/>
      <c r="B85" s="231"/>
      <c r="C85" s="231"/>
      <c r="D85" s="244"/>
      <c r="E85" s="243"/>
      <c r="F85" s="242" t="s">
        <v>326</v>
      </c>
      <c r="G85" s="243"/>
      <c r="H85" s="239"/>
      <c r="I85" s="239"/>
      <c r="J85" s="221">
        <f t="shared" si="3"/>
        <v>0</v>
      </c>
      <c r="K85" s="239"/>
      <c r="L85" s="208"/>
    </row>
    <row r="86" spans="1:12">
      <c r="A86" s="218"/>
      <c r="B86" s="231"/>
      <c r="C86" s="231"/>
      <c r="D86" s="244"/>
      <c r="E86" s="243"/>
      <c r="F86" s="242" t="s">
        <v>183</v>
      </c>
      <c r="G86" s="243"/>
      <c r="H86" s="239"/>
      <c r="I86" s="239"/>
      <c r="J86" s="221">
        <f t="shared" si="3"/>
        <v>0</v>
      </c>
      <c r="K86" s="239"/>
      <c r="L86" s="208"/>
    </row>
    <row r="87" spans="1:12" ht="143.25" customHeight="1">
      <c r="A87" s="218"/>
      <c r="B87" s="231"/>
      <c r="C87" s="231"/>
      <c r="D87" s="244"/>
      <c r="E87" s="243"/>
      <c r="F87" s="242" t="s">
        <v>602</v>
      </c>
      <c r="G87" s="243"/>
      <c r="H87" s="239"/>
      <c r="I87" s="239"/>
      <c r="J87" s="221">
        <f t="shared" si="3"/>
        <v>0</v>
      </c>
      <c r="K87" s="239"/>
      <c r="L87" s="208"/>
    </row>
    <row r="88" spans="1:12">
      <c r="A88" s="218"/>
      <c r="B88" s="231"/>
      <c r="C88" s="231"/>
      <c r="D88" s="244"/>
      <c r="E88" s="244"/>
      <c r="F88" s="240" t="s">
        <v>184</v>
      </c>
      <c r="G88" s="243"/>
      <c r="H88" s="239"/>
      <c r="I88" s="239"/>
      <c r="J88" s="221">
        <f t="shared" si="3"/>
        <v>0</v>
      </c>
      <c r="K88" s="239"/>
      <c r="L88" s="208"/>
    </row>
    <row r="89" spans="1:12" ht="128.25" customHeight="1">
      <c r="A89" s="218"/>
      <c r="B89" s="231"/>
      <c r="C89" s="231"/>
      <c r="D89" s="244"/>
      <c r="E89" s="243"/>
      <c r="F89" s="203" t="s">
        <v>603</v>
      </c>
      <c r="G89" s="243"/>
      <c r="H89" s="239"/>
      <c r="I89" s="239"/>
      <c r="J89" s="221">
        <f t="shared" si="3"/>
        <v>0</v>
      </c>
      <c r="K89" s="239"/>
      <c r="L89" s="208"/>
    </row>
    <row r="90" spans="1:12">
      <c r="A90" s="218"/>
      <c r="B90" s="231"/>
      <c r="C90" s="231"/>
      <c r="D90" s="244"/>
      <c r="E90" s="243"/>
      <c r="F90" s="207" t="s">
        <v>265</v>
      </c>
      <c r="G90" s="243"/>
      <c r="H90" s="239"/>
      <c r="I90" s="239"/>
      <c r="J90" s="221">
        <f t="shared" si="3"/>
        <v>0</v>
      </c>
      <c r="K90" s="239"/>
      <c r="L90" s="208"/>
    </row>
    <row r="91" spans="1:12" ht="33" customHeight="1">
      <c r="A91" s="218"/>
      <c r="B91" s="231"/>
      <c r="C91" s="231"/>
      <c r="D91" s="244"/>
      <c r="E91" s="243"/>
      <c r="F91" s="203" t="s">
        <v>604</v>
      </c>
      <c r="G91" s="243"/>
      <c r="H91" s="239"/>
      <c r="I91" s="239"/>
      <c r="J91" s="221">
        <f t="shared" si="3"/>
        <v>0</v>
      </c>
      <c r="K91" s="239"/>
      <c r="L91" s="208"/>
    </row>
    <row r="92" spans="1:12">
      <c r="A92" s="218"/>
      <c r="B92" s="231"/>
      <c r="C92" s="231"/>
      <c r="D92" s="244"/>
      <c r="E92" s="244"/>
      <c r="F92" s="240" t="s">
        <v>185</v>
      </c>
      <c r="G92" s="243"/>
      <c r="H92" s="239"/>
      <c r="I92" s="239"/>
      <c r="J92" s="221">
        <f t="shared" si="3"/>
        <v>0</v>
      </c>
      <c r="K92" s="239"/>
      <c r="L92" s="208"/>
    </row>
    <row r="93" spans="1:12" ht="81.75" customHeight="1">
      <c r="A93" s="218"/>
      <c r="B93" s="231"/>
      <c r="C93" s="231"/>
      <c r="D93" s="244"/>
      <c r="E93" s="243"/>
      <c r="F93" s="242" t="s">
        <v>327</v>
      </c>
      <c r="G93" s="243"/>
      <c r="H93" s="239"/>
      <c r="I93" s="239"/>
      <c r="J93" s="221">
        <f t="shared" si="3"/>
        <v>0</v>
      </c>
      <c r="K93" s="239"/>
      <c r="L93" s="208"/>
    </row>
    <row r="94" spans="1:12">
      <c r="A94" s="218"/>
      <c r="B94" s="231"/>
      <c r="C94" s="231"/>
      <c r="D94" s="231"/>
      <c r="E94" s="231"/>
      <c r="F94" s="211"/>
      <c r="G94" s="205"/>
      <c r="H94" s="221"/>
      <c r="I94" s="221"/>
      <c r="J94" s="221">
        <f t="shared" si="3"/>
        <v>0</v>
      </c>
      <c r="K94" s="237"/>
      <c r="L94" s="208"/>
    </row>
    <row r="95" spans="1:12">
      <c r="A95" s="245" t="s">
        <v>17</v>
      </c>
      <c r="B95" s="236"/>
      <c r="C95" s="236"/>
      <c r="D95" s="236"/>
      <c r="E95" s="236"/>
      <c r="F95" s="214" t="s">
        <v>42</v>
      </c>
      <c r="G95" s="215"/>
      <c r="H95" s="219"/>
      <c r="I95" s="219"/>
      <c r="J95" s="219">
        <f t="shared" si="3"/>
        <v>0</v>
      </c>
      <c r="K95" s="220"/>
      <c r="L95" s="216"/>
    </row>
    <row r="96" spans="1:12">
      <c r="A96" s="241"/>
      <c r="B96" s="231"/>
      <c r="C96" s="231"/>
      <c r="D96" s="231"/>
      <c r="E96" s="231"/>
      <c r="F96" s="214"/>
      <c r="G96" s="205"/>
      <c r="H96" s="221"/>
      <c r="I96" s="221"/>
      <c r="J96" s="221">
        <f t="shared" si="3"/>
        <v>0</v>
      </c>
      <c r="K96" s="237"/>
      <c r="L96" s="208"/>
    </row>
    <row r="97" spans="1:12">
      <c r="A97" s="218">
        <v>3.1</v>
      </c>
      <c r="B97" s="231"/>
      <c r="C97" s="231"/>
      <c r="D97" s="231" t="s">
        <v>13</v>
      </c>
      <c r="E97" s="231" t="s">
        <v>43</v>
      </c>
      <c r="F97" s="207" t="s">
        <v>201</v>
      </c>
      <c r="G97" s="205" t="s">
        <v>7</v>
      </c>
      <c r="H97" s="221">
        <v>21</v>
      </c>
      <c r="I97" s="221">
        <v>5</v>
      </c>
      <c r="J97" s="221">
        <f t="shared" si="3"/>
        <v>26</v>
      </c>
      <c r="K97" s="221">
        <v>492</v>
      </c>
      <c r="L97" s="208">
        <f t="shared" si="4"/>
        <v>12792</v>
      </c>
    </row>
    <row r="98" spans="1:12" ht="51">
      <c r="A98" s="218"/>
      <c r="B98" s="231"/>
      <c r="C98" s="231"/>
      <c r="D98" s="231"/>
      <c r="E98" s="231"/>
      <c r="F98" s="203" t="s">
        <v>45</v>
      </c>
      <c r="G98" s="205"/>
      <c r="H98" s="221"/>
      <c r="I98" s="221"/>
      <c r="J98" s="221">
        <f t="shared" si="3"/>
        <v>0</v>
      </c>
      <c r="K98" s="237"/>
      <c r="L98" s="208"/>
    </row>
    <row r="99" spans="1:12">
      <c r="A99" s="241"/>
      <c r="B99" s="231"/>
      <c r="C99" s="231"/>
      <c r="D99" s="231"/>
      <c r="E99" s="231"/>
      <c r="F99" s="214"/>
      <c r="G99" s="205"/>
      <c r="H99" s="221"/>
      <c r="I99" s="221"/>
      <c r="J99" s="221">
        <f t="shared" si="3"/>
        <v>0</v>
      </c>
      <c r="K99" s="237"/>
      <c r="L99" s="208"/>
    </row>
    <row r="100" spans="1:12" ht="25.5">
      <c r="A100" s="218">
        <v>3.2</v>
      </c>
      <c r="B100" s="231"/>
      <c r="C100" s="231"/>
      <c r="D100" s="231" t="s">
        <v>13</v>
      </c>
      <c r="E100" s="231" t="s">
        <v>46</v>
      </c>
      <c r="F100" s="207" t="s">
        <v>14</v>
      </c>
      <c r="G100" s="205" t="s">
        <v>7</v>
      </c>
      <c r="H100" s="221">
        <v>5</v>
      </c>
      <c r="I100" s="221">
        <v>5</v>
      </c>
      <c r="J100" s="221">
        <f t="shared" si="3"/>
        <v>10</v>
      </c>
      <c r="K100" s="221">
        <v>552</v>
      </c>
      <c r="L100" s="208">
        <f t="shared" si="4"/>
        <v>5520</v>
      </c>
    </row>
    <row r="101" spans="1:12" ht="51">
      <c r="A101" s="218"/>
      <c r="B101" s="231"/>
      <c r="C101" s="231"/>
      <c r="D101" s="231"/>
      <c r="E101" s="231"/>
      <c r="F101" s="203" t="s">
        <v>47</v>
      </c>
      <c r="G101" s="205"/>
      <c r="H101" s="221"/>
      <c r="I101" s="221"/>
      <c r="J101" s="221"/>
      <c r="K101" s="237"/>
      <c r="L101" s="208"/>
    </row>
    <row r="102" spans="1:12">
      <c r="A102" s="218"/>
      <c r="B102" s="231"/>
      <c r="C102" s="231"/>
      <c r="D102" s="231"/>
      <c r="E102" s="231"/>
      <c r="F102" s="211"/>
      <c r="G102" s="205"/>
      <c r="H102" s="221"/>
      <c r="I102" s="221"/>
      <c r="J102" s="221"/>
      <c r="K102" s="237"/>
      <c r="L102" s="208"/>
    </row>
    <row r="103" spans="1:12" ht="24.75" customHeight="1">
      <c r="A103" s="212"/>
      <c r="B103" s="236"/>
      <c r="C103" s="236"/>
      <c r="D103" s="236"/>
      <c r="E103" s="236"/>
      <c r="F103" s="214" t="s">
        <v>328</v>
      </c>
      <c r="G103" s="215"/>
      <c r="H103" s="219"/>
      <c r="I103" s="219"/>
      <c r="J103" s="219"/>
      <c r="K103" s="219"/>
      <c r="L103" s="216">
        <f>SUM(L6:L102)</f>
        <v>13297122.6</v>
      </c>
    </row>
  </sheetData>
  <mergeCells count="1">
    <mergeCell ref="K3:L3"/>
  </mergeCells>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Y195"/>
  <sheetViews>
    <sheetView zoomScale="115" zoomScaleNormal="115" workbookViewId="0">
      <pane ySplit="4" topLeftCell="A83" activePane="bottomLeft" state="frozen"/>
      <selection pane="bottomLeft" activeCell="F92" sqref="F92"/>
    </sheetView>
  </sheetViews>
  <sheetFormatPr defaultColWidth="6.5" defaultRowHeight="15"/>
  <cols>
    <col min="1" max="1" width="4.5" style="62" customWidth="1"/>
    <col min="2" max="2" width="9.75" style="62" hidden="1" customWidth="1"/>
    <col min="3" max="3" width="4.875" style="62" hidden="1" customWidth="1"/>
    <col min="4" max="4" width="8.25" style="62" hidden="1" customWidth="1"/>
    <col min="5" max="5" width="11.375" style="62" customWidth="1"/>
    <col min="6" max="6" width="55" style="62" customWidth="1"/>
    <col min="7" max="7" width="5" style="62" bestFit="1" customWidth="1"/>
    <col min="8" max="8" width="8.5" style="62" customWidth="1"/>
    <col min="9" max="9" width="9" style="62" customWidth="1"/>
    <col min="10" max="10" width="13.5" style="62" customWidth="1"/>
    <col min="11" max="207" width="6.5" style="62" customWidth="1"/>
    <col min="208" max="16384" width="6.5" style="250"/>
  </cols>
  <sheetData>
    <row r="1" spans="1:10">
      <c r="A1" s="642" t="s">
        <v>611</v>
      </c>
      <c r="B1" s="643"/>
      <c r="C1" s="643"/>
      <c r="D1" s="643"/>
      <c r="E1" s="643"/>
      <c r="F1" s="643"/>
      <c r="G1" s="643"/>
      <c r="H1" s="643"/>
      <c r="I1" s="248"/>
      <c r="J1" s="249"/>
    </row>
    <row r="2" spans="1:10" ht="15.75">
      <c r="A2" s="644"/>
      <c r="B2" s="644"/>
      <c r="C2" s="644"/>
      <c r="D2" s="644"/>
      <c r="E2" s="644"/>
      <c r="F2" s="644"/>
      <c r="G2" s="644"/>
      <c r="H2" s="644"/>
      <c r="I2" s="251"/>
      <c r="J2" s="251"/>
    </row>
    <row r="3" spans="1:10" ht="15.75" thickBot="1">
      <c r="A3" s="252"/>
      <c r="B3" s="253"/>
      <c r="C3" s="253"/>
      <c r="D3" s="253"/>
      <c r="E3" s="253"/>
      <c r="F3" s="253"/>
      <c r="G3" s="253"/>
      <c r="H3" s="253"/>
      <c r="I3" s="645"/>
      <c r="J3" s="646"/>
    </row>
    <row r="4" spans="1:10" ht="60.75" thickBot="1">
      <c r="A4" s="252"/>
      <c r="B4" s="50" t="s">
        <v>0</v>
      </c>
      <c r="C4" s="50" t="s">
        <v>1</v>
      </c>
      <c r="D4" s="50" t="s">
        <v>2</v>
      </c>
      <c r="E4" s="50" t="s">
        <v>3</v>
      </c>
      <c r="F4" s="50" t="s">
        <v>344</v>
      </c>
      <c r="G4" s="50" t="s">
        <v>345</v>
      </c>
      <c r="H4" s="50" t="s">
        <v>4</v>
      </c>
      <c r="I4" s="70" t="s">
        <v>23</v>
      </c>
      <c r="J4" s="254" t="s">
        <v>5</v>
      </c>
    </row>
    <row r="5" spans="1:10">
      <c r="A5" s="58"/>
      <c r="B5" s="58"/>
      <c r="C5" s="58"/>
      <c r="D5" s="58"/>
      <c r="E5" s="58"/>
      <c r="F5" s="58"/>
      <c r="G5" s="58"/>
      <c r="H5" s="58"/>
      <c r="I5" s="61"/>
      <c r="J5" s="61"/>
    </row>
    <row r="6" spans="1:10">
      <c r="A6" s="255" t="s">
        <v>15</v>
      </c>
      <c r="B6" s="255"/>
      <c r="C6" s="71" t="s">
        <v>102</v>
      </c>
      <c r="D6" s="255"/>
      <c r="E6" s="255"/>
      <c r="F6" s="255" t="s">
        <v>98</v>
      </c>
      <c r="G6" s="255" t="s">
        <v>41</v>
      </c>
      <c r="H6" s="255">
        <v>1</v>
      </c>
      <c r="I6" s="256"/>
      <c r="J6" s="83">
        <f>SUM(H6*I6)</f>
        <v>0</v>
      </c>
    </row>
    <row r="7" spans="1:10" ht="15.75" thickBot="1">
      <c r="A7" s="257"/>
      <c r="B7" s="258"/>
      <c r="C7" s="259"/>
      <c r="D7" s="260"/>
      <c r="E7" s="261"/>
      <c r="F7" s="262"/>
      <c r="G7" s="263"/>
      <c r="H7" s="264"/>
      <c r="I7" s="265"/>
      <c r="J7" s="265"/>
    </row>
    <row r="8" spans="1:10" ht="15.75" thickBot="1">
      <c r="A8" s="49" t="s">
        <v>16</v>
      </c>
      <c r="B8" s="50"/>
      <c r="C8" s="50"/>
      <c r="D8" s="50"/>
      <c r="E8" s="50"/>
      <c r="F8" s="68" t="s">
        <v>100</v>
      </c>
      <c r="G8" s="50"/>
      <c r="H8" s="50"/>
      <c r="I8" s="70"/>
      <c r="J8" s="254"/>
    </row>
    <row r="9" spans="1:10" ht="240">
      <c r="A9" s="71">
        <v>2.1</v>
      </c>
      <c r="B9" s="71" t="s">
        <v>101</v>
      </c>
      <c r="C9" s="71" t="s">
        <v>102</v>
      </c>
      <c r="D9" s="71" t="s">
        <v>103</v>
      </c>
      <c r="E9" s="71" t="s">
        <v>346</v>
      </c>
      <c r="F9" s="72" t="s">
        <v>606</v>
      </c>
      <c r="G9" s="73" t="s">
        <v>105</v>
      </c>
      <c r="H9" s="73">
        <f>4*4.3</f>
        <v>17.2</v>
      </c>
      <c r="I9" s="604">
        <v>4536</v>
      </c>
      <c r="J9" s="83">
        <f>SUM(H9*I9)</f>
        <v>78019.199999999997</v>
      </c>
    </row>
    <row r="10" spans="1:10">
      <c r="A10" s="76"/>
      <c r="B10" s="76"/>
      <c r="C10" s="76"/>
      <c r="D10" s="76"/>
      <c r="E10" s="76"/>
      <c r="F10" s="76"/>
      <c r="G10" s="76"/>
      <c r="H10" s="266"/>
      <c r="I10" s="78"/>
      <c r="J10" s="78"/>
    </row>
    <row r="11" spans="1:10" ht="255">
      <c r="A11" s="80">
        <v>2.2000000000000002</v>
      </c>
      <c r="B11" s="80" t="s">
        <v>101</v>
      </c>
      <c r="C11" s="80" t="s">
        <v>102</v>
      </c>
      <c r="D11" s="80" t="s">
        <v>103</v>
      </c>
      <c r="E11" s="80" t="s">
        <v>106</v>
      </c>
      <c r="F11" s="81" t="s">
        <v>608</v>
      </c>
      <c r="G11" s="82" t="s">
        <v>105</v>
      </c>
      <c r="H11" s="62">
        <f>1.25*3+0.25</f>
        <v>4</v>
      </c>
      <c r="I11" s="604">
        <v>2622</v>
      </c>
      <c r="J11" s="83">
        <f>SUM(H11*I11)</f>
        <v>10488</v>
      </c>
    </row>
    <row r="12" spans="1:10">
      <c r="A12" s="76"/>
      <c r="B12" s="76"/>
      <c r="C12" s="76"/>
      <c r="D12" s="76"/>
      <c r="E12" s="76"/>
      <c r="F12" s="76"/>
      <c r="G12" s="76"/>
      <c r="H12" s="266"/>
      <c r="I12" s="78"/>
      <c r="J12" s="78"/>
    </row>
    <row r="13" spans="1:10" ht="315">
      <c r="A13" s="80">
        <v>2.2999999999999998</v>
      </c>
      <c r="B13" s="80" t="s">
        <v>107</v>
      </c>
      <c r="C13" s="80" t="s">
        <v>102</v>
      </c>
      <c r="D13" s="80" t="s">
        <v>108</v>
      </c>
      <c r="E13" s="80" t="s">
        <v>109</v>
      </c>
      <c r="F13" s="81" t="s">
        <v>110</v>
      </c>
      <c r="G13" s="82" t="s">
        <v>105</v>
      </c>
      <c r="H13" s="394">
        <f>SUM(H9)*2+4</f>
        <v>38.4</v>
      </c>
      <c r="I13" s="604">
        <v>1200</v>
      </c>
      <c r="J13" s="83">
        <f>SUM(H13*I13)</f>
        <v>46080</v>
      </c>
    </row>
    <row r="14" spans="1:10">
      <c r="A14" s="76"/>
      <c r="B14" s="76"/>
      <c r="C14" s="76"/>
      <c r="D14" s="76"/>
      <c r="E14" s="76"/>
      <c r="F14" s="76"/>
      <c r="G14" s="76"/>
      <c r="H14" s="266"/>
      <c r="I14" s="78"/>
      <c r="J14" s="78"/>
    </row>
    <row r="15" spans="1:10" ht="315">
      <c r="A15" s="80">
        <v>2.4</v>
      </c>
      <c r="B15" s="80" t="s">
        <v>107</v>
      </c>
      <c r="C15" s="80" t="s">
        <v>102</v>
      </c>
      <c r="D15" s="80" t="s">
        <v>111</v>
      </c>
      <c r="E15" s="80" t="s">
        <v>347</v>
      </c>
      <c r="F15" s="81" t="s">
        <v>110</v>
      </c>
      <c r="G15" s="82" t="s">
        <v>105</v>
      </c>
      <c r="H15" s="394">
        <f>(26*4.3)</f>
        <v>111.8</v>
      </c>
      <c r="I15" s="604">
        <v>456</v>
      </c>
      <c r="J15" s="83">
        <f>SUM(H15*I15)</f>
        <v>50980.799999999996</v>
      </c>
    </row>
    <row r="16" spans="1:10">
      <c r="A16" s="271"/>
      <c r="B16" s="271"/>
      <c r="C16" s="271"/>
      <c r="D16" s="271"/>
      <c r="E16" s="271"/>
      <c r="F16" s="76"/>
      <c r="G16" s="271"/>
      <c r="H16" s="266"/>
      <c r="I16" s="78"/>
      <c r="J16" s="78"/>
    </row>
    <row r="17" spans="1:207" ht="150">
      <c r="A17" s="80">
        <v>2.5</v>
      </c>
      <c r="B17" s="80" t="s">
        <v>352</v>
      </c>
      <c r="C17" s="80" t="s">
        <v>102</v>
      </c>
      <c r="D17" s="80" t="s">
        <v>114</v>
      </c>
      <c r="E17" s="80" t="s">
        <v>353</v>
      </c>
      <c r="F17" s="81" t="s">
        <v>704</v>
      </c>
      <c r="G17" s="82" t="s">
        <v>105</v>
      </c>
      <c r="H17" s="266">
        <v>5</v>
      </c>
      <c r="I17" s="604">
        <v>3138</v>
      </c>
      <c r="J17" s="83">
        <f>SUM(H17*I17)</f>
        <v>15690</v>
      </c>
    </row>
    <row r="18" spans="1:207">
      <c r="A18" s="80"/>
      <c r="B18" s="80"/>
      <c r="C18" s="80"/>
      <c r="D18" s="80"/>
      <c r="E18" s="80"/>
      <c r="F18" s="81"/>
      <c r="G18" s="82"/>
      <c r="H18" s="266"/>
      <c r="I18" s="78"/>
      <c r="J18" s="78"/>
    </row>
    <row r="19" spans="1:207" ht="135">
      <c r="A19" s="80">
        <v>2.6</v>
      </c>
      <c r="B19" s="80" t="s">
        <v>352</v>
      </c>
      <c r="C19" s="80" t="s">
        <v>102</v>
      </c>
      <c r="D19" s="80" t="s">
        <v>114</v>
      </c>
      <c r="E19" s="80" t="s">
        <v>115</v>
      </c>
      <c r="F19" s="81" t="s">
        <v>705</v>
      </c>
      <c r="G19" s="82" t="s">
        <v>105</v>
      </c>
      <c r="H19" s="266">
        <v>65</v>
      </c>
      <c r="I19" s="604">
        <v>2154</v>
      </c>
      <c r="J19" s="83">
        <f>SUM(H19*I19)</f>
        <v>140010</v>
      </c>
    </row>
    <row r="20" spans="1:207">
      <c r="A20" s="84"/>
      <c r="B20" s="84"/>
      <c r="C20" s="84"/>
      <c r="D20" s="84"/>
      <c r="E20" s="84"/>
      <c r="F20" s="81"/>
      <c r="G20" s="86"/>
      <c r="H20" s="272"/>
      <c r="I20" s="88"/>
      <c r="J20" s="273"/>
    </row>
    <row r="21" spans="1:207" ht="15.75" thickBot="1">
      <c r="A21" s="274"/>
      <c r="B21" s="274"/>
      <c r="C21" s="274"/>
      <c r="D21" s="274"/>
      <c r="E21" s="274"/>
      <c r="F21" s="275"/>
      <c r="G21" s="274"/>
      <c r="H21" s="255"/>
      <c r="I21" s="276"/>
      <c r="J21" s="276"/>
    </row>
    <row r="22" spans="1:207" ht="15.75" thickBot="1">
      <c r="A22" s="49" t="s">
        <v>17</v>
      </c>
      <c r="B22" s="53"/>
      <c r="C22" s="53"/>
      <c r="D22" s="53"/>
      <c r="E22" s="53"/>
      <c r="F22" s="50" t="s">
        <v>357</v>
      </c>
      <c r="G22" s="53"/>
      <c r="H22" s="53"/>
      <c r="I22" s="277"/>
      <c r="J22" s="278"/>
    </row>
    <row r="23" spans="1:207">
      <c r="A23" s="279"/>
      <c r="B23" s="31"/>
      <c r="C23" s="31"/>
      <c r="D23" s="31"/>
      <c r="E23" s="31"/>
      <c r="F23" s="58" t="s">
        <v>358</v>
      </c>
      <c r="G23" s="31"/>
      <c r="H23" s="31"/>
      <c r="I23" s="279"/>
      <c r="J23" s="279"/>
    </row>
    <row r="24" spans="1:207" ht="30">
      <c r="A24" s="266">
        <v>3.1</v>
      </c>
      <c r="B24" s="77"/>
      <c r="C24" s="266" t="s">
        <v>102</v>
      </c>
      <c r="D24" s="266" t="s">
        <v>6</v>
      </c>
      <c r="E24" s="266" t="s">
        <v>359</v>
      </c>
      <c r="F24" s="76" t="s">
        <v>360</v>
      </c>
      <c r="G24" s="266" t="s">
        <v>7</v>
      </c>
      <c r="H24" s="266">
        <v>5</v>
      </c>
      <c r="I24" s="604">
        <v>12294</v>
      </c>
      <c r="J24" s="267">
        <f t="shared" ref="J24:J60" si="0">SUM(H24*I24)</f>
        <v>61470</v>
      </c>
    </row>
    <row r="25" spans="1:207" ht="135">
      <c r="A25" s="77"/>
      <c r="B25" s="77"/>
      <c r="C25" s="77"/>
      <c r="D25" s="77"/>
      <c r="E25" s="77"/>
      <c r="F25" s="266" t="s">
        <v>581</v>
      </c>
      <c r="G25" s="77"/>
      <c r="H25" s="77"/>
      <c r="I25" s="266"/>
      <c r="J25" s="267"/>
    </row>
    <row r="26" spans="1:207">
      <c r="A26" s="77"/>
      <c r="B26" s="77"/>
      <c r="C26" s="77"/>
      <c r="D26" s="77"/>
      <c r="E26" s="77"/>
      <c r="F26" s="77"/>
      <c r="G26" s="77"/>
      <c r="H26" s="77"/>
      <c r="I26" s="266"/>
      <c r="J26" s="267"/>
    </row>
    <row r="27" spans="1:207" ht="25.5">
      <c r="A27" s="266">
        <v>3.2</v>
      </c>
      <c r="B27" s="77"/>
      <c r="C27" s="266"/>
      <c r="D27" s="266"/>
      <c r="E27" s="205" t="s">
        <v>706</v>
      </c>
      <c r="F27" s="363" t="s">
        <v>707</v>
      </c>
      <c r="G27" s="205" t="s">
        <v>25</v>
      </c>
      <c r="H27" s="221">
        <v>60</v>
      </c>
      <c r="I27" s="604">
        <v>16440</v>
      </c>
      <c r="J27" s="267">
        <f t="shared" si="0"/>
        <v>986400</v>
      </c>
    </row>
    <row r="28" spans="1:207" ht="390.75" thickBot="1">
      <c r="A28" s="77"/>
      <c r="B28" s="77"/>
      <c r="C28" s="77"/>
      <c r="D28" s="77"/>
      <c r="E28" s="205"/>
      <c r="F28" s="403" t="s">
        <v>670</v>
      </c>
      <c r="G28" s="205"/>
      <c r="H28" s="221"/>
      <c r="I28" s="221"/>
      <c r="J28" s="221"/>
    </row>
    <row r="29" spans="1:207" s="293" customFormat="1">
      <c r="A29" s="285"/>
      <c r="B29" s="285"/>
      <c r="C29" s="285"/>
      <c r="D29" s="285"/>
      <c r="E29" s="286"/>
      <c r="F29" s="285"/>
      <c r="G29" s="288"/>
      <c r="H29" s="289"/>
      <c r="I29" s="290"/>
      <c r="J29" s="291"/>
      <c r="K29" s="292"/>
      <c r="L29" s="292"/>
      <c r="M29" s="292"/>
      <c r="N29" s="292"/>
      <c r="O29" s="292"/>
      <c r="P29" s="292"/>
      <c r="Q29" s="292"/>
      <c r="R29" s="292"/>
      <c r="S29" s="292"/>
      <c r="T29" s="292"/>
      <c r="U29" s="292"/>
      <c r="V29" s="292"/>
      <c r="W29" s="292"/>
      <c r="X29" s="292"/>
      <c r="Y29" s="292"/>
      <c r="Z29" s="292"/>
      <c r="AA29" s="292"/>
      <c r="AB29" s="292"/>
      <c r="AC29" s="292"/>
      <c r="AD29" s="292"/>
      <c r="AE29" s="292"/>
      <c r="AF29" s="292"/>
      <c r="AG29" s="292"/>
      <c r="AH29" s="292"/>
      <c r="AI29" s="292"/>
      <c r="AJ29" s="292"/>
      <c r="AK29" s="292"/>
      <c r="AL29" s="292"/>
      <c r="AM29" s="292"/>
      <c r="AN29" s="292"/>
      <c r="AO29" s="292"/>
      <c r="AP29" s="292"/>
      <c r="AQ29" s="292"/>
      <c r="AR29" s="292"/>
      <c r="AS29" s="292"/>
      <c r="AT29" s="292"/>
      <c r="AU29" s="292"/>
      <c r="AV29" s="292"/>
      <c r="AW29" s="292"/>
      <c r="AX29" s="292"/>
      <c r="AY29" s="292"/>
      <c r="AZ29" s="292"/>
      <c r="BA29" s="292"/>
      <c r="BB29" s="292"/>
      <c r="BC29" s="292"/>
      <c r="BD29" s="292"/>
      <c r="BE29" s="292"/>
      <c r="BF29" s="292"/>
      <c r="BG29" s="292"/>
      <c r="BH29" s="292"/>
      <c r="BI29" s="292"/>
      <c r="BJ29" s="292"/>
      <c r="BK29" s="292"/>
      <c r="BL29" s="292"/>
      <c r="BM29" s="292"/>
      <c r="BN29" s="292"/>
      <c r="BO29" s="292"/>
      <c r="BP29" s="292"/>
      <c r="BQ29" s="292"/>
      <c r="BR29" s="292"/>
      <c r="BS29" s="292"/>
      <c r="BT29" s="292"/>
      <c r="BU29" s="292"/>
      <c r="BV29" s="292"/>
      <c r="BW29" s="292"/>
      <c r="BX29" s="292"/>
      <c r="BY29" s="292"/>
      <c r="BZ29" s="292"/>
      <c r="CA29" s="292"/>
      <c r="CB29" s="292"/>
      <c r="CC29" s="292"/>
      <c r="CD29" s="292"/>
      <c r="CE29" s="292"/>
      <c r="CF29" s="292"/>
      <c r="CG29" s="292"/>
      <c r="CH29" s="292"/>
      <c r="CI29" s="292"/>
      <c r="CJ29" s="292"/>
      <c r="CK29" s="292"/>
      <c r="CL29" s="292"/>
      <c r="CM29" s="292"/>
      <c r="CN29" s="292"/>
      <c r="CO29" s="292"/>
      <c r="CP29" s="292"/>
      <c r="CQ29" s="292"/>
      <c r="CR29" s="292"/>
      <c r="CS29" s="292"/>
      <c r="CT29" s="292"/>
      <c r="CU29" s="292"/>
      <c r="CV29" s="292"/>
      <c r="CW29" s="292"/>
      <c r="CX29" s="292"/>
      <c r="CY29" s="292"/>
      <c r="CZ29" s="292"/>
      <c r="DA29" s="292"/>
      <c r="DB29" s="292"/>
      <c r="DC29" s="292"/>
      <c r="DD29" s="292"/>
      <c r="DE29" s="292"/>
      <c r="DF29" s="292"/>
      <c r="DG29" s="292"/>
      <c r="DH29" s="292"/>
      <c r="DI29" s="292"/>
      <c r="DJ29" s="292"/>
      <c r="DK29" s="292"/>
      <c r="DL29" s="292"/>
      <c r="DM29" s="292"/>
      <c r="DN29" s="292"/>
      <c r="DO29" s="292"/>
      <c r="DP29" s="292"/>
      <c r="DQ29" s="292"/>
      <c r="DR29" s="292"/>
      <c r="DS29" s="292"/>
      <c r="DT29" s="292"/>
      <c r="DU29" s="292"/>
      <c r="DV29" s="292"/>
      <c r="DW29" s="292"/>
      <c r="DX29" s="292"/>
      <c r="DY29" s="292"/>
      <c r="DZ29" s="292"/>
      <c r="EA29" s="292"/>
      <c r="EB29" s="292"/>
      <c r="EC29" s="292"/>
      <c r="ED29" s="292"/>
      <c r="EE29" s="292"/>
      <c r="EF29" s="292"/>
      <c r="EG29" s="292"/>
      <c r="EH29" s="292"/>
      <c r="EI29" s="292"/>
      <c r="EJ29" s="292"/>
      <c r="EK29" s="292"/>
      <c r="EL29" s="292"/>
      <c r="EM29" s="292"/>
      <c r="EN29" s="292"/>
      <c r="EO29" s="292"/>
      <c r="EP29" s="292"/>
      <c r="EQ29" s="292"/>
      <c r="ER29" s="292"/>
      <c r="ES29" s="292"/>
      <c r="ET29" s="292"/>
      <c r="EU29" s="292"/>
      <c r="EV29" s="292"/>
      <c r="EW29" s="292"/>
      <c r="EX29" s="292"/>
      <c r="EY29" s="292"/>
      <c r="EZ29" s="292"/>
      <c r="FA29" s="292"/>
      <c r="FB29" s="292"/>
      <c r="FC29" s="292"/>
      <c r="FD29" s="292"/>
      <c r="FE29" s="292"/>
      <c r="FF29" s="292"/>
      <c r="FG29" s="292"/>
      <c r="FH29" s="292"/>
      <c r="FI29" s="292"/>
      <c r="FJ29" s="292"/>
      <c r="FK29" s="292"/>
      <c r="FL29" s="292"/>
      <c r="FM29" s="292"/>
      <c r="FN29" s="292"/>
      <c r="FO29" s="292"/>
      <c r="FP29" s="292"/>
      <c r="FQ29" s="292"/>
      <c r="FR29" s="292"/>
      <c r="FS29" s="292"/>
      <c r="FT29" s="292"/>
      <c r="FU29" s="292"/>
      <c r="FV29" s="292"/>
      <c r="FW29" s="292"/>
      <c r="FX29" s="292"/>
      <c r="FY29" s="292"/>
      <c r="FZ29" s="292"/>
      <c r="GA29" s="292"/>
      <c r="GB29" s="292"/>
      <c r="GC29" s="292"/>
      <c r="GD29" s="292"/>
      <c r="GE29" s="292"/>
      <c r="GF29" s="292"/>
      <c r="GG29" s="292"/>
      <c r="GH29" s="292"/>
      <c r="GI29" s="292"/>
      <c r="GJ29" s="292"/>
      <c r="GK29" s="292"/>
      <c r="GL29" s="292"/>
      <c r="GM29" s="292"/>
      <c r="GN29" s="292"/>
      <c r="GO29" s="292"/>
      <c r="GP29" s="292"/>
      <c r="GQ29" s="292"/>
      <c r="GR29" s="292"/>
      <c r="GS29" s="292"/>
      <c r="GT29" s="292"/>
      <c r="GU29" s="292"/>
      <c r="GV29" s="292"/>
      <c r="GW29" s="292"/>
      <c r="GX29" s="292"/>
      <c r="GY29" s="292"/>
    </row>
    <row r="30" spans="1:207">
      <c r="A30" s="77"/>
      <c r="B30" s="77"/>
      <c r="C30" s="77"/>
      <c r="D30" s="77"/>
      <c r="E30" s="77"/>
      <c r="F30" s="294" t="s">
        <v>371</v>
      </c>
      <c r="G30" s="77"/>
      <c r="H30" s="295"/>
      <c r="I30" s="266"/>
      <c r="J30" s="267"/>
    </row>
    <row r="31" spans="1:207" ht="30">
      <c r="A31" s="266">
        <v>3.3</v>
      </c>
      <c r="B31" s="77"/>
      <c r="C31" s="266" t="s">
        <v>102</v>
      </c>
      <c r="D31" s="266" t="s">
        <v>219</v>
      </c>
      <c r="E31" s="266" t="s">
        <v>372</v>
      </c>
      <c r="F31" s="76" t="s">
        <v>373</v>
      </c>
      <c r="G31" s="266" t="s">
        <v>7</v>
      </c>
      <c r="H31" s="295">
        <f>7*3</f>
        <v>21</v>
      </c>
      <c r="I31" s="604">
        <v>8898</v>
      </c>
      <c r="J31" s="267">
        <f>SUM(H31*I31)</f>
        <v>186858</v>
      </c>
    </row>
    <row r="32" spans="1:207" ht="105">
      <c r="A32" s="77"/>
      <c r="B32" s="77"/>
      <c r="C32" s="77"/>
      <c r="D32" s="77"/>
      <c r="E32" s="77"/>
      <c r="F32" s="266" t="s">
        <v>583</v>
      </c>
      <c r="G32" s="77"/>
      <c r="H32" s="295"/>
      <c r="I32" s="266"/>
      <c r="J32" s="267"/>
    </row>
    <row r="33" spans="1:10">
      <c r="A33" s="77"/>
      <c r="B33" s="77"/>
      <c r="C33" s="77"/>
      <c r="D33" s="77"/>
      <c r="E33" s="77"/>
      <c r="F33" s="81"/>
      <c r="G33" s="77"/>
      <c r="H33" s="295"/>
      <c r="I33" s="266"/>
      <c r="J33" s="267"/>
    </row>
    <row r="34" spans="1:10" ht="30">
      <c r="A34" s="266">
        <v>3.4</v>
      </c>
      <c r="B34" s="77"/>
      <c r="C34" s="266" t="s">
        <v>102</v>
      </c>
      <c r="D34" s="266" t="s">
        <v>219</v>
      </c>
      <c r="E34" s="266" t="s">
        <v>220</v>
      </c>
      <c r="F34" s="76" t="s">
        <v>221</v>
      </c>
      <c r="G34" s="266" t="s">
        <v>7</v>
      </c>
      <c r="H34" s="295">
        <v>3</v>
      </c>
      <c r="I34" s="604">
        <v>10278</v>
      </c>
      <c r="J34" s="267">
        <f t="shared" si="0"/>
        <v>30834</v>
      </c>
    </row>
    <row r="35" spans="1:10" ht="150">
      <c r="A35" s="77"/>
      <c r="B35" s="77"/>
      <c r="C35" s="77"/>
      <c r="D35" s="77"/>
      <c r="E35" s="77"/>
      <c r="F35" s="266" t="s">
        <v>671</v>
      </c>
      <c r="G35" s="77"/>
      <c r="H35" s="295"/>
      <c r="I35" s="266"/>
      <c r="J35" s="267"/>
    </row>
    <row r="36" spans="1:10">
      <c r="A36" s="266"/>
      <c r="B36" s="295"/>
      <c r="C36" s="266"/>
      <c r="D36" s="266"/>
      <c r="E36" s="266"/>
      <c r="F36" s="266"/>
      <c r="G36" s="266"/>
      <c r="H36" s="266"/>
      <c r="I36" s="280"/>
      <c r="J36" s="267"/>
    </row>
    <row r="37" spans="1:10" ht="30">
      <c r="A37" s="266">
        <v>3.5</v>
      </c>
      <c r="B37" s="295"/>
      <c r="C37" s="266" t="s">
        <v>102</v>
      </c>
      <c r="D37" s="266" t="s">
        <v>381</v>
      </c>
      <c r="E37" s="266" t="s">
        <v>382</v>
      </c>
      <c r="F37" s="76" t="s">
        <v>383</v>
      </c>
      <c r="G37" s="266" t="s">
        <v>8</v>
      </c>
      <c r="H37" s="266">
        <v>7</v>
      </c>
      <c r="I37" s="604">
        <v>2214</v>
      </c>
      <c r="J37" s="267">
        <f t="shared" si="0"/>
        <v>15498</v>
      </c>
    </row>
    <row r="38" spans="1:10" ht="135">
      <c r="A38" s="77"/>
      <c r="B38" s="295"/>
      <c r="C38" s="77"/>
      <c r="D38" s="77"/>
      <c r="E38" s="77"/>
      <c r="F38" s="266" t="s">
        <v>585</v>
      </c>
      <c r="G38" s="77"/>
      <c r="H38" s="77"/>
      <c r="I38" s="266"/>
      <c r="J38" s="267"/>
    </row>
    <row r="39" spans="1:10">
      <c r="A39" s="77"/>
      <c r="B39" s="295"/>
      <c r="C39" s="77"/>
      <c r="D39" s="77"/>
      <c r="E39" s="77"/>
      <c r="F39" s="81"/>
      <c r="G39" s="77"/>
      <c r="H39" s="77"/>
      <c r="I39" s="266"/>
      <c r="J39" s="267"/>
    </row>
    <row r="40" spans="1:10" ht="30">
      <c r="A40" s="266">
        <v>3.6</v>
      </c>
      <c r="B40" s="295"/>
      <c r="C40" s="266" t="s">
        <v>102</v>
      </c>
      <c r="D40" s="266" t="s">
        <v>392</v>
      </c>
      <c r="E40" s="266" t="s">
        <v>393</v>
      </c>
      <c r="F40" s="76" t="s">
        <v>613</v>
      </c>
      <c r="G40" s="266" t="s">
        <v>8</v>
      </c>
      <c r="H40" s="266">
        <v>1</v>
      </c>
      <c r="I40" s="604">
        <v>49098</v>
      </c>
      <c r="J40" s="267">
        <f t="shared" si="0"/>
        <v>49098</v>
      </c>
    </row>
    <row r="41" spans="1:10" ht="180">
      <c r="A41" s="77"/>
      <c r="B41" s="295"/>
      <c r="C41" s="77"/>
      <c r="D41" s="77"/>
      <c r="E41" s="77"/>
      <c r="F41" s="266" t="s">
        <v>586</v>
      </c>
      <c r="G41" s="77"/>
      <c r="H41" s="77"/>
      <c r="I41" s="266"/>
      <c r="J41" s="267"/>
    </row>
    <row r="42" spans="1:10">
      <c r="A42" s="77"/>
      <c r="B42" s="295"/>
      <c r="C42" s="77"/>
      <c r="D42" s="77"/>
      <c r="E42" s="77"/>
      <c r="F42" s="266" t="s">
        <v>672</v>
      </c>
      <c r="G42" s="77"/>
      <c r="H42" s="77"/>
      <c r="I42" s="266"/>
      <c r="J42" s="267"/>
    </row>
    <row r="43" spans="1:10">
      <c r="A43" s="77"/>
      <c r="B43" s="295"/>
      <c r="C43" s="77"/>
      <c r="D43" s="77"/>
      <c r="E43" s="77"/>
      <c r="F43" s="266"/>
      <c r="G43" s="77"/>
      <c r="H43" s="77"/>
      <c r="I43" s="266"/>
      <c r="J43" s="267"/>
    </row>
    <row r="44" spans="1:10">
      <c r="A44" s="266">
        <v>3.7</v>
      </c>
      <c r="B44" s="295"/>
      <c r="C44" s="266" t="s">
        <v>102</v>
      </c>
      <c r="D44" s="266" t="s">
        <v>9</v>
      </c>
      <c r="E44" s="266" t="s">
        <v>617</v>
      </c>
      <c r="F44" s="396" t="s">
        <v>669</v>
      </c>
      <c r="G44" s="266" t="s">
        <v>8</v>
      </c>
      <c r="H44" s="266">
        <v>1.8</v>
      </c>
      <c r="I44" s="604">
        <v>89410</v>
      </c>
      <c r="J44" s="267">
        <f t="shared" ref="J44" si="1">SUM(H44*I44)</f>
        <v>160938</v>
      </c>
    </row>
    <row r="45" spans="1:10">
      <c r="A45" s="77"/>
      <c r="B45" s="295"/>
      <c r="C45" s="77"/>
      <c r="D45" s="77"/>
      <c r="E45" s="77"/>
      <c r="F45" s="396" t="s">
        <v>616</v>
      </c>
      <c r="G45" s="77"/>
      <c r="H45" s="77"/>
      <c r="I45" s="266"/>
      <c r="J45" s="267"/>
    </row>
    <row r="46" spans="1:10" ht="195">
      <c r="A46" s="77"/>
      <c r="B46" s="295"/>
      <c r="C46" s="77"/>
      <c r="D46" s="77"/>
      <c r="E46" s="77"/>
      <c r="F46" s="397" t="s">
        <v>673</v>
      </c>
      <c r="G46" s="77"/>
      <c r="H46" s="77"/>
      <c r="I46" s="266"/>
      <c r="J46" s="267"/>
    </row>
    <row r="47" spans="1:10">
      <c r="A47" s="77"/>
      <c r="B47" s="295"/>
      <c r="C47" s="77"/>
      <c r="D47" s="77"/>
      <c r="E47" s="77"/>
      <c r="F47" s="266"/>
      <c r="G47" s="77"/>
      <c r="H47" s="77"/>
      <c r="I47" s="266"/>
      <c r="J47" s="267"/>
    </row>
    <row r="48" spans="1:10">
      <c r="A48" s="295">
        <v>3.8</v>
      </c>
      <c r="B48" s="295"/>
      <c r="C48" s="266" t="s">
        <v>102</v>
      </c>
      <c r="D48" s="266" t="s">
        <v>9</v>
      </c>
      <c r="E48" s="266" t="s">
        <v>396</v>
      </c>
      <c r="F48" s="76" t="s">
        <v>614</v>
      </c>
      <c r="G48" s="266" t="s">
        <v>8</v>
      </c>
      <c r="H48" s="266">
        <f>8+7.5</f>
        <v>15.5</v>
      </c>
      <c r="I48" s="604">
        <v>4110</v>
      </c>
      <c r="J48" s="267">
        <f t="shared" si="0"/>
        <v>63705</v>
      </c>
    </row>
    <row r="49" spans="1:10" ht="150">
      <c r="A49" s="77"/>
      <c r="B49" s="295"/>
      <c r="C49" s="77"/>
      <c r="D49" s="77"/>
      <c r="E49" s="77"/>
      <c r="F49" s="395" t="s">
        <v>615</v>
      </c>
      <c r="G49" s="77"/>
      <c r="H49" s="77"/>
      <c r="I49" s="266"/>
      <c r="J49" s="267"/>
    </row>
    <row r="50" spans="1:10">
      <c r="A50" s="77"/>
      <c r="B50" s="295"/>
      <c r="C50" s="77"/>
      <c r="D50" s="77"/>
      <c r="E50" s="77"/>
      <c r="F50" s="266" t="s">
        <v>398</v>
      </c>
      <c r="G50" s="77"/>
      <c r="H50" s="77"/>
      <c r="I50" s="266"/>
      <c r="J50" s="267"/>
    </row>
    <row r="51" spans="1:10" ht="15.75" thickBot="1">
      <c r="A51" s="87"/>
      <c r="B51" s="299"/>
      <c r="C51" s="87"/>
      <c r="D51" s="87"/>
      <c r="E51" s="87"/>
      <c r="F51" s="272"/>
      <c r="G51" s="87"/>
      <c r="H51" s="87"/>
      <c r="I51" s="272"/>
      <c r="J51" s="300"/>
    </row>
    <row r="52" spans="1:10" ht="15.75" thickBot="1">
      <c r="A52" s="49" t="s">
        <v>11</v>
      </c>
      <c r="B52" s="304"/>
      <c r="C52" s="53"/>
      <c r="D52" s="53"/>
      <c r="E52" s="53"/>
      <c r="F52" s="50" t="s">
        <v>18</v>
      </c>
      <c r="G52" s="53"/>
      <c r="H52" s="53"/>
      <c r="I52" s="277"/>
      <c r="J52" s="305"/>
    </row>
    <row r="53" spans="1:10">
      <c r="A53" s="279"/>
      <c r="B53" s="306"/>
      <c r="C53" s="31"/>
      <c r="D53" s="31"/>
      <c r="E53" s="31"/>
      <c r="F53" s="58"/>
      <c r="G53" s="31"/>
      <c r="H53" s="31"/>
      <c r="I53" s="279"/>
      <c r="J53" s="307"/>
    </row>
    <row r="54" spans="1:10">
      <c r="A54" s="279">
        <v>4.0999999999999996</v>
      </c>
      <c r="B54" s="31"/>
      <c r="C54" s="279" t="s">
        <v>10</v>
      </c>
      <c r="D54" s="279" t="s">
        <v>227</v>
      </c>
      <c r="E54" s="279" t="s">
        <v>406</v>
      </c>
      <c r="F54" s="58" t="s">
        <v>407</v>
      </c>
      <c r="G54" s="279" t="s">
        <v>7</v>
      </c>
      <c r="H54" s="306">
        <v>65</v>
      </c>
      <c r="I54" s="604">
        <v>3954</v>
      </c>
      <c r="J54" s="307">
        <f t="shared" si="0"/>
        <v>257010</v>
      </c>
    </row>
    <row r="55" spans="1:10" ht="150">
      <c r="A55" s="266"/>
      <c r="B55" s="77"/>
      <c r="C55" s="266"/>
      <c r="D55" s="266"/>
      <c r="E55" s="266"/>
      <c r="F55" s="81" t="s">
        <v>674</v>
      </c>
      <c r="G55" s="266"/>
      <c r="H55" s="295"/>
      <c r="I55" s="266"/>
      <c r="J55" s="267"/>
    </row>
    <row r="56" spans="1:10">
      <c r="A56" s="77"/>
      <c r="B56" s="77"/>
      <c r="C56" s="77"/>
      <c r="D56" s="77"/>
      <c r="E56" s="77"/>
      <c r="F56" s="266"/>
      <c r="G56" s="308"/>
      <c r="H56" s="308"/>
      <c r="I56" s="266"/>
      <c r="J56" s="267"/>
    </row>
    <row r="57" spans="1:10">
      <c r="A57" s="266">
        <v>4.2</v>
      </c>
      <c r="B57" s="77"/>
      <c r="C57" s="266" t="s">
        <v>10</v>
      </c>
      <c r="D57" s="266" t="s">
        <v>227</v>
      </c>
      <c r="E57" s="266" t="s">
        <v>409</v>
      </c>
      <c r="F57" s="76" t="s">
        <v>618</v>
      </c>
      <c r="G57" s="266" t="s">
        <v>8</v>
      </c>
      <c r="H57" s="295">
        <v>25</v>
      </c>
      <c r="I57" s="604">
        <v>590</v>
      </c>
      <c r="J57" s="267">
        <f t="shared" si="0"/>
        <v>14750</v>
      </c>
    </row>
    <row r="58" spans="1:10" ht="105">
      <c r="A58" s="77"/>
      <c r="B58" s="77"/>
      <c r="C58" s="77"/>
      <c r="D58" s="77"/>
      <c r="E58" s="77"/>
      <c r="F58" s="81" t="s">
        <v>675</v>
      </c>
      <c r="G58" s="308"/>
      <c r="H58" s="308"/>
      <c r="I58" s="266"/>
      <c r="J58" s="267"/>
    </row>
    <row r="59" spans="1:10">
      <c r="A59" s="77"/>
      <c r="B59" s="77"/>
      <c r="C59" s="77"/>
      <c r="D59" s="77"/>
      <c r="E59" s="77"/>
      <c r="F59" s="266"/>
      <c r="G59" s="308"/>
      <c r="H59" s="308"/>
      <c r="I59" s="266"/>
      <c r="J59" s="267"/>
    </row>
    <row r="60" spans="1:10" ht="30">
      <c r="A60" s="266">
        <v>4.3</v>
      </c>
      <c r="B60" s="77"/>
      <c r="C60" s="266" t="s">
        <v>10</v>
      </c>
      <c r="D60" s="266" t="s">
        <v>227</v>
      </c>
      <c r="E60" s="266" t="s">
        <v>412</v>
      </c>
      <c r="F60" s="76" t="s">
        <v>413</v>
      </c>
      <c r="G60" s="266" t="s">
        <v>8</v>
      </c>
      <c r="H60" s="295">
        <v>5</v>
      </c>
      <c r="I60" s="604">
        <v>1230</v>
      </c>
      <c r="J60" s="267">
        <f t="shared" si="0"/>
        <v>6150</v>
      </c>
    </row>
    <row r="61" spans="1:10" ht="135">
      <c r="A61" s="77"/>
      <c r="B61" s="77"/>
      <c r="C61" s="77"/>
      <c r="D61" s="77"/>
      <c r="E61" s="77"/>
      <c r="F61" s="266" t="s">
        <v>676</v>
      </c>
      <c r="G61" s="77"/>
      <c r="H61" s="77"/>
      <c r="I61" s="266"/>
      <c r="J61" s="267"/>
    </row>
    <row r="62" spans="1:10">
      <c r="A62" s="77"/>
      <c r="B62" s="77"/>
      <c r="C62" s="77"/>
      <c r="D62" s="77"/>
      <c r="E62" s="77"/>
      <c r="F62" s="266"/>
      <c r="G62" s="77"/>
      <c r="H62" s="77"/>
      <c r="I62" s="266"/>
      <c r="J62" s="267"/>
    </row>
    <row r="63" spans="1:10">
      <c r="A63" s="266">
        <v>4.4000000000000004</v>
      </c>
      <c r="B63" s="77"/>
      <c r="C63" s="266" t="s">
        <v>10</v>
      </c>
      <c r="D63" s="266" t="s">
        <v>227</v>
      </c>
      <c r="E63" s="266" t="s">
        <v>619</v>
      </c>
      <c r="F63" s="76" t="s">
        <v>620</v>
      </c>
      <c r="G63" s="266" t="s">
        <v>8</v>
      </c>
      <c r="H63" s="295">
        <v>10</v>
      </c>
      <c r="I63" s="604">
        <v>2345</v>
      </c>
      <c r="J63" s="267">
        <f t="shared" ref="J63" si="2">SUM(H63*I63)</f>
        <v>23450</v>
      </c>
    </row>
    <row r="64" spans="1:10" ht="105">
      <c r="A64" s="77"/>
      <c r="B64" s="77"/>
      <c r="C64" s="77"/>
      <c r="D64" s="77"/>
      <c r="E64" s="77"/>
      <c r="F64" s="81" t="s">
        <v>675</v>
      </c>
      <c r="G64" s="308"/>
      <c r="H64" s="308"/>
      <c r="I64" s="266"/>
      <c r="J64" s="267"/>
    </row>
    <row r="65" spans="1:10">
      <c r="A65" s="77"/>
      <c r="B65" s="77"/>
      <c r="C65" s="77"/>
      <c r="D65" s="77"/>
      <c r="E65" s="77"/>
      <c r="F65" s="81"/>
      <c r="G65" s="308"/>
      <c r="H65" s="308"/>
      <c r="I65" s="266"/>
      <c r="J65" s="267"/>
    </row>
    <row r="66" spans="1:10">
      <c r="A66" s="266">
        <v>4.5</v>
      </c>
      <c r="B66" s="77"/>
      <c r="C66" s="266" t="s">
        <v>10</v>
      </c>
      <c r="D66" s="266" t="s">
        <v>227</v>
      </c>
      <c r="E66" s="266" t="s">
        <v>619</v>
      </c>
      <c r="F66" s="76" t="s">
        <v>621</v>
      </c>
      <c r="G66" s="266" t="s">
        <v>8</v>
      </c>
      <c r="H66" s="295">
        <f>5*4</f>
        <v>20</v>
      </c>
      <c r="I66" s="604">
        <v>1195</v>
      </c>
      <c r="J66" s="267">
        <f t="shared" ref="J66" si="3">SUM(H66*I66)</f>
        <v>23900</v>
      </c>
    </row>
    <row r="67" spans="1:10" ht="105">
      <c r="A67" s="77"/>
      <c r="B67" s="77"/>
      <c r="C67" s="77"/>
      <c r="D67" s="77"/>
      <c r="E67" s="77"/>
      <c r="F67" s="81" t="s">
        <v>675</v>
      </c>
      <c r="G67" s="308"/>
      <c r="H67" s="308"/>
      <c r="I67" s="266"/>
      <c r="J67" s="267"/>
    </row>
    <row r="68" spans="1:10">
      <c r="A68" s="77"/>
      <c r="B68" s="77"/>
      <c r="C68" s="77"/>
      <c r="D68" s="77"/>
      <c r="E68" s="77"/>
      <c r="F68" s="266"/>
      <c r="G68" s="308"/>
      <c r="H68" s="308"/>
      <c r="I68" s="266"/>
      <c r="J68" s="267"/>
    </row>
    <row r="69" spans="1:10">
      <c r="A69" s="309">
        <v>4.5999999999999996</v>
      </c>
      <c r="B69" s="108"/>
      <c r="C69" s="270" t="s">
        <v>10</v>
      </c>
      <c r="D69" s="310"/>
      <c r="E69" s="268" t="s">
        <v>418</v>
      </c>
      <c r="F69" s="108" t="s">
        <v>419</v>
      </c>
      <c r="G69" s="269" t="s">
        <v>7</v>
      </c>
      <c r="H69" s="77">
        <f>42*3.2</f>
        <v>134.4</v>
      </c>
      <c r="I69" s="604">
        <v>732</v>
      </c>
      <c r="J69" s="267">
        <f t="shared" ref="J69:J133" si="4">SUM(H69*I69)</f>
        <v>98380.800000000003</v>
      </c>
    </row>
    <row r="70" spans="1:10" ht="75">
      <c r="A70" s="311"/>
      <c r="B70" s="108"/>
      <c r="C70" s="108"/>
      <c r="D70" s="108"/>
      <c r="E70" s="108"/>
      <c r="F70" s="312" t="s">
        <v>420</v>
      </c>
      <c r="G70" s="269"/>
      <c r="H70" s="77"/>
      <c r="I70" s="266"/>
      <c r="J70" s="267"/>
    </row>
    <row r="71" spans="1:10" ht="15.75" thickBot="1">
      <c r="A71" s="87"/>
      <c r="B71" s="299"/>
      <c r="C71" s="87"/>
      <c r="D71" s="87"/>
      <c r="E71" s="87"/>
      <c r="F71" s="272"/>
      <c r="G71" s="87"/>
      <c r="H71" s="87"/>
      <c r="I71" s="272"/>
      <c r="J71" s="300"/>
    </row>
    <row r="72" spans="1:10" ht="15.75" thickBot="1">
      <c r="A72" s="49" t="s">
        <v>12</v>
      </c>
      <c r="B72" s="69"/>
      <c r="C72" s="69"/>
      <c r="D72" s="69"/>
      <c r="E72" s="69"/>
      <c r="F72" s="50" t="s">
        <v>19</v>
      </c>
      <c r="G72" s="69"/>
      <c r="H72" s="69"/>
      <c r="I72" s="50"/>
      <c r="J72" s="303"/>
    </row>
    <row r="73" spans="1:10">
      <c r="A73" s="279"/>
      <c r="B73" s="31"/>
      <c r="C73" s="279"/>
      <c r="D73" s="279"/>
      <c r="E73" s="279"/>
      <c r="F73" s="279"/>
      <c r="G73" s="279"/>
      <c r="H73" s="279"/>
      <c r="I73" s="279"/>
      <c r="J73" s="307"/>
    </row>
    <row r="74" spans="1:10" ht="45">
      <c r="A74" s="266">
        <v>5.0999999999999996</v>
      </c>
      <c r="B74" s="77"/>
      <c r="C74" s="266" t="s">
        <v>425</v>
      </c>
      <c r="D74" s="398" t="s">
        <v>141</v>
      </c>
      <c r="E74" s="398" t="s">
        <v>142</v>
      </c>
      <c r="F74" s="123" t="s">
        <v>677</v>
      </c>
      <c r="G74" s="269" t="s">
        <v>7</v>
      </c>
      <c r="H74" s="77">
        <f>(2+0.5)*4.3</f>
        <v>10.75</v>
      </c>
      <c r="I74" s="604">
        <v>4410</v>
      </c>
      <c r="J74" s="267">
        <f t="shared" ref="J74" si="5">SUM(H74*I74)</f>
        <v>47407.5</v>
      </c>
    </row>
    <row r="75" spans="1:10" ht="90">
      <c r="A75" s="279"/>
      <c r="B75" s="31"/>
      <c r="C75" s="279"/>
      <c r="D75" s="125"/>
      <c r="E75" s="125"/>
      <c r="F75" s="398" t="s">
        <v>678</v>
      </c>
      <c r="G75" s="279"/>
      <c r="H75" s="279"/>
      <c r="I75" s="279"/>
      <c r="J75" s="307"/>
    </row>
    <row r="76" spans="1:10">
      <c r="A76" s="279"/>
      <c r="B76" s="31"/>
      <c r="C76" s="279"/>
      <c r="D76" s="279"/>
      <c r="E76" s="279"/>
      <c r="F76" s="279"/>
      <c r="G76" s="279"/>
      <c r="H76" s="279"/>
      <c r="I76" s="279"/>
      <c r="J76" s="307"/>
    </row>
    <row r="77" spans="1:10" ht="25.5">
      <c r="A77" s="279">
        <v>5.2</v>
      </c>
      <c r="B77" s="31"/>
      <c r="C77" s="279"/>
      <c r="D77" s="21" t="s">
        <v>141</v>
      </c>
      <c r="E77" s="34" t="s">
        <v>142</v>
      </c>
      <c r="F77" s="35" t="s">
        <v>679</v>
      </c>
      <c r="G77" s="19" t="s">
        <v>25</v>
      </c>
      <c r="H77" s="82">
        <f>(3*3)+(3*3*2.5)</f>
        <v>31.5</v>
      </c>
      <c r="I77" s="604">
        <v>7185</v>
      </c>
      <c r="J77" s="267">
        <f t="shared" ref="J77" si="6">SUM(H77*I77)</f>
        <v>226327.5</v>
      </c>
    </row>
    <row r="78" spans="1:10" ht="89.25">
      <c r="A78" s="279"/>
      <c r="B78" s="31"/>
      <c r="C78" s="279"/>
      <c r="D78" s="33"/>
      <c r="E78" s="33"/>
      <c r="F78" s="12" t="s">
        <v>680</v>
      </c>
      <c r="G78" s="19"/>
      <c r="H78" s="279"/>
      <c r="I78" s="279"/>
      <c r="J78" s="307"/>
    </row>
    <row r="79" spans="1:10">
      <c r="A79" s="279"/>
      <c r="B79" s="31"/>
      <c r="C79" s="279"/>
      <c r="D79" s="279"/>
      <c r="E79" s="279"/>
      <c r="F79" s="279"/>
      <c r="G79" s="279"/>
      <c r="H79" s="279"/>
      <c r="I79" s="279"/>
      <c r="J79" s="307"/>
    </row>
    <row r="80" spans="1:10">
      <c r="A80" s="279">
        <v>5.3</v>
      </c>
      <c r="B80" s="31"/>
      <c r="C80" s="279"/>
      <c r="D80" s="125" t="s">
        <v>30</v>
      </c>
      <c r="E80" s="125" t="s">
        <v>31</v>
      </c>
      <c r="F80" s="123" t="s">
        <v>681</v>
      </c>
      <c r="G80" s="124"/>
      <c r="H80" s="279"/>
      <c r="I80" s="279"/>
      <c r="J80" s="307"/>
    </row>
    <row r="81" spans="1:207" ht="75">
      <c r="A81" s="279"/>
      <c r="B81" s="31"/>
      <c r="C81" s="279"/>
      <c r="D81" s="125"/>
      <c r="E81" s="125"/>
      <c r="F81" s="36" t="s">
        <v>682</v>
      </c>
      <c r="G81" s="124"/>
      <c r="H81" s="279"/>
      <c r="I81" s="279"/>
      <c r="J81" s="307"/>
    </row>
    <row r="82" spans="1:207">
      <c r="A82" s="279" t="s">
        <v>147</v>
      </c>
      <c r="B82" s="31"/>
      <c r="C82" s="279"/>
      <c r="D82" s="125"/>
      <c r="E82" s="125"/>
      <c r="F82" s="399" t="s">
        <v>622</v>
      </c>
      <c r="G82" s="124" t="s">
        <v>25</v>
      </c>
      <c r="H82" s="279">
        <f>(3+3+4+1+3+1.5+1.5+1+3+1)*3.1</f>
        <v>68.2</v>
      </c>
      <c r="I82" s="604">
        <v>3018</v>
      </c>
      <c r="J82" s="267">
        <f t="shared" ref="J82:J85" si="7">SUM(H82*I82)</f>
        <v>205827.6</v>
      </c>
    </row>
    <row r="83" spans="1:207">
      <c r="A83" s="279" t="s">
        <v>148</v>
      </c>
      <c r="B83" s="31"/>
      <c r="C83" s="279"/>
      <c r="D83" s="125"/>
      <c r="E83" s="125"/>
      <c r="F83" s="399" t="s">
        <v>623</v>
      </c>
      <c r="G83" s="124" t="s">
        <v>25</v>
      </c>
      <c r="H83" s="279">
        <v>5</v>
      </c>
      <c r="I83" s="604">
        <v>3426</v>
      </c>
      <c r="J83" s="267">
        <f t="shared" si="7"/>
        <v>17130</v>
      </c>
    </row>
    <row r="84" spans="1:207" s="293" customFormat="1">
      <c r="A84" s="313" t="s">
        <v>149</v>
      </c>
      <c r="B84" s="285"/>
      <c r="C84" s="285"/>
      <c r="D84" s="125"/>
      <c r="E84" s="125"/>
      <c r="F84" s="399" t="s">
        <v>624</v>
      </c>
      <c r="G84" s="124" t="s">
        <v>25</v>
      </c>
      <c r="H84" s="316">
        <v>5</v>
      </c>
      <c r="I84" s="604">
        <v>3990</v>
      </c>
      <c r="J84" s="267">
        <f t="shared" si="7"/>
        <v>19950</v>
      </c>
      <c r="K84" s="292"/>
      <c r="L84" s="292"/>
      <c r="M84" s="292"/>
      <c r="N84" s="292"/>
      <c r="O84" s="292"/>
      <c r="P84" s="292"/>
      <c r="Q84" s="292"/>
      <c r="R84" s="292"/>
      <c r="S84" s="292"/>
      <c r="T84" s="292"/>
      <c r="U84" s="292"/>
      <c r="V84" s="292"/>
      <c r="W84" s="292"/>
      <c r="X84" s="292"/>
      <c r="Y84" s="292"/>
      <c r="Z84" s="292"/>
      <c r="AA84" s="292"/>
      <c r="AB84" s="292"/>
      <c r="AC84" s="292"/>
      <c r="AD84" s="292"/>
      <c r="AE84" s="292"/>
      <c r="AF84" s="292"/>
      <c r="AG84" s="292"/>
      <c r="AH84" s="292"/>
      <c r="AI84" s="292"/>
      <c r="AJ84" s="292"/>
      <c r="AK84" s="292"/>
      <c r="AL84" s="292"/>
      <c r="AM84" s="292"/>
      <c r="AN84" s="292"/>
      <c r="AO84" s="292"/>
      <c r="AP84" s="292"/>
      <c r="AQ84" s="292"/>
      <c r="AR84" s="292"/>
      <c r="AS84" s="292"/>
      <c r="AT84" s="292"/>
      <c r="AU84" s="292"/>
      <c r="AV84" s="292"/>
      <c r="AW84" s="292"/>
      <c r="AX84" s="292"/>
      <c r="AY84" s="292"/>
      <c r="AZ84" s="292"/>
      <c r="BA84" s="292"/>
      <c r="BB84" s="292"/>
      <c r="BC84" s="292"/>
      <c r="BD84" s="292"/>
      <c r="BE84" s="292"/>
      <c r="BF84" s="292"/>
      <c r="BG84" s="292"/>
      <c r="BH84" s="292"/>
      <c r="BI84" s="292"/>
      <c r="BJ84" s="292"/>
      <c r="BK84" s="292"/>
      <c r="BL84" s="292"/>
      <c r="BM84" s="292"/>
      <c r="BN84" s="292"/>
      <c r="BO84" s="292"/>
      <c r="BP84" s="292"/>
      <c r="BQ84" s="292"/>
      <c r="BR84" s="292"/>
      <c r="BS84" s="292"/>
      <c r="BT84" s="292"/>
      <c r="BU84" s="292"/>
      <c r="BV84" s="292"/>
      <c r="BW84" s="292"/>
      <c r="BX84" s="292"/>
      <c r="BY84" s="292"/>
      <c r="BZ84" s="292"/>
      <c r="CA84" s="292"/>
      <c r="CB84" s="292"/>
      <c r="CC84" s="292"/>
      <c r="CD84" s="292"/>
      <c r="CE84" s="292"/>
      <c r="CF84" s="292"/>
      <c r="CG84" s="292"/>
      <c r="CH84" s="292"/>
      <c r="CI84" s="292"/>
      <c r="CJ84" s="292"/>
      <c r="CK84" s="292"/>
      <c r="CL84" s="292"/>
      <c r="CM84" s="292"/>
      <c r="CN84" s="292"/>
      <c r="CO84" s="292"/>
      <c r="CP84" s="292"/>
      <c r="CQ84" s="292"/>
      <c r="CR84" s="292"/>
      <c r="CS84" s="292"/>
      <c r="CT84" s="292"/>
      <c r="CU84" s="292"/>
      <c r="CV84" s="292"/>
      <c r="CW84" s="292"/>
      <c r="CX84" s="292"/>
      <c r="CY84" s="292"/>
      <c r="CZ84" s="292"/>
      <c r="DA84" s="292"/>
      <c r="DB84" s="292"/>
      <c r="DC84" s="292"/>
      <c r="DD84" s="292"/>
      <c r="DE84" s="292"/>
      <c r="DF84" s="292"/>
      <c r="DG84" s="292"/>
      <c r="DH84" s="292"/>
      <c r="DI84" s="292"/>
      <c r="DJ84" s="292"/>
      <c r="DK84" s="292"/>
      <c r="DL84" s="292"/>
      <c r="DM84" s="292"/>
      <c r="DN84" s="292"/>
      <c r="DO84" s="292"/>
      <c r="DP84" s="292"/>
      <c r="DQ84" s="292"/>
      <c r="DR84" s="292"/>
      <c r="DS84" s="292"/>
      <c r="DT84" s="292"/>
      <c r="DU84" s="292"/>
      <c r="DV84" s="292"/>
      <c r="DW84" s="292"/>
      <c r="DX84" s="292"/>
      <c r="DY84" s="292"/>
      <c r="DZ84" s="292"/>
      <c r="EA84" s="292"/>
      <c r="EB84" s="292"/>
      <c r="EC84" s="292"/>
      <c r="ED84" s="292"/>
      <c r="EE84" s="292"/>
      <c r="EF84" s="292"/>
      <c r="EG84" s="292"/>
      <c r="EH84" s="292"/>
      <c r="EI84" s="292"/>
      <c r="EJ84" s="292"/>
      <c r="EK84" s="292"/>
      <c r="EL84" s="292"/>
      <c r="EM84" s="292"/>
      <c r="EN84" s="292"/>
      <c r="EO84" s="292"/>
      <c r="EP84" s="292"/>
      <c r="EQ84" s="292"/>
      <c r="ER84" s="292"/>
      <c r="ES84" s="292"/>
      <c r="ET84" s="292"/>
      <c r="EU84" s="292"/>
      <c r="EV84" s="292"/>
      <c r="EW84" s="292"/>
      <c r="EX84" s="292"/>
      <c r="EY84" s="292"/>
      <c r="EZ84" s="292"/>
      <c r="FA84" s="292"/>
      <c r="FB84" s="292"/>
      <c r="FC84" s="292"/>
      <c r="FD84" s="292"/>
      <c r="FE84" s="292"/>
      <c r="FF84" s="292"/>
      <c r="FG84" s="292"/>
      <c r="FH84" s="292"/>
      <c r="FI84" s="292"/>
      <c r="FJ84" s="292"/>
      <c r="FK84" s="292"/>
      <c r="FL84" s="292"/>
      <c r="FM84" s="292"/>
      <c r="FN84" s="292"/>
      <c r="FO84" s="292"/>
      <c r="FP84" s="292"/>
      <c r="FQ84" s="292"/>
      <c r="FR84" s="292"/>
      <c r="FS84" s="292"/>
      <c r="FT84" s="292"/>
      <c r="FU84" s="292"/>
      <c r="FV84" s="292"/>
      <c r="FW84" s="292"/>
      <c r="FX84" s="292"/>
      <c r="FY84" s="292"/>
      <c r="FZ84" s="292"/>
      <c r="GA84" s="292"/>
      <c r="GB84" s="292"/>
      <c r="GC84" s="292"/>
      <c r="GD84" s="292"/>
      <c r="GE84" s="292"/>
      <c r="GF84" s="292"/>
      <c r="GG84" s="292"/>
      <c r="GH84" s="292"/>
      <c r="GI84" s="292"/>
      <c r="GJ84" s="292"/>
      <c r="GK84" s="292"/>
      <c r="GL84" s="292"/>
      <c r="GM84" s="292"/>
      <c r="GN84" s="292"/>
      <c r="GO84" s="292"/>
      <c r="GP84" s="292"/>
      <c r="GQ84" s="292"/>
      <c r="GR84" s="292"/>
      <c r="GS84" s="292"/>
      <c r="GT84" s="292"/>
      <c r="GU84" s="292"/>
      <c r="GV84" s="292"/>
      <c r="GW84" s="292"/>
      <c r="GX84" s="292"/>
      <c r="GY84" s="292"/>
    </row>
    <row r="85" spans="1:207">
      <c r="A85" s="77" t="s">
        <v>150</v>
      </c>
      <c r="B85" s="77"/>
      <c r="C85" s="77"/>
      <c r="D85" s="125"/>
      <c r="E85" s="125"/>
      <c r="F85" s="399" t="s">
        <v>625</v>
      </c>
      <c r="G85" s="124" t="s">
        <v>25</v>
      </c>
      <c r="H85" s="77">
        <v>5</v>
      </c>
      <c r="I85" s="604">
        <v>2040</v>
      </c>
      <c r="J85" s="267">
        <f t="shared" si="7"/>
        <v>10200</v>
      </c>
    </row>
    <row r="86" spans="1:207">
      <c r="A86" s="77"/>
      <c r="B86" s="77"/>
      <c r="C86" s="77"/>
      <c r="D86" s="125"/>
      <c r="E86" s="125"/>
      <c r="F86" s="399"/>
      <c r="G86" s="124"/>
      <c r="H86" s="77"/>
      <c r="I86" s="604">
        <v>0</v>
      </c>
      <c r="J86" s="267"/>
    </row>
    <row r="87" spans="1:207">
      <c r="A87" s="266">
        <v>5.4</v>
      </c>
      <c r="B87" s="77"/>
      <c r="C87" s="266" t="s">
        <v>425</v>
      </c>
      <c r="D87" s="266" t="s">
        <v>426</v>
      </c>
      <c r="E87" s="266" t="s">
        <v>427</v>
      </c>
      <c r="F87" s="76" t="s">
        <v>626</v>
      </c>
      <c r="G87" s="266" t="s">
        <v>7</v>
      </c>
      <c r="H87" s="266">
        <v>8</v>
      </c>
      <c r="I87" s="604">
        <v>55690</v>
      </c>
      <c r="J87" s="267">
        <f t="shared" si="4"/>
        <v>445520</v>
      </c>
    </row>
    <row r="88" spans="1:207" ht="76.5">
      <c r="A88" s="77"/>
      <c r="B88" s="77"/>
      <c r="C88" s="77"/>
      <c r="D88" s="77"/>
      <c r="E88" s="77"/>
      <c r="F88" s="400" t="s">
        <v>627</v>
      </c>
      <c r="G88" s="77"/>
      <c r="H88" s="77"/>
      <c r="I88" s="266"/>
      <c r="J88" s="267"/>
    </row>
    <row r="89" spans="1:207" ht="25.5">
      <c r="A89" s="266"/>
      <c r="B89" s="77"/>
      <c r="C89" s="266"/>
      <c r="D89" s="266"/>
      <c r="E89" s="266"/>
      <c r="F89" s="400" t="s">
        <v>683</v>
      </c>
      <c r="G89" s="266"/>
      <c r="H89" s="266"/>
      <c r="I89" s="280"/>
      <c r="J89" s="267"/>
    </row>
    <row r="90" spans="1:207">
      <c r="A90" s="77"/>
      <c r="B90" s="77"/>
      <c r="C90" s="77"/>
      <c r="D90" s="77"/>
      <c r="E90" s="77"/>
      <c r="F90" s="81"/>
      <c r="G90" s="77"/>
      <c r="H90" s="77"/>
      <c r="I90" s="266"/>
      <c r="J90" s="267"/>
    </row>
    <row r="91" spans="1:207">
      <c r="A91" s="266">
        <v>5.5</v>
      </c>
      <c r="B91" s="77"/>
      <c r="C91" s="266" t="s">
        <v>425</v>
      </c>
      <c r="D91" s="266" t="s">
        <v>434</v>
      </c>
      <c r="E91" s="266" t="s">
        <v>435</v>
      </c>
      <c r="F91" s="76" t="s">
        <v>628</v>
      </c>
      <c r="G91" s="266" t="s">
        <v>7</v>
      </c>
      <c r="H91" s="266">
        <v>1.5</v>
      </c>
      <c r="I91" s="604">
        <v>24400</v>
      </c>
      <c r="J91" s="267">
        <f t="shared" si="4"/>
        <v>36600</v>
      </c>
    </row>
    <row r="92" spans="1:207" ht="120">
      <c r="A92" s="77"/>
      <c r="B92" s="77"/>
      <c r="C92" s="77"/>
      <c r="D92" s="77"/>
      <c r="E92" s="77"/>
      <c r="F92" s="266" t="s">
        <v>684</v>
      </c>
      <c r="G92" s="77"/>
      <c r="H92" s="77"/>
      <c r="I92" s="266"/>
      <c r="J92" s="267"/>
    </row>
    <row r="93" spans="1:207">
      <c r="A93" s="77"/>
      <c r="B93" s="77"/>
      <c r="C93" s="77"/>
      <c r="D93" s="77"/>
      <c r="E93" s="77"/>
      <c r="F93" s="81"/>
      <c r="G93" s="77"/>
      <c r="H93" s="77"/>
      <c r="I93" s="266"/>
      <c r="J93" s="267"/>
    </row>
    <row r="94" spans="1:207">
      <c r="A94" s="266">
        <v>5.6</v>
      </c>
      <c r="B94" s="77"/>
      <c r="C94" s="266" t="s">
        <v>425</v>
      </c>
      <c r="D94" s="266" t="s">
        <v>434</v>
      </c>
      <c r="E94" s="266" t="s">
        <v>434</v>
      </c>
      <c r="F94" s="76" t="s">
        <v>685</v>
      </c>
      <c r="G94" s="266" t="s">
        <v>7</v>
      </c>
      <c r="H94" s="266">
        <f>1.5*4</f>
        <v>6</v>
      </c>
      <c r="I94" s="604">
        <v>24400</v>
      </c>
      <c r="J94" s="267">
        <f t="shared" si="4"/>
        <v>146400</v>
      </c>
    </row>
    <row r="95" spans="1:207" ht="120">
      <c r="A95" s="77"/>
      <c r="B95" s="77"/>
      <c r="C95" s="77"/>
      <c r="D95" s="77"/>
      <c r="E95" s="77"/>
      <c r="F95" s="266" t="s">
        <v>686</v>
      </c>
      <c r="G95" s="77"/>
      <c r="H95" s="77"/>
      <c r="I95" s="266"/>
      <c r="J95" s="267"/>
    </row>
    <row r="96" spans="1:207">
      <c r="A96" s="77"/>
      <c r="B96" s="77"/>
      <c r="C96" s="77"/>
      <c r="D96" s="77"/>
      <c r="E96" s="77"/>
      <c r="F96" s="266"/>
      <c r="G96" s="77"/>
      <c r="H96" s="77"/>
      <c r="I96" s="266"/>
      <c r="J96" s="267"/>
    </row>
    <row r="97" spans="1:10">
      <c r="A97" s="266">
        <v>5.7</v>
      </c>
      <c r="B97" s="77"/>
      <c r="C97" s="266" t="s">
        <v>425</v>
      </c>
      <c r="D97" s="266" t="s">
        <v>434</v>
      </c>
      <c r="E97" s="266" t="s">
        <v>434</v>
      </c>
      <c r="F97" s="76" t="s">
        <v>687</v>
      </c>
      <c r="G97" s="266" t="s">
        <v>7</v>
      </c>
      <c r="H97" s="266">
        <f>1.5*4</f>
        <v>6</v>
      </c>
      <c r="I97" s="604">
        <v>25590</v>
      </c>
      <c r="J97" s="267">
        <f t="shared" ref="J97:J100" si="8">SUM(H97*I97)</f>
        <v>153540</v>
      </c>
    </row>
    <row r="98" spans="1:10" ht="120">
      <c r="A98" s="77"/>
      <c r="B98" s="77"/>
      <c r="C98" s="77"/>
      <c r="D98" s="77"/>
      <c r="E98" s="77"/>
      <c r="F98" s="266" t="s">
        <v>637</v>
      </c>
      <c r="G98" s="77"/>
      <c r="H98" s="77"/>
      <c r="I98" s="266"/>
      <c r="J98" s="267"/>
    </row>
    <row r="99" spans="1:10">
      <c r="A99" s="77"/>
      <c r="B99" s="77"/>
      <c r="C99" s="77"/>
      <c r="D99" s="77"/>
      <c r="E99" s="77"/>
      <c r="F99" s="266"/>
      <c r="G99" s="77"/>
      <c r="H99" s="77"/>
      <c r="I99" s="266"/>
      <c r="J99" s="267"/>
    </row>
    <row r="100" spans="1:10" ht="25.5">
      <c r="A100" s="266">
        <v>5.8</v>
      </c>
      <c r="B100" s="77"/>
      <c r="C100" s="266" t="s">
        <v>425</v>
      </c>
      <c r="D100" s="33" t="s">
        <v>155</v>
      </c>
      <c r="E100" s="33" t="s">
        <v>688</v>
      </c>
      <c r="F100" s="128" t="s">
        <v>689</v>
      </c>
      <c r="G100" s="19" t="s">
        <v>7</v>
      </c>
      <c r="H100" s="77">
        <f>(3+5+7)*3</f>
        <v>45</v>
      </c>
      <c r="I100" s="604">
        <v>18330</v>
      </c>
      <c r="J100" s="267">
        <f t="shared" si="8"/>
        <v>824850</v>
      </c>
    </row>
    <row r="101" spans="1:10" ht="89.25">
      <c r="A101" s="77"/>
      <c r="B101" s="77"/>
      <c r="C101" s="77"/>
      <c r="D101" s="33"/>
      <c r="E101" s="19"/>
      <c r="F101" s="129" t="s">
        <v>629</v>
      </c>
      <c r="G101" s="77"/>
      <c r="H101" s="77"/>
      <c r="I101" s="266"/>
      <c r="J101" s="267"/>
    </row>
    <row r="102" spans="1:10">
      <c r="A102" s="77"/>
      <c r="B102" s="77"/>
      <c r="C102" s="77"/>
      <c r="D102" s="77"/>
      <c r="E102" s="77"/>
      <c r="F102" s="266"/>
      <c r="G102" s="77"/>
      <c r="H102" s="77"/>
      <c r="I102" s="266"/>
      <c r="J102" s="267"/>
    </row>
    <row r="103" spans="1:10" ht="25.5">
      <c r="A103" s="266">
        <v>5.9</v>
      </c>
      <c r="B103" s="77"/>
      <c r="C103" s="266" t="s">
        <v>425</v>
      </c>
      <c r="D103" s="33" t="s">
        <v>155</v>
      </c>
      <c r="E103" s="33" t="s">
        <v>230</v>
      </c>
      <c r="F103" s="8" t="s">
        <v>690</v>
      </c>
      <c r="G103" s="19" t="s">
        <v>7</v>
      </c>
      <c r="H103" s="77">
        <f>(2.5*3)-(1.7*2.4)</f>
        <v>3.42</v>
      </c>
      <c r="I103" s="604">
        <v>22615</v>
      </c>
      <c r="J103" s="267">
        <f t="shared" ref="J103" si="9">SUM(H103*I103)</f>
        <v>77343.3</v>
      </c>
    </row>
    <row r="104" spans="1:10" ht="38.25">
      <c r="A104" s="77"/>
      <c r="B104" s="77"/>
      <c r="C104" s="77"/>
      <c r="D104" s="77"/>
      <c r="E104" s="33"/>
      <c r="F104" s="401" t="s">
        <v>630</v>
      </c>
      <c r="G104" s="77"/>
      <c r="H104" s="77"/>
      <c r="I104" s="266"/>
      <c r="J104" s="267"/>
    </row>
    <row r="105" spans="1:10">
      <c r="A105" s="77"/>
      <c r="B105" s="77"/>
      <c r="C105" s="77"/>
      <c r="D105" s="77"/>
      <c r="E105" s="77"/>
      <c r="F105" s="266"/>
      <c r="G105" s="77"/>
      <c r="H105" s="77"/>
      <c r="I105" s="266"/>
      <c r="J105" s="267"/>
    </row>
    <row r="106" spans="1:10" ht="25.5">
      <c r="A106" s="295">
        <v>5.0999999999999996</v>
      </c>
      <c r="B106" s="77"/>
      <c r="C106" s="266" t="s">
        <v>425</v>
      </c>
      <c r="D106" s="33" t="s">
        <v>155</v>
      </c>
      <c r="E106" s="33" t="s">
        <v>634</v>
      </c>
      <c r="F106" s="8" t="s">
        <v>635</v>
      </c>
      <c r="G106" s="19" t="s">
        <v>7</v>
      </c>
      <c r="H106" s="77">
        <f>2.6*3</f>
        <v>7.8000000000000007</v>
      </c>
      <c r="I106" s="604">
        <v>43570</v>
      </c>
      <c r="J106" s="267">
        <f t="shared" ref="J106" si="10">SUM(H106*I106)</f>
        <v>339846.00000000006</v>
      </c>
    </row>
    <row r="107" spans="1:10" ht="89.25">
      <c r="A107" s="77"/>
      <c r="B107" s="77"/>
      <c r="C107" s="77"/>
      <c r="D107" s="77"/>
      <c r="E107" s="33"/>
      <c r="F107" s="163" t="s">
        <v>691</v>
      </c>
      <c r="G107" s="77"/>
      <c r="H107" s="77"/>
      <c r="I107" s="266"/>
      <c r="J107" s="267"/>
    </row>
    <row r="108" spans="1:10">
      <c r="A108" s="77"/>
      <c r="B108" s="77"/>
      <c r="C108" s="77"/>
      <c r="D108" s="77"/>
      <c r="E108" s="19"/>
      <c r="F108" s="8"/>
      <c r="G108" s="77"/>
      <c r="H108" s="77"/>
      <c r="I108" s="266"/>
      <c r="J108" s="267"/>
    </row>
    <row r="109" spans="1:10">
      <c r="A109" s="266">
        <v>5.1100000000000003</v>
      </c>
      <c r="B109" s="77"/>
      <c r="C109" s="266" t="s">
        <v>425</v>
      </c>
      <c r="D109" s="33" t="s">
        <v>155</v>
      </c>
      <c r="E109" s="33" t="s">
        <v>638</v>
      </c>
      <c r="F109" s="8" t="s">
        <v>636</v>
      </c>
      <c r="G109" s="19" t="s">
        <v>7</v>
      </c>
      <c r="H109" s="77">
        <f>3.2*3</f>
        <v>9.6000000000000014</v>
      </c>
      <c r="I109" s="604">
        <v>47010</v>
      </c>
      <c r="J109" s="267">
        <f t="shared" ref="J109" si="11">SUM(H109*I109)</f>
        <v>451296.00000000006</v>
      </c>
    </row>
    <row r="110" spans="1:10" ht="76.5">
      <c r="A110" s="77"/>
      <c r="B110" s="77"/>
      <c r="C110" s="77"/>
      <c r="D110" s="77"/>
      <c r="E110" s="33"/>
      <c r="F110" s="163" t="s">
        <v>692</v>
      </c>
      <c r="G110" s="77"/>
      <c r="H110" s="77"/>
      <c r="I110" s="266"/>
      <c r="J110" s="267"/>
    </row>
    <row r="111" spans="1:10">
      <c r="A111" s="77"/>
      <c r="B111" s="77"/>
      <c r="C111" s="77"/>
      <c r="D111" s="77"/>
      <c r="E111" s="19"/>
      <c r="F111" s="21"/>
      <c r="G111" s="77"/>
      <c r="H111" s="77"/>
      <c r="I111" s="266"/>
      <c r="J111" s="267"/>
    </row>
    <row r="112" spans="1:10">
      <c r="A112" s="266">
        <v>5.12</v>
      </c>
      <c r="B112" s="77"/>
      <c r="C112" s="266" t="s">
        <v>425</v>
      </c>
      <c r="D112" s="33" t="s">
        <v>155</v>
      </c>
      <c r="E112" s="33" t="s">
        <v>638</v>
      </c>
      <c r="F112" s="8" t="s">
        <v>639</v>
      </c>
      <c r="G112" s="19" t="s">
        <v>7</v>
      </c>
      <c r="H112" s="77">
        <f>2.8*3</f>
        <v>8.3999999999999986</v>
      </c>
      <c r="I112" s="604">
        <v>47010</v>
      </c>
      <c r="J112" s="267">
        <f t="shared" ref="J112" si="12">SUM(H112*I112)</f>
        <v>394883.99999999994</v>
      </c>
    </row>
    <row r="113" spans="1:10" ht="63.75">
      <c r="A113" s="77"/>
      <c r="B113" s="77"/>
      <c r="C113" s="77"/>
      <c r="D113" s="77"/>
      <c r="E113" s="33"/>
      <c r="F113" s="163" t="s">
        <v>693</v>
      </c>
      <c r="G113" s="77"/>
      <c r="H113" s="77"/>
      <c r="I113" s="266"/>
      <c r="J113" s="267"/>
    </row>
    <row r="114" spans="1:10">
      <c r="A114" s="77"/>
      <c r="B114" s="77"/>
      <c r="C114" s="77"/>
      <c r="D114" s="77"/>
      <c r="E114" s="33"/>
      <c r="F114" s="8"/>
      <c r="G114" s="77"/>
      <c r="H114" s="77"/>
      <c r="I114" s="266"/>
      <c r="J114" s="267"/>
    </row>
    <row r="115" spans="1:10">
      <c r="A115" s="266">
        <v>5.13</v>
      </c>
      <c r="B115" s="77"/>
      <c r="C115" s="266" t="s">
        <v>425</v>
      </c>
      <c r="D115" s="33" t="s">
        <v>640</v>
      </c>
      <c r="E115" s="33" t="s">
        <v>638</v>
      </c>
      <c r="F115" s="8" t="s">
        <v>694</v>
      </c>
      <c r="G115" s="19" t="s">
        <v>175</v>
      </c>
      <c r="H115" s="77">
        <v>1</v>
      </c>
      <c r="I115" s="604">
        <v>56470</v>
      </c>
      <c r="J115" s="267">
        <f t="shared" ref="J115" si="13">SUM(H115*I115)</f>
        <v>56470</v>
      </c>
    </row>
    <row r="116" spans="1:10" ht="38.25">
      <c r="A116" s="77"/>
      <c r="B116" s="77"/>
      <c r="C116" s="77"/>
      <c r="D116" s="77"/>
      <c r="E116" s="33"/>
      <c r="F116" s="163" t="s">
        <v>641</v>
      </c>
      <c r="G116" s="77"/>
      <c r="H116" s="77"/>
      <c r="I116" s="266"/>
      <c r="J116" s="267"/>
    </row>
    <row r="117" spans="1:10">
      <c r="A117" s="77"/>
      <c r="B117" s="77"/>
      <c r="C117" s="77"/>
      <c r="D117" s="77"/>
      <c r="E117" s="33"/>
      <c r="F117" s="163"/>
      <c r="G117" s="77"/>
      <c r="H117" s="77"/>
      <c r="I117" s="266"/>
      <c r="J117" s="267"/>
    </row>
    <row r="118" spans="1:10" ht="25.5">
      <c r="A118" s="266">
        <v>5.14</v>
      </c>
      <c r="B118" s="77"/>
      <c r="C118" s="266" t="s">
        <v>425</v>
      </c>
      <c r="D118" s="33" t="s">
        <v>645</v>
      </c>
      <c r="E118" s="33" t="s">
        <v>643</v>
      </c>
      <c r="F118" s="35" t="s">
        <v>644</v>
      </c>
      <c r="G118" s="19" t="s">
        <v>175</v>
      </c>
      <c r="H118" s="77">
        <v>1</v>
      </c>
      <c r="I118" s="604">
        <v>47635</v>
      </c>
      <c r="J118" s="267">
        <f t="shared" ref="J118" si="14">SUM(H118*I118)</f>
        <v>47635</v>
      </c>
    </row>
    <row r="119" spans="1:10" ht="25.5">
      <c r="A119" s="77"/>
      <c r="B119" s="77"/>
      <c r="C119" s="77"/>
      <c r="D119" s="77"/>
      <c r="E119" s="19"/>
      <c r="F119" s="13" t="s">
        <v>695</v>
      </c>
      <c r="G119" s="77"/>
      <c r="H119" s="77"/>
      <c r="I119" s="266"/>
      <c r="J119" s="267"/>
    </row>
    <row r="120" spans="1:10">
      <c r="A120" s="77"/>
      <c r="B120" s="77"/>
      <c r="C120" s="77"/>
      <c r="D120" s="77"/>
      <c r="E120" s="33"/>
      <c r="F120" s="163"/>
      <c r="G120" s="77"/>
      <c r="H120" s="77"/>
      <c r="I120" s="266"/>
      <c r="J120" s="267"/>
    </row>
    <row r="121" spans="1:10" ht="25.5">
      <c r="A121" s="266">
        <v>5.15</v>
      </c>
      <c r="B121" s="77"/>
      <c r="C121" s="266" t="s">
        <v>425</v>
      </c>
      <c r="D121" s="33" t="s">
        <v>645</v>
      </c>
      <c r="E121" s="33" t="s">
        <v>646</v>
      </c>
      <c r="F121" s="35" t="s">
        <v>647</v>
      </c>
      <c r="G121" s="19" t="s">
        <v>175</v>
      </c>
      <c r="H121" s="77">
        <v>1</v>
      </c>
      <c r="I121" s="604">
        <v>322670</v>
      </c>
      <c r="J121" s="267">
        <f t="shared" ref="J121" si="15">SUM(H121*I121)</f>
        <v>322670</v>
      </c>
    </row>
    <row r="122" spans="1:10" ht="38.25">
      <c r="A122" s="77"/>
      <c r="B122" s="77"/>
      <c r="C122" s="77"/>
      <c r="D122" s="77"/>
      <c r="E122" s="19"/>
      <c r="F122" s="13" t="s">
        <v>696</v>
      </c>
      <c r="G122" s="77"/>
      <c r="H122" s="77"/>
      <c r="I122" s="266"/>
      <c r="J122" s="267"/>
    </row>
    <row r="123" spans="1:10">
      <c r="A123" s="77"/>
      <c r="B123" s="77"/>
      <c r="C123" s="77"/>
      <c r="E123" s="33"/>
      <c r="F123" s="163"/>
      <c r="G123" s="77"/>
      <c r="H123" s="77"/>
      <c r="I123" s="266"/>
      <c r="J123" s="267"/>
    </row>
    <row r="124" spans="1:10">
      <c r="A124" s="266">
        <v>5.16</v>
      </c>
      <c r="B124" s="77"/>
      <c r="C124" s="266" t="s">
        <v>425</v>
      </c>
      <c r="D124" s="33" t="s">
        <v>34</v>
      </c>
      <c r="E124" s="33" t="s">
        <v>36</v>
      </c>
      <c r="F124" s="128" t="s">
        <v>37</v>
      </c>
      <c r="G124" s="19" t="s">
        <v>28</v>
      </c>
      <c r="H124" s="77">
        <v>40</v>
      </c>
      <c r="I124" s="604">
        <v>2455</v>
      </c>
      <c r="J124" s="267">
        <f t="shared" ref="J124" si="16">SUM(H124*I124)</f>
        <v>98200</v>
      </c>
    </row>
    <row r="125" spans="1:10">
      <c r="A125" s="77"/>
      <c r="B125" s="77"/>
      <c r="C125" s="77"/>
      <c r="D125" s="33"/>
      <c r="E125" s="19"/>
      <c r="F125" s="129" t="s">
        <v>49</v>
      </c>
      <c r="G125" s="19"/>
      <c r="H125" s="77"/>
      <c r="I125" s="266"/>
      <c r="J125" s="267"/>
    </row>
    <row r="126" spans="1:10">
      <c r="A126" s="77"/>
      <c r="B126" s="77"/>
      <c r="C126" s="77"/>
      <c r="D126" s="33"/>
      <c r="E126" s="19"/>
      <c r="F126" s="129"/>
      <c r="G126" s="19"/>
      <c r="H126" s="77"/>
      <c r="I126" s="266"/>
      <c r="J126" s="267"/>
    </row>
    <row r="127" spans="1:10">
      <c r="A127" s="266">
        <v>5.17</v>
      </c>
      <c r="B127" s="77"/>
      <c r="C127" s="266" t="s">
        <v>425</v>
      </c>
      <c r="D127" s="33" t="s">
        <v>648</v>
      </c>
      <c r="E127" s="33" t="s">
        <v>697</v>
      </c>
      <c r="F127" s="128" t="s">
        <v>698</v>
      </c>
      <c r="G127" s="19" t="s">
        <v>28</v>
      </c>
      <c r="H127" s="77">
        <v>5</v>
      </c>
      <c r="I127" s="604">
        <v>33545</v>
      </c>
      <c r="J127" s="267">
        <f t="shared" ref="J127" si="17">SUM(H127*I127)</f>
        <v>167725</v>
      </c>
    </row>
    <row r="128" spans="1:10" ht="25.5">
      <c r="A128" s="77"/>
      <c r="B128" s="77"/>
      <c r="C128" s="77"/>
      <c r="D128" s="33"/>
      <c r="E128" s="19"/>
      <c r="F128" s="129" t="s">
        <v>699</v>
      </c>
      <c r="G128" s="19"/>
      <c r="H128" s="77"/>
      <c r="I128" s="266"/>
      <c r="J128" s="267"/>
    </row>
    <row r="129" spans="1:10">
      <c r="A129" s="77"/>
      <c r="B129" s="77"/>
      <c r="C129" s="77"/>
      <c r="D129" s="33"/>
      <c r="E129" s="19"/>
      <c r="F129" s="129"/>
      <c r="G129" s="19"/>
      <c r="H129" s="77"/>
      <c r="I129" s="266"/>
      <c r="J129" s="267"/>
    </row>
    <row r="130" spans="1:10">
      <c r="A130" s="266">
        <v>5.18</v>
      </c>
      <c r="B130" s="77"/>
      <c r="C130" s="266" t="s">
        <v>425</v>
      </c>
      <c r="D130" s="33" t="s">
        <v>649</v>
      </c>
      <c r="E130" s="33" t="s">
        <v>650</v>
      </c>
      <c r="F130" s="128" t="s">
        <v>651</v>
      </c>
      <c r="G130" s="19" t="s">
        <v>175</v>
      </c>
      <c r="H130" s="77">
        <v>4</v>
      </c>
      <c r="I130" s="604">
        <v>38350</v>
      </c>
      <c r="J130" s="267">
        <f t="shared" ref="J130" si="18">SUM(H130*I130)</f>
        <v>153400</v>
      </c>
    </row>
    <row r="131" spans="1:10">
      <c r="A131" s="77"/>
      <c r="B131" s="77"/>
      <c r="C131" s="77"/>
      <c r="D131" s="77"/>
      <c r="E131" s="19"/>
      <c r="F131" s="21"/>
      <c r="G131" s="77"/>
      <c r="H131" s="77"/>
      <c r="I131" s="266"/>
      <c r="J131" s="267"/>
    </row>
    <row r="132" spans="1:10">
      <c r="A132" s="77"/>
      <c r="B132" s="77"/>
      <c r="C132" s="77"/>
      <c r="D132" s="77"/>
      <c r="E132" s="77"/>
      <c r="F132" s="294" t="s">
        <v>440</v>
      </c>
      <c r="G132" s="77"/>
      <c r="H132" s="77"/>
      <c r="I132" s="266"/>
      <c r="J132" s="267"/>
    </row>
    <row r="133" spans="1:10" ht="30">
      <c r="A133" s="266">
        <v>5.19</v>
      </c>
      <c r="B133" s="77"/>
      <c r="C133" s="266" t="s">
        <v>425</v>
      </c>
      <c r="D133" s="266" t="s">
        <v>441</v>
      </c>
      <c r="E133" s="266" t="s">
        <v>442</v>
      </c>
      <c r="F133" s="123" t="s">
        <v>700</v>
      </c>
      <c r="G133" s="266" t="s">
        <v>126</v>
      </c>
      <c r="H133" s="266">
        <v>1</v>
      </c>
      <c r="I133" s="604">
        <v>225315</v>
      </c>
      <c r="J133" s="267">
        <f t="shared" si="4"/>
        <v>225315</v>
      </c>
    </row>
    <row r="134" spans="1:10">
      <c r="A134" s="77"/>
      <c r="B134" s="77"/>
      <c r="C134" s="77"/>
      <c r="D134" s="77"/>
      <c r="E134" s="77"/>
      <c r="F134" s="395" t="s">
        <v>633</v>
      </c>
      <c r="G134" s="77"/>
      <c r="H134" s="77"/>
      <c r="I134" s="266"/>
      <c r="J134" s="267"/>
    </row>
    <row r="135" spans="1:10">
      <c r="A135" s="77"/>
      <c r="B135" s="77"/>
      <c r="C135" s="77"/>
      <c r="D135" s="77"/>
      <c r="E135" s="77"/>
      <c r="F135" s="395" t="s">
        <v>183</v>
      </c>
      <c r="G135" s="77"/>
      <c r="H135" s="77"/>
      <c r="I135" s="266"/>
      <c r="J135" s="267"/>
    </row>
    <row r="136" spans="1:10" ht="105">
      <c r="A136" s="77"/>
      <c r="B136" s="77"/>
      <c r="C136" s="77"/>
      <c r="D136" s="77"/>
      <c r="E136" s="77"/>
      <c r="F136" s="395" t="s">
        <v>652</v>
      </c>
      <c r="G136" s="77"/>
      <c r="H136" s="77"/>
      <c r="I136" s="266"/>
      <c r="J136" s="267"/>
    </row>
    <row r="137" spans="1:10">
      <c r="A137" s="77"/>
      <c r="B137" s="77"/>
      <c r="C137" s="77"/>
      <c r="D137" s="77"/>
      <c r="E137" s="77"/>
      <c r="F137" s="402" t="s">
        <v>184</v>
      </c>
      <c r="G137" s="77"/>
      <c r="H137" s="77"/>
      <c r="I137" s="266"/>
      <c r="J137" s="267"/>
    </row>
    <row r="138" spans="1:10" ht="105">
      <c r="A138" s="77"/>
      <c r="B138" s="77"/>
      <c r="C138" s="77"/>
      <c r="D138" s="77"/>
      <c r="E138" s="77"/>
      <c r="F138" s="36" t="s">
        <v>653</v>
      </c>
      <c r="G138" s="77"/>
      <c r="H138" s="77"/>
      <c r="I138" s="266"/>
      <c r="J138" s="267"/>
    </row>
    <row r="139" spans="1:10">
      <c r="A139" s="77"/>
      <c r="B139" s="77"/>
      <c r="C139" s="77"/>
      <c r="D139" s="77"/>
      <c r="E139" s="77"/>
      <c r="F139" s="139" t="s">
        <v>265</v>
      </c>
      <c r="G139" s="77"/>
      <c r="H139" s="77"/>
      <c r="I139" s="266"/>
      <c r="J139" s="267"/>
    </row>
    <row r="140" spans="1:10">
      <c r="A140" s="77"/>
      <c r="B140" s="77"/>
      <c r="C140" s="77"/>
      <c r="D140" s="77"/>
      <c r="E140" s="77"/>
      <c r="F140" s="36" t="s">
        <v>631</v>
      </c>
      <c r="G140" s="77"/>
      <c r="H140" s="77"/>
      <c r="I140" s="266"/>
      <c r="J140" s="267"/>
    </row>
    <row r="141" spans="1:10">
      <c r="A141" s="77"/>
      <c r="B141" s="77"/>
      <c r="C141" s="77"/>
      <c r="D141" s="77"/>
      <c r="E141" s="77"/>
      <c r="F141" s="402" t="s">
        <v>185</v>
      </c>
      <c r="G141" s="77"/>
      <c r="H141" s="77"/>
      <c r="I141" s="266"/>
      <c r="J141" s="267"/>
    </row>
    <row r="142" spans="1:10" ht="60">
      <c r="A142" s="77"/>
      <c r="B142" s="77"/>
      <c r="C142" s="77"/>
      <c r="D142" s="77"/>
      <c r="E142" s="77"/>
      <c r="F142" s="395" t="s">
        <v>632</v>
      </c>
      <c r="G142" s="77"/>
      <c r="H142" s="77"/>
      <c r="I142" s="266"/>
      <c r="J142" s="267"/>
    </row>
    <row r="143" spans="1:10">
      <c r="A143" s="77"/>
      <c r="B143" s="77"/>
      <c r="C143" s="77"/>
      <c r="D143" s="77"/>
      <c r="E143" s="77"/>
      <c r="F143" s="266"/>
      <c r="G143" s="77"/>
      <c r="H143" s="77"/>
      <c r="I143" s="266"/>
      <c r="J143" s="267"/>
    </row>
    <row r="144" spans="1:10" ht="30">
      <c r="A144" s="295">
        <v>5.2</v>
      </c>
      <c r="B144" s="77"/>
      <c r="C144" s="266" t="s">
        <v>425</v>
      </c>
      <c r="D144" s="266" t="s">
        <v>441</v>
      </c>
      <c r="E144" s="266" t="s">
        <v>442</v>
      </c>
      <c r="F144" s="123" t="s">
        <v>654</v>
      </c>
      <c r="G144" s="266" t="s">
        <v>126</v>
      </c>
      <c r="H144" s="266">
        <v>1</v>
      </c>
      <c r="I144" s="604">
        <v>168185</v>
      </c>
      <c r="J144" s="267">
        <f t="shared" ref="J144" si="19">SUM(H144*I144)</f>
        <v>168185</v>
      </c>
    </row>
    <row r="145" spans="1:10">
      <c r="A145" s="77"/>
      <c r="B145" s="77"/>
      <c r="C145" s="77"/>
      <c r="D145" s="77"/>
      <c r="E145" s="77"/>
      <c r="F145" s="395" t="s">
        <v>633</v>
      </c>
      <c r="G145" s="77"/>
      <c r="H145" s="77"/>
      <c r="I145" s="266"/>
      <c r="J145" s="267"/>
    </row>
    <row r="146" spans="1:10">
      <c r="A146" s="77"/>
      <c r="B146" s="77"/>
      <c r="C146" s="77"/>
      <c r="D146" s="77"/>
      <c r="E146" s="77"/>
      <c r="F146" s="395" t="s">
        <v>183</v>
      </c>
      <c r="G146" s="77"/>
      <c r="H146" s="77"/>
      <c r="I146" s="266"/>
      <c r="J146" s="267"/>
    </row>
    <row r="147" spans="1:10" ht="105">
      <c r="A147" s="77"/>
      <c r="B147" s="77"/>
      <c r="C147" s="77"/>
      <c r="D147" s="77"/>
      <c r="E147" s="77"/>
      <c r="F147" s="395" t="s">
        <v>655</v>
      </c>
      <c r="G147" s="77"/>
      <c r="H147" s="77"/>
      <c r="I147" s="266"/>
      <c r="J147" s="267"/>
    </row>
    <row r="148" spans="1:10">
      <c r="A148" s="77"/>
      <c r="B148" s="77"/>
      <c r="C148" s="77"/>
      <c r="D148" s="77"/>
      <c r="E148" s="77"/>
      <c r="F148" s="402" t="s">
        <v>184</v>
      </c>
      <c r="G148" s="77"/>
      <c r="H148" s="77"/>
      <c r="I148" s="266"/>
      <c r="J148" s="267"/>
    </row>
    <row r="149" spans="1:10" ht="105">
      <c r="A149" s="77"/>
      <c r="B149" s="77"/>
      <c r="C149" s="77"/>
      <c r="D149" s="77"/>
      <c r="E149" s="77"/>
      <c r="F149" s="36" t="s">
        <v>656</v>
      </c>
      <c r="G149" s="77"/>
      <c r="H149" s="77"/>
      <c r="I149" s="266"/>
      <c r="J149" s="267"/>
    </row>
    <row r="150" spans="1:10">
      <c r="A150" s="77"/>
      <c r="B150" s="77"/>
      <c r="C150" s="77"/>
      <c r="D150" s="77"/>
      <c r="E150" s="77"/>
      <c r="F150" s="139" t="s">
        <v>265</v>
      </c>
      <c r="G150" s="77"/>
      <c r="H150" s="77"/>
      <c r="I150" s="266"/>
      <c r="J150" s="267"/>
    </row>
    <row r="151" spans="1:10">
      <c r="A151" s="77"/>
      <c r="B151" s="77"/>
      <c r="C151" s="77"/>
      <c r="D151" s="77"/>
      <c r="E151" s="77"/>
      <c r="F151" s="36" t="s">
        <v>631</v>
      </c>
      <c r="G151" s="77"/>
      <c r="H151" s="77"/>
      <c r="I151" s="266"/>
      <c r="J151" s="267"/>
    </row>
    <row r="152" spans="1:10">
      <c r="A152" s="77"/>
      <c r="B152" s="77"/>
      <c r="C152" s="77"/>
      <c r="D152" s="77"/>
      <c r="E152" s="77"/>
      <c r="F152" s="402" t="s">
        <v>185</v>
      </c>
      <c r="G152" s="77"/>
      <c r="H152" s="77"/>
      <c r="I152" s="266"/>
      <c r="J152" s="267"/>
    </row>
    <row r="153" spans="1:10" ht="60">
      <c r="A153" s="77"/>
      <c r="B153" s="77"/>
      <c r="C153" s="77"/>
      <c r="D153" s="77"/>
      <c r="E153" s="77"/>
      <c r="F153" s="395" t="s">
        <v>632</v>
      </c>
      <c r="G153" s="77"/>
      <c r="H153" s="77"/>
      <c r="I153" s="266"/>
      <c r="J153" s="267"/>
    </row>
    <row r="154" spans="1:10">
      <c r="A154" s="77"/>
      <c r="B154" s="77"/>
      <c r="C154" s="77"/>
      <c r="D154" s="77"/>
      <c r="E154" s="77"/>
      <c r="F154" s="266"/>
      <c r="G154" s="77"/>
      <c r="H154" s="77"/>
      <c r="I154" s="266"/>
      <c r="J154" s="267"/>
    </row>
    <row r="155" spans="1:10">
      <c r="A155" s="295">
        <v>5.21</v>
      </c>
      <c r="B155" s="77"/>
      <c r="C155" s="266" t="s">
        <v>425</v>
      </c>
      <c r="D155" s="266" t="s">
        <v>657</v>
      </c>
      <c r="E155" s="266" t="s">
        <v>187</v>
      </c>
      <c r="F155" s="76" t="s">
        <v>658</v>
      </c>
      <c r="G155" s="266" t="s">
        <v>126</v>
      </c>
      <c r="H155" s="266">
        <v>1</v>
      </c>
      <c r="I155" s="604">
        <v>242880</v>
      </c>
      <c r="J155" s="267">
        <f t="shared" ref="J155" si="20">SUM(H155*I155)</f>
        <v>242880</v>
      </c>
    </row>
    <row r="156" spans="1:10" ht="76.5">
      <c r="A156" s="77"/>
      <c r="B156" s="77"/>
      <c r="C156" s="77"/>
      <c r="D156" s="77"/>
      <c r="E156" s="77"/>
      <c r="F156" s="400" t="s">
        <v>701</v>
      </c>
      <c r="G156" s="77"/>
      <c r="H156" s="77"/>
      <c r="I156" s="266"/>
      <c r="J156" s="267"/>
    </row>
    <row r="157" spans="1:10" ht="25.5">
      <c r="A157" s="266"/>
      <c r="B157" s="77"/>
      <c r="C157" s="266"/>
      <c r="D157" s="266"/>
      <c r="E157" s="266"/>
      <c r="F157" s="400" t="s">
        <v>683</v>
      </c>
      <c r="G157" s="266"/>
      <c r="H157" s="266"/>
      <c r="I157" s="280"/>
      <c r="J157" s="267"/>
    </row>
    <row r="158" spans="1:10">
      <c r="A158" s="77"/>
      <c r="B158" s="77"/>
      <c r="C158" s="77"/>
      <c r="D158" s="77"/>
      <c r="E158" s="77"/>
      <c r="F158" s="81"/>
      <c r="G158" s="77"/>
      <c r="H158" s="77"/>
      <c r="I158" s="266"/>
      <c r="J158" s="267"/>
    </row>
    <row r="159" spans="1:10" ht="30">
      <c r="A159" s="295">
        <v>5.22</v>
      </c>
      <c r="B159" s="77"/>
      <c r="C159" s="266" t="s">
        <v>425</v>
      </c>
      <c r="D159" s="266" t="s">
        <v>663</v>
      </c>
      <c r="E159" s="266" t="s">
        <v>664</v>
      </c>
      <c r="F159" s="402" t="s">
        <v>662</v>
      </c>
      <c r="G159" s="266" t="s">
        <v>28</v>
      </c>
      <c r="H159" s="266">
        <v>2</v>
      </c>
      <c r="I159" s="604">
        <v>41700</v>
      </c>
      <c r="J159" s="267">
        <f t="shared" ref="J159" si="21">SUM(H159*I159)</f>
        <v>83400</v>
      </c>
    </row>
    <row r="160" spans="1:10" ht="120">
      <c r="A160" s="266"/>
      <c r="B160" s="77"/>
      <c r="C160" s="266"/>
      <c r="D160" s="266"/>
      <c r="E160" s="266"/>
      <c r="F160" s="395" t="s">
        <v>702</v>
      </c>
      <c r="G160" s="266"/>
      <c r="H160" s="266"/>
      <c r="I160" s="266"/>
      <c r="J160" s="267"/>
    </row>
    <row r="161" spans="1:10" ht="15.75" thickBot="1">
      <c r="A161" s="87"/>
      <c r="B161" s="87"/>
      <c r="C161" s="87"/>
      <c r="D161" s="87"/>
      <c r="E161" s="87"/>
      <c r="F161" s="85"/>
      <c r="G161" s="87"/>
      <c r="H161" s="87"/>
      <c r="I161" s="272"/>
      <c r="J161" s="300"/>
    </row>
    <row r="162" spans="1:10" ht="15.75" thickBot="1">
      <c r="A162" s="49" t="s">
        <v>195</v>
      </c>
      <c r="B162" s="69"/>
      <c r="C162" s="69"/>
      <c r="D162" s="69"/>
      <c r="E162" s="69"/>
      <c r="F162" s="50" t="s">
        <v>481</v>
      </c>
      <c r="G162" s="69"/>
      <c r="H162" s="69"/>
      <c r="I162" s="50"/>
      <c r="J162" s="303"/>
    </row>
    <row r="163" spans="1:10">
      <c r="A163" s="279"/>
      <c r="B163" s="31"/>
      <c r="C163" s="31"/>
      <c r="D163" s="31"/>
      <c r="E163" s="31"/>
      <c r="F163" s="279"/>
      <c r="G163" s="31"/>
      <c r="H163" s="31"/>
      <c r="I163" s="279"/>
      <c r="J163" s="307"/>
    </row>
    <row r="164" spans="1:10">
      <c r="A164" s="77"/>
      <c r="B164" s="77"/>
      <c r="C164" s="77"/>
      <c r="D164" s="77"/>
      <c r="E164" s="77"/>
      <c r="F164" s="294" t="s">
        <v>482</v>
      </c>
      <c r="G164" s="77"/>
      <c r="H164" s="77"/>
      <c r="I164" s="266"/>
      <c r="J164" s="267"/>
    </row>
    <row r="165" spans="1:10">
      <c r="A165" s="266">
        <v>6.1</v>
      </c>
      <c r="B165" s="77"/>
      <c r="C165" s="266" t="s">
        <v>483</v>
      </c>
      <c r="D165" s="266" t="s">
        <v>484</v>
      </c>
      <c r="E165" s="77"/>
      <c r="F165" s="266" t="s">
        <v>612</v>
      </c>
      <c r="G165" s="266" t="s">
        <v>126</v>
      </c>
      <c r="H165" s="266">
        <v>1</v>
      </c>
      <c r="I165" s="604">
        <v>0</v>
      </c>
      <c r="J165" s="267">
        <f t="shared" ref="J165:J175" si="22">SUM(H165*I165)</f>
        <v>0</v>
      </c>
    </row>
    <row r="166" spans="1:10">
      <c r="A166" s="266">
        <v>6.2</v>
      </c>
      <c r="B166" s="77"/>
      <c r="C166" s="266" t="s">
        <v>483</v>
      </c>
      <c r="D166" s="266" t="s">
        <v>484</v>
      </c>
      <c r="E166" s="77"/>
      <c r="F166" s="266" t="s">
        <v>486</v>
      </c>
      <c r="G166" s="266" t="s">
        <v>126</v>
      </c>
      <c r="H166" s="266">
        <v>1</v>
      </c>
      <c r="I166" s="604">
        <v>0</v>
      </c>
      <c r="J166" s="267">
        <f t="shared" si="22"/>
        <v>0</v>
      </c>
    </row>
    <row r="167" spans="1:10">
      <c r="A167" s="266">
        <v>6.3</v>
      </c>
      <c r="B167" s="77"/>
      <c r="C167" s="266" t="s">
        <v>483</v>
      </c>
      <c r="D167" s="266" t="s">
        <v>484</v>
      </c>
      <c r="E167" s="77"/>
      <c r="F167" s="266" t="s">
        <v>487</v>
      </c>
      <c r="G167" s="266" t="s">
        <v>126</v>
      </c>
      <c r="H167" s="266">
        <v>1</v>
      </c>
      <c r="I167" s="604">
        <v>0</v>
      </c>
      <c r="J167" s="267">
        <f t="shared" si="22"/>
        <v>0</v>
      </c>
    </row>
    <row r="168" spans="1:10">
      <c r="A168" s="266">
        <v>6.4</v>
      </c>
      <c r="B168" s="77"/>
      <c r="C168" s="266" t="s">
        <v>483</v>
      </c>
      <c r="D168" s="266" t="s">
        <v>484</v>
      </c>
      <c r="E168" s="77"/>
      <c r="F168" s="266" t="s">
        <v>668</v>
      </c>
      <c r="G168" s="266" t="s">
        <v>126</v>
      </c>
      <c r="H168" s="266">
        <v>1</v>
      </c>
      <c r="I168" s="604">
        <v>0</v>
      </c>
      <c r="J168" s="267">
        <f t="shared" si="22"/>
        <v>0</v>
      </c>
    </row>
    <row r="169" spans="1:10">
      <c r="A169" s="266">
        <v>6.6</v>
      </c>
      <c r="B169" s="77"/>
      <c r="C169" s="266" t="s">
        <v>483</v>
      </c>
      <c r="D169" s="266" t="s">
        <v>484</v>
      </c>
      <c r="E169" s="77"/>
      <c r="F169" s="266" t="s">
        <v>490</v>
      </c>
      <c r="G169" s="266" t="s">
        <v>126</v>
      </c>
      <c r="H169" s="266">
        <v>1</v>
      </c>
      <c r="I169" s="604">
        <v>0</v>
      </c>
      <c r="J169" s="267">
        <f t="shared" si="22"/>
        <v>0</v>
      </c>
    </row>
    <row r="170" spans="1:10">
      <c r="A170" s="266">
        <v>6.7</v>
      </c>
      <c r="B170" s="77"/>
      <c r="C170" s="266" t="s">
        <v>483</v>
      </c>
      <c r="D170" s="266" t="s">
        <v>484</v>
      </c>
      <c r="E170" s="77"/>
      <c r="F170" s="266" t="s">
        <v>491</v>
      </c>
      <c r="G170" s="266" t="s">
        <v>126</v>
      </c>
      <c r="H170" s="266">
        <v>1</v>
      </c>
      <c r="I170" s="604">
        <v>0</v>
      </c>
      <c r="J170" s="267">
        <f t="shared" si="22"/>
        <v>0</v>
      </c>
    </row>
    <row r="171" spans="1:10">
      <c r="A171" s="266">
        <v>6.8</v>
      </c>
      <c r="B171" s="77"/>
      <c r="C171" s="266" t="s">
        <v>483</v>
      </c>
      <c r="D171" s="266" t="s">
        <v>484</v>
      </c>
      <c r="E171" s="77"/>
      <c r="F171" s="266" t="s">
        <v>492</v>
      </c>
      <c r="G171" s="266" t="s">
        <v>126</v>
      </c>
      <c r="H171" s="266">
        <v>1</v>
      </c>
      <c r="I171" s="604">
        <v>0</v>
      </c>
      <c r="J171" s="267">
        <f t="shared" si="22"/>
        <v>0</v>
      </c>
    </row>
    <row r="172" spans="1:10">
      <c r="A172" s="266">
        <v>6.9</v>
      </c>
      <c r="B172" s="77"/>
      <c r="C172" s="266" t="s">
        <v>483</v>
      </c>
      <c r="D172" s="266" t="s">
        <v>484</v>
      </c>
      <c r="E172" s="77"/>
      <c r="F172" s="266" t="s">
        <v>493</v>
      </c>
      <c r="G172" s="266" t="s">
        <v>126</v>
      </c>
      <c r="H172" s="266">
        <v>1</v>
      </c>
      <c r="I172" s="604">
        <v>0</v>
      </c>
      <c r="J172" s="267">
        <f t="shared" si="22"/>
        <v>0</v>
      </c>
    </row>
    <row r="173" spans="1:10">
      <c r="A173" s="295">
        <v>6.1</v>
      </c>
      <c r="B173" s="77"/>
      <c r="C173" s="266" t="s">
        <v>483</v>
      </c>
      <c r="D173" s="266" t="s">
        <v>484</v>
      </c>
      <c r="E173" s="77"/>
      <c r="F173" s="266" t="s">
        <v>494</v>
      </c>
      <c r="G173" s="266" t="s">
        <v>126</v>
      </c>
      <c r="H173" s="266">
        <v>1</v>
      </c>
      <c r="I173" s="604">
        <v>0</v>
      </c>
      <c r="J173" s="267">
        <f t="shared" si="22"/>
        <v>0</v>
      </c>
    </row>
    <row r="174" spans="1:10">
      <c r="A174" s="295">
        <v>6.11</v>
      </c>
      <c r="B174" s="77"/>
      <c r="C174" s="266" t="s">
        <v>483</v>
      </c>
      <c r="D174" s="266" t="s">
        <v>484</v>
      </c>
      <c r="E174" s="77"/>
      <c r="F174" s="266" t="s">
        <v>498</v>
      </c>
      <c r="G174" s="266" t="s">
        <v>126</v>
      </c>
      <c r="H174" s="266">
        <v>1</v>
      </c>
      <c r="I174" s="604">
        <v>0</v>
      </c>
      <c r="J174" s="267">
        <f t="shared" si="22"/>
        <v>0</v>
      </c>
    </row>
    <row r="175" spans="1:10">
      <c r="A175" s="295">
        <v>6.12</v>
      </c>
      <c r="B175" s="77"/>
      <c r="C175" s="266" t="s">
        <v>483</v>
      </c>
      <c r="D175" s="266" t="s">
        <v>484</v>
      </c>
      <c r="E175" s="77"/>
      <c r="F175" s="266" t="s">
        <v>499</v>
      </c>
      <c r="G175" s="266" t="s">
        <v>126</v>
      </c>
      <c r="H175" s="266">
        <v>1</v>
      </c>
      <c r="I175" s="604">
        <v>0</v>
      </c>
      <c r="J175" s="267">
        <f t="shared" si="22"/>
        <v>0</v>
      </c>
    </row>
    <row r="176" spans="1:10">
      <c r="A176" s="295">
        <v>6.13</v>
      </c>
      <c r="B176" s="77"/>
      <c r="C176" s="266" t="s">
        <v>483</v>
      </c>
      <c r="D176" s="266" t="s">
        <v>484</v>
      </c>
      <c r="E176" s="77"/>
      <c r="F176" s="266" t="s">
        <v>500</v>
      </c>
      <c r="G176" s="266" t="s">
        <v>126</v>
      </c>
      <c r="H176" s="266">
        <v>1</v>
      </c>
      <c r="I176" s="604">
        <v>0</v>
      </c>
      <c r="J176" s="267">
        <f t="shared" ref="J176:J182" si="23">SUM(H176*I176)</f>
        <v>0</v>
      </c>
    </row>
    <row r="177" spans="1:10" ht="15.75" thickBot="1">
      <c r="A177" s="299"/>
      <c r="B177" s="87"/>
      <c r="C177" s="272"/>
      <c r="D177" s="272"/>
      <c r="E177" s="87"/>
      <c r="F177" s="272"/>
      <c r="G177" s="272"/>
      <c r="H177" s="272"/>
      <c r="I177" s="272"/>
      <c r="J177" s="300"/>
    </row>
    <row r="178" spans="1:10" ht="15.75" thickBot="1">
      <c r="A178" s="49" t="s">
        <v>505</v>
      </c>
      <c r="B178" s="69"/>
      <c r="C178" s="69"/>
      <c r="D178" s="69"/>
      <c r="E178" s="69"/>
      <c r="F178" s="50" t="s">
        <v>506</v>
      </c>
      <c r="G178" s="69"/>
      <c r="H178" s="69"/>
      <c r="I178" s="50"/>
      <c r="J178" s="303"/>
    </row>
    <row r="179" spans="1:10">
      <c r="A179" s="279"/>
      <c r="B179" s="31"/>
      <c r="C179" s="31"/>
      <c r="D179" s="31"/>
      <c r="E179" s="31"/>
      <c r="F179" s="279"/>
      <c r="G179" s="31"/>
      <c r="H179" s="31"/>
      <c r="I179" s="279"/>
      <c r="J179" s="307"/>
    </row>
    <row r="180" spans="1:10">
      <c r="A180" s="266">
        <v>7.1</v>
      </c>
      <c r="B180" s="77"/>
      <c r="C180" s="266" t="s">
        <v>13</v>
      </c>
      <c r="D180" s="266" t="s">
        <v>507</v>
      </c>
      <c r="E180" s="77" t="s">
        <v>508</v>
      </c>
      <c r="F180" s="76" t="s">
        <v>509</v>
      </c>
      <c r="G180" s="266" t="s">
        <v>7</v>
      </c>
      <c r="H180" s="266">
        <v>80</v>
      </c>
      <c r="I180" s="604">
        <v>492</v>
      </c>
      <c r="J180" s="267">
        <f t="shared" si="23"/>
        <v>39360</v>
      </c>
    </row>
    <row r="181" spans="1:10" ht="60">
      <c r="A181" s="77"/>
      <c r="B181" s="77"/>
      <c r="C181" s="77"/>
      <c r="D181" s="77"/>
      <c r="E181" s="77"/>
      <c r="F181" s="266" t="s">
        <v>510</v>
      </c>
      <c r="G181" s="77"/>
      <c r="H181" s="77"/>
      <c r="I181" s="266"/>
      <c r="J181" s="267"/>
    </row>
    <row r="182" spans="1:10" ht="30">
      <c r="A182" s="266">
        <v>7.2</v>
      </c>
      <c r="B182" s="77"/>
      <c r="C182" s="266" t="s">
        <v>13</v>
      </c>
      <c r="D182" s="266" t="s">
        <v>511</v>
      </c>
      <c r="E182" s="77" t="s">
        <v>512</v>
      </c>
      <c r="F182" s="76" t="s">
        <v>14</v>
      </c>
      <c r="G182" s="266" t="s">
        <v>7</v>
      </c>
      <c r="H182" s="266">
        <v>100</v>
      </c>
      <c r="I182" s="604">
        <v>552</v>
      </c>
      <c r="J182" s="267">
        <f t="shared" si="23"/>
        <v>55200</v>
      </c>
    </row>
    <row r="183" spans="1:10" ht="60">
      <c r="A183" s="77"/>
      <c r="B183" s="77"/>
      <c r="C183" s="77"/>
      <c r="D183" s="77"/>
      <c r="E183" s="77"/>
      <c r="F183" s="266" t="s">
        <v>513</v>
      </c>
      <c r="G183" s="77"/>
      <c r="H183" s="77"/>
      <c r="I183" s="266"/>
      <c r="J183" s="266"/>
    </row>
    <row r="184" spans="1:10">
      <c r="A184" s="87"/>
      <c r="B184" s="87"/>
      <c r="C184" s="87"/>
      <c r="D184" s="87"/>
      <c r="E184" s="77"/>
      <c r="F184" s="266"/>
      <c r="G184" s="266"/>
      <c r="H184" s="87"/>
      <c r="I184" s="272"/>
      <c r="J184" s="272"/>
    </row>
    <row r="185" spans="1:10" ht="30">
      <c r="A185" s="266">
        <v>7.3</v>
      </c>
      <c r="B185" s="77"/>
      <c r="C185" s="266" t="s">
        <v>13</v>
      </c>
      <c r="D185" s="266" t="s">
        <v>507</v>
      </c>
      <c r="E185" s="125" t="s">
        <v>659</v>
      </c>
      <c r="F185" s="139" t="s">
        <v>660</v>
      </c>
      <c r="G185" s="124" t="s">
        <v>7</v>
      </c>
      <c r="H185" s="87">
        <v>70</v>
      </c>
      <c r="I185" s="604">
        <v>336</v>
      </c>
      <c r="J185" s="267">
        <f t="shared" ref="J185" si="24">SUM(H185*I185)</f>
        <v>23520</v>
      </c>
    </row>
    <row r="186" spans="1:10" ht="30">
      <c r="A186" s="87"/>
      <c r="B186" s="87"/>
      <c r="C186" s="87"/>
      <c r="D186" s="87"/>
      <c r="E186" s="125"/>
      <c r="F186" s="36" t="s">
        <v>661</v>
      </c>
      <c r="G186" s="124"/>
      <c r="H186" s="87"/>
      <c r="I186" s="272"/>
      <c r="J186" s="272"/>
    </row>
    <row r="187" spans="1:10">
      <c r="A187" s="87"/>
      <c r="B187" s="87"/>
      <c r="C187" s="87"/>
      <c r="D187" s="87"/>
      <c r="E187" s="87"/>
      <c r="F187" s="272"/>
      <c r="G187" s="87"/>
      <c r="H187" s="87"/>
      <c r="I187" s="272"/>
      <c r="J187" s="272"/>
    </row>
    <row r="188" spans="1:10">
      <c r="A188" s="266">
        <v>7.4</v>
      </c>
      <c r="B188" s="77"/>
      <c r="C188" s="266" t="s">
        <v>13</v>
      </c>
      <c r="D188" s="266" t="s">
        <v>667</v>
      </c>
      <c r="E188" s="125" t="s">
        <v>665</v>
      </c>
      <c r="F188" s="123" t="s">
        <v>703</v>
      </c>
      <c r="G188" s="124" t="s">
        <v>25</v>
      </c>
      <c r="H188" s="87">
        <v>70</v>
      </c>
      <c r="I188" s="604">
        <v>630</v>
      </c>
      <c r="J188" s="267">
        <f t="shared" ref="J188" si="25">SUM(H188*I188)</f>
        <v>44100</v>
      </c>
    </row>
    <row r="189" spans="1:10" ht="45">
      <c r="A189" s="87"/>
      <c r="B189" s="87"/>
      <c r="C189" s="87"/>
      <c r="D189" s="87"/>
      <c r="E189" s="125"/>
      <c r="F189" s="124" t="s">
        <v>666</v>
      </c>
      <c r="G189" s="124"/>
      <c r="H189" s="87"/>
      <c r="I189" s="272"/>
      <c r="J189" s="272"/>
    </row>
    <row r="190" spans="1:10">
      <c r="A190" s="87"/>
      <c r="B190" s="87"/>
      <c r="C190" s="87"/>
      <c r="D190" s="87"/>
      <c r="E190" s="186"/>
      <c r="F190" s="187"/>
      <c r="G190" s="187"/>
      <c r="H190" s="87"/>
      <c r="I190" s="272"/>
      <c r="J190" s="272"/>
    </row>
    <row r="191" spans="1:10">
      <c r="A191" s="266">
        <v>7.5</v>
      </c>
      <c r="B191" s="77"/>
      <c r="C191" s="266" t="s">
        <v>13</v>
      </c>
      <c r="D191" s="266" t="s">
        <v>507</v>
      </c>
      <c r="E191" s="5" t="s">
        <v>43</v>
      </c>
      <c r="F191" s="15" t="s">
        <v>55</v>
      </c>
      <c r="G191" s="124" t="s">
        <v>25</v>
      </c>
      <c r="H191" s="87">
        <v>25</v>
      </c>
      <c r="I191" s="604">
        <v>3702</v>
      </c>
      <c r="J191" s="267">
        <f t="shared" ref="J191" si="26">SUM(H191*I191)</f>
        <v>92550</v>
      </c>
    </row>
    <row r="192" spans="1:10" ht="25.5">
      <c r="A192" s="87"/>
      <c r="B192" s="87"/>
      <c r="C192" s="87"/>
      <c r="D192" s="87"/>
      <c r="E192" s="5"/>
      <c r="F192" s="12" t="s">
        <v>196</v>
      </c>
      <c r="G192" s="187"/>
      <c r="H192" s="87"/>
      <c r="I192" s="272"/>
      <c r="J192" s="272"/>
    </row>
    <row r="193" spans="1:10" ht="15.75" thickBot="1">
      <c r="A193" s="87"/>
      <c r="B193" s="87"/>
      <c r="C193" s="87"/>
      <c r="D193" s="87"/>
      <c r="E193" s="87"/>
      <c r="F193" s="272"/>
      <c r="G193" s="87"/>
      <c r="H193" s="87"/>
      <c r="I193" s="272"/>
      <c r="J193" s="272"/>
    </row>
    <row r="194" spans="1:10" ht="15.75" thickBot="1">
      <c r="A194" s="301"/>
      <c r="B194" s="302"/>
      <c r="C194" s="69"/>
      <c r="D194" s="69"/>
      <c r="E194" s="69"/>
      <c r="F194" s="50" t="s">
        <v>514</v>
      </c>
      <c r="G194" s="69"/>
      <c r="H194" s="69"/>
      <c r="I194" s="50"/>
      <c r="J194" s="605">
        <f>SUM(J6:J192)</f>
        <v>7537441.7000000002</v>
      </c>
    </row>
    <row r="195" spans="1:10">
      <c r="A195" s="319"/>
      <c r="B195" s="319"/>
      <c r="C195" s="319"/>
      <c r="D195" s="319"/>
      <c r="E195" s="319"/>
      <c r="F195" s="319"/>
      <c r="G195" s="320"/>
      <c r="H195" s="320"/>
    </row>
  </sheetData>
  <mergeCells count="3">
    <mergeCell ref="A1:H1"/>
    <mergeCell ref="A2:H2"/>
    <mergeCell ref="I3:J3"/>
  </mergeCells>
  <conditionalFormatting sqref="F88:F89">
    <cfRule type="duplicateValues" dxfId="1" priority="4"/>
  </conditionalFormatting>
  <conditionalFormatting sqref="F156:F157">
    <cfRule type="duplicateValues" dxfId="0" priority="2"/>
  </conditionalFormatting>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U246"/>
  <sheetViews>
    <sheetView zoomScale="90" zoomScaleNormal="90" workbookViewId="0">
      <pane ySplit="4" topLeftCell="A243" activePane="bottomLeft" state="frozen"/>
      <selection pane="bottomLeft" activeCell="A243" sqref="A243"/>
    </sheetView>
  </sheetViews>
  <sheetFormatPr defaultColWidth="6.5" defaultRowHeight="15"/>
  <cols>
    <col min="1" max="1" width="4.5" style="62" customWidth="1"/>
    <col min="2" max="2" width="9.75" style="62" customWidth="1"/>
    <col min="3" max="3" width="4.875" style="62" customWidth="1"/>
    <col min="4" max="4" width="8.25" style="62" bestFit="1" customWidth="1"/>
    <col min="5" max="5" width="10.125" style="62" customWidth="1"/>
    <col min="6" max="6" width="63.875" style="62" customWidth="1"/>
    <col min="7" max="7" width="5" style="62" bestFit="1" customWidth="1"/>
    <col min="8" max="8" width="8.375" style="62" customWidth="1"/>
    <col min="9" max="9" width="9" style="62" customWidth="1"/>
    <col min="10" max="10" width="13.5" style="62" customWidth="1"/>
    <col min="11" max="203" width="6.5" style="62" customWidth="1"/>
    <col min="204" max="16384" width="6.5" style="250"/>
  </cols>
  <sheetData>
    <row r="1" spans="1:10" ht="24" customHeight="1">
      <c r="A1" s="642" t="s">
        <v>343</v>
      </c>
      <c r="B1" s="643"/>
      <c r="C1" s="643"/>
      <c r="D1" s="643"/>
      <c r="E1" s="643"/>
      <c r="F1" s="643"/>
      <c r="G1" s="643"/>
      <c r="H1" s="643"/>
      <c r="I1" s="248"/>
      <c r="J1" s="249"/>
    </row>
    <row r="2" spans="1:10" ht="24" customHeight="1">
      <c r="A2" s="644" t="s">
        <v>515</v>
      </c>
      <c r="B2" s="644"/>
      <c r="C2" s="644"/>
      <c r="D2" s="644"/>
      <c r="E2" s="644"/>
      <c r="F2" s="644"/>
      <c r="G2" s="644"/>
      <c r="H2" s="644"/>
      <c r="I2" s="251"/>
      <c r="J2" s="251"/>
    </row>
    <row r="3" spans="1:10" ht="24" customHeight="1" thickBot="1">
      <c r="A3" s="252"/>
      <c r="B3" s="253"/>
      <c r="C3" s="253"/>
      <c r="D3" s="253"/>
      <c r="E3" s="253"/>
      <c r="F3" s="253"/>
      <c r="G3" s="253"/>
      <c r="H3" s="253"/>
      <c r="I3" s="645"/>
      <c r="J3" s="646"/>
    </row>
    <row r="4" spans="1:10" ht="60.75" thickBot="1">
      <c r="A4" s="252"/>
      <c r="B4" s="50" t="s">
        <v>0</v>
      </c>
      <c r="C4" s="50" t="s">
        <v>1</v>
      </c>
      <c r="D4" s="50" t="s">
        <v>2</v>
      </c>
      <c r="E4" s="50" t="s">
        <v>3</v>
      </c>
      <c r="F4" s="50" t="s">
        <v>344</v>
      </c>
      <c r="G4" s="50" t="s">
        <v>345</v>
      </c>
      <c r="H4" s="50" t="s">
        <v>4</v>
      </c>
      <c r="I4" s="70" t="s">
        <v>23</v>
      </c>
      <c r="J4" s="254" t="s">
        <v>5</v>
      </c>
    </row>
    <row r="5" spans="1:10">
      <c r="A5" s="58"/>
      <c r="B5" s="58"/>
      <c r="C5" s="58"/>
      <c r="D5" s="58"/>
      <c r="E5" s="58"/>
      <c r="F5" s="58"/>
      <c r="G5" s="58"/>
      <c r="H5" s="58"/>
      <c r="I5" s="61"/>
      <c r="J5" s="61"/>
    </row>
    <row r="6" spans="1:10">
      <c r="A6" s="255" t="s">
        <v>15</v>
      </c>
      <c r="B6" s="255"/>
      <c r="C6" s="71" t="s">
        <v>102</v>
      </c>
      <c r="D6" s="255"/>
      <c r="E6" s="255"/>
      <c r="F6" s="255" t="s">
        <v>98</v>
      </c>
      <c r="G6" s="255" t="s">
        <v>41</v>
      </c>
      <c r="H6" s="255">
        <v>1</v>
      </c>
      <c r="I6" s="256"/>
      <c r="J6" s="83">
        <f>SUM(H6*I6)</f>
        <v>0</v>
      </c>
    </row>
    <row r="7" spans="1:10" ht="15.75" thickBot="1">
      <c r="A7" s="257"/>
      <c r="B7" s="258"/>
      <c r="C7" s="259"/>
      <c r="D7" s="260"/>
      <c r="E7" s="261"/>
      <c r="F7" s="262"/>
      <c r="G7" s="263"/>
      <c r="H7" s="264"/>
      <c r="I7" s="265"/>
      <c r="J7" s="265"/>
    </row>
    <row r="8" spans="1:10" ht="15.75" thickBot="1">
      <c r="A8" s="49" t="s">
        <v>16</v>
      </c>
      <c r="B8" s="50"/>
      <c r="C8" s="50"/>
      <c r="D8" s="50"/>
      <c r="E8" s="50"/>
      <c r="F8" s="68" t="s">
        <v>100</v>
      </c>
      <c r="G8" s="50"/>
      <c r="H8" s="50"/>
      <c r="I8" s="70"/>
      <c r="J8" s="254"/>
    </row>
    <row r="9" spans="1:10" ht="210">
      <c r="A9" s="71">
        <v>2.1</v>
      </c>
      <c r="B9" s="71" t="s">
        <v>101</v>
      </c>
      <c r="C9" s="71" t="s">
        <v>102</v>
      </c>
      <c r="D9" s="71" t="s">
        <v>103</v>
      </c>
      <c r="E9" s="71" t="s">
        <v>346</v>
      </c>
      <c r="F9" s="72" t="s">
        <v>606</v>
      </c>
      <c r="G9" s="73" t="s">
        <v>105</v>
      </c>
      <c r="H9" s="73">
        <v>231.77000000000004</v>
      </c>
      <c r="I9" s="604">
        <v>4519</v>
      </c>
      <c r="J9" s="83">
        <f>SUM(H9*I9)</f>
        <v>1047368.6300000001</v>
      </c>
    </row>
    <row r="10" spans="1:10">
      <c r="A10" s="76"/>
      <c r="B10" s="76"/>
      <c r="C10" s="76"/>
      <c r="D10" s="76"/>
      <c r="E10" s="76"/>
      <c r="F10" s="76"/>
      <c r="G10" s="76"/>
      <c r="H10" s="266"/>
      <c r="I10" s="78"/>
      <c r="J10" s="78"/>
    </row>
    <row r="11" spans="1:10" ht="210">
      <c r="A11" s="80">
        <v>2.2000000000000002</v>
      </c>
      <c r="B11" s="80" t="s">
        <v>101</v>
      </c>
      <c r="C11" s="80" t="s">
        <v>102</v>
      </c>
      <c r="D11" s="80" t="s">
        <v>103</v>
      </c>
      <c r="E11" s="80" t="s">
        <v>104</v>
      </c>
      <c r="F11" s="81" t="s">
        <v>607</v>
      </c>
      <c r="G11" s="82" t="s">
        <v>105</v>
      </c>
      <c r="H11" s="266">
        <v>49.1</v>
      </c>
      <c r="I11" s="604">
        <v>3607</v>
      </c>
      <c r="J11" s="83">
        <f>SUM(H11*I11)</f>
        <v>177103.7</v>
      </c>
    </row>
    <row r="12" spans="1:10">
      <c r="A12" s="76"/>
      <c r="B12" s="76"/>
      <c r="C12" s="76"/>
      <c r="D12" s="76"/>
      <c r="E12" s="76"/>
      <c r="F12" s="76"/>
      <c r="G12" s="76"/>
      <c r="H12" s="266"/>
      <c r="I12" s="78"/>
      <c r="J12" s="78"/>
    </row>
    <row r="13" spans="1:10" ht="225">
      <c r="A13" s="80">
        <v>2.2999999999999998</v>
      </c>
      <c r="B13" s="80" t="s">
        <v>101</v>
      </c>
      <c r="C13" s="80" t="s">
        <v>102</v>
      </c>
      <c r="D13" s="80" t="s">
        <v>103</v>
      </c>
      <c r="E13" s="80" t="s">
        <v>106</v>
      </c>
      <c r="F13" s="81" t="s">
        <v>608</v>
      </c>
      <c r="G13" s="82" t="s">
        <v>105</v>
      </c>
      <c r="H13" s="266">
        <v>73.69</v>
      </c>
      <c r="I13" s="604">
        <v>3140</v>
      </c>
      <c r="J13" s="83">
        <f>SUM(H13*I13)</f>
        <v>231386.6</v>
      </c>
    </row>
    <row r="14" spans="1:10">
      <c r="A14" s="76"/>
      <c r="B14" s="76"/>
      <c r="C14" s="76"/>
      <c r="D14" s="76"/>
      <c r="E14" s="76"/>
      <c r="F14" s="76"/>
      <c r="G14" s="76"/>
      <c r="H14" s="266"/>
      <c r="I14" s="78"/>
      <c r="J14" s="78"/>
    </row>
    <row r="15" spans="1:10" ht="270">
      <c r="A15" s="80">
        <v>2.4</v>
      </c>
      <c r="B15" s="80" t="s">
        <v>107</v>
      </c>
      <c r="C15" s="80" t="s">
        <v>102</v>
      </c>
      <c r="D15" s="80" t="s">
        <v>108</v>
      </c>
      <c r="E15" s="80" t="s">
        <v>109</v>
      </c>
      <c r="F15" s="81" t="s">
        <v>110</v>
      </c>
      <c r="G15" s="82" t="s">
        <v>105</v>
      </c>
      <c r="H15" s="267">
        <f>SUM(H9:H13)*2</f>
        <v>709.12000000000012</v>
      </c>
      <c r="I15" s="604">
        <v>1200</v>
      </c>
      <c r="J15" s="83">
        <f>SUM(H15*I15)</f>
        <v>850944.00000000012</v>
      </c>
    </row>
    <row r="16" spans="1:10">
      <c r="A16" s="76"/>
      <c r="B16" s="76"/>
      <c r="C16" s="76"/>
      <c r="D16" s="76"/>
      <c r="E16" s="76"/>
      <c r="F16" s="76"/>
      <c r="G16" s="76"/>
      <c r="H16" s="266"/>
      <c r="I16" s="78"/>
      <c r="J16" s="78"/>
    </row>
    <row r="17" spans="1:10" ht="270">
      <c r="A17" s="80">
        <v>2.5</v>
      </c>
      <c r="B17" s="80" t="s">
        <v>107</v>
      </c>
      <c r="C17" s="80" t="s">
        <v>102</v>
      </c>
      <c r="D17" s="80" t="s">
        <v>111</v>
      </c>
      <c r="E17" s="80" t="s">
        <v>347</v>
      </c>
      <c r="F17" s="81" t="s">
        <v>110</v>
      </c>
      <c r="G17" s="82" t="s">
        <v>105</v>
      </c>
      <c r="H17" s="266">
        <v>106.21</v>
      </c>
      <c r="I17" s="604">
        <v>1200</v>
      </c>
      <c r="J17" s="83">
        <f>SUM(H17*I17)</f>
        <v>127451.99999999999</v>
      </c>
    </row>
    <row r="18" spans="1:10">
      <c r="A18" s="76"/>
      <c r="B18" s="76"/>
      <c r="C18" s="76"/>
      <c r="D18" s="76"/>
      <c r="E18" s="76"/>
      <c r="F18" s="76"/>
      <c r="G18" s="76"/>
      <c r="H18" s="266"/>
      <c r="I18" s="78"/>
      <c r="J18" s="78"/>
    </row>
    <row r="19" spans="1:10" ht="105">
      <c r="A19" s="647">
        <v>2.6</v>
      </c>
      <c r="B19" s="268"/>
      <c r="C19" s="648" t="s">
        <v>102</v>
      </c>
      <c r="D19" s="649" t="s">
        <v>348</v>
      </c>
      <c r="E19" s="649" t="s">
        <v>349</v>
      </c>
      <c r="F19" s="81" t="s">
        <v>350</v>
      </c>
      <c r="G19" s="269"/>
      <c r="H19" s="266"/>
      <c r="I19" s="78"/>
      <c r="J19" s="78"/>
    </row>
    <row r="20" spans="1:10" ht="30">
      <c r="A20" s="647"/>
      <c r="B20" s="268" t="s">
        <v>147</v>
      </c>
      <c r="C20" s="648"/>
      <c r="D20" s="649"/>
      <c r="E20" s="649"/>
      <c r="F20" s="270" t="s">
        <v>351</v>
      </c>
      <c r="G20" s="82" t="s">
        <v>105</v>
      </c>
      <c r="H20" s="266">
        <f>5+5</f>
        <v>10</v>
      </c>
      <c r="I20" s="604">
        <v>3312</v>
      </c>
      <c r="J20" s="83">
        <f>SUM(H20*I20)</f>
        <v>33120</v>
      </c>
    </row>
    <row r="21" spans="1:10">
      <c r="A21" s="271"/>
      <c r="B21" s="271"/>
      <c r="C21" s="271"/>
      <c r="D21" s="271"/>
      <c r="E21" s="271"/>
      <c r="F21" s="76"/>
      <c r="G21" s="271"/>
      <c r="H21" s="266"/>
      <c r="I21" s="78"/>
      <c r="J21" s="78"/>
    </row>
    <row r="22" spans="1:10" ht="135">
      <c r="A22" s="80">
        <v>2.7</v>
      </c>
      <c r="B22" s="80" t="s">
        <v>352</v>
      </c>
      <c r="C22" s="80" t="s">
        <v>102</v>
      </c>
      <c r="D22" s="80" t="s">
        <v>114</v>
      </c>
      <c r="E22" s="80" t="s">
        <v>353</v>
      </c>
      <c r="F22" s="81" t="s">
        <v>354</v>
      </c>
      <c r="G22" s="82" t="s">
        <v>105</v>
      </c>
      <c r="H22" s="266">
        <f>7</f>
        <v>7</v>
      </c>
      <c r="I22" s="604">
        <v>2791.62</v>
      </c>
      <c r="J22" s="83">
        <f>SUM(H22*I22)</f>
        <v>19541.34</v>
      </c>
    </row>
    <row r="23" spans="1:10">
      <c r="A23" s="80"/>
      <c r="B23" s="80"/>
      <c r="C23" s="80"/>
      <c r="D23" s="80"/>
      <c r="E23" s="80"/>
      <c r="F23" s="81"/>
      <c r="G23" s="82"/>
      <c r="H23" s="266"/>
      <c r="I23" s="78"/>
      <c r="J23" s="78"/>
    </row>
    <row r="24" spans="1:10" ht="180">
      <c r="A24" s="80">
        <v>2.8</v>
      </c>
      <c r="B24" s="80" t="s">
        <v>352</v>
      </c>
      <c r="C24" s="80" t="s">
        <v>102</v>
      </c>
      <c r="D24" s="80" t="s">
        <v>114</v>
      </c>
      <c r="E24" s="80" t="s">
        <v>355</v>
      </c>
      <c r="F24" s="81" t="s">
        <v>356</v>
      </c>
      <c r="G24" s="82" t="s">
        <v>105</v>
      </c>
      <c r="H24" s="266">
        <f>90</f>
        <v>90</v>
      </c>
      <c r="I24" s="604">
        <v>4044.0360000000001</v>
      </c>
      <c r="J24" s="83">
        <f>SUM(H24*I24)</f>
        <v>363963.24</v>
      </c>
    </row>
    <row r="25" spans="1:10">
      <c r="A25" s="80"/>
      <c r="B25" s="80"/>
      <c r="C25" s="80"/>
      <c r="D25" s="80"/>
      <c r="E25" s="80"/>
      <c r="F25" s="81"/>
      <c r="G25" s="82"/>
      <c r="H25" s="266"/>
      <c r="I25" s="78"/>
      <c r="J25" s="78"/>
    </row>
    <row r="26" spans="1:10" ht="120">
      <c r="A26" s="80">
        <v>2.9</v>
      </c>
      <c r="B26" s="80" t="s">
        <v>352</v>
      </c>
      <c r="C26" s="80" t="s">
        <v>102</v>
      </c>
      <c r="D26" s="80" t="s">
        <v>114</v>
      </c>
      <c r="E26" s="80" t="s">
        <v>115</v>
      </c>
      <c r="F26" s="81" t="s">
        <v>116</v>
      </c>
      <c r="G26" s="82" t="s">
        <v>105</v>
      </c>
      <c r="H26" s="266">
        <f>6+6</f>
        <v>12</v>
      </c>
      <c r="I26" s="604">
        <v>1914</v>
      </c>
      <c r="J26" s="83">
        <f>SUM(H26*I26)</f>
        <v>22968</v>
      </c>
    </row>
    <row r="27" spans="1:10">
      <c r="A27" s="84"/>
      <c r="B27" s="84"/>
      <c r="C27" s="84"/>
      <c r="D27" s="84"/>
      <c r="E27" s="84"/>
      <c r="F27" s="81"/>
      <c r="G27" s="86"/>
      <c r="H27" s="272"/>
      <c r="I27" s="88"/>
      <c r="J27" s="273"/>
    </row>
    <row r="28" spans="1:10" ht="14.25" customHeight="1" thickBot="1">
      <c r="A28" s="274"/>
      <c r="B28" s="274"/>
      <c r="C28" s="274"/>
      <c r="D28" s="274"/>
      <c r="E28" s="274"/>
      <c r="F28" s="275"/>
      <c r="G28" s="274"/>
      <c r="H28" s="255"/>
      <c r="I28" s="276"/>
      <c r="J28" s="276"/>
    </row>
    <row r="29" spans="1:10" ht="19.5" customHeight="1" thickBot="1">
      <c r="A29" s="49" t="s">
        <v>17</v>
      </c>
      <c r="B29" s="53"/>
      <c r="C29" s="53"/>
      <c r="D29" s="53"/>
      <c r="E29" s="53"/>
      <c r="F29" s="50" t="s">
        <v>357</v>
      </c>
      <c r="G29" s="53"/>
      <c r="H29" s="53"/>
      <c r="I29" s="277"/>
      <c r="J29" s="278"/>
    </row>
    <row r="30" spans="1:10" ht="19.5" customHeight="1">
      <c r="A30" s="279"/>
      <c r="B30" s="31"/>
      <c r="C30" s="31"/>
      <c r="D30" s="31"/>
      <c r="E30" s="31"/>
      <c r="F30" s="58" t="s">
        <v>358</v>
      </c>
      <c r="G30" s="31"/>
      <c r="H30" s="31"/>
      <c r="I30" s="279"/>
      <c r="J30" s="279"/>
    </row>
    <row r="31" spans="1:10" ht="30">
      <c r="A31" s="266">
        <v>3.1</v>
      </c>
      <c r="B31" s="77"/>
      <c r="C31" s="266" t="s">
        <v>102</v>
      </c>
      <c r="D31" s="266" t="s">
        <v>6</v>
      </c>
      <c r="E31" s="266" t="s">
        <v>359</v>
      </c>
      <c r="F31" s="76" t="s">
        <v>360</v>
      </c>
      <c r="G31" s="266" t="s">
        <v>7</v>
      </c>
      <c r="H31" s="266">
        <f>80+8</f>
        <v>88</v>
      </c>
      <c r="I31" s="604">
        <v>4536</v>
      </c>
      <c r="J31" s="267">
        <f t="shared" ref="J31:J117" si="0">SUM(H31*I31)</f>
        <v>399168</v>
      </c>
    </row>
    <row r="32" spans="1:10" ht="120">
      <c r="A32" s="77"/>
      <c r="B32" s="77"/>
      <c r="C32" s="77"/>
      <c r="D32" s="77"/>
      <c r="E32" s="77"/>
      <c r="F32" s="266" t="s">
        <v>581</v>
      </c>
      <c r="G32" s="77"/>
      <c r="H32" s="77"/>
      <c r="I32" s="266"/>
      <c r="J32" s="267"/>
    </row>
    <row r="33" spans="1:203" ht="15.95" customHeight="1">
      <c r="A33" s="77"/>
      <c r="B33" s="77"/>
      <c r="C33" s="77"/>
      <c r="D33" s="77"/>
      <c r="E33" s="77"/>
      <c r="F33" s="77"/>
      <c r="G33" s="77"/>
      <c r="H33" s="77"/>
      <c r="I33" s="266"/>
      <c r="J33" s="267"/>
    </row>
    <row r="34" spans="1:203" ht="45">
      <c r="A34" s="266">
        <v>3.2</v>
      </c>
      <c r="B34" s="77"/>
      <c r="C34" s="266" t="s">
        <v>102</v>
      </c>
      <c r="D34" s="266" t="s">
        <v>6</v>
      </c>
      <c r="E34" s="266" t="s">
        <v>361</v>
      </c>
      <c r="F34" s="76" t="s">
        <v>362</v>
      </c>
      <c r="G34" s="266" t="s">
        <v>7</v>
      </c>
      <c r="H34" s="266">
        <v>5</v>
      </c>
      <c r="I34" s="604">
        <v>21528</v>
      </c>
      <c r="J34" s="267">
        <f t="shared" si="0"/>
        <v>107640</v>
      </c>
    </row>
    <row r="35" spans="1:203" ht="150">
      <c r="A35" s="77"/>
      <c r="B35" s="77"/>
      <c r="C35" s="77"/>
      <c r="D35" s="77"/>
      <c r="E35" s="77"/>
      <c r="F35" s="266" t="s">
        <v>582</v>
      </c>
      <c r="G35" s="77"/>
      <c r="H35" s="77"/>
      <c r="I35" s="266"/>
      <c r="J35" s="267"/>
    </row>
    <row r="36" spans="1:203" ht="15.95" customHeight="1">
      <c r="A36" s="77"/>
      <c r="B36" s="77"/>
      <c r="C36" s="77"/>
      <c r="D36" s="77"/>
      <c r="E36" s="77"/>
      <c r="F36" s="77"/>
      <c r="G36" s="77"/>
      <c r="H36" s="77"/>
      <c r="I36" s="266"/>
      <c r="J36" s="267"/>
    </row>
    <row r="37" spans="1:203" ht="15.95" customHeight="1">
      <c r="A37" s="77"/>
      <c r="B37" s="77"/>
      <c r="C37" s="77"/>
      <c r="D37" s="77"/>
      <c r="E37" s="77"/>
      <c r="F37" s="77"/>
      <c r="G37" s="77"/>
      <c r="H37" s="77"/>
      <c r="I37" s="266"/>
      <c r="J37" s="267"/>
    </row>
    <row r="38" spans="1:203" ht="30">
      <c r="A38" s="266">
        <v>3.2</v>
      </c>
      <c r="B38" s="77"/>
      <c r="C38" s="266" t="s">
        <v>102</v>
      </c>
      <c r="D38" s="266" t="s">
        <v>6</v>
      </c>
      <c r="E38" s="266" t="s">
        <v>363</v>
      </c>
      <c r="F38" s="281" t="s">
        <v>364</v>
      </c>
      <c r="G38" s="282" t="s">
        <v>7</v>
      </c>
      <c r="H38" s="280">
        <f>10</f>
        <v>10</v>
      </c>
      <c r="I38" s="604">
        <v>3678</v>
      </c>
      <c r="J38" s="283">
        <f>SUM(H38*I38)</f>
        <v>36780</v>
      </c>
    </row>
    <row r="39" spans="1:203" ht="60">
      <c r="A39" s="77"/>
      <c r="B39" s="77"/>
      <c r="C39" s="77"/>
      <c r="D39" s="77"/>
      <c r="E39" s="77"/>
      <c r="F39" s="284" t="s">
        <v>365</v>
      </c>
      <c r="G39" s="282"/>
      <c r="H39" s="280"/>
      <c r="I39" s="280"/>
      <c r="J39" s="124"/>
    </row>
    <row r="40" spans="1:203">
      <c r="A40" s="77"/>
      <c r="B40" s="77"/>
      <c r="C40" s="77"/>
      <c r="D40" s="77"/>
      <c r="E40" s="77"/>
      <c r="F40" s="77"/>
      <c r="G40" s="282"/>
      <c r="H40" s="280"/>
      <c r="I40" s="280"/>
      <c r="J40" s="124"/>
    </row>
    <row r="41" spans="1:203">
      <c r="A41" s="77"/>
      <c r="B41" s="77"/>
      <c r="C41" s="77"/>
      <c r="D41" s="77"/>
      <c r="E41" s="77"/>
      <c r="F41" s="284"/>
      <c r="G41" s="282"/>
      <c r="H41" s="280"/>
      <c r="I41" s="280"/>
      <c r="J41" s="124"/>
    </row>
    <row r="42" spans="1:203">
      <c r="A42" s="105">
        <v>3.4</v>
      </c>
      <c r="B42" s="106" t="s">
        <v>118</v>
      </c>
      <c r="C42" s="107" t="s">
        <v>102</v>
      </c>
      <c r="D42" s="107" t="s">
        <v>119</v>
      </c>
      <c r="E42" s="106" t="s">
        <v>120</v>
      </c>
      <c r="F42" s="108" t="s">
        <v>366</v>
      </c>
      <c r="G42" s="269" t="s">
        <v>7</v>
      </c>
      <c r="H42" s="76">
        <v>80</v>
      </c>
      <c r="I42" s="604">
        <v>3066</v>
      </c>
      <c r="J42" s="283">
        <f>SUM(H42*I42)</f>
        <v>245280</v>
      </c>
    </row>
    <row r="43" spans="1:203" ht="150">
      <c r="A43" s="105"/>
      <c r="B43" s="106"/>
      <c r="C43" s="107"/>
      <c r="D43" s="107"/>
      <c r="E43" s="106"/>
      <c r="F43" s="81" t="s">
        <v>279</v>
      </c>
      <c r="G43" s="269"/>
      <c r="H43" s="76"/>
      <c r="I43" s="280"/>
      <c r="J43" s="283"/>
    </row>
    <row r="44" spans="1:203">
      <c r="A44" s="105"/>
      <c r="B44" s="106"/>
      <c r="C44" s="107"/>
      <c r="D44" s="107"/>
      <c r="E44" s="106"/>
      <c r="F44" s="77"/>
      <c r="G44" s="269"/>
      <c r="H44" s="76"/>
      <c r="I44" s="280"/>
      <c r="J44" s="283"/>
    </row>
    <row r="45" spans="1:203">
      <c r="A45" s="77"/>
      <c r="B45" s="77"/>
      <c r="C45" s="77"/>
      <c r="D45" s="77"/>
      <c r="E45" s="77"/>
      <c r="F45" s="284"/>
      <c r="G45" s="282"/>
      <c r="H45" s="280"/>
      <c r="I45" s="280"/>
      <c r="J45" s="124"/>
    </row>
    <row r="46" spans="1:203" s="293" customFormat="1" ht="60">
      <c r="A46" s="285">
        <v>3.5</v>
      </c>
      <c r="B46" s="285" t="s">
        <v>367</v>
      </c>
      <c r="C46" s="285" t="s">
        <v>102</v>
      </c>
      <c r="D46" s="285" t="s">
        <v>119</v>
      </c>
      <c r="E46" s="286" t="s">
        <v>368</v>
      </c>
      <c r="F46" s="287" t="s">
        <v>369</v>
      </c>
      <c r="G46" s="288" t="s">
        <v>7</v>
      </c>
      <c r="H46" s="289">
        <f>5</f>
        <v>5</v>
      </c>
      <c r="I46" s="604">
        <v>18492</v>
      </c>
      <c r="J46" s="291">
        <f>SUM(H46*I46)</f>
        <v>92460</v>
      </c>
      <c r="K46" s="292"/>
      <c r="L46" s="292"/>
      <c r="M46" s="292"/>
      <c r="N46" s="292"/>
      <c r="O46" s="292"/>
      <c r="P46" s="292"/>
      <c r="Q46" s="292"/>
      <c r="R46" s="292"/>
      <c r="S46" s="292"/>
      <c r="T46" s="292"/>
      <c r="U46" s="292"/>
      <c r="V46" s="292"/>
      <c r="W46" s="292"/>
      <c r="X46" s="292"/>
      <c r="Y46" s="292"/>
      <c r="Z46" s="292"/>
      <c r="AA46" s="292"/>
      <c r="AB46" s="292"/>
      <c r="AC46" s="292"/>
      <c r="AD46" s="292"/>
      <c r="AE46" s="292"/>
      <c r="AF46" s="292"/>
      <c r="AG46" s="292"/>
      <c r="AH46" s="292"/>
      <c r="AI46" s="292"/>
      <c r="AJ46" s="292"/>
      <c r="AK46" s="292"/>
      <c r="AL46" s="292"/>
      <c r="AM46" s="292"/>
      <c r="AN46" s="292"/>
      <c r="AO46" s="292"/>
      <c r="AP46" s="292"/>
      <c r="AQ46" s="292"/>
      <c r="AR46" s="292"/>
      <c r="AS46" s="292"/>
      <c r="AT46" s="292"/>
      <c r="AU46" s="292"/>
      <c r="AV46" s="292"/>
      <c r="AW46" s="292"/>
      <c r="AX46" s="292"/>
      <c r="AY46" s="292"/>
      <c r="AZ46" s="292"/>
      <c r="BA46" s="292"/>
      <c r="BB46" s="292"/>
      <c r="BC46" s="292"/>
      <c r="BD46" s="292"/>
      <c r="BE46" s="292"/>
      <c r="BF46" s="292"/>
      <c r="BG46" s="292"/>
      <c r="BH46" s="292"/>
      <c r="BI46" s="292"/>
      <c r="BJ46" s="292"/>
      <c r="BK46" s="292"/>
      <c r="BL46" s="292"/>
      <c r="BM46" s="292"/>
      <c r="BN46" s="292"/>
      <c r="BO46" s="292"/>
      <c r="BP46" s="292"/>
      <c r="BQ46" s="292"/>
      <c r="BR46" s="292"/>
      <c r="BS46" s="292"/>
      <c r="BT46" s="292"/>
      <c r="BU46" s="292"/>
      <c r="BV46" s="292"/>
      <c r="BW46" s="292"/>
      <c r="BX46" s="292"/>
      <c r="BY46" s="292"/>
      <c r="BZ46" s="292"/>
      <c r="CA46" s="292"/>
      <c r="CB46" s="292"/>
      <c r="CC46" s="292"/>
      <c r="CD46" s="292"/>
      <c r="CE46" s="292"/>
      <c r="CF46" s="292"/>
      <c r="CG46" s="292"/>
      <c r="CH46" s="292"/>
      <c r="CI46" s="292"/>
      <c r="CJ46" s="292"/>
      <c r="CK46" s="292"/>
      <c r="CL46" s="292"/>
      <c r="CM46" s="292"/>
      <c r="CN46" s="292"/>
      <c r="CO46" s="292"/>
      <c r="CP46" s="292"/>
      <c r="CQ46" s="292"/>
      <c r="CR46" s="292"/>
      <c r="CS46" s="292"/>
      <c r="CT46" s="292"/>
      <c r="CU46" s="292"/>
      <c r="CV46" s="292"/>
      <c r="CW46" s="292"/>
      <c r="CX46" s="292"/>
      <c r="CY46" s="292"/>
      <c r="CZ46" s="292"/>
      <c r="DA46" s="292"/>
      <c r="DB46" s="292"/>
      <c r="DC46" s="292"/>
      <c r="DD46" s="292"/>
      <c r="DE46" s="292"/>
      <c r="DF46" s="292"/>
      <c r="DG46" s="292"/>
      <c r="DH46" s="292"/>
      <c r="DI46" s="292"/>
      <c r="DJ46" s="292"/>
      <c r="DK46" s="292"/>
      <c r="DL46" s="292"/>
      <c r="DM46" s="292"/>
      <c r="DN46" s="292"/>
      <c r="DO46" s="292"/>
      <c r="DP46" s="292"/>
      <c r="DQ46" s="292"/>
      <c r="DR46" s="292"/>
      <c r="DS46" s="292"/>
      <c r="DT46" s="292"/>
      <c r="DU46" s="292"/>
      <c r="DV46" s="292"/>
      <c r="DW46" s="292"/>
      <c r="DX46" s="292"/>
      <c r="DY46" s="292"/>
      <c r="DZ46" s="292"/>
      <c r="EA46" s="292"/>
      <c r="EB46" s="292"/>
      <c r="EC46" s="292"/>
      <c r="ED46" s="292"/>
      <c r="EE46" s="292"/>
      <c r="EF46" s="292"/>
      <c r="EG46" s="292"/>
      <c r="EH46" s="292"/>
      <c r="EI46" s="292"/>
      <c r="EJ46" s="292"/>
      <c r="EK46" s="292"/>
      <c r="EL46" s="292"/>
      <c r="EM46" s="292"/>
      <c r="EN46" s="292"/>
      <c r="EO46" s="292"/>
      <c r="EP46" s="292"/>
      <c r="EQ46" s="292"/>
      <c r="ER46" s="292"/>
      <c r="ES46" s="292"/>
      <c r="ET46" s="292"/>
      <c r="EU46" s="292"/>
      <c r="EV46" s="292"/>
      <c r="EW46" s="292"/>
      <c r="EX46" s="292"/>
      <c r="EY46" s="292"/>
      <c r="EZ46" s="292"/>
      <c r="FA46" s="292"/>
      <c r="FB46" s="292"/>
      <c r="FC46" s="292"/>
      <c r="FD46" s="292"/>
      <c r="FE46" s="292"/>
      <c r="FF46" s="292"/>
      <c r="FG46" s="292"/>
      <c r="FH46" s="292"/>
      <c r="FI46" s="292"/>
      <c r="FJ46" s="292"/>
      <c r="FK46" s="292"/>
      <c r="FL46" s="292"/>
      <c r="FM46" s="292"/>
      <c r="FN46" s="292"/>
      <c r="FO46" s="292"/>
      <c r="FP46" s="292"/>
      <c r="FQ46" s="292"/>
      <c r="FR46" s="292"/>
      <c r="FS46" s="292"/>
      <c r="FT46" s="292"/>
      <c r="FU46" s="292"/>
      <c r="FV46" s="292"/>
      <c r="FW46" s="292"/>
      <c r="FX46" s="292"/>
      <c r="FY46" s="292"/>
      <c r="FZ46" s="292"/>
      <c r="GA46" s="292"/>
      <c r="GB46" s="292"/>
      <c r="GC46" s="292"/>
      <c r="GD46" s="292"/>
      <c r="GE46" s="292"/>
      <c r="GF46" s="292"/>
      <c r="GG46" s="292"/>
      <c r="GH46" s="292"/>
      <c r="GI46" s="292"/>
      <c r="GJ46" s="292"/>
      <c r="GK46" s="292"/>
      <c r="GL46" s="292"/>
      <c r="GM46" s="292"/>
      <c r="GN46" s="292"/>
      <c r="GO46" s="292"/>
      <c r="GP46" s="292"/>
      <c r="GQ46" s="292"/>
      <c r="GR46" s="292"/>
      <c r="GS46" s="292"/>
      <c r="GT46" s="292"/>
      <c r="GU46" s="292"/>
    </row>
    <row r="47" spans="1:203" s="293" customFormat="1" ht="120.75" customHeight="1">
      <c r="A47" s="285"/>
      <c r="B47" s="285"/>
      <c r="C47" s="285"/>
      <c r="D47" s="285"/>
      <c r="E47" s="286"/>
      <c r="F47" s="285" t="s">
        <v>370</v>
      </c>
      <c r="G47" s="288"/>
      <c r="H47" s="289"/>
      <c r="I47" s="290"/>
      <c r="J47" s="291"/>
      <c r="K47" s="292"/>
      <c r="L47" s="292"/>
      <c r="M47" s="292"/>
      <c r="N47" s="292"/>
      <c r="O47" s="292"/>
      <c r="P47" s="292"/>
      <c r="Q47" s="292"/>
      <c r="R47" s="292"/>
      <c r="S47" s="292"/>
      <c r="T47" s="292"/>
      <c r="U47" s="292"/>
      <c r="V47" s="292"/>
      <c r="W47" s="292"/>
      <c r="X47" s="292"/>
      <c r="Y47" s="292"/>
      <c r="Z47" s="292"/>
      <c r="AA47" s="292"/>
      <c r="AB47" s="292"/>
      <c r="AC47" s="292"/>
      <c r="AD47" s="292"/>
      <c r="AE47" s="292"/>
      <c r="AF47" s="292"/>
      <c r="AG47" s="292"/>
      <c r="AH47" s="292"/>
      <c r="AI47" s="292"/>
      <c r="AJ47" s="292"/>
      <c r="AK47" s="292"/>
      <c r="AL47" s="292"/>
      <c r="AM47" s="292"/>
      <c r="AN47" s="292"/>
      <c r="AO47" s="292"/>
      <c r="AP47" s="292"/>
      <c r="AQ47" s="292"/>
      <c r="AR47" s="292"/>
      <c r="AS47" s="292"/>
      <c r="AT47" s="292"/>
      <c r="AU47" s="292"/>
      <c r="AV47" s="292"/>
      <c r="AW47" s="292"/>
      <c r="AX47" s="292"/>
      <c r="AY47" s="292"/>
      <c r="AZ47" s="292"/>
      <c r="BA47" s="292"/>
      <c r="BB47" s="292"/>
      <c r="BC47" s="292"/>
      <c r="BD47" s="292"/>
      <c r="BE47" s="292"/>
      <c r="BF47" s="292"/>
      <c r="BG47" s="292"/>
      <c r="BH47" s="292"/>
      <c r="BI47" s="292"/>
      <c r="BJ47" s="292"/>
      <c r="BK47" s="292"/>
      <c r="BL47" s="292"/>
      <c r="BM47" s="292"/>
      <c r="BN47" s="292"/>
      <c r="BO47" s="292"/>
      <c r="BP47" s="292"/>
      <c r="BQ47" s="292"/>
      <c r="BR47" s="292"/>
      <c r="BS47" s="292"/>
      <c r="BT47" s="292"/>
      <c r="BU47" s="292"/>
      <c r="BV47" s="292"/>
      <c r="BW47" s="292"/>
      <c r="BX47" s="292"/>
      <c r="BY47" s="292"/>
      <c r="BZ47" s="292"/>
      <c r="CA47" s="292"/>
      <c r="CB47" s="292"/>
      <c r="CC47" s="292"/>
      <c r="CD47" s="292"/>
      <c r="CE47" s="292"/>
      <c r="CF47" s="292"/>
      <c r="CG47" s="292"/>
      <c r="CH47" s="292"/>
      <c r="CI47" s="292"/>
      <c r="CJ47" s="292"/>
      <c r="CK47" s="292"/>
      <c r="CL47" s="292"/>
      <c r="CM47" s="292"/>
      <c r="CN47" s="292"/>
      <c r="CO47" s="292"/>
      <c r="CP47" s="292"/>
      <c r="CQ47" s="292"/>
      <c r="CR47" s="292"/>
      <c r="CS47" s="292"/>
      <c r="CT47" s="292"/>
      <c r="CU47" s="292"/>
      <c r="CV47" s="292"/>
      <c r="CW47" s="292"/>
      <c r="CX47" s="292"/>
      <c r="CY47" s="292"/>
      <c r="CZ47" s="292"/>
      <c r="DA47" s="292"/>
      <c r="DB47" s="292"/>
      <c r="DC47" s="292"/>
      <c r="DD47" s="292"/>
      <c r="DE47" s="292"/>
      <c r="DF47" s="292"/>
      <c r="DG47" s="292"/>
      <c r="DH47" s="292"/>
      <c r="DI47" s="292"/>
      <c r="DJ47" s="292"/>
      <c r="DK47" s="292"/>
      <c r="DL47" s="292"/>
      <c r="DM47" s="292"/>
      <c r="DN47" s="292"/>
      <c r="DO47" s="292"/>
      <c r="DP47" s="292"/>
      <c r="DQ47" s="292"/>
      <c r="DR47" s="292"/>
      <c r="DS47" s="292"/>
      <c r="DT47" s="292"/>
      <c r="DU47" s="292"/>
      <c r="DV47" s="292"/>
      <c r="DW47" s="292"/>
      <c r="DX47" s="292"/>
      <c r="DY47" s="292"/>
      <c r="DZ47" s="292"/>
      <c r="EA47" s="292"/>
      <c r="EB47" s="292"/>
      <c r="EC47" s="292"/>
      <c r="ED47" s="292"/>
      <c r="EE47" s="292"/>
      <c r="EF47" s="292"/>
      <c r="EG47" s="292"/>
      <c r="EH47" s="292"/>
      <c r="EI47" s="292"/>
      <c r="EJ47" s="292"/>
      <c r="EK47" s="292"/>
      <c r="EL47" s="292"/>
      <c r="EM47" s="292"/>
      <c r="EN47" s="292"/>
      <c r="EO47" s="292"/>
      <c r="EP47" s="292"/>
      <c r="EQ47" s="292"/>
      <c r="ER47" s="292"/>
      <c r="ES47" s="292"/>
      <c r="ET47" s="292"/>
      <c r="EU47" s="292"/>
      <c r="EV47" s="292"/>
      <c r="EW47" s="292"/>
      <c r="EX47" s="292"/>
      <c r="EY47" s="292"/>
      <c r="EZ47" s="292"/>
      <c r="FA47" s="292"/>
      <c r="FB47" s="292"/>
      <c r="FC47" s="292"/>
      <c r="FD47" s="292"/>
      <c r="FE47" s="292"/>
      <c r="FF47" s="292"/>
      <c r="FG47" s="292"/>
      <c r="FH47" s="292"/>
      <c r="FI47" s="292"/>
      <c r="FJ47" s="292"/>
      <c r="FK47" s="292"/>
      <c r="FL47" s="292"/>
      <c r="FM47" s="292"/>
      <c r="FN47" s="292"/>
      <c r="FO47" s="292"/>
      <c r="FP47" s="292"/>
      <c r="FQ47" s="292"/>
      <c r="FR47" s="292"/>
      <c r="FS47" s="292"/>
      <c r="FT47" s="292"/>
      <c r="FU47" s="292"/>
      <c r="FV47" s="292"/>
      <c r="FW47" s="292"/>
      <c r="FX47" s="292"/>
      <c r="FY47" s="292"/>
      <c r="FZ47" s="292"/>
      <c r="GA47" s="292"/>
      <c r="GB47" s="292"/>
      <c r="GC47" s="292"/>
      <c r="GD47" s="292"/>
      <c r="GE47" s="292"/>
      <c r="GF47" s="292"/>
      <c r="GG47" s="292"/>
      <c r="GH47" s="292"/>
      <c r="GI47" s="292"/>
      <c r="GJ47" s="292"/>
      <c r="GK47" s="292"/>
      <c r="GL47" s="292"/>
      <c r="GM47" s="292"/>
      <c r="GN47" s="292"/>
      <c r="GO47" s="292"/>
      <c r="GP47" s="292"/>
      <c r="GQ47" s="292"/>
      <c r="GR47" s="292"/>
      <c r="GS47" s="292"/>
      <c r="GT47" s="292"/>
      <c r="GU47" s="292"/>
    </row>
    <row r="48" spans="1:203" s="293" customFormat="1">
      <c r="A48" s="285"/>
      <c r="B48" s="285"/>
      <c r="C48" s="285"/>
      <c r="D48" s="285"/>
      <c r="E48" s="286"/>
      <c r="F48" s="77"/>
      <c r="G48" s="288"/>
      <c r="H48" s="289"/>
      <c r="I48" s="290"/>
      <c r="J48" s="291"/>
      <c r="K48" s="292"/>
      <c r="L48" s="292"/>
      <c r="M48" s="292"/>
      <c r="N48" s="292"/>
      <c r="O48" s="292"/>
      <c r="P48" s="292"/>
      <c r="Q48" s="292"/>
      <c r="R48" s="292"/>
      <c r="S48" s="292"/>
      <c r="T48" s="292"/>
      <c r="U48" s="292"/>
      <c r="V48" s="292"/>
      <c r="W48" s="292"/>
      <c r="X48" s="292"/>
      <c r="Y48" s="292"/>
      <c r="Z48" s="292"/>
      <c r="AA48" s="292"/>
      <c r="AB48" s="292"/>
      <c r="AC48" s="292"/>
      <c r="AD48" s="292"/>
      <c r="AE48" s="292"/>
      <c r="AF48" s="292"/>
      <c r="AG48" s="292"/>
      <c r="AH48" s="292"/>
      <c r="AI48" s="292"/>
      <c r="AJ48" s="292"/>
      <c r="AK48" s="292"/>
      <c r="AL48" s="292"/>
      <c r="AM48" s="292"/>
      <c r="AN48" s="292"/>
      <c r="AO48" s="292"/>
      <c r="AP48" s="292"/>
      <c r="AQ48" s="292"/>
      <c r="AR48" s="292"/>
      <c r="AS48" s="292"/>
      <c r="AT48" s="292"/>
      <c r="AU48" s="292"/>
      <c r="AV48" s="292"/>
      <c r="AW48" s="292"/>
      <c r="AX48" s="292"/>
      <c r="AY48" s="292"/>
      <c r="AZ48" s="292"/>
      <c r="BA48" s="292"/>
      <c r="BB48" s="292"/>
      <c r="BC48" s="292"/>
      <c r="BD48" s="292"/>
      <c r="BE48" s="292"/>
      <c r="BF48" s="292"/>
      <c r="BG48" s="292"/>
      <c r="BH48" s="292"/>
      <c r="BI48" s="292"/>
      <c r="BJ48" s="292"/>
      <c r="BK48" s="292"/>
      <c r="BL48" s="292"/>
      <c r="BM48" s="292"/>
      <c r="BN48" s="292"/>
      <c r="BO48" s="292"/>
      <c r="BP48" s="292"/>
      <c r="BQ48" s="292"/>
      <c r="BR48" s="292"/>
      <c r="BS48" s="292"/>
      <c r="BT48" s="292"/>
      <c r="BU48" s="292"/>
      <c r="BV48" s="292"/>
      <c r="BW48" s="292"/>
      <c r="BX48" s="292"/>
      <c r="BY48" s="292"/>
      <c r="BZ48" s="292"/>
      <c r="CA48" s="292"/>
      <c r="CB48" s="292"/>
      <c r="CC48" s="292"/>
      <c r="CD48" s="292"/>
      <c r="CE48" s="292"/>
      <c r="CF48" s="292"/>
      <c r="CG48" s="292"/>
      <c r="CH48" s="292"/>
      <c r="CI48" s="292"/>
      <c r="CJ48" s="292"/>
      <c r="CK48" s="292"/>
      <c r="CL48" s="292"/>
      <c r="CM48" s="292"/>
      <c r="CN48" s="292"/>
      <c r="CO48" s="292"/>
      <c r="CP48" s="292"/>
      <c r="CQ48" s="292"/>
      <c r="CR48" s="292"/>
      <c r="CS48" s="292"/>
      <c r="CT48" s="292"/>
      <c r="CU48" s="292"/>
      <c r="CV48" s="292"/>
      <c r="CW48" s="292"/>
      <c r="CX48" s="292"/>
      <c r="CY48" s="292"/>
      <c r="CZ48" s="292"/>
      <c r="DA48" s="292"/>
      <c r="DB48" s="292"/>
      <c r="DC48" s="292"/>
      <c r="DD48" s="292"/>
      <c r="DE48" s="292"/>
      <c r="DF48" s="292"/>
      <c r="DG48" s="292"/>
      <c r="DH48" s="292"/>
      <c r="DI48" s="292"/>
      <c r="DJ48" s="292"/>
      <c r="DK48" s="292"/>
      <c r="DL48" s="292"/>
      <c r="DM48" s="292"/>
      <c r="DN48" s="292"/>
      <c r="DO48" s="292"/>
      <c r="DP48" s="292"/>
      <c r="DQ48" s="292"/>
      <c r="DR48" s="292"/>
      <c r="DS48" s="292"/>
      <c r="DT48" s="292"/>
      <c r="DU48" s="292"/>
      <c r="DV48" s="292"/>
      <c r="DW48" s="292"/>
      <c r="DX48" s="292"/>
      <c r="DY48" s="292"/>
      <c r="DZ48" s="292"/>
      <c r="EA48" s="292"/>
      <c r="EB48" s="292"/>
      <c r="EC48" s="292"/>
      <c r="ED48" s="292"/>
      <c r="EE48" s="292"/>
      <c r="EF48" s="292"/>
      <c r="EG48" s="292"/>
      <c r="EH48" s="292"/>
      <c r="EI48" s="292"/>
      <c r="EJ48" s="292"/>
      <c r="EK48" s="292"/>
      <c r="EL48" s="292"/>
      <c r="EM48" s="292"/>
      <c r="EN48" s="292"/>
      <c r="EO48" s="292"/>
      <c r="EP48" s="292"/>
      <c r="EQ48" s="292"/>
      <c r="ER48" s="292"/>
      <c r="ES48" s="292"/>
      <c r="ET48" s="292"/>
      <c r="EU48" s="292"/>
      <c r="EV48" s="292"/>
      <c r="EW48" s="292"/>
      <c r="EX48" s="292"/>
      <c r="EY48" s="292"/>
      <c r="EZ48" s="292"/>
      <c r="FA48" s="292"/>
      <c r="FB48" s="292"/>
      <c r="FC48" s="292"/>
      <c r="FD48" s="292"/>
      <c r="FE48" s="292"/>
      <c r="FF48" s="292"/>
      <c r="FG48" s="292"/>
      <c r="FH48" s="292"/>
      <c r="FI48" s="292"/>
      <c r="FJ48" s="292"/>
      <c r="FK48" s="292"/>
      <c r="FL48" s="292"/>
      <c r="FM48" s="292"/>
      <c r="FN48" s="292"/>
      <c r="FO48" s="292"/>
      <c r="FP48" s="292"/>
      <c r="FQ48" s="292"/>
      <c r="FR48" s="292"/>
      <c r="FS48" s="292"/>
      <c r="FT48" s="292"/>
      <c r="FU48" s="292"/>
      <c r="FV48" s="292"/>
      <c r="FW48" s="292"/>
      <c r="FX48" s="292"/>
      <c r="FY48" s="292"/>
      <c r="FZ48" s="292"/>
      <c r="GA48" s="292"/>
      <c r="GB48" s="292"/>
      <c r="GC48" s="292"/>
      <c r="GD48" s="292"/>
      <c r="GE48" s="292"/>
      <c r="GF48" s="292"/>
      <c r="GG48" s="292"/>
      <c r="GH48" s="292"/>
      <c r="GI48" s="292"/>
      <c r="GJ48" s="292"/>
      <c r="GK48" s="292"/>
      <c r="GL48" s="292"/>
      <c r="GM48" s="292"/>
      <c r="GN48" s="292"/>
      <c r="GO48" s="292"/>
      <c r="GP48" s="292"/>
      <c r="GQ48" s="292"/>
      <c r="GR48" s="292"/>
      <c r="GS48" s="292"/>
      <c r="GT48" s="292"/>
      <c r="GU48" s="292"/>
    </row>
    <row r="49" spans="1:203" s="293" customFormat="1">
      <c r="A49" s="285"/>
      <c r="B49" s="285"/>
      <c r="C49" s="285"/>
      <c r="D49" s="285"/>
      <c r="E49" s="286"/>
      <c r="F49" s="285"/>
      <c r="G49" s="288"/>
      <c r="H49" s="289"/>
      <c r="I49" s="290"/>
      <c r="J49" s="291"/>
      <c r="K49" s="292"/>
      <c r="L49" s="292"/>
      <c r="M49" s="292"/>
      <c r="N49" s="292"/>
      <c r="O49" s="292"/>
      <c r="P49" s="292"/>
      <c r="Q49" s="292"/>
      <c r="R49" s="292"/>
      <c r="S49" s="292"/>
      <c r="T49" s="292"/>
      <c r="U49" s="292"/>
      <c r="V49" s="292"/>
      <c r="W49" s="292"/>
      <c r="X49" s="292"/>
      <c r="Y49" s="292"/>
      <c r="Z49" s="292"/>
      <c r="AA49" s="292"/>
      <c r="AB49" s="292"/>
      <c r="AC49" s="292"/>
      <c r="AD49" s="292"/>
      <c r="AE49" s="292"/>
      <c r="AF49" s="292"/>
      <c r="AG49" s="292"/>
      <c r="AH49" s="292"/>
      <c r="AI49" s="292"/>
      <c r="AJ49" s="292"/>
      <c r="AK49" s="292"/>
      <c r="AL49" s="292"/>
      <c r="AM49" s="292"/>
      <c r="AN49" s="292"/>
      <c r="AO49" s="292"/>
      <c r="AP49" s="292"/>
      <c r="AQ49" s="292"/>
      <c r="AR49" s="292"/>
      <c r="AS49" s="292"/>
      <c r="AT49" s="292"/>
      <c r="AU49" s="292"/>
      <c r="AV49" s="292"/>
      <c r="AW49" s="292"/>
      <c r="AX49" s="292"/>
      <c r="AY49" s="292"/>
      <c r="AZ49" s="292"/>
      <c r="BA49" s="292"/>
      <c r="BB49" s="292"/>
      <c r="BC49" s="292"/>
      <c r="BD49" s="292"/>
      <c r="BE49" s="292"/>
      <c r="BF49" s="292"/>
      <c r="BG49" s="292"/>
      <c r="BH49" s="292"/>
      <c r="BI49" s="292"/>
      <c r="BJ49" s="292"/>
      <c r="BK49" s="292"/>
      <c r="BL49" s="292"/>
      <c r="BM49" s="292"/>
      <c r="BN49" s="292"/>
      <c r="BO49" s="292"/>
      <c r="BP49" s="292"/>
      <c r="BQ49" s="292"/>
      <c r="BR49" s="292"/>
      <c r="BS49" s="292"/>
      <c r="BT49" s="292"/>
      <c r="BU49" s="292"/>
      <c r="BV49" s="292"/>
      <c r="BW49" s="292"/>
      <c r="BX49" s="292"/>
      <c r="BY49" s="292"/>
      <c r="BZ49" s="292"/>
      <c r="CA49" s="292"/>
      <c r="CB49" s="292"/>
      <c r="CC49" s="292"/>
      <c r="CD49" s="292"/>
      <c r="CE49" s="292"/>
      <c r="CF49" s="292"/>
      <c r="CG49" s="292"/>
      <c r="CH49" s="292"/>
      <c r="CI49" s="292"/>
      <c r="CJ49" s="292"/>
      <c r="CK49" s="292"/>
      <c r="CL49" s="292"/>
      <c r="CM49" s="292"/>
      <c r="CN49" s="292"/>
      <c r="CO49" s="292"/>
      <c r="CP49" s="292"/>
      <c r="CQ49" s="292"/>
      <c r="CR49" s="292"/>
      <c r="CS49" s="292"/>
      <c r="CT49" s="292"/>
      <c r="CU49" s="292"/>
      <c r="CV49" s="292"/>
      <c r="CW49" s="292"/>
      <c r="CX49" s="292"/>
      <c r="CY49" s="292"/>
      <c r="CZ49" s="292"/>
      <c r="DA49" s="292"/>
      <c r="DB49" s="292"/>
      <c r="DC49" s="292"/>
      <c r="DD49" s="292"/>
      <c r="DE49" s="292"/>
      <c r="DF49" s="292"/>
      <c r="DG49" s="292"/>
      <c r="DH49" s="292"/>
      <c r="DI49" s="292"/>
      <c r="DJ49" s="292"/>
      <c r="DK49" s="292"/>
      <c r="DL49" s="292"/>
      <c r="DM49" s="292"/>
      <c r="DN49" s="292"/>
      <c r="DO49" s="292"/>
      <c r="DP49" s="292"/>
      <c r="DQ49" s="292"/>
      <c r="DR49" s="292"/>
      <c r="DS49" s="292"/>
      <c r="DT49" s="292"/>
      <c r="DU49" s="292"/>
      <c r="DV49" s="292"/>
      <c r="DW49" s="292"/>
      <c r="DX49" s="292"/>
      <c r="DY49" s="292"/>
      <c r="DZ49" s="292"/>
      <c r="EA49" s="292"/>
      <c r="EB49" s="292"/>
      <c r="EC49" s="292"/>
      <c r="ED49" s="292"/>
      <c r="EE49" s="292"/>
      <c r="EF49" s="292"/>
      <c r="EG49" s="292"/>
      <c r="EH49" s="292"/>
      <c r="EI49" s="292"/>
      <c r="EJ49" s="292"/>
      <c r="EK49" s="292"/>
      <c r="EL49" s="292"/>
      <c r="EM49" s="292"/>
      <c r="EN49" s="292"/>
      <c r="EO49" s="292"/>
      <c r="EP49" s="292"/>
      <c r="EQ49" s="292"/>
      <c r="ER49" s="292"/>
      <c r="ES49" s="292"/>
      <c r="ET49" s="292"/>
      <c r="EU49" s="292"/>
      <c r="EV49" s="292"/>
      <c r="EW49" s="292"/>
      <c r="EX49" s="292"/>
      <c r="EY49" s="292"/>
      <c r="EZ49" s="292"/>
      <c r="FA49" s="292"/>
      <c r="FB49" s="292"/>
      <c r="FC49" s="292"/>
      <c r="FD49" s="292"/>
      <c r="FE49" s="292"/>
      <c r="FF49" s="292"/>
      <c r="FG49" s="292"/>
      <c r="FH49" s="292"/>
      <c r="FI49" s="292"/>
      <c r="FJ49" s="292"/>
      <c r="FK49" s="292"/>
      <c r="FL49" s="292"/>
      <c r="FM49" s="292"/>
      <c r="FN49" s="292"/>
      <c r="FO49" s="292"/>
      <c r="FP49" s="292"/>
      <c r="FQ49" s="292"/>
      <c r="FR49" s="292"/>
      <c r="FS49" s="292"/>
      <c r="FT49" s="292"/>
      <c r="FU49" s="292"/>
      <c r="FV49" s="292"/>
      <c r="FW49" s="292"/>
      <c r="FX49" s="292"/>
      <c r="FY49" s="292"/>
      <c r="FZ49" s="292"/>
      <c r="GA49" s="292"/>
      <c r="GB49" s="292"/>
      <c r="GC49" s="292"/>
      <c r="GD49" s="292"/>
      <c r="GE49" s="292"/>
      <c r="GF49" s="292"/>
      <c r="GG49" s="292"/>
      <c r="GH49" s="292"/>
      <c r="GI49" s="292"/>
      <c r="GJ49" s="292"/>
      <c r="GK49" s="292"/>
      <c r="GL49" s="292"/>
      <c r="GM49" s="292"/>
      <c r="GN49" s="292"/>
      <c r="GO49" s="292"/>
      <c r="GP49" s="292"/>
      <c r="GQ49" s="292"/>
      <c r="GR49" s="292"/>
      <c r="GS49" s="292"/>
      <c r="GT49" s="292"/>
      <c r="GU49" s="292"/>
    </row>
    <row r="50" spans="1:203" ht="15.95" customHeight="1">
      <c r="A50" s="77"/>
      <c r="B50" s="77"/>
      <c r="C50" s="77"/>
      <c r="D50" s="77"/>
      <c r="E50" s="77"/>
      <c r="F50" s="294" t="s">
        <v>371</v>
      </c>
      <c r="G50" s="77"/>
      <c r="H50" s="295"/>
      <c r="I50" s="266"/>
      <c r="J50" s="267"/>
    </row>
    <row r="51" spans="1:203" ht="30">
      <c r="A51" s="266">
        <v>3.6</v>
      </c>
      <c r="B51" s="77"/>
      <c r="C51" s="266" t="s">
        <v>102</v>
      </c>
      <c r="D51" s="266" t="s">
        <v>219</v>
      </c>
      <c r="E51" s="266" t="s">
        <v>372</v>
      </c>
      <c r="F51" s="76" t="s">
        <v>373</v>
      </c>
      <c r="G51" s="266" t="s">
        <v>7</v>
      </c>
      <c r="H51" s="295">
        <v>161.5</v>
      </c>
      <c r="I51" s="604">
        <v>8898</v>
      </c>
      <c r="J51" s="267">
        <f>SUM(H51*I51)</f>
        <v>1437027</v>
      </c>
    </row>
    <row r="52" spans="1:203" ht="90">
      <c r="A52" s="77"/>
      <c r="B52" s="77"/>
      <c r="C52" s="77"/>
      <c r="D52" s="77"/>
      <c r="E52" s="77"/>
      <c r="F52" s="266" t="s">
        <v>583</v>
      </c>
      <c r="G52" s="77"/>
      <c r="H52" s="295"/>
      <c r="I52" s="266"/>
      <c r="J52" s="267"/>
    </row>
    <row r="53" spans="1:203">
      <c r="A53" s="77"/>
      <c r="B53" s="77"/>
      <c r="C53" s="77"/>
      <c r="D53" s="77"/>
      <c r="E53" s="77"/>
      <c r="F53" s="81"/>
      <c r="G53" s="77"/>
      <c r="H53" s="295"/>
      <c r="I53" s="266"/>
      <c r="J53" s="267"/>
    </row>
    <row r="54" spans="1:203" ht="30">
      <c r="A54" s="266">
        <v>3.7</v>
      </c>
      <c r="B54" s="77"/>
      <c r="C54" s="266" t="s">
        <v>102</v>
      </c>
      <c r="D54" s="266" t="s">
        <v>219</v>
      </c>
      <c r="E54" s="266" t="s">
        <v>220</v>
      </c>
      <c r="F54" s="76" t="s">
        <v>374</v>
      </c>
      <c r="G54" s="266" t="s">
        <v>7</v>
      </c>
      <c r="H54" s="295">
        <v>100.00000000000001</v>
      </c>
      <c r="I54" s="604">
        <v>0</v>
      </c>
      <c r="J54" s="267">
        <f t="shared" si="0"/>
        <v>0</v>
      </c>
    </row>
    <row r="55" spans="1:203" ht="135">
      <c r="A55" s="77"/>
      <c r="B55" s="77"/>
      <c r="C55" s="77"/>
      <c r="D55" s="77"/>
      <c r="E55" s="77"/>
      <c r="F55" s="266" t="s">
        <v>584</v>
      </c>
      <c r="G55" s="77"/>
      <c r="H55" s="295"/>
      <c r="I55" s="266"/>
      <c r="J55" s="267"/>
    </row>
    <row r="56" spans="1:203">
      <c r="A56" s="77"/>
      <c r="B56" s="77"/>
      <c r="C56" s="77"/>
      <c r="D56" s="77"/>
      <c r="E56" s="77"/>
      <c r="F56" s="81"/>
      <c r="G56" s="77"/>
      <c r="H56" s="295"/>
      <c r="I56" s="266"/>
      <c r="J56" s="267"/>
    </row>
    <row r="57" spans="1:203">
      <c r="A57" s="105">
        <v>3.8</v>
      </c>
      <c r="B57" s="106"/>
      <c r="C57" s="296" t="s">
        <v>102</v>
      </c>
      <c r="D57" s="296" t="s">
        <v>215</v>
      </c>
      <c r="E57" s="107" t="s">
        <v>216</v>
      </c>
      <c r="F57" s="297" t="s">
        <v>375</v>
      </c>
      <c r="G57" s="269" t="s">
        <v>7</v>
      </c>
      <c r="H57" s="266">
        <v>140</v>
      </c>
      <c r="I57" s="604">
        <v>2298</v>
      </c>
      <c r="J57" s="267">
        <f t="shared" si="0"/>
        <v>321720</v>
      </c>
    </row>
    <row r="58" spans="1:203" ht="75">
      <c r="A58" s="298"/>
      <c r="B58" s="106"/>
      <c r="C58" s="106"/>
      <c r="D58" s="106"/>
      <c r="E58" s="106"/>
      <c r="F58" s="81" t="s">
        <v>590</v>
      </c>
      <c r="G58" s="269"/>
      <c r="H58" s="250"/>
      <c r="I58" s="281"/>
      <c r="J58" s="267"/>
    </row>
    <row r="59" spans="1:203">
      <c r="A59" s="298"/>
      <c r="B59" s="106"/>
      <c r="C59" s="106"/>
      <c r="D59" s="106"/>
      <c r="E59" s="106"/>
      <c r="F59" s="81"/>
      <c r="G59" s="269"/>
      <c r="H59" s="76"/>
      <c r="I59" s="281"/>
      <c r="J59" s="267"/>
    </row>
    <row r="60" spans="1:203">
      <c r="A60" s="77"/>
      <c r="B60" s="77"/>
      <c r="C60" s="77"/>
      <c r="D60" s="77"/>
      <c r="E60" s="77"/>
      <c r="F60" s="77"/>
      <c r="G60" s="77"/>
      <c r="H60" s="295"/>
      <c r="I60" s="266"/>
      <c r="J60" s="267"/>
    </row>
    <row r="61" spans="1:203" ht="27.75" customHeight="1">
      <c r="A61" s="266">
        <v>3.9</v>
      </c>
      <c r="B61" s="295"/>
      <c r="C61" s="266" t="s">
        <v>102</v>
      </c>
      <c r="D61" s="266" t="s">
        <v>219</v>
      </c>
      <c r="E61" s="266" t="s">
        <v>376</v>
      </c>
      <c r="F61" s="76" t="s">
        <v>377</v>
      </c>
      <c r="G61" s="266" t="s">
        <v>7</v>
      </c>
      <c r="H61" s="266">
        <v>30</v>
      </c>
      <c r="I61" s="604">
        <v>25680</v>
      </c>
      <c r="J61" s="267">
        <f t="shared" si="0"/>
        <v>770400</v>
      </c>
    </row>
    <row r="62" spans="1:203" ht="60">
      <c r="A62" s="77"/>
      <c r="B62" s="295"/>
      <c r="C62" s="77"/>
      <c r="D62" s="77"/>
      <c r="E62" s="77"/>
      <c r="F62" s="266" t="s">
        <v>378</v>
      </c>
      <c r="G62" s="77"/>
      <c r="H62" s="77"/>
      <c r="I62" s="266"/>
      <c r="J62" s="267"/>
    </row>
    <row r="63" spans="1:203">
      <c r="A63" s="77"/>
      <c r="B63" s="295"/>
      <c r="C63" s="77"/>
      <c r="D63" s="77"/>
      <c r="E63" s="77"/>
      <c r="F63" s="81"/>
      <c r="G63" s="77"/>
      <c r="H63" s="77"/>
      <c r="I63" s="266"/>
      <c r="J63" s="267"/>
    </row>
    <row r="64" spans="1:203" ht="27.75" customHeight="1">
      <c r="A64" s="295">
        <v>3.1</v>
      </c>
      <c r="B64" s="295"/>
      <c r="C64" s="266" t="s">
        <v>102</v>
      </c>
      <c r="D64" s="266" t="s">
        <v>219</v>
      </c>
      <c r="E64" s="266" t="s">
        <v>376</v>
      </c>
      <c r="F64" s="76" t="s">
        <v>379</v>
      </c>
      <c r="G64" s="266" t="s">
        <v>7</v>
      </c>
      <c r="H64" s="266">
        <v>109</v>
      </c>
      <c r="I64" s="604">
        <v>13610</v>
      </c>
      <c r="J64" s="267">
        <f t="shared" si="0"/>
        <v>1483490</v>
      </c>
    </row>
    <row r="65" spans="1:10" ht="60">
      <c r="A65" s="77"/>
      <c r="B65" s="295"/>
      <c r="C65" s="77"/>
      <c r="D65" s="77"/>
      <c r="E65" s="77"/>
      <c r="F65" s="266" t="s">
        <v>380</v>
      </c>
      <c r="G65" s="77"/>
      <c r="H65" s="77"/>
      <c r="I65" s="266"/>
      <c r="J65" s="267"/>
    </row>
    <row r="66" spans="1:10">
      <c r="A66" s="77"/>
      <c r="B66" s="295"/>
      <c r="C66" s="77"/>
      <c r="D66" s="77"/>
      <c r="E66" s="77"/>
      <c r="F66" s="81"/>
      <c r="G66" s="77"/>
      <c r="H66" s="77"/>
      <c r="I66" s="266"/>
      <c r="J66" s="267"/>
    </row>
    <row r="67" spans="1:10">
      <c r="A67" s="266"/>
      <c r="B67" s="295"/>
      <c r="C67" s="266"/>
      <c r="D67" s="266"/>
      <c r="E67" s="266"/>
      <c r="F67" s="266"/>
      <c r="G67" s="266"/>
      <c r="H67" s="266"/>
      <c r="I67" s="280"/>
      <c r="J67" s="267"/>
    </row>
    <row r="68" spans="1:10" ht="30">
      <c r="A68" s="266">
        <v>3.11</v>
      </c>
      <c r="B68" s="295"/>
      <c r="C68" s="266" t="s">
        <v>102</v>
      </c>
      <c r="D68" s="266" t="s">
        <v>381</v>
      </c>
      <c r="E68" s="266" t="s">
        <v>382</v>
      </c>
      <c r="F68" s="76" t="s">
        <v>383</v>
      </c>
      <c r="G68" s="266" t="s">
        <v>8</v>
      </c>
      <c r="H68" s="266">
        <v>42</v>
      </c>
      <c r="I68" s="604">
        <v>2214</v>
      </c>
      <c r="J68" s="267">
        <f t="shared" si="0"/>
        <v>92988</v>
      </c>
    </row>
    <row r="69" spans="1:10" ht="120">
      <c r="A69" s="77"/>
      <c r="B69" s="295"/>
      <c r="C69" s="77"/>
      <c r="D69" s="77"/>
      <c r="E69" s="77"/>
      <c r="F69" s="266" t="s">
        <v>585</v>
      </c>
      <c r="G69" s="77"/>
      <c r="H69" s="77"/>
      <c r="I69" s="266"/>
      <c r="J69" s="267"/>
    </row>
    <row r="70" spans="1:10">
      <c r="A70" s="77"/>
      <c r="B70" s="295"/>
      <c r="C70" s="77"/>
      <c r="D70" s="77"/>
      <c r="E70" s="77"/>
      <c r="F70" s="81"/>
      <c r="G70" s="77"/>
      <c r="H70" s="77"/>
      <c r="I70" s="266"/>
      <c r="J70" s="267"/>
    </row>
    <row r="71" spans="1:10" ht="15.95" customHeight="1">
      <c r="A71" s="77"/>
      <c r="B71" s="295"/>
      <c r="C71" s="77"/>
      <c r="D71" s="77"/>
      <c r="E71" s="77"/>
      <c r="F71" s="266"/>
      <c r="G71" s="77"/>
      <c r="H71" s="77"/>
      <c r="I71" s="266"/>
      <c r="J71" s="267"/>
    </row>
    <row r="72" spans="1:10" ht="30">
      <c r="A72" s="295">
        <v>3.12</v>
      </c>
      <c r="B72" s="295"/>
      <c r="C72" s="266" t="s">
        <v>102</v>
      </c>
      <c r="D72" s="266" t="s">
        <v>381</v>
      </c>
      <c r="E72" s="266" t="s">
        <v>382</v>
      </c>
      <c r="F72" s="76" t="s">
        <v>384</v>
      </c>
      <c r="G72" s="266" t="s">
        <v>8</v>
      </c>
      <c r="H72" s="266">
        <v>42</v>
      </c>
      <c r="I72" s="604">
        <v>1710</v>
      </c>
      <c r="J72" s="267">
        <f t="shared" si="0"/>
        <v>71820</v>
      </c>
    </row>
    <row r="73" spans="1:10" ht="105">
      <c r="A73" s="77"/>
      <c r="B73" s="295"/>
      <c r="C73" s="77"/>
      <c r="D73" s="77"/>
      <c r="E73" s="77"/>
      <c r="F73" s="266" t="s">
        <v>385</v>
      </c>
      <c r="G73" s="77"/>
      <c r="H73" s="77"/>
      <c r="I73" s="266"/>
      <c r="J73" s="267"/>
    </row>
    <row r="74" spans="1:10" ht="15.95" customHeight="1">
      <c r="A74" s="77"/>
      <c r="B74" s="295"/>
      <c r="C74" s="77"/>
      <c r="D74" s="77"/>
      <c r="E74" s="77"/>
      <c r="F74" s="81"/>
      <c r="G74" s="77"/>
      <c r="H74" s="77"/>
      <c r="I74" s="266"/>
      <c r="J74" s="267"/>
    </row>
    <row r="75" spans="1:10" ht="30">
      <c r="A75" s="295">
        <v>3.13</v>
      </c>
      <c r="B75" s="295"/>
      <c r="C75" s="266" t="s">
        <v>102</v>
      </c>
      <c r="D75" s="266" t="s">
        <v>381</v>
      </c>
      <c r="E75" s="266" t="s">
        <v>382</v>
      </c>
      <c r="F75" s="76" t="s">
        <v>386</v>
      </c>
      <c r="G75" s="266" t="s">
        <v>8</v>
      </c>
      <c r="H75" s="266">
        <f>H72*2</f>
        <v>84</v>
      </c>
      <c r="I75" s="604">
        <v>2418</v>
      </c>
      <c r="J75" s="267">
        <f t="shared" si="0"/>
        <v>203112</v>
      </c>
    </row>
    <row r="76" spans="1:10" ht="90">
      <c r="A76" s="77"/>
      <c r="B76" s="295"/>
      <c r="C76" s="77"/>
      <c r="D76" s="77"/>
      <c r="E76" s="77"/>
      <c r="F76" s="266" t="s">
        <v>387</v>
      </c>
      <c r="G76" s="77"/>
      <c r="H76" s="77"/>
      <c r="I76" s="266"/>
      <c r="J76" s="267"/>
    </row>
    <row r="77" spans="1:10" ht="15.95" customHeight="1">
      <c r="A77" s="77"/>
      <c r="B77" s="295"/>
      <c r="C77" s="77"/>
      <c r="D77" s="77"/>
      <c r="E77" s="77"/>
      <c r="F77" s="81"/>
      <c r="G77" s="77"/>
      <c r="H77" s="77"/>
      <c r="I77" s="266"/>
      <c r="J77" s="267"/>
    </row>
    <row r="78" spans="1:10" ht="30">
      <c r="A78" s="295" t="s">
        <v>388</v>
      </c>
      <c r="B78" s="295"/>
      <c r="C78" s="266" t="s">
        <v>102</v>
      </c>
      <c r="D78" s="266" t="s">
        <v>381</v>
      </c>
      <c r="E78" s="266" t="s">
        <v>389</v>
      </c>
      <c r="F78" s="76" t="s">
        <v>390</v>
      </c>
      <c r="G78" s="266" t="s">
        <v>8</v>
      </c>
      <c r="H78" s="266">
        <f>75</f>
        <v>75</v>
      </c>
      <c r="I78" s="604">
        <v>765</v>
      </c>
      <c r="J78" s="267">
        <f t="shared" ref="J78" si="1">SUM(H78*I78)</f>
        <v>57375</v>
      </c>
    </row>
    <row r="79" spans="1:10" ht="90">
      <c r="A79" s="77"/>
      <c r="B79" s="295"/>
      <c r="C79" s="77"/>
      <c r="D79" s="77"/>
      <c r="E79" s="77"/>
      <c r="F79" s="81" t="s">
        <v>391</v>
      </c>
      <c r="G79" s="77"/>
      <c r="H79" s="77"/>
      <c r="I79" s="266"/>
      <c r="J79" s="267"/>
    </row>
    <row r="80" spans="1:10" ht="15.95" customHeight="1">
      <c r="A80" s="77"/>
      <c r="B80" s="295"/>
      <c r="C80" s="77"/>
      <c r="D80" s="77"/>
      <c r="E80" s="77"/>
      <c r="F80" s="81"/>
      <c r="G80" s="77"/>
      <c r="H80" s="77"/>
      <c r="I80" s="266"/>
      <c r="J80" s="267"/>
    </row>
    <row r="81" spans="1:10" ht="15.95" customHeight="1">
      <c r="A81" s="77"/>
      <c r="B81" s="295"/>
      <c r="C81" s="77"/>
      <c r="D81" s="77"/>
      <c r="E81" s="77"/>
      <c r="F81" s="294" t="s">
        <v>300</v>
      </c>
      <c r="G81" s="77"/>
      <c r="H81" s="77"/>
      <c r="I81" s="266"/>
      <c r="J81" s="267"/>
    </row>
    <row r="82" spans="1:10" ht="30">
      <c r="A82" s="266">
        <v>3.14</v>
      </c>
      <c r="B82" s="295"/>
      <c r="C82" s="266" t="s">
        <v>102</v>
      </c>
      <c r="D82" s="266" t="s">
        <v>392</v>
      </c>
      <c r="E82" s="266" t="s">
        <v>393</v>
      </c>
      <c r="F82" s="76" t="s">
        <v>394</v>
      </c>
      <c r="G82" s="266" t="s">
        <v>8</v>
      </c>
      <c r="H82" s="266">
        <v>10</v>
      </c>
      <c r="I82" s="604">
        <v>49098</v>
      </c>
      <c r="J82" s="267">
        <f t="shared" si="0"/>
        <v>490980</v>
      </c>
    </row>
    <row r="83" spans="1:10" ht="150">
      <c r="A83" s="77"/>
      <c r="B83" s="295"/>
      <c r="C83" s="77"/>
      <c r="D83" s="77"/>
      <c r="E83" s="77"/>
      <c r="F83" s="266" t="s">
        <v>586</v>
      </c>
      <c r="G83" s="77"/>
      <c r="H83" s="77"/>
      <c r="I83" s="266"/>
      <c r="J83" s="267"/>
    </row>
    <row r="84" spans="1:10" ht="21" customHeight="1">
      <c r="A84" s="77"/>
      <c r="B84" s="295"/>
      <c r="C84" s="77"/>
      <c r="D84" s="77"/>
      <c r="E84" s="77"/>
      <c r="F84" s="266" t="s">
        <v>395</v>
      </c>
      <c r="G84" s="77"/>
      <c r="H84" s="77"/>
      <c r="I84" s="266"/>
      <c r="J84" s="267"/>
    </row>
    <row r="85" spans="1:10">
      <c r="A85" s="77"/>
      <c r="B85" s="295"/>
      <c r="C85" s="77"/>
      <c r="D85" s="77"/>
      <c r="E85" s="77"/>
      <c r="F85" s="81"/>
      <c r="G85" s="77"/>
      <c r="H85" s="77"/>
      <c r="I85" s="266"/>
      <c r="J85" s="267"/>
    </row>
    <row r="86" spans="1:10" ht="21" customHeight="1">
      <c r="A86" s="77"/>
      <c r="B86" s="295"/>
      <c r="C86" s="77"/>
      <c r="D86" s="77"/>
      <c r="E86" s="77"/>
      <c r="F86" s="266"/>
      <c r="G86" s="77"/>
      <c r="H86" s="77"/>
      <c r="I86" s="266"/>
      <c r="J86" s="267"/>
    </row>
    <row r="87" spans="1:10" ht="31.5" customHeight="1">
      <c r="A87" s="295">
        <v>3.15</v>
      </c>
      <c r="B87" s="295"/>
      <c r="C87" s="266" t="s">
        <v>102</v>
      </c>
      <c r="D87" s="266" t="s">
        <v>9</v>
      </c>
      <c r="E87" s="266" t="s">
        <v>396</v>
      </c>
      <c r="F87" s="76" t="s">
        <v>397</v>
      </c>
      <c r="G87" s="266" t="s">
        <v>8</v>
      </c>
      <c r="H87" s="266">
        <v>10.999999999999998</v>
      </c>
      <c r="I87" s="604">
        <v>25044</v>
      </c>
      <c r="J87" s="267">
        <f t="shared" si="0"/>
        <v>275483.99999999994</v>
      </c>
    </row>
    <row r="88" spans="1:10" ht="60">
      <c r="A88" s="77"/>
      <c r="B88" s="295"/>
      <c r="C88" s="77"/>
      <c r="D88" s="77"/>
      <c r="E88" s="77"/>
      <c r="F88" s="266" t="s">
        <v>587</v>
      </c>
      <c r="G88" s="77"/>
      <c r="H88" s="77"/>
      <c r="I88" s="266"/>
      <c r="J88" s="267"/>
    </row>
    <row r="89" spans="1:10" ht="15.95" customHeight="1">
      <c r="A89" s="77"/>
      <c r="B89" s="295"/>
      <c r="C89" s="77"/>
      <c r="D89" s="77"/>
      <c r="E89" s="77"/>
      <c r="F89" s="266" t="s">
        <v>398</v>
      </c>
      <c r="G89" s="77"/>
      <c r="H89" s="77"/>
      <c r="I89" s="266"/>
      <c r="J89" s="267"/>
    </row>
    <row r="90" spans="1:10" ht="15.95" customHeight="1">
      <c r="A90" s="77"/>
      <c r="B90" s="295"/>
      <c r="C90" s="77"/>
      <c r="D90" s="77"/>
      <c r="E90" s="77"/>
      <c r="F90" s="81"/>
      <c r="G90" s="77"/>
      <c r="H90" s="77"/>
      <c r="I90" s="266"/>
      <c r="J90" s="267"/>
    </row>
    <row r="91" spans="1:10" ht="15.95" customHeight="1">
      <c r="A91" s="77"/>
      <c r="B91" s="295"/>
      <c r="C91" s="77"/>
      <c r="D91" s="77"/>
      <c r="E91" s="77"/>
      <c r="F91" s="81"/>
      <c r="G91" s="77"/>
      <c r="H91" s="77"/>
      <c r="I91" s="266"/>
      <c r="J91" s="267"/>
    </row>
    <row r="92" spans="1:10" ht="31.5" customHeight="1">
      <c r="A92" s="266">
        <v>3.16</v>
      </c>
      <c r="B92" s="295"/>
      <c r="C92" s="266" t="s">
        <v>102</v>
      </c>
      <c r="D92" s="266" t="s">
        <v>9</v>
      </c>
      <c r="E92" s="266" t="s">
        <v>396</v>
      </c>
      <c r="F92" s="76" t="s">
        <v>399</v>
      </c>
      <c r="G92" s="266" t="s">
        <v>8</v>
      </c>
      <c r="H92" s="266">
        <v>2.5</v>
      </c>
      <c r="I92" s="604">
        <v>24708</v>
      </c>
      <c r="J92" s="267">
        <f t="shared" si="0"/>
        <v>61770</v>
      </c>
    </row>
    <row r="93" spans="1:10" ht="60">
      <c r="A93" s="77"/>
      <c r="B93" s="295"/>
      <c r="C93" s="77"/>
      <c r="D93" s="77"/>
      <c r="E93" s="77"/>
      <c r="F93" s="266" t="s">
        <v>588</v>
      </c>
      <c r="G93" s="77"/>
      <c r="H93" s="77"/>
      <c r="I93" s="266"/>
      <c r="J93" s="267"/>
    </row>
    <row r="94" spans="1:10">
      <c r="A94" s="77"/>
      <c r="B94" s="295"/>
      <c r="C94" s="77"/>
      <c r="D94" s="77"/>
      <c r="E94" s="77"/>
      <c r="F94" s="266" t="s">
        <v>398</v>
      </c>
      <c r="G94" s="77"/>
      <c r="H94" s="77"/>
      <c r="I94" s="266"/>
      <c r="J94" s="267"/>
    </row>
    <row r="95" spans="1:10">
      <c r="A95" s="77"/>
      <c r="B95" s="295"/>
      <c r="C95" s="77"/>
      <c r="D95" s="77"/>
      <c r="E95" s="77"/>
      <c r="F95" s="81"/>
      <c r="G95" s="77"/>
      <c r="H95" s="77"/>
      <c r="I95" s="266"/>
      <c r="J95" s="267"/>
    </row>
    <row r="96" spans="1:10">
      <c r="A96" s="77"/>
      <c r="B96" s="295"/>
      <c r="C96" s="77"/>
      <c r="D96" s="77"/>
      <c r="E96" s="77"/>
      <c r="F96" s="81"/>
      <c r="G96" s="77"/>
      <c r="H96" s="77"/>
      <c r="I96" s="266"/>
      <c r="J96" s="267"/>
    </row>
    <row r="97" spans="1:10" ht="30">
      <c r="A97" s="266">
        <v>3.17</v>
      </c>
      <c r="B97" s="295"/>
      <c r="C97" s="266" t="s">
        <v>102</v>
      </c>
      <c r="D97" s="266" t="s">
        <v>400</v>
      </c>
      <c r="E97" s="266" t="s">
        <v>401</v>
      </c>
      <c r="F97" s="76" t="s">
        <v>402</v>
      </c>
      <c r="G97" s="266" t="s">
        <v>126</v>
      </c>
      <c r="H97" s="266">
        <v>5</v>
      </c>
      <c r="I97" s="604">
        <v>20670</v>
      </c>
      <c r="J97" s="267">
        <f t="shared" si="0"/>
        <v>103350</v>
      </c>
    </row>
    <row r="98" spans="1:10" ht="75">
      <c r="A98" s="77"/>
      <c r="B98" s="295"/>
      <c r="C98" s="77"/>
      <c r="D98" s="77"/>
      <c r="E98" s="77"/>
      <c r="F98" s="266" t="s">
        <v>589</v>
      </c>
      <c r="G98" s="77"/>
      <c r="H98" s="77"/>
      <c r="I98" s="266"/>
      <c r="J98" s="267"/>
    </row>
    <row r="99" spans="1:10" ht="15.95" customHeight="1">
      <c r="A99" s="77"/>
      <c r="B99" s="295"/>
      <c r="C99" s="77"/>
      <c r="D99" s="77"/>
      <c r="E99" s="77"/>
      <c r="F99" s="81"/>
      <c r="G99" s="77"/>
      <c r="H99" s="77"/>
      <c r="I99" s="266"/>
      <c r="J99" s="267"/>
    </row>
    <row r="100" spans="1:10" ht="15.95" customHeight="1">
      <c r="A100" s="87"/>
      <c r="B100" s="299"/>
      <c r="C100" s="87"/>
      <c r="D100" s="87"/>
      <c r="E100" s="87"/>
      <c r="F100" s="85"/>
      <c r="G100" s="87"/>
      <c r="H100" s="87"/>
      <c r="I100" s="272"/>
      <c r="J100" s="300"/>
    </row>
    <row r="101" spans="1:10" ht="31.5" customHeight="1">
      <c r="A101" s="266">
        <v>3.16</v>
      </c>
      <c r="B101" s="295"/>
      <c r="C101" s="266" t="s">
        <v>102</v>
      </c>
      <c r="D101" s="266" t="s">
        <v>9</v>
      </c>
      <c r="E101" s="266" t="s">
        <v>403</v>
      </c>
      <c r="F101" s="76" t="s">
        <v>404</v>
      </c>
      <c r="G101" s="266" t="s">
        <v>8</v>
      </c>
      <c r="H101" s="266">
        <v>4</v>
      </c>
      <c r="I101" s="604">
        <v>24708</v>
      </c>
      <c r="J101" s="267">
        <f t="shared" ref="J101" si="2">SUM(H101*I101)</f>
        <v>98832</v>
      </c>
    </row>
    <row r="102" spans="1:10" ht="60">
      <c r="A102" s="77"/>
      <c r="B102" s="295"/>
      <c r="C102" s="77"/>
      <c r="D102" s="77"/>
      <c r="E102" s="77"/>
      <c r="F102" s="266" t="s">
        <v>588</v>
      </c>
      <c r="G102" s="77"/>
      <c r="H102" s="77"/>
      <c r="I102" s="266"/>
      <c r="J102" s="267"/>
    </row>
    <row r="103" spans="1:10">
      <c r="A103" s="77"/>
      <c r="B103" s="295"/>
      <c r="C103" s="77"/>
      <c r="D103" s="77"/>
      <c r="E103" s="77"/>
      <c r="F103" s="266" t="s">
        <v>405</v>
      </c>
      <c r="G103" s="77"/>
      <c r="H103" s="77"/>
      <c r="I103" s="266"/>
      <c r="J103" s="267"/>
    </row>
    <row r="104" spans="1:10">
      <c r="A104" s="77"/>
      <c r="B104" s="295"/>
      <c r="C104" s="77"/>
      <c r="D104" s="77"/>
      <c r="E104" s="77"/>
      <c r="F104" s="81"/>
      <c r="G104" s="77"/>
      <c r="H104" s="77"/>
      <c r="I104" s="266"/>
      <c r="J104" s="267"/>
    </row>
    <row r="105" spans="1:10" ht="15.95" customHeight="1" thickBot="1">
      <c r="A105" s="87"/>
      <c r="B105" s="299"/>
      <c r="C105" s="87"/>
      <c r="D105" s="87"/>
      <c r="E105" s="87"/>
      <c r="F105" s="272"/>
      <c r="G105" s="87"/>
      <c r="H105" s="87"/>
      <c r="I105" s="272"/>
      <c r="J105" s="300"/>
    </row>
    <row r="106" spans="1:10" ht="23.25" customHeight="1" thickBot="1">
      <c r="A106" s="49" t="s">
        <v>11</v>
      </c>
      <c r="B106" s="304"/>
      <c r="C106" s="53"/>
      <c r="D106" s="53"/>
      <c r="E106" s="53"/>
      <c r="F106" s="50" t="s">
        <v>18</v>
      </c>
      <c r="G106" s="53"/>
      <c r="H106" s="53"/>
      <c r="I106" s="277"/>
      <c r="J106" s="305"/>
    </row>
    <row r="107" spans="1:10">
      <c r="A107" s="279"/>
      <c r="B107" s="306"/>
      <c r="C107" s="31"/>
      <c r="D107" s="31"/>
      <c r="E107" s="31"/>
      <c r="F107" s="58"/>
      <c r="G107" s="31"/>
      <c r="H107" s="31"/>
      <c r="I107" s="279"/>
      <c r="J107" s="307"/>
    </row>
    <row r="108" spans="1:10" ht="16.5" customHeight="1">
      <c r="A108" s="279">
        <v>4.0999999999999996</v>
      </c>
      <c r="B108" s="31"/>
      <c r="C108" s="279" t="s">
        <v>10</v>
      </c>
      <c r="D108" s="279" t="s">
        <v>227</v>
      </c>
      <c r="E108" s="279" t="s">
        <v>406</v>
      </c>
      <c r="F108" s="58" t="s">
        <v>407</v>
      </c>
      <c r="G108" s="279" t="s">
        <v>7</v>
      </c>
      <c r="H108" s="306">
        <f>110+10+25+10+45</f>
        <v>200</v>
      </c>
      <c r="I108" s="604">
        <v>3954</v>
      </c>
      <c r="J108" s="307">
        <f t="shared" si="0"/>
        <v>790800</v>
      </c>
    </row>
    <row r="109" spans="1:10" ht="135">
      <c r="A109" s="266"/>
      <c r="B109" s="77"/>
      <c r="C109" s="266"/>
      <c r="D109" s="266"/>
      <c r="E109" s="266"/>
      <c r="F109" s="81" t="s">
        <v>408</v>
      </c>
      <c r="G109" s="266"/>
      <c r="H109" s="295"/>
      <c r="I109" s="266"/>
      <c r="J109" s="267"/>
    </row>
    <row r="110" spans="1:10">
      <c r="A110" s="77"/>
      <c r="B110" s="77"/>
      <c r="C110" s="77"/>
      <c r="D110" s="77"/>
      <c r="E110" s="77"/>
      <c r="F110" s="266"/>
      <c r="G110" s="308"/>
      <c r="H110" s="308"/>
      <c r="I110" s="266"/>
      <c r="J110" s="267"/>
    </row>
    <row r="111" spans="1:10" ht="15.95" customHeight="1">
      <c r="A111" s="266">
        <v>4.2</v>
      </c>
      <c r="B111" s="77"/>
      <c r="C111" s="266" t="s">
        <v>10</v>
      </c>
      <c r="D111" s="266" t="s">
        <v>227</v>
      </c>
      <c r="E111" s="266" t="s">
        <v>409</v>
      </c>
      <c r="F111" s="76" t="s">
        <v>410</v>
      </c>
      <c r="G111" s="266" t="s">
        <v>8</v>
      </c>
      <c r="H111" s="295">
        <f>(16+17)+7</f>
        <v>40</v>
      </c>
      <c r="I111" s="604">
        <v>360</v>
      </c>
      <c r="J111" s="267">
        <f t="shared" si="0"/>
        <v>14400</v>
      </c>
    </row>
    <row r="112" spans="1:10" ht="105">
      <c r="A112" s="77"/>
      <c r="B112" s="77"/>
      <c r="C112" s="77"/>
      <c r="D112" s="77"/>
      <c r="E112" s="77"/>
      <c r="F112" s="81" t="s">
        <v>411</v>
      </c>
      <c r="G112" s="308"/>
      <c r="H112" s="308"/>
      <c r="I112" s="266"/>
      <c r="J112" s="267"/>
    </row>
    <row r="113" spans="1:203">
      <c r="A113" s="77"/>
      <c r="B113" s="77"/>
      <c r="C113" s="77"/>
      <c r="D113" s="77"/>
      <c r="E113" s="77"/>
      <c r="F113" s="266"/>
      <c r="G113" s="308"/>
      <c r="H113" s="308"/>
      <c r="I113" s="266"/>
      <c r="J113" s="267"/>
    </row>
    <row r="114" spans="1:203" ht="15.95" customHeight="1">
      <c r="A114" s="266">
        <v>4.3</v>
      </c>
      <c r="B114" s="77"/>
      <c r="C114" s="266" t="s">
        <v>10</v>
      </c>
      <c r="D114" s="266" t="s">
        <v>227</v>
      </c>
      <c r="E114" s="266" t="s">
        <v>412</v>
      </c>
      <c r="F114" s="76" t="s">
        <v>413</v>
      </c>
      <c r="G114" s="266" t="s">
        <v>8</v>
      </c>
      <c r="H114" s="295">
        <f>(16+17)+7</f>
        <v>40</v>
      </c>
      <c r="I114" s="604">
        <v>1230</v>
      </c>
      <c r="J114" s="267">
        <f t="shared" si="0"/>
        <v>49200</v>
      </c>
    </row>
    <row r="115" spans="1:203" ht="120">
      <c r="A115" s="77"/>
      <c r="B115" s="77"/>
      <c r="C115" s="77"/>
      <c r="D115" s="77"/>
      <c r="E115" s="77"/>
      <c r="F115" s="266" t="s">
        <v>414</v>
      </c>
      <c r="G115" s="77"/>
      <c r="H115" s="77"/>
      <c r="I115" s="266"/>
      <c r="J115" s="267"/>
    </row>
    <row r="116" spans="1:203">
      <c r="A116" s="77"/>
      <c r="B116" s="77"/>
      <c r="C116" s="77"/>
      <c r="D116" s="77"/>
      <c r="E116" s="77"/>
      <c r="F116" s="266"/>
      <c r="G116" s="308"/>
      <c r="H116" s="308"/>
      <c r="I116" s="266"/>
      <c r="J116" s="267"/>
    </row>
    <row r="117" spans="1:203" ht="30">
      <c r="A117" s="266">
        <v>4.4000000000000004</v>
      </c>
      <c r="B117" s="77"/>
      <c r="C117" s="266" t="s">
        <v>10</v>
      </c>
      <c r="D117" s="266" t="s">
        <v>227</v>
      </c>
      <c r="E117" s="266" t="s">
        <v>415</v>
      </c>
      <c r="F117" s="76" t="s">
        <v>416</v>
      </c>
      <c r="G117" s="266" t="s">
        <v>8</v>
      </c>
      <c r="H117" s="295">
        <f>22+22+10</f>
        <v>54</v>
      </c>
      <c r="I117" s="604">
        <v>360</v>
      </c>
      <c r="J117" s="267">
        <f t="shared" si="0"/>
        <v>19440</v>
      </c>
    </row>
    <row r="118" spans="1:203" ht="30">
      <c r="A118" s="77"/>
      <c r="B118" s="77"/>
      <c r="C118" s="77"/>
      <c r="D118" s="77"/>
      <c r="E118" s="77"/>
      <c r="F118" s="266" t="s">
        <v>417</v>
      </c>
      <c r="G118" s="308"/>
      <c r="H118" s="308"/>
      <c r="I118" s="266"/>
      <c r="J118" s="267"/>
    </row>
    <row r="119" spans="1:203">
      <c r="A119" s="77"/>
      <c r="B119" s="295"/>
      <c r="C119" s="77"/>
      <c r="D119" s="77"/>
      <c r="E119" s="77"/>
      <c r="F119" s="81"/>
      <c r="G119" s="77"/>
      <c r="H119" s="77"/>
      <c r="I119" s="266"/>
      <c r="J119" s="267"/>
    </row>
    <row r="120" spans="1:203">
      <c r="A120" s="309">
        <v>4.5</v>
      </c>
      <c r="B120" s="108"/>
      <c r="C120" s="270" t="s">
        <v>10</v>
      </c>
      <c r="D120" s="310"/>
      <c r="E120" s="268" t="s">
        <v>418</v>
      </c>
      <c r="F120" s="108" t="s">
        <v>419</v>
      </c>
      <c r="G120" s="269" t="s">
        <v>7</v>
      </c>
      <c r="H120" s="77">
        <f>60*3.2</f>
        <v>192</v>
      </c>
      <c r="I120" s="604">
        <v>732</v>
      </c>
      <c r="J120" s="267">
        <f t="shared" ref="J120:J178" si="3">SUM(H120*I120)</f>
        <v>140544</v>
      </c>
    </row>
    <row r="121" spans="1:203" ht="75">
      <c r="A121" s="311"/>
      <c r="B121" s="108"/>
      <c r="C121" s="108"/>
      <c r="D121" s="108"/>
      <c r="E121" s="108"/>
      <c r="F121" s="312" t="s">
        <v>420</v>
      </c>
      <c r="G121" s="269"/>
      <c r="H121" s="77"/>
      <c r="I121" s="266"/>
      <c r="J121" s="267"/>
    </row>
    <row r="122" spans="1:203" ht="15.75" thickBot="1">
      <c r="A122" s="87"/>
      <c r="B122" s="299"/>
      <c r="C122" s="87"/>
      <c r="D122" s="87"/>
      <c r="E122" s="87"/>
      <c r="F122" s="272"/>
      <c r="G122" s="87"/>
      <c r="H122" s="87"/>
      <c r="I122" s="272"/>
      <c r="J122" s="300"/>
    </row>
    <row r="123" spans="1:203" ht="16.5" customHeight="1" thickBot="1">
      <c r="A123" s="49" t="s">
        <v>12</v>
      </c>
      <c r="B123" s="69"/>
      <c r="C123" s="69"/>
      <c r="D123" s="69"/>
      <c r="E123" s="69"/>
      <c r="F123" s="50" t="s">
        <v>19</v>
      </c>
      <c r="G123" s="69"/>
      <c r="H123" s="69"/>
      <c r="I123" s="50"/>
      <c r="J123" s="303"/>
    </row>
    <row r="124" spans="1:203" ht="12.75" customHeight="1">
      <c r="A124" s="279"/>
      <c r="B124" s="31"/>
      <c r="C124" s="279"/>
      <c r="D124" s="279"/>
      <c r="E124" s="279"/>
      <c r="F124" s="279"/>
      <c r="G124" s="279"/>
      <c r="H124" s="279"/>
      <c r="I124" s="279"/>
      <c r="J124" s="307"/>
    </row>
    <row r="125" spans="1:203" s="293" customFormat="1" ht="90">
      <c r="A125" s="313">
        <v>5.0999999999999996</v>
      </c>
      <c r="B125" s="285" t="s">
        <v>421</v>
      </c>
      <c r="C125" s="285" t="s">
        <v>102</v>
      </c>
      <c r="D125" s="285" t="s">
        <v>422</v>
      </c>
      <c r="E125" s="285" t="s">
        <v>423</v>
      </c>
      <c r="F125" s="314" t="s">
        <v>424</v>
      </c>
      <c r="G125" s="315" t="s">
        <v>8</v>
      </c>
      <c r="H125" s="316">
        <f>2.4*6</f>
        <v>14.399999999999999</v>
      </c>
      <c r="I125" s="604">
        <v>3200</v>
      </c>
      <c r="J125" s="317">
        <f t="shared" si="3"/>
        <v>46079.999999999993</v>
      </c>
      <c r="K125" s="292"/>
      <c r="L125" s="292"/>
      <c r="M125" s="292"/>
      <c r="N125" s="292"/>
      <c r="O125" s="292"/>
      <c r="P125" s="292"/>
      <c r="Q125" s="292"/>
      <c r="R125" s="292"/>
      <c r="S125" s="292"/>
      <c r="T125" s="292"/>
      <c r="U125" s="292"/>
      <c r="V125" s="292"/>
      <c r="W125" s="292"/>
      <c r="X125" s="292"/>
      <c r="Y125" s="292"/>
      <c r="Z125" s="292"/>
      <c r="AA125" s="292"/>
      <c r="AB125" s="292"/>
      <c r="AC125" s="292"/>
      <c r="AD125" s="292"/>
      <c r="AE125" s="292"/>
      <c r="AF125" s="292"/>
      <c r="AG125" s="292"/>
      <c r="AH125" s="292"/>
      <c r="AI125" s="292"/>
      <c r="AJ125" s="292"/>
      <c r="AK125" s="292"/>
      <c r="AL125" s="292"/>
      <c r="AM125" s="292"/>
      <c r="AN125" s="292"/>
      <c r="AO125" s="292"/>
      <c r="AP125" s="292"/>
      <c r="AQ125" s="292"/>
      <c r="AR125" s="292"/>
      <c r="AS125" s="292"/>
      <c r="AT125" s="292"/>
      <c r="AU125" s="292"/>
      <c r="AV125" s="292"/>
      <c r="AW125" s="292"/>
      <c r="AX125" s="292"/>
      <c r="AY125" s="292"/>
      <c r="AZ125" s="292"/>
      <c r="BA125" s="292"/>
      <c r="BB125" s="292"/>
      <c r="BC125" s="292"/>
      <c r="BD125" s="292"/>
      <c r="BE125" s="292"/>
      <c r="BF125" s="292"/>
      <c r="BG125" s="292"/>
      <c r="BH125" s="292"/>
      <c r="BI125" s="292"/>
      <c r="BJ125" s="292"/>
      <c r="BK125" s="292"/>
      <c r="BL125" s="292"/>
      <c r="BM125" s="292"/>
      <c r="BN125" s="292"/>
      <c r="BO125" s="292"/>
      <c r="BP125" s="292"/>
      <c r="BQ125" s="292"/>
      <c r="BR125" s="292"/>
      <c r="BS125" s="292"/>
      <c r="BT125" s="292"/>
      <c r="BU125" s="292"/>
      <c r="BV125" s="292"/>
      <c r="BW125" s="292"/>
      <c r="BX125" s="292"/>
      <c r="BY125" s="292"/>
      <c r="BZ125" s="292"/>
      <c r="CA125" s="292"/>
      <c r="CB125" s="292"/>
      <c r="CC125" s="292"/>
      <c r="CD125" s="292"/>
      <c r="CE125" s="292"/>
      <c r="CF125" s="292"/>
      <c r="CG125" s="292"/>
      <c r="CH125" s="292"/>
      <c r="CI125" s="292"/>
      <c r="CJ125" s="292"/>
      <c r="CK125" s="292"/>
      <c r="CL125" s="292"/>
      <c r="CM125" s="292"/>
      <c r="CN125" s="292"/>
      <c r="CO125" s="292"/>
      <c r="CP125" s="292"/>
      <c r="CQ125" s="292"/>
      <c r="CR125" s="292"/>
      <c r="CS125" s="292"/>
      <c r="CT125" s="292"/>
      <c r="CU125" s="292"/>
      <c r="CV125" s="292"/>
      <c r="CW125" s="292"/>
      <c r="CX125" s="292"/>
      <c r="CY125" s="292"/>
      <c r="CZ125" s="292"/>
      <c r="DA125" s="292"/>
      <c r="DB125" s="292"/>
      <c r="DC125" s="292"/>
      <c r="DD125" s="292"/>
      <c r="DE125" s="292"/>
      <c r="DF125" s="292"/>
      <c r="DG125" s="292"/>
      <c r="DH125" s="292"/>
      <c r="DI125" s="292"/>
      <c r="DJ125" s="292"/>
      <c r="DK125" s="292"/>
      <c r="DL125" s="292"/>
      <c r="DM125" s="292"/>
      <c r="DN125" s="292"/>
      <c r="DO125" s="292"/>
      <c r="DP125" s="292"/>
      <c r="DQ125" s="292"/>
      <c r="DR125" s="292"/>
      <c r="DS125" s="292"/>
      <c r="DT125" s="292"/>
      <c r="DU125" s="292"/>
      <c r="DV125" s="292"/>
      <c r="DW125" s="292"/>
      <c r="DX125" s="292"/>
      <c r="DY125" s="292"/>
      <c r="DZ125" s="292"/>
      <c r="EA125" s="292"/>
      <c r="EB125" s="292"/>
      <c r="EC125" s="292"/>
      <c r="ED125" s="292"/>
      <c r="EE125" s="292"/>
      <c r="EF125" s="292"/>
      <c r="EG125" s="292"/>
      <c r="EH125" s="292"/>
      <c r="EI125" s="292"/>
      <c r="EJ125" s="292"/>
      <c r="EK125" s="292"/>
      <c r="EL125" s="292"/>
      <c r="EM125" s="292"/>
      <c r="EN125" s="292"/>
      <c r="EO125" s="292"/>
      <c r="EP125" s="292"/>
      <c r="EQ125" s="292"/>
      <c r="ER125" s="292"/>
      <c r="ES125" s="292"/>
      <c r="ET125" s="292"/>
      <c r="EU125" s="292"/>
      <c r="EV125" s="292"/>
      <c r="EW125" s="292"/>
      <c r="EX125" s="292"/>
      <c r="EY125" s="292"/>
      <c r="EZ125" s="292"/>
      <c r="FA125" s="292"/>
      <c r="FB125" s="292"/>
      <c r="FC125" s="292"/>
      <c r="FD125" s="292"/>
      <c r="FE125" s="292"/>
      <c r="FF125" s="292"/>
      <c r="FG125" s="292"/>
      <c r="FH125" s="292"/>
      <c r="FI125" s="292"/>
      <c r="FJ125" s="292"/>
      <c r="FK125" s="292"/>
      <c r="FL125" s="292"/>
      <c r="FM125" s="292"/>
      <c r="FN125" s="292"/>
      <c r="FO125" s="292"/>
      <c r="FP125" s="292"/>
      <c r="FQ125" s="292"/>
      <c r="FR125" s="292"/>
      <c r="FS125" s="292"/>
      <c r="FT125" s="292"/>
      <c r="FU125" s="292"/>
      <c r="FV125" s="292"/>
      <c r="FW125" s="292"/>
      <c r="FX125" s="292"/>
      <c r="FY125" s="292"/>
      <c r="FZ125" s="292"/>
      <c r="GA125" s="292"/>
      <c r="GB125" s="292"/>
      <c r="GC125" s="292"/>
      <c r="GD125" s="292"/>
      <c r="GE125" s="292"/>
      <c r="GF125" s="292"/>
      <c r="GG125" s="292"/>
      <c r="GH125" s="292"/>
      <c r="GI125" s="292"/>
      <c r="GJ125" s="292"/>
      <c r="GK125" s="292"/>
      <c r="GL125" s="292"/>
      <c r="GM125" s="292"/>
      <c r="GN125" s="292"/>
      <c r="GO125" s="292"/>
      <c r="GP125" s="292"/>
      <c r="GQ125" s="292"/>
      <c r="GR125" s="292"/>
      <c r="GS125" s="292"/>
      <c r="GT125" s="292"/>
      <c r="GU125" s="292"/>
    </row>
    <row r="126" spans="1:203">
      <c r="A126" s="77"/>
      <c r="B126" s="77"/>
      <c r="C126" s="77"/>
      <c r="D126" s="77"/>
      <c r="E126" s="77"/>
      <c r="F126" s="266"/>
      <c r="G126" s="77"/>
      <c r="H126" s="77"/>
      <c r="I126" s="266"/>
      <c r="J126" s="267"/>
    </row>
    <row r="127" spans="1:203" ht="12.75" customHeight="1">
      <c r="A127" s="266">
        <v>5.2</v>
      </c>
      <c r="B127" s="77"/>
      <c r="C127" s="266" t="s">
        <v>425</v>
      </c>
      <c r="D127" s="266" t="s">
        <v>426</v>
      </c>
      <c r="E127" s="266" t="s">
        <v>427</v>
      </c>
      <c r="F127" s="76" t="s">
        <v>428</v>
      </c>
      <c r="G127" s="266" t="s">
        <v>7</v>
      </c>
      <c r="H127" s="266">
        <f>(1.1+1+1)*2.25</f>
        <v>6.9750000000000005</v>
      </c>
      <c r="I127" s="604">
        <v>30882</v>
      </c>
      <c r="J127" s="267">
        <f t="shared" si="3"/>
        <v>215401.95</v>
      </c>
    </row>
    <row r="128" spans="1:203" ht="71.25" customHeight="1">
      <c r="A128" s="77"/>
      <c r="B128" s="77"/>
      <c r="C128" s="77"/>
      <c r="D128" s="77"/>
      <c r="E128" s="77"/>
      <c r="F128" s="266" t="s">
        <v>429</v>
      </c>
      <c r="G128" s="77"/>
      <c r="H128" s="77"/>
      <c r="I128" s="266"/>
      <c r="J128" s="267"/>
    </row>
    <row r="129" spans="1:10">
      <c r="A129" s="77"/>
      <c r="B129" s="77"/>
      <c r="C129" s="77"/>
      <c r="D129" s="77"/>
      <c r="E129" s="77"/>
      <c r="F129" s="81"/>
      <c r="G129" s="77"/>
      <c r="H129" s="77"/>
      <c r="I129" s="266"/>
      <c r="J129" s="267"/>
    </row>
    <row r="130" spans="1:10" ht="12.75" customHeight="1">
      <c r="A130" s="266">
        <v>5.3</v>
      </c>
      <c r="B130" s="77"/>
      <c r="C130" s="266" t="s">
        <v>425</v>
      </c>
      <c r="D130" s="266" t="s">
        <v>430</v>
      </c>
      <c r="E130" s="266" t="s">
        <v>431</v>
      </c>
      <c r="F130" s="76" t="s">
        <v>432</v>
      </c>
      <c r="G130" s="266" t="s">
        <v>8</v>
      </c>
      <c r="H130" s="266">
        <f>5+19+6+6+13+18+6</f>
        <v>73</v>
      </c>
      <c r="I130" s="604">
        <v>3270</v>
      </c>
      <c r="J130" s="267">
        <f t="shared" si="3"/>
        <v>238710</v>
      </c>
    </row>
    <row r="131" spans="1:10" ht="75">
      <c r="A131" s="77"/>
      <c r="B131" s="77"/>
      <c r="C131" s="77"/>
      <c r="D131" s="77"/>
      <c r="E131" s="77"/>
      <c r="F131" s="266" t="s">
        <v>433</v>
      </c>
      <c r="G131" s="77"/>
      <c r="H131" s="77"/>
      <c r="I131" s="266"/>
      <c r="J131" s="267"/>
    </row>
    <row r="132" spans="1:10">
      <c r="A132" s="77"/>
      <c r="B132" s="77"/>
      <c r="C132" s="77"/>
      <c r="D132" s="77"/>
      <c r="E132" s="77"/>
      <c r="F132" s="81"/>
      <c r="G132" s="77"/>
      <c r="H132" s="77"/>
      <c r="I132" s="266"/>
      <c r="J132" s="267"/>
    </row>
    <row r="133" spans="1:10" ht="30">
      <c r="A133" s="266">
        <v>5.4</v>
      </c>
      <c r="B133" s="77"/>
      <c r="C133" s="266" t="s">
        <v>425</v>
      </c>
      <c r="D133" s="266" t="s">
        <v>434</v>
      </c>
      <c r="E133" s="266" t="s">
        <v>435</v>
      </c>
      <c r="F133" s="76" t="s">
        <v>436</v>
      </c>
      <c r="G133" s="266" t="s">
        <v>7</v>
      </c>
      <c r="H133" s="266">
        <f>3+1+3+2</f>
        <v>9</v>
      </c>
      <c r="I133" s="604">
        <v>51252</v>
      </c>
      <c r="J133" s="267">
        <f t="shared" si="3"/>
        <v>461268</v>
      </c>
    </row>
    <row r="134" spans="1:10" ht="120">
      <c r="A134" s="77"/>
      <c r="B134" s="77"/>
      <c r="C134" s="77"/>
      <c r="D134" s="77"/>
      <c r="E134" s="77"/>
      <c r="F134" s="266" t="s">
        <v>437</v>
      </c>
      <c r="G134" s="77"/>
      <c r="H134" s="77"/>
      <c r="I134" s="266"/>
      <c r="J134" s="267"/>
    </row>
    <row r="135" spans="1:10">
      <c r="A135" s="77"/>
      <c r="B135" s="77"/>
      <c r="C135" s="77"/>
      <c r="D135" s="77"/>
      <c r="E135" s="77"/>
      <c r="F135" s="81"/>
      <c r="G135" s="77"/>
      <c r="H135" s="77"/>
      <c r="I135" s="266"/>
      <c r="J135" s="267"/>
    </row>
    <row r="136" spans="1:10" ht="12.75" customHeight="1">
      <c r="A136" s="266">
        <v>5.5</v>
      </c>
      <c r="B136" s="77"/>
      <c r="C136" s="266" t="s">
        <v>425</v>
      </c>
      <c r="D136" s="266" t="s">
        <v>434</v>
      </c>
      <c r="E136" s="266" t="s">
        <v>435</v>
      </c>
      <c r="F136" s="76" t="s">
        <v>438</v>
      </c>
      <c r="G136" s="266" t="s">
        <v>7</v>
      </c>
      <c r="H136" s="266">
        <f>(2*2.25)+0.5</f>
        <v>5</v>
      </c>
      <c r="I136" s="604">
        <v>21930</v>
      </c>
      <c r="J136" s="267">
        <f t="shared" si="3"/>
        <v>109650</v>
      </c>
    </row>
    <row r="137" spans="1:10" ht="105">
      <c r="A137" s="77"/>
      <c r="B137" s="77"/>
      <c r="C137" s="77"/>
      <c r="D137" s="77"/>
      <c r="E137" s="77"/>
      <c r="F137" s="266" t="s">
        <v>439</v>
      </c>
      <c r="G137" s="77"/>
      <c r="H137" s="77"/>
      <c r="I137" s="266"/>
      <c r="J137" s="267"/>
    </row>
    <row r="138" spans="1:10">
      <c r="A138" s="77"/>
      <c r="B138" s="77"/>
      <c r="C138" s="77"/>
      <c r="D138" s="77"/>
      <c r="E138" s="77"/>
      <c r="F138" s="81"/>
      <c r="G138" s="77"/>
      <c r="H138" s="77"/>
      <c r="I138" s="266"/>
      <c r="J138" s="267"/>
    </row>
    <row r="139" spans="1:10" ht="12.75" customHeight="1">
      <c r="A139" s="77"/>
      <c r="B139" s="77"/>
      <c r="C139" s="77"/>
      <c r="D139" s="77"/>
      <c r="E139" s="77"/>
      <c r="F139" s="294" t="s">
        <v>440</v>
      </c>
      <c r="G139" s="77"/>
      <c r="H139" s="77"/>
      <c r="I139" s="266"/>
      <c r="J139" s="267"/>
    </row>
    <row r="140" spans="1:10" ht="12.75" customHeight="1">
      <c r="A140" s="266">
        <v>5.6</v>
      </c>
      <c r="B140" s="77"/>
      <c r="C140" s="266" t="s">
        <v>425</v>
      </c>
      <c r="D140" s="266" t="s">
        <v>441</v>
      </c>
      <c r="E140" s="266" t="s">
        <v>442</v>
      </c>
      <c r="F140" s="76" t="s">
        <v>443</v>
      </c>
      <c r="G140" s="266" t="s">
        <v>126</v>
      </c>
      <c r="H140" s="266">
        <v>2</v>
      </c>
      <c r="I140" s="604">
        <v>155640</v>
      </c>
      <c r="J140" s="267">
        <f t="shared" si="3"/>
        <v>311280</v>
      </c>
    </row>
    <row r="141" spans="1:10" ht="12.75" customHeight="1">
      <c r="A141" s="77"/>
      <c r="B141" s="77"/>
      <c r="C141" s="77"/>
      <c r="D141" s="77"/>
      <c r="E141" s="77"/>
      <c r="F141" s="266" t="s">
        <v>444</v>
      </c>
      <c r="G141" s="77"/>
      <c r="H141" s="77"/>
      <c r="I141" s="266"/>
      <c r="J141" s="267"/>
    </row>
    <row r="142" spans="1:10" ht="12.75" customHeight="1">
      <c r="A142" s="77"/>
      <c r="B142" s="77"/>
      <c r="C142" s="77"/>
      <c r="D142" s="77"/>
      <c r="E142" s="77"/>
      <c r="F142" s="266" t="s">
        <v>445</v>
      </c>
      <c r="G142" s="77"/>
      <c r="H142" s="77"/>
      <c r="I142" s="266"/>
      <c r="J142" s="267"/>
    </row>
    <row r="143" spans="1:10" ht="75">
      <c r="A143" s="77"/>
      <c r="B143" s="77"/>
      <c r="C143" s="77"/>
      <c r="D143" s="77"/>
      <c r="E143" s="77"/>
      <c r="F143" s="266" t="s">
        <v>446</v>
      </c>
      <c r="G143" s="77"/>
      <c r="H143" s="77"/>
      <c r="I143" s="266"/>
      <c r="J143" s="267"/>
    </row>
    <row r="144" spans="1:10" ht="12.75" customHeight="1">
      <c r="A144" s="77"/>
      <c r="B144" s="77"/>
      <c r="C144" s="77"/>
      <c r="D144" s="77"/>
      <c r="E144" s="77"/>
      <c r="F144" s="266" t="s">
        <v>184</v>
      </c>
      <c r="G144" s="77"/>
      <c r="H144" s="77"/>
      <c r="I144" s="266"/>
      <c r="J144" s="267"/>
    </row>
    <row r="145" spans="1:10" ht="60">
      <c r="A145" s="77"/>
      <c r="B145" s="77"/>
      <c r="C145" s="77"/>
      <c r="D145" s="77"/>
      <c r="E145" s="77"/>
      <c r="F145" s="266" t="s">
        <v>447</v>
      </c>
      <c r="G145" s="77"/>
      <c r="H145" s="77"/>
      <c r="I145" s="266"/>
      <c r="J145" s="267"/>
    </row>
    <row r="146" spans="1:10" ht="12.75" customHeight="1">
      <c r="A146" s="77"/>
      <c r="B146" s="77"/>
      <c r="C146" s="77"/>
      <c r="D146" s="77"/>
      <c r="E146" s="77"/>
      <c r="F146" s="266" t="s">
        <v>265</v>
      </c>
      <c r="G146" s="77"/>
      <c r="H146" s="77"/>
      <c r="I146" s="266"/>
      <c r="J146" s="267"/>
    </row>
    <row r="147" spans="1:10">
      <c r="A147" s="77"/>
      <c r="B147" s="77"/>
      <c r="C147" s="77"/>
      <c r="D147" s="77"/>
      <c r="E147" s="77"/>
      <c r="F147" s="81" t="s">
        <v>609</v>
      </c>
      <c r="G147" s="77"/>
      <c r="H147" s="77"/>
      <c r="I147" s="266"/>
      <c r="J147" s="267"/>
    </row>
    <row r="148" spans="1:10" ht="12.75" customHeight="1">
      <c r="A148" s="77"/>
      <c r="B148" s="77"/>
      <c r="C148" s="77"/>
      <c r="D148" s="77"/>
      <c r="E148" s="77"/>
      <c r="F148" s="266" t="s">
        <v>448</v>
      </c>
      <c r="G148" s="77"/>
      <c r="H148" s="77"/>
      <c r="I148" s="266"/>
      <c r="J148" s="267"/>
    </row>
    <row r="149" spans="1:10" ht="60">
      <c r="A149" s="77"/>
      <c r="B149" s="77"/>
      <c r="C149" s="77"/>
      <c r="D149" s="77"/>
      <c r="E149" s="77"/>
      <c r="F149" s="266" t="s">
        <v>449</v>
      </c>
      <c r="G149" s="77"/>
      <c r="H149" s="77"/>
      <c r="I149" s="266"/>
      <c r="J149" s="267"/>
    </row>
    <row r="150" spans="1:10">
      <c r="A150" s="77"/>
      <c r="B150" s="77"/>
      <c r="C150" s="77"/>
      <c r="D150" s="77"/>
      <c r="E150" s="77"/>
      <c r="F150" s="266"/>
      <c r="G150" s="77"/>
      <c r="H150" s="77"/>
      <c r="I150" s="266"/>
      <c r="J150" s="267"/>
    </row>
    <row r="151" spans="1:10" ht="30">
      <c r="A151" s="266">
        <v>5.7</v>
      </c>
      <c r="B151" s="77"/>
      <c r="C151" s="266" t="s">
        <v>425</v>
      </c>
      <c r="D151" s="266" t="s">
        <v>441</v>
      </c>
      <c r="E151" s="266" t="s">
        <v>450</v>
      </c>
      <c r="F151" s="76" t="s">
        <v>451</v>
      </c>
      <c r="G151" s="266" t="s">
        <v>126</v>
      </c>
      <c r="H151" s="266">
        <v>1</v>
      </c>
      <c r="I151" s="604">
        <v>133806</v>
      </c>
      <c r="J151" s="267">
        <f t="shared" si="3"/>
        <v>133806</v>
      </c>
    </row>
    <row r="152" spans="1:10" ht="12.75" customHeight="1">
      <c r="A152" s="77"/>
      <c r="B152" s="77"/>
      <c r="C152" s="77"/>
      <c r="D152" s="77"/>
      <c r="E152" s="77"/>
      <c r="F152" s="266" t="s">
        <v>452</v>
      </c>
      <c r="G152" s="77"/>
      <c r="H152" s="77"/>
      <c r="I152" s="266"/>
      <c r="J152" s="267"/>
    </row>
    <row r="153" spans="1:10">
      <c r="A153" s="77"/>
      <c r="B153" s="77"/>
      <c r="C153" s="77"/>
      <c r="D153" s="77"/>
      <c r="E153" s="77"/>
      <c r="F153" s="266" t="s">
        <v>445</v>
      </c>
      <c r="G153" s="77"/>
      <c r="H153" s="77"/>
      <c r="I153" s="266"/>
      <c r="J153" s="267"/>
    </row>
    <row r="154" spans="1:10" ht="75">
      <c r="A154" s="77"/>
      <c r="B154" s="77"/>
      <c r="C154" s="77"/>
      <c r="D154" s="77"/>
      <c r="E154" s="77"/>
      <c r="F154" s="266" t="s">
        <v>453</v>
      </c>
      <c r="G154" s="77"/>
      <c r="H154" s="77"/>
      <c r="I154" s="266"/>
      <c r="J154" s="267"/>
    </row>
    <row r="155" spans="1:10">
      <c r="A155" s="77"/>
      <c r="B155" s="77"/>
      <c r="C155" s="77"/>
      <c r="D155" s="77"/>
      <c r="E155" s="77"/>
      <c r="F155" s="81" t="s">
        <v>454</v>
      </c>
      <c r="G155" s="77"/>
      <c r="H155" s="77"/>
      <c r="I155" s="266"/>
      <c r="J155" s="267"/>
    </row>
    <row r="156" spans="1:10" ht="45">
      <c r="A156" s="77"/>
      <c r="B156" s="77"/>
      <c r="C156" s="77"/>
      <c r="D156" s="77"/>
      <c r="E156" s="77"/>
      <c r="F156" s="81" t="s">
        <v>455</v>
      </c>
      <c r="G156" s="77"/>
      <c r="H156" s="77"/>
      <c r="I156" s="266"/>
      <c r="J156" s="267"/>
    </row>
    <row r="157" spans="1:10" ht="12.75" customHeight="1">
      <c r="A157" s="77"/>
      <c r="B157" s="77"/>
      <c r="C157" s="77"/>
      <c r="D157" s="77"/>
      <c r="E157" s="77"/>
      <c r="F157" s="266" t="s">
        <v>184</v>
      </c>
      <c r="G157" s="77"/>
      <c r="H157" s="77"/>
      <c r="I157" s="266"/>
      <c r="J157" s="267"/>
    </row>
    <row r="158" spans="1:10" ht="60">
      <c r="A158" s="77"/>
      <c r="B158" s="77"/>
      <c r="C158" s="77"/>
      <c r="D158" s="77"/>
      <c r="E158" s="77"/>
      <c r="F158" s="266" t="s">
        <v>456</v>
      </c>
      <c r="G158" s="77"/>
      <c r="H158" s="77"/>
      <c r="I158" s="266"/>
      <c r="J158" s="267"/>
    </row>
    <row r="159" spans="1:10" ht="12.75" customHeight="1">
      <c r="A159" s="77"/>
      <c r="B159" s="77"/>
      <c r="C159" s="77"/>
      <c r="D159" s="77"/>
      <c r="E159" s="77"/>
      <c r="F159" s="266" t="s">
        <v>265</v>
      </c>
      <c r="G159" s="77"/>
      <c r="H159" s="77"/>
      <c r="I159" s="266"/>
      <c r="J159" s="267"/>
    </row>
    <row r="160" spans="1:10" ht="30">
      <c r="A160" s="77"/>
      <c r="B160" s="77"/>
      <c r="C160" s="77"/>
      <c r="D160" s="77"/>
      <c r="E160" s="77"/>
      <c r="F160" s="81" t="s">
        <v>610</v>
      </c>
      <c r="G160" s="77"/>
      <c r="H160" s="77"/>
      <c r="I160" s="266"/>
      <c r="J160" s="267"/>
    </row>
    <row r="161" spans="1:10" ht="12.75" customHeight="1">
      <c r="A161" s="77"/>
      <c r="B161" s="77"/>
      <c r="C161" s="77"/>
      <c r="D161" s="77"/>
      <c r="E161" s="77"/>
      <c r="F161" s="266" t="s">
        <v>448</v>
      </c>
      <c r="G161" s="77"/>
      <c r="H161" s="77"/>
      <c r="I161" s="266"/>
      <c r="J161" s="267"/>
    </row>
    <row r="162" spans="1:10" ht="75">
      <c r="A162" s="77"/>
      <c r="B162" s="77"/>
      <c r="C162" s="77"/>
      <c r="D162" s="77"/>
      <c r="E162" s="77"/>
      <c r="F162" s="81" t="s">
        <v>457</v>
      </c>
      <c r="G162" s="77"/>
      <c r="H162" s="77"/>
      <c r="I162" s="266"/>
      <c r="J162" s="267"/>
    </row>
    <row r="163" spans="1:10">
      <c r="A163" s="77"/>
      <c r="B163" s="77"/>
      <c r="C163" s="77"/>
      <c r="D163" s="77"/>
      <c r="E163" s="77"/>
      <c r="F163" s="266"/>
      <c r="G163" s="77"/>
      <c r="H163" s="77"/>
      <c r="I163" s="266"/>
      <c r="J163" s="267"/>
    </row>
    <row r="164" spans="1:10" ht="30">
      <c r="A164" s="266">
        <v>5.8</v>
      </c>
      <c r="B164" s="77"/>
      <c r="C164" s="266" t="s">
        <v>425</v>
      </c>
      <c r="D164" s="266" t="s">
        <v>458</v>
      </c>
      <c r="E164" s="266" t="s">
        <v>459</v>
      </c>
      <c r="F164" s="76" t="s">
        <v>460</v>
      </c>
      <c r="G164" s="266" t="s">
        <v>126</v>
      </c>
      <c r="H164" s="266">
        <f>4+3</f>
        <v>7</v>
      </c>
      <c r="I164" s="604">
        <v>65718</v>
      </c>
      <c r="J164" s="267">
        <f t="shared" si="3"/>
        <v>460026</v>
      </c>
    </row>
    <row r="165" spans="1:10">
      <c r="A165" s="77"/>
      <c r="B165" s="77"/>
      <c r="C165" s="77"/>
      <c r="D165" s="77"/>
      <c r="E165" s="77"/>
      <c r="F165" s="266" t="s">
        <v>184</v>
      </c>
      <c r="G165" s="77"/>
      <c r="H165" s="77"/>
      <c r="I165" s="266"/>
      <c r="J165" s="267"/>
    </row>
    <row r="166" spans="1:10" ht="75">
      <c r="A166" s="77"/>
      <c r="B166" s="77"/>
      <c r="C166" s="77"/>
      <c r="D166" s="77"/>
      <c r="E166" s="77"/>
      <c r="F166" s="266" t="s">
        <v>461</v>
      </c>
      <c r="G166" s="77"/>
      <c r="H166" s="77"/>
      <c r="I166" s="266"/>
      <c r="J166" s="267"/>
    </row>
    <row r="167" spans="1:10" ht="15.95" customHeight="1">
      <c r="A167" s="77"/>
      <c r="B167" s="77"/>
      <c r="C167" s="77"/>
      <c r="D167" s="77"/>
      <c r="E167" s="77"/>
      <c r="F167" s="266" t="s">
        <v>448</v>
      </c>
      <c r="G167" s="77"/>
      <c r="H167" s="77"/>
      <c r="I167" s="266"/>
      <c r="J167" s="267"/>
    </row>
    <row r="168" spans="1:10" ht="30">
      <c r="A168" s="77"/>
      <c r="B168" s="77"/>
      <c r="C168" s="77"/>
      <c r="D168" s="77"/>
      <c r="E168" s="77"/>
      <c r="F168" s="266" t="s">
        <v>462</v>
      </c>
      <c r="G168" s="77"/>
      <c r="H168" s="77"/>
      <c r="I168" s="266"/>
      <c r="J168" s="267"/>
    </row>
    <row r="169" spans="1:10">
      <c r="A169" s="77"/>
      <c r="B169" s="77"/>
      <c r="C169" s="77"/>
      <c r="D169" s="77"/>
      <c r="E169" s="77"/>
      <c r="F169" s="266"/>
      <c r="G169" s="77"/>
      <c r="H169" s="77"/>
      <c r="I169" s="266"/>
      <c r="J169" s="267"/>
    </row>
    <row r="170" spans="1:10">
      <c r="A170" s="77"/>
      <c r="B170" s="77"/>
      <c r="C170" s="77"/>
      <c r="D170" s="77"/>
      <c r="E170" s="77"/>
      <c r="F170" s="266"/>
      <c r="G170" s="77"/>
      <c r="H170" s="77"/>
      <c r="I170" s="266"/>
      <c r="J170" s="267"/>
    </row>
    <row r="171" spans="1:10" ht="30">
      <c r="A171" s="318">
        <v>5.9</v>
      </c>
      <c r="B171" s="77"/>
      <c r="C171" s="266" t="s">
        <v>425</v>
      </c>
      <c r="D171" s="266" t="s">
        <v>458</v>
      </c>
      <c r="E171" s="266" t="s">
        <v>459</v>
      </c>
      <c r="F171" s="76" t="s">
        <v>463</v>
      </c>
      <c r="G171" s="266" t="s">
        <v>126</v>
      </c>
      <c r="H171" s="266">
        <v>2</v>
      </c>
      <c r="I171" s="604">
        <v>127380</v>
      </c>
      <c r="J171" s="267">
        <f t="shared" ref="J171" si="4">SUM(H171*I171)</f>
        <v>254760</v>
      </c>
    </row>
    <row r="172" spans="1:10">
      <c r="A172" s="77"/>
      <c r="B172" s="77"/>
      <c r="C172" s="77"/>
      <c r="D172" s="77"/>
      <c r="E172" s="77"/>
      <c r="F172" s="266" t="s">
        <v>184</v>
      </c>
      <c r="G172" s="77"/>
      <c r="H172" s="77"/>
      <c r="I172" s="266"/>
      <c r="J172" s="267"/>
    </row>
    <row r="173" spans="1:10" ht="75">
      <c r="A173" s="77"/>
      <c r="B173" s="77"/>
      <c r="C173" s="77"/>
      <c r="D173" s="77"/>
      <c r="E173" s="77"/>
      <c r="F173" s="266" t="s">
        <v>464</v>
      </c>
      <c r="G173" s="77"/>
      <c r="H173" s="77"/>
      <c r="I173" s="266"/>
      <c r="J173" s="267"/>
    </row>
    <row r="174" spans="1:10">
      <c r="A174" s="77"/>
      <c r="B174" s="77"/>
      <c r="C174" s="77"/>
      <c r="D174" s="77"/>
      <c r="E174" s="77"/>
      <c r="F174" s="266" t="s">
        <v>448</v>
      </c>
      <c r="G174" s="77"/>
      <c r="H174" s="77"/>
      <c r="I174" s="266"/>
      <c r="J174" s="267"/>
    </row>
    <row r="175" spans="1:10" ht="30">
      <c r="A175" s="77"/>
      <c r="B175" s="77"/>
      <c r="C175" s="77"/>
      <c r="D175" s="77"/>
      <c r="E175" s="77"/>
      <c r="F175" s="266" t="s">
        <v>462</v>
      </c>
      <c r="G175" s="77"/>
      <c r="H175" s="77"/>
      <c r="I175" s="266"/>
      <c r="J175" s="267"/>
    </row>
    <row r="176" spans="1:10">
      <c r="A176" s="77"/>
      <c r="B176" s="77"/>
      <c r="C176" s="77"/>
      <c r="D176" s="77"/>
      <c r="E176" s="77"/>
      <c r="F176" s="266"/>
      <c r="G176" s="77"/>
      <c r="H176" s="77"/>
      <c r="I176" s="266"/>
      <c r="J176" s="267"/>
    </row>
    <row r="177" spans="1:10">
      <c r="A177" s="77"/>
      <c r="B177" s="77"/>
      <c r="C177" s="77"/>
      <c r="D177" s="77"/>
      <c r="E177" s="77"/>
      <c r="F177" s="266"/>
      <c r="G177" s="77"/>
      <c r="H177" s="77"/>
      <c r="I177" s="266"/>
      <c r="J177" s="267"/>
    </row>
    <row r="178" spans="1:10" ht="27" customHeight="1">
      <c r="A178" s="295">
        <v>5.0999999999999996</v>
      </c>
      <c r="B178" s="77"/>
      <c r="C178" s="266" t="s">
        <v>425</v>
      </c>
      <c r="D178" s="266" t="s">
        <v>458</v>
      </c>
      <c r="E178" s="266" t="s">
        <v>459</v>
      </c>
      <c r="F178" s="76" t="s">
        <v>465</v>
      </c>
      <c r="G178" s="266" t="s">
        <v>126</v>
      </c>
      <c r="H178" s="266">
        <v>1</v>
      </c>
      <c r="I178" s="604">
        <v>149592</v>
      </c>
      <c r="J178" s="267">
        <f t="shared" si="3"/>
        <v>149592</v>
      </c>
    </row>
    <row r="179" spans="1:10" ht="15.95" customHeight="1">
      <c r="A179" s="77"/>
      <c r="B179" s="77"/>
      <c r="C179" s="77"/>
      <c r="D179" s="77"/>
      <c r="E179" s="77"/>
      <c r="F179" s="266" t="s">
        <v>466</v>
      </c>
      <c r="G179" s="77"/>
      <c r="H179" s="77"/>
      <c r="I179" s="266"/>
      <c r="J179" s="267"/>
    </row>
    <row r="180" spans="1:10" ht="75">
      <c r="A180" s="77"/>
      <c r="B180" s="77"/>
      <c r="C180" s="77"/>
      <c r="D180" s="77"/>
      <c r="E180" s="77"/>
      <c r="F180" s="266" t="s">
        <v>467</v>
      </c>
      <c r="G180" s="77"/>
      <c r="H180" s="77"/>
      <c r="I180" s="266"/>
      <c r="J180" s="267"/>
    </row>
    <row r="181" spans="1:10" ht="15.95" customHeight="1">
      <c r="A181" s="77"/>
      <c r="B181" s="77"/>
      <c r="C181" s="77"/>
      <c r="D181" s="77"/>
      <c r="E181" s="77"/>
      <c r="F181" s="81" t="s">
        <v>468</v>
      </c>
      <c r="G181" s="77"/>
      <c r="H181" s="77"/>
      <c r="I181" s="266"/>
      <c r="J181" s="267"/>
    </row>
    <row r="182" spans="1:10" ht="30">
      <c r="A182" s="77"/>
      <c r="B182" s="77"/>
      <c r="C182" s="77"/>
      <c r="D182" s="77"/>
      <c r="E182" s="77"/>
      <c r="F182" s="81" t="s">
        <v>469</v>
      </c>
      <c r="G182" s="77"/>
      <c r="H182" s="77"/>
      <c r="I182" s="266"/>
      <c r="J182" s="267"/>
    </row>
    <row r="183" spans="1:10" ht="15.95" customHeight="1">
      <c r="A183" s="77"/>
      <c r="B183" s="77"/>
      <c r="C183" s="77"/>
      <c r="D183" s="77"/>
      <c r="E183" s="77"/>
      <c r="F183" s="81" t="s">
        <v>185</v>
      </c>
      <c r="G183" s="77"/>
      <c r="H183" s="77"/>
      <c r="I183" s="266"/>
      <c r="J183" s="267"/>
    </row>
    <row r="184" spans="1:10" ht="45">
      <c r="A184" s="77"/>
      <c r="B184" s="77"/>
      <c r="C184" s="77"/>
      <c r="D184" s="77"/>
      <c r="E184" s="77"/>
      <c r="F184" s="81" t="s">
        <v>470</v>
      </c>
      <c r="G184" s="77"/>
      <c r="H184" s="77"/>
      <c r="I184" s="266"/>
      <c r="J184" s="267"/>
    </row>
    <row r="185" spans="1:10">
      <c r="A185" s="266"/>
      <c r="B185" s="77"/>
      <c r="C185" s="266"/>
      <c r="D185" s="266"/>
      <c r="E185" s="266"/>
      <c r="F185" s="266"/>
      <c r="G185" s="266"/>
      <c r="H185" s="266"/>
      <c r="I185" s="266"/>
      <c r="J185" s="267"/>
    </row>
    <row r="186" spans="1:10" ht="30">
      <c r="A186" s="266">
        <v>5.1100000000000003</v>
      </c>
      <c r="B186" s="77"/>
      <c r="C186" s="266" t="s">
        <v>425</v>
      </c>
      <c r="D186" s="266" t="s">
        <v>458</v>
      </c>
      <c r="E186" s="266" t="s">
        <v>459</v>
      </c>
      <c r="F186" s="76" t="s">
        <v>471</v>
      </c>
      <c r="G186" s="266" t="s">
        <v>126</v>
      </c>
      <c r="H186" s="266">
        <v>2</v>
      </c>
      <c r="I186" s="604">
        <v>85512</v>
      </c>
      <c r="J186" s="267">
        <f t="shared" ref="J186" si="5">SUM(H186*I186)</f>
        <v>171024</v>
      </c>
    </row>
    <row r="187" spans="1:10">
      <c r="A187" s="266"/>
      <c r="B187" s="77"/>
      <c r="C187" s="77"/>
      <c r="D187" s="77"/>
      <c r="E187" s="77"/>
      <c r="F187" s="266" t="s">
        <v>466</v>
      </c>
      <c r="G187" s="77"/>
      <c r="H187" s="77"/>
      <c r="I187" s="266"/>
      <c r="J187" s="267"/>
    </row>
    <row r="188" spans="1:10" ht="75">
      <c r="A188" s="266"/>
      <c r="B188" s="77"/>
      <c r="C188" s="77"/>
      <c r="D188" s="77"/>
      <c r="E188" s="77"/>
      <c r="F188" s="266" t="s">
        <v>472</v>
      </c>
      <c r="G188" s="77"/>
      <c r="H188" s="77"/>
      <c r="I188" s="266"/>
      <c r="J188" s="267"/>
    </row>
    <row r="189" spans="1:10" ht="15.95" customHeight="1">
      <c r="A189" s="266"/>
      <c r="B189" s="77"/>
      <c r="C189" s="77"/>
      <c r="D189" s="77"/>
      <c r="E189" s="77"/>
      <c r="F189" s="81" t="s">
        <v>468</v>
      </c>
      <c r="G189" s="77"/>
      <c r="H189" s="77"/>
      <c r="I189" s="266"/>
      <c r="J189" s="267"/>
    </row>
    <row r="190" spans="1:10" ht="30">
      <c r="A190" s="77"/>
      <c r="B190" s="77"/>
      <c r="C190" s="77"/>
      <c r="D190" s="77"/>
      <c r="E190" s="77"/>
      <c r="F190" s="81" t="s">
        <v>469</v>
      </c>
      <c r="G190" s="77"/>
      <c r="H190" s="77"/>
      <c r="I190" s="266"/>
      <c r="J190" s="267"/>
    </row>
    <row r="191" spans="1:10">
      <c r="A191" s="77"/>
      <c r="B191" s="77"/>
      <c r="C191" s="77"/>
      <c r="D191" s="77"/>
      <c r="E191" s="77"/>
      <c r="F191" s="81" t="s">
        <v>185</v>
      </c>
      <c r="G191" s="77"/>
      <c r="H191" s="77"/>
      <c r="I191" s="266"/>
      <c r="J191" s="267"/>
    </row>
    <row r="192" spans="1:10" ht="45">
      <c r="A192" s="77"/>
      <c r="B192" s="77"/>
      <c r="C192" s="77"/>
      <c r="D192" s="77"/>
      <c r="E192" s="77"/>
      <c r="F192" s="81" t="s">
        <v>470</v>
      </c>
      <c r="G192" s="77"/>
      <c r="H192" s="77"/>
      <c r="I192" s="266"/>
      <c r="J192" s="267"/>
    </row>
    <row r="193" spans="1:10">
      <c r="A193" s="77"/>
      <c r="B193" s="77"/>
      <c r="C193" s="77"/>
      <c r="D193" s="77"/>
      <c r="E193" s="77"/>
      <c r="F193" s="81"/>
      <c r="G193" s="77"/>
      <c r="H193" s="77"/>
      <c r="I193" s="266"/>
      <c r="J193" s="267"/>
    </row>
    <row r="194" spans="1:10">
      <c r="A194" s="295">
        <v>5.12</v>
      </c>
      <c r="B194" s="77"/>
      <c r="C194" s="266" t="s">
        <v>425</v>
      </c>
      <c r="D194" s="266" t="s">
        <v>473</v>
      </c>
      <c r="E194" s="266" t="s">
        <v>474</v>
      </c>
      <c r="F194" s="297" t="s">
        <v>474</v>
      </c>
      <c r="G194" s="266" t="s">
        <v>475</v>
      </c>
      <c r="H194" s="266">
        <f>3*2.4</f>
        <v>7.1999999999999993</v>
      </c>
      <c r="I194" s="604">
        <v>25595</v>
      </c>
      <c r="J194" s="267">
        <f t="shared" ref="J194:J241" si="6">SUM(H194*I194)</f>
        <v>184283.99999999997</v>
      </c>
    </row>
    <row r="195" spans="1:10">
      <c r="A195" s="77"/>
      <c r="B195" s="77"/>
      <c r="C195" s="77"/>
      <c r="D195" s="77"/>
      <c r="E195" s="77"/>
      <c r="F195" s="81" t="s">
        <v>476</v>
      </c>
      <c r="G195" s="77"/>
      <c r="H195" s="77"/>
      <c r="I195" s="266"/>
      <c r="J195" s="267"/>
    </row>
    <row r="196" spans="1:10" ht="60">
      <c r="A196" s="77"/>
      <c r="B196" s="77"/>
      <c r="C196" s="77"/>
      <c r="D196" s="77"/>
      <c r="E196" s="77"/>
      <c r="F196" s="81" t="s">
        <v>477</v>
      </c>
      <c r="G196" s="77"/>
      <c r="H196" s="77"/>
      <c r="I196" s="266"/>
      <c r="J196" s="267"/>
    </row>
    <row r="197" spans="1:10">
      <c r="A197" s="77"/>
      <c r="B197" s="77"/>
      <c r="C197" s="77"/>
      <c r="D197" s="77"/>
      <c r="E197" s="77"/>
      <c r="F197" s="81"/>
      <c r="G197" s="77"/>
      <c r="H197" s="77"/>
      <c r="I197" s="266"/>
      <c r="J197" s="267"/>
    </row>
    <row r="198" spans="1:10">
      <c r="A198" s="87"/>
      <c r="B198" s="87"/>
      <c r="C198" s="87"/>
      <c r="D198" s="87"/>
      <c r="E198" s="87"/>
      <c r="F198" s="85"/>
      <c r="G198" s="87"/>
      <c r="H198" s="87"/>
      <c r="I198" s="272"/>
      <c r="J198" s="300"/>
    </row>
    <row r="199" spans="1:10" ht="30">
      <c r="A199" s="266">
        <v>5.13</v>
      </c>
      <c r="B199" s="77"/>
      <c r="C199" s="266" t="s">
        <v>425</v>
      </c>
      <c r="D199" s="266" t="s">
        <v>458</v>
      </c>
      <c r="E199" s="266" t="s">
        <v>459</v>
      </c>
      <c r="F199" s="76" t="s">
        <v>478</v>
      </c>
      <c r="G199" s="266" t="s">
        <v>126</v>
      </c>
      <c r="H199" s="266">
        <v>3</v>
      </c>
      <c r="I199" s="604">
        <v>10795</v>
      </c>
      <c r="J199" s="267">
        <f t="shared" ref="J199" si="7">SUM(H199*I199)</f>
        <v>32385</v>
      </c>
    </row>
    <row r="200" spans="1:10">
      <c r="A200" s="77"/>
      <c r="B200" s="77"/>
      <c r="C200" s="77"/>
      <c r="D200" s="77"/>
      <c r="E200" s="77"/>
      <c r="F200" s="266" t="s">
        <v>184</v>
      </c>
      <c r="G200" s="77"/>
      <c r="H200" s="77"/>
      <c r="I200" s="266"/>
      <c r="J200" s="267"/>
    </row>
    <row r="201" spans="1:10" ht="60">
      <c r="A201" s="77"/>
      <c r="B201" s="77"/>
      <c r="C201" s="77"/>
      <c r="D201" s="77"/>
      <c r="E201" s="77"/>
      <c r="F201" s="266" t="s">
        <v>479</v>
      </c>
      <c r="G201" s="77"/>
      <c r="H201" s="77"/>
      <c r="I201" s="266"/>
      <c r="J201" s="267"/>
    </row>
    <row r="202" spans="1:10">
      <c r="A202" s="77"/>
      <c r="B202" s="77"/>
      <c r="C202" s="77"/>
      <c r="D202" s="77"/>
      <c r="E202" s="77"/>
      <c r="F202" s="266" t="s">
        <v>448</v>
      </c>
      <c r="G202" s="77"/>
      <c r="H202" s="77"/>
      <c r="I202" s="266"/>
      <c r="J202" s="267"/>
    </row>
    <row r="203" spans="1:10">
      <c r="A203" s="77"/>
      <c r="B203" s="77"/>
      <c r="C203" s="77"/>
      <c r="D203" s="77"/>
      <c r="E203" s="77"/>
      <c r="F203" s="266" t="s">
        <v>480</v>
      </c>
      <c r="G203" s="77"/>
      <c r="H203" s="77"/>
      <c r="I203" s="266"/>
      <c r="J203" s="267"/>
    </row>
    <row r="204" spans="1:10" ht="15.75" thickBot="1">
      <c r="A204" s="87"/>
      <c r="B204" s="87"/>
      <c r="C204" s="87"/>
      <c r="D204" s="87"/>
      <c r="E204" s="87"/>
      <c r="F204" s="85"/>
      <c r="G204" s="87"/>
      <c r="H204" s="87"/>
      <c r="I204" s="272"/>
      <c r="J204" s="300"/>
    </row>
    <row r="205" spans="1:10" ht="13.5" customHeight="1" thickBot="1">
      <c r="A205" s="49" t="s">
        <v>195</v>
      </c>
      <c r="B205" s="69"/>
      <c r="C205" s="69"/>
      <c r="D205" s="69"/>
      <c r="E205" s="69"/>
      <c r="F205" s="50" t="s">
        <v>481</v>
      </c>
      <c r="G205" s="69"/>
      <c r="H205" s="69"/>
      <c r="I205" s="50"/>
      <c r="J205" s="303"/>
    </row>
    <row r="206" spans="1:10" ht="13.5" customHeight="1">
      <c r="A206" s="279"/>
      <c r="B206" s="31"/>
      <c r="C206" s="31"/>
      <c r="D206" s="31"/>
      <c r="E206" s="31"/>
      <c r="F206" s="279"/>
      <c r="G206" s="31"/>
      <c r="H206" s="31"/>
      <c r="I206" s="279"/>
      <c r="J206" s="307"/>
    </row>
    <row r="207" spans="1:10" ht="16.5" customHeight="1">
      <c r="A207" s="77"/>
      <c r="B207" s="77"/>
      <c r="C207" s="77"/>
      <c r="D207" s="77"/>
      <c r="E207" s="77"/>
      <c r="F207" s="423" t="s">
        <v>482</v>
      </c>
      <c r="G207" s="77"/>
      <c r="H207" s="77"/>
      <c r="I207" s="266"/>
      <c r="J207" s="267"/>
    </row>
    <row r="208" spans="1:10" ht="15.95" customHeight="1">
      <c r="A208" s="266">
        <v>6.1</v>
      </c>
      <c r="B208" s="77"/>
      <c r="C208" s="266" t="s">
        <v>483</v>
      </c>
      <c r="D208" s="266" t="s">
        <v>484</v>
      </c>
      <c r="E208" s="77"/>
      <c r="F208" s="424" t="s">
        <v>485</v>
      </c>
      <c r="G208" s="266" t="s">
        <v>126</v>
      </c>
      <c r="H208" s="266">
        <v>8</v>
      </c>
      <c r="I208" s="604">
        <v>3250</v>
      </c>
      <c r="J208" s="267">
        <f t="shared" si="6"/>
        <v>26000</v>
      </c>
    </row>
    <row r="209" spans="1:10" ht="15.95" customHeight="1">
      <c r="A209" s="266">
        <v>6.2</v>
      </c>
      <c r="B209" s="77"/>
      <c r="C209" s="266" t="s">
        <v>483</v>
      </c>
      <c r="D209" s="266" t="s">
        <v>484</v>
      </c>
      <c r="E209" s="77"/>
      <c r="F209" s="424" t="s">
        <v>486</v>
      </c>
      <c r="G209" s="266" t="s">
        <v>126</v>
      </c>
      <c r="H209" s="266">
        <v>8</v>
      </c>
      <c r="I209" s="604">
        <v>1950</v>
      </c>
      <c r="J209" s="267">
        <f t="shared" si="6"/>
        <v>15600</v>
      </c>
    </row>
    <row r="210" spans="1:10" ht="15.95" customHeight="1">
      <c r="A210" s="266">
        <v>6.3</v>
      </c>
      <c r="B210" s="77"/>
      <c r="C210" s="266" t="s">
        <v>483</v>
      </c>
      <c r="D210" s="266" t="s">
        <v>484</v>
      </c>
      <c r="E210" s="77"/>
      <c r="F210" s="424" t="s">
        <v>487</v>
      </c>
      <c r="G210" s="266" t="s">
        <v>126</v>
      </c>
      <c r="H210" s="266">
        <v>8</v>
      </c>
      <c r="I210" s="604">
        <v>455</v>
      </c>
      <c r="J210" s="267">
        <f t="shared" si="6"/>
        <v>3640</v>
      </c>
    </row>
    <row r="211" spans="1:10" ht="15.95" customHeight="1">
      <c r="A211" s="266">
        <v>6.4</v>
      </c>
      <c r="B211" s="77"/>
      <c r="C211" s="266" t="s">
        <v>483</v>
      </c>
      <c r="D211" s="266" t="s">
        <v>484</v>
      </c>
      <c r="E211" s="77"/>
      <c r="F211" s="424" t="s">
        <v>488</v>
      </c>
      <c r="G211" s="266" t="s">
        <v>126</v>
      </c>
      <c r="H211" s="266">
        <v>4</v>
      </c>
      <c r="I211" s="604">
        <v>1950</v>
      </c>
      <c r="J211" s="267">
        <f t="shared" si="6"/>
        <v>7800</v>
      </c>
    </row>
    <row r="212" spans="1:10" ht="15.95" customHeight="1">
      <c r="A212" s="266">
        <v>6.5</v>
      </c>
      <c r="B212" s="77"/>
      <c r="C212" s="266" t="s">
        <v>483</v>
      </c>
      <c r="D212" s="266" t="s">
        <v>484</v>
      </c>
      <c r="E212" s="77"/>
      <c r="F212" s="424" t="s">
        <v>489</v>
      </c>
      <c r="G212" s="266" t="s">
        <v>126</v>
      </c>
      <c r="H212" s="266">
        <v>4</v>
      </c>
      <c r="I212" s="604">
        <v>1950</v>
      </c>
      <c r="J212" s="267">
        <f t="shared" si="6"/>
        <v>7800</v>
      </c>
    </row>
    <row r="213" spans="1:10" ht="15.95" customHeight="1">
      <c r="A213" s="266">
        <v>6.6</v>
      </c>
      <c r="B213" s="77"/>
      <c r="C213" s="266" t="s">
        <v>483</v>
      </c>
      <c r="D213" s="266" t="s">
        <v>484</v>
      </c>
      <c r="E213" s="77"/>
      <c r="F213" s="424" t="s">
        <v>490</v>
      </c>
      <c r="G213" s="266" t="s">
        <v>126</v>
      </c>
      <c r="H213" s="266">
        <v>8</v>
      </c>
      <c r="I213" s="604">
        <v>455</v>
      </c>
      <c r="J213" s="267">
        <f t="shared" si="6"/>
        <v>3640</v>
      </c>
    </row>
    <row r="214" spans="1:10" ht="15.95" customHeight="1">
      <c r="A214" s="266">
        <v>6.7</v>
      </c>
      <c r="B214" s="77"/>
      <c r="C214" s="266" t="s">
        <v>483</v>
      </c>
      <c r="D214" s="266" t="s">
        <v>484</v>
      </c>
      <c r="E214" s="77"/>
      <c r="F214" s="424" t="s">
        <v>491</v>
      </c>
      <c r="G214" s="266" t="s">
        <v>126</v>
      </c>
      <c r="H214" s="266">
        <v>8</v>
      </c>
      <c r="I214" s="604">
        <v>455</v>
      </c>
      <c r="J214" s="267">
        <f t="shared" si="6"/>
        <v>3640</v>
      </c>
    </row>
    <row r="215" spans="1:10" ht="15.95" customHeight="1">
      <c r="A215" s="266">
        <v>6.8</v>
      </c>
      <c r="B215" s="77"/>
      <c r="C215" s="266" t="s">
        <v>483</v>
      </c>
      <c r="D215" s="266" t="s">
        <v>484</v>
      </c>
      <c r="E215" s="77"/>
      <c r="F215" s="424" t="s">
        <v>492</v>
      </c>
      <c r="G215" s="266" t="s">
        <v>126</v>
      </c>
      <c r="H215" s="266">
        <v>8</v>
      </c>
      <c r="I215" s="604">
        <v>455</v>
      </c>
      <c r="J215" s="267">
        <f t="shared" si="6"/>
        <v>3640</v>
      </c>
    </row>
    <row r="216" spans="1:10" ht="15.95" customHeight="1">
      <c r="A216" s="266">
        <v>6.9</v>
      </c>
      <c r="B216" s="77"/>
      <c r="C216" s="266" t="s">
        <v>483</v>
      </c>
      <c r="D216" s="266" t="s">
        <v>484</v>
      </c>
      <c r="E216" s="77"/>
      <c r="F216" s="424" t="s">
        <v>493</v>
      </c>
      <c r="G216" s="266" t="s">
        <v>126</v>
      </c>
      <c r="H216" s="266">
        <v>2</v>
      </c>
      <c r="I216" s="604">
        <v>455</v>
      </c>
      <c r="J216" s="267">
        <f t="shared" si="6"/>
        <v>910</v>
      </c>
    </row>
    <row r="217" spans="1:10" ht="15.95" customHeight="1">
      <c r="A217" s="295">
        <v>6.1</v>
      </c>
      <c r="B217" s="77"/>
      <c r="C217" s="266" t="s">
        <v>483</v>
      </c>
      <c r="D217" s="266" t="s">
        <v>484</v>
      </c>
      <c r="E217" s="77"/>
      <c r="F217" s="424" t="s">
        <v>494</v>
      </c>
      <c r="G217" s="266" t="s">
        <v>126</v>
      </c>
      <c r="H217" s="266">
        <v>2</v>
      </c>
      <c r="I217" s="604">
        <v>455</v>
      </c>
      <c r="J217" s="267">
        <f t="shared" si="6"/>
        <v>910</v>
      </c>
    </row>
    <row r="218" spans="1:10" ht="15.95" customHeight="1">
      <c r="A218" s="266">
        <v>6.11</v>
      </c>
      <c r="B218" s="77"/>
      <c r="C218" s="266" t="s">
        <v>483</v>
      </c>
      <c r="D218" s="266" t="s">
        <v>484</v>
      </c>
      <c r="E218" s="77"/>
      <c r="F218" s="424" t="s">
        <v>495</v>
      </c>
      <c r="G218" s="266" t="s">
        <v>126</v>
      </c>
      <c r="H218" s="266">
        <v>2</v>
      </c>
      <c r="I218" s="604">
        <v>3250</v>
      </c>
      <c r="J218" s="267">
        <f t="shared" si="6"/>
        <v>6500</v>
      </c>
    </row>
    <row r="219" spans="1:10" ht="15.95" customHeight="1">
      <c r="A219" s="295">
        <v>6.12</v>
      </c>
      <c r="B219" s="77"/>
      <c r="C219" s="266" t="s">
        <v>483</v>
      </c>
      <c r="D219" s="266" t="s">
        <v>484</v>
      </c>
      <c r="E219" s="77"/>
      <c r="F219" s="424" t="s">
        <v>496</v>
      </c>
      <c r="G219" s="266" t="s">
        <v>126</v>
      </c>
      <c r="H219" s="266">
        <v>5</v>
      </c>
      <c r="I219" s="604">
        <v>3250</v>
      </c>
      <c r="J219" s="267">
        <f t="shared" si="6"/>
        <v>16250</v>
      </c>
    </row>
    <row r="220" spans="1:10" ht="15.95" customHeight="1">
      <c r="A220" s="266">
        <v>6.13</v>
      </c>
      <c r="B220" s="77"/>
      <c r="C220" s="266" t="s">
        <v>483</v>
      </c>
      <c r="D220" s="266" t="s">
        <v>484</v>
      </c>
      <c r="E220" s="77"/>
      <c r="F220" s="424" t="s">
        <v>497</v>
      </c>
      <c r="G220" s="266" t="s">
        <v>126</v>
      </c>
      <c r="H220" s="266">
        <v>5</v>
      </c>
      <c r="I220" s="604">
        <v>1950</v>
      </c>
      <c r="J220" s="267">
        <f t="shared" si="6"/>
        <v>9750</v>
      </c>
    </row>
    <row r="221" spans="1:10" ht="15.95" customHeight="1">
      <c r="A221" s="295">
        <v>6.14</v>
      </c>
      <c r="B221" s="77"/>
      <c r="C221" s="266" t="s">
        <v>483</v>
      </c>
      <c r="D221" s="266" t="s">
        <v>484</v>
      </c>
      <c r="E221" s="77"/>
      <c r="F221" s="424" t="s">
        <v>498</v>
      </c>
      <c r="G221" s="266" t="s">
        <v>126</v>
      </c>
      <c r="H221" s="266">
        <v>8</v>
      </c>
      <c r="I221" s="604">
        <v>455</v>
      </c>
      <c r="J221" s="267">
        <f t="shared" si="6"/>
        <v>3640</v>
      </c>
    </row>
    <row r="222" spans="1:10" ht="15.95" customHeight="1">
      <c r="A222" s="266">
        <v>6.15</v>
      </c>
      <c r="B222" s="77"/>
      <c r="C222" s="266" t="s">
        <v>483</v>
      </c>
      <c r="D222" s="266" t="s">
        <v>484</v>
      </c>
      <c r="E222" s="77"/>
      <c r="F222" s="424" t="s">
        <v>499</v>
      </c>
      <c r="G222" s="266" t="s">
        <v>126</v>
      </c>
      <c r="H222" s="266">
        <v>8</v>
      </c>
      <c r="I222" s="604">
        <v>455</v>
      </c>
      <c r="J222" s="267">
        <f t="shared" si="6"/>
        <v>3640</v>
      </c>
    </row>
    <row r="223" spans="1:10" ht="15.95" customHeight="1">
      <c r="A223" s="295">
        <v>6.16</v>
      </c>
      <c r="B223" s="77"/>
      <c r="C223" s="266" t="s">
        <v>483</v>
      </c>
      <c r="D223" s="266" t="s">
        <v>484</v>
      </c>
      <c r="E223" s="77"/>
      <c r="F223" s="424" t="s">
        <v>500</v>
      </c>
      <c r="G223" s="266" t="s">
        <v>126</v>
      </c>
      <c r="H223" s="266">
        <v>13</v>
      </c>
      <c r="I223" s="604">
        <v>455</v>
      </c>
      <c r="J223" s="267">
        <f t="shared" si="6"/>
        <v>5915</v>
      </c>
    </row>
    <row r="224" spans="1:10" ht="15.95" customHeight="1">
      <c r="A224" s="266">
        <v>6.17</v>
      </c>
      <c r="B224" s="77"/>
      <c r="C224" s="266" t="s">
        <v>483</v>
      </c>
      <c r="D224" s="266" t="s">
        <v>484</v>
      </c>
      <c r="E224" s="77"/>
      <c r="F224" s="424" t="s">
        <v>486</v>
      </c>
      <c r="G224" s="266" t="s">
        <v>126</v>
      </c>
      <c r="H224" s="266">
        <v>1</v>
      </c>
      <c r="I224" s="604">
        <v>1950</v>
      </c>
      <c r="J224" s="267">
        <f t="shared" si="6"/>
        <v>1950</v>
      </c>
    </row>
    <row r="225" spans="1:10" ht="15.95" customHeight="1">
      <c r="A225" s="295">
        <v>6.1800000000000104</v>
      </c>
      <c r="B225" s="77"/>
      <c r="C225" s="266" t="s">
        <v>483</v>
      </c>
      <c r="D225" s="266" t="s">
        <v>484</v>
      </c>
      <c r="E225" s="77"/>
      <c r="F225" s="424" t="s">
        <v>487</v>
      </c>
      <c r="G225" s="266" t="s">
        <v>126</v>
      </c>
      <c r="H225" s="266">
        <v>1</v>
      </c>
      <c r="I225" s="604">
        <v>455</v>
      </c>
      <c r="J225" s="267">
        <f t="shared" si="6"/>
        <v>455</v>
      </c>
    </row>
    <row r="226" spans="1:10" ht="15.95" customHeight="1">
      <c r="A226" s="266">
        <v>6.1900000000000102</v>
      </c>
      <c r="B226" s="77"/>
      <c r="C226" s="266" t="s">
        <v>483</v>
      </c>
      <c r="D226" s="266" t="s">
        <v>484</v>
      </c>
      <c r="E226" s="77"/>
      <c r="F226" s="424" t="s">
        <v>501</v>
      </c>
      <c r="G226" s="266" t="s">
        <v>126</v>
      </c>
      <c r="H226" s="266">
        <v>1</v>
      </c>
      <c r="I226" s="604">
        <v>3900</v>
      </c>
      <c r="J226" s="267">
        <f t="shared" si="6"/>
        <v>3900</v>
      </c>
    </row>
    <row r="227" spans="1:10" ht="15.95" customHeight="1">
      <c r="A227" s="295">
        <v>6.2000000000000099</v>
      </c>
      <c r="B227" s="77"/>
      <c r="C227" s="266" t="s">
        <v>483</v>
      </c>
      <c r="D227" s="266" t="s">
        <v>484</v>
      </c>
      <c r="E227" s="77"/>
      <c r="F227" s="424" t="s">
        <v>502</v>
      </c>
      <c r="G227" s="266" t="s">
        <v>126</v>
      </c>
      <c r="H227" s="266">
        <v>1</v>
      </c>
      <c r="I227" s="604">
        <v>2340</v>
      </c>
      <c r="J227" s="267">
        <f t="shared" si="6"/>
        <v>2340</v>
      </c>
    </row>
    <row r="228" spans="1:10" ht="15.95" customHeight="1">
      <c r="A228" s="266">
        <v>6.2100000000000097</v>
      </c>
      <c r="B228" s="77"/>
      <c r="C228" s="266" t="s">
        <v>483</v>
      </c>
      <c r="D228" s="266" t="s">
        <v>484</v>
      </c>
      <c r="E228" s="77"/>
      <c r="F228" s="424" t="s">
        <v>503</v>
      </c>
      <c r="G228" s="266" t="s">
        <v>126</v>
      </c>
      <c r="H228" s="266">
        <v>1</v>
      </c>
      <c r="I228" s="604">
        <v>455</v>
      </c>
      <c r="J228" s="267">
        <f t="shared" si="6"/>
        <v>455</v>
      </c>
    </row>
    <row r="229" spans="1:10" ht="15.95" customHeight="1">
      <c r="A229" s="295">
        <v>6.2200000000000104</v>
      </c>
      <c r="B229" s="77"/>
      <c r="C229" s="266" t="s">
        <v>483</v>
      </c>
      <c r="D229" s="266" t="s">
        <v>484</v>
      </c>
      <c r="E229" s="77"/>
      <c r="F229" s="424" t="s">
        <v>492</v>
      </c>
      <c r="G229" s="266" t="s">
        <v>126</v>
      </c>
      <c r="H229" s="266">
        <v>1</v>
      </c>
      <c r="I229" s="604">
        <v>455</v>
      </c>
      <c r="J229" s="267">
        <f t="shared" si="6"/>
        <v>455</v>
      </c>
    </row>
    <row r="230" spans="1:10" ht="15.95" customHeight="1">
      <c r="A230" s="266">
        <v>6.2300000000000102</v>
      </c>
      <c r="B230" s="77"/>
      <c r="C230" s="266" t="s">
        <v>483</v>
      </c>
      <c r="D230" s="266" t="s">
        <v>484</v>
      </c>
      <c r="E230" s="77"/>
      <c r="F230" s="424" t="s">
        <v>493</v>
      </c>
      <c r="G230" s="266" t="s">
        <v>126</v>
      </c>
      <c r="H230" s="266">
        <v>1</v>
      </c>
      <c r="I230" s="604">
        <v>455</v>
      </c>
      <c r="J230" s="267">
        <f t="shared" si="6"/>
        <v>455</v>
      </c>
    </row>
    <row r="231" spans="1:10" ht="15.95" customHeight="1">
      <c r="A231" s="295">
        <v>6.24000000000001</v>
      </c>
      <c r="B231" s="77"/>
      <c r="C231" s="266" t="s">
        <v>483</v>
      </c>
      <c r="D231" s="266" t="s">
        <v>484</v>
      </c>
      <c r="E231" s="77"/>
      <c r="F231" s="424" t="s">
        <v>494</v>
      </c>
      <c r="G231" s="266" t="s">
        <v>126</v>
      </c>
      <c r="H231" s="266">
        <v>1</v>
      </c>
      <c r="I231" s="604">
        <v>455</v>
      </c>
      <c r="J231" s="267">
        <f t="shared" si="6"/>
        <v>455</v>
      </c>
    </row>
    <row r="232" spans="1:10" ht="15.95" customHeight="1">
      <c r="A232" s="266">
        <v>6.2500000000000098</v>
      </c>
      <c r="B232" s="77"/>
      <c r="C232" s="266" t="s">
        <v>483</v>
      </c>
      <c r="D232" s="266" t="s">
        <v>484</v>
      </c>
      <c r="E232" s="77"/>
      <c r="F232" s="424" t="s">
        <v>504</v>
      </c>
      <c r="G232" s="266" t="s">
        <v>126</v>
      </c>
      <c r="H232" s="266">
        <v>4</v>
      </c>
      <c r="I232" s="604">
        <v>455</v>
      </c>
      <c r="J232" s="267">
        <f t="shared" si="6"/>
        <v>1820</v>
      </c>
    </row>
    <row r="233" spans="1:10" ht="15.95" customHeight="1">
      <c r="A233" s="295">
        <v>6.2600000000000096</v>
      </c>
      <c r="B233" s="77"/>
      <c r="C233" s="266" t="s">
        <v>483</v>
      </c>
      <c r="D233" s="266" t="s">
        <v>484</v>
      </c>
      <c r="E233" s="77"/>
      <c r="F233" s="424" t="s">
        <v>498</v>
      </c>
      <c r="G233" s="266" t="s">
        <v>126</v>
      </c>
      <c r="H233" s="266">
        <v>1</v>
      </c>
      <c r="I233" s="604">
        <v>455</v>
      </c>
      <c r="J233" s="267">
        <f t="shared" si="6"/>
        <v>455</v>
      </c>
    </row>
    <row r="234" spans="1:10" ht="15.95" customHeight="1">
      <c r="A234" s="266">
        <v>6.2700000000000102</v>
      </c>
      <c r="B234" s="77"/>
      <c r="C234" s="266" t="s">
        <v>483</v>
      </c>
      <c r="D234" s="266" t="s">
        <v>484</v>
      </c>
      <c r="E234" s="77"/>
      <c r="F234" s="424" t="s">
        <v>499</v>
      </c>
      <c r="G234" s="266" t="s">
        <v>126</v>
      </c>
      <c r="H234" s="266">
        <v>1</v>
      </c>
      <c r="I234" s="604">
        <v>455</v>
      </c>
      <c r="J234" s="267">
        <f t="shared" si="6"/>
        <v>455</v>
      </c>
    </row>
    <row r="235" spans="1:10" ht="15.95" customHeight="1">
      <c r="A235" s="295">
        <v>6.28000000000001</v>
      </c>
      <c r="B235" s="77"/>
      <c r="C235" s="266" t="s">
        <v>483</v>
      </c>
      <c r="D235" s="266" t="s">
        <v>484</v>
      </c>
      <c r="E235" s="77"/>
      <c r="F235" s="424" t="s">
        <v>500</v>
      </c>
      <c r="G235" s="266" t="s">
        <v>126</v>
      </c>
      <c r="H235" s="266">
        <v>1</v>
      </c>
      <c r="I235" s="604">
        <v>455</v>
      </c>
      <c r="J235" s="267">
        <f t="shared" si="6"/>
        <v>455</v>
      </c>
    </row>
    <row r="236" spans="1:10" ht="15.95" customHeight="1" thickBot="1">
      <c r="A236" s="299"/>
      <c r="B236" s="87"/>
      <c r="C236" s="272"/>
      <c r="D236" s="272"/>
      <c r="E236" s="87"/>
      <c r="F236" s="272"/>
      <c r="G236" s="272"/>
      <c r="H236" s="272"/>
      <c r="I236" s="272"/>
      <c r="J236" s="300"/>
    </row>
    <row r="237" spans="1:10" ht="13.5" customHeight="1" thickBot="1">
      <c r="A237" s="49" t="s">
        <v>505</v>
      </c>
      <c r="B237" s="69"/>
      <c r="C237" s="69"/>
      <c r="D237" s="69"/>
      <c r="E237" s="69"/>
      <c r="F237" s="50" t="s">
        <v>506</v>
      </c>
      <c r="G237" s="69"/>
      <c r="H237" s="69"/>
      <c r="I237" s="50"/>
      <c r="J237" s="303"/>
    </row>
    <row r="238" spans="1:10" ht="13.5" customHeight="1">
      <c r="A238" s="279"/>
      <c r="B238" s="31"/>
      <c r="C238" s="31"/>
      <c r="D238" s="31"/>
      <c r="E238" s="31"/>
      <c r="F238" s="279"/>
      <c r="G238" s="31"/>
      <c r="H238" s="31"/>
      <c r="I238" s="279"/>
      <c r="J238" s="307"/>
    </row>
    <row r="239" spans="1:10" ht="29.25" customHeight="1">
      <c r="A239" s="266">
        <v>7.1</v>
      </c>
      <c r="B239" s="77"/>
      <c r="C239" s="266" t="s">
        <v>13</v>
      </c>
      <c r="D239" s="266" t="s">
        <v>507</v>
      </c>
      <c r="E239" s="77" t="s">
        <v>508</v>
      </c>
      <c r="F239" s="76" t="s">
        <v>509</v>
      </c>
      <c r="G239" s="266" t="s">
        <v>7</v>
      </c>
      <c r="H239" s="266">
        <f>25*3.2</f>
        <v>80</v>
      </c>
      <c r="I239" s="604">
        <v>492</v>
      </c>
      <c r="J239" s="267">
        <f t="shared" si="6"/>
        <v>39360</v>
      </c>
    </row>
    <row r="240" spans="1:10" ht="60">
      <c r="A240" s="77"/>
      <c r="B240" s="77"/>
      <c r="C240" s="77"/>
      <c r="D240" s="77"/>
      <c r="E240" s="77"/>
      <c r="F240" s="266" t="s">
        <v>510</v>
      </c>
      <c r="G240" s="77"/>
      <c r="H240" s="77"/>
      <c r="I240" s="266"/>
      <c r="J240" s="267"/>
    </row>
    <row r="241" spans="1:10" ht="30">
      <c r="A241" s="266">
        <v>7.2</v>
      </c>
      <c r="B241" s="77"/>
      <c r="C241" s="266" t="s">
        <v>13</v>
      </c>
      <c r="D241" s="266" t="s">
        <v>511</v>
      </c>
      <c r="E241" s="77" t="s">
        <v>512</v>
      </c>
      <c r="F241" s="76" t="s">
        <v>14</v>
      </c>
      <c r="G241" s="266" t="s">
        <v>7</v>
      </c>
      <c r="H241" s="266">
        <f>155+40</f>
        <v>195</v>
      </c>
      <c r="I241" s="604">
        <v>552</v>
      </c>
      <c r="J241" s="267">
        <f t="shared" si="6"/>
        <v>107640</v>
      </c>
    </row>
    <row r="242" spans="1:10" ht="60">
      <c r="A242" s="77"/>
      <c r="B242" s="77"/>
      <c r="C242" s="77"/>
      <c r="D242" s="77"/>
      <c r="E242" s="77"/>
      <c r="F242" s="266" t="s">
        <v>513</v>
      </c>
      <c r="G242" s="77"/>
      <c r="H242" s="77"/>
      <c r="I242" s="266"/>
      <c r="J242" s="266"/>
    </row>
    <row r="243" spans="1:10" ht="15.75" thickBot="1">
      <c r="A243" s="87"/>
      <c r="B243" s="87"/>
      <c r="C243" s="87"/>
      <c r="D243" s="87"/>
      <c r="E243" s="87"/>
      <c r="F243" s="272"/>
      <c r="G243" s="87"/>
      <c r="H243" s="87"/>
      <c r="I243" s="272"/>
      <c r="J243" s="272"/>
    </row>
    <row r="244" spans="1:10" ht="15.75" thickBot="1">
      <c r="A244" s="301"/>
      <c r="B244" s="302"/>
      <c r="C244" s="69"/>
      <c r="D244" s="69"/>
      <c r="E244" s="69"/>
      <c r="F244" s="50" t="s">
        <v>514</v>
      </c>
      <c r="G244" s="69"/>
      <c r="H244" s="69"/>
      <c r="I244" s="50"/>
      <c r="J244" s="605">
        <f>SUM(J6:J242)</f>
        <v>13286099.459999999</v>
      </c>
    </row>
    <row r="245" spans="1:10" ht="16.5" customHeight="1">
      <c r="A245" s="319"/>
      <c r="B245" s="319"/>
      <c r="C245" s="319"/>
      <c r="D245" s="319"/>
      <c r="E245" s="319"/>
      <c r="F245" s="319"/>
      <c r="G245" s="320"/>
      <c r="H245" s="320"/>
    </row>
    <row r="246" spans="1:10" ht="12.75" customHeight="1">
      <c r="J246" s="321"/>
    </row>
  </sheetData>
  <mergeCells count="7">
    <mergeCell ref="A1:H1"/>
    <mergeCell ref="A2:H2"/>
    <mergeCell ref="I3:J3"/>
    <mergeCell ref="A19:A20"/>
    <mergeCell ref="C19:C20"/>
    <mergeCell ref="D19:D20"/>
    <mergeCell ref="E19:E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6C268-E12C-4A83-8152-D579D3A829E5}">
  <dimension ref="A1:N181"/>
  <sheetViews>
    <sheetView workbookViewId="0">
      <pane ySplit="5" topLeftCell="A179" activePane="bottomLeft" state="frozen"/>
      <selection pane="bottomLeft" activeCell="A179" sqref="A179"/>
    </sheetView>
  </sheetViews>
  <sheetFormatPr defaultColWidth="8" defaultRowHeight="15"/>
  <cols>
    <col min="1" max="1" width="6.5" style="447" bestFit="1" customWidth="1"/>
    <col min="2" max="2" width="1.375" style="448" customWidth="1"/>
    <col min="3" max="3" width="13" style="448" bestFit="1" customWidth="1"/>
    <col min="4" max="4" width="4.5" style="448" bestFit="1" customWidth="1"/>
    <col min="5" max="5" width="9.875" style="448" bestFit="1" customWidth="1"/>
    <col min="6" max="6" width="16.25" style="448" customWidth="1"/>
    <col min="7" max="7" width="52.875" style="449" customWidth="1"/>
    <col min="8" max="8" width="4.75" style="449" bestFit="1" customWidth="1"/>
    <col min="9" max="9" width="7.875" style="449" bestFit="1" customWidth="1"/>
    <col min="10" max="10" width="9.625" style="449" customWidth="1"/>
    <col min="11" max="11" width="11" style="449" customWidth="1"/>
    <col min="12" max="12" width="7.125" style="449" customWidth="1"/>
    <col min="13" max="13" width="13" style="449" customWidth="1"/>
    <col min="14" max="14" width="14" style="449" bestFit="1" customWidth="1"/>
    <col min="15" max="16384" width="8" style="444"/>
  </cols>
  <sheetData>
    <row r="1" spans="1:14">
      <c r="A1" s="650" t="s">
        <v>771</v>
      </c>
      <c r="B1" s="650"/>
      <c r="C1" s="650"/>
      <c r="D1" s="650"/>
      <c r="E1" s="650"/>
      <c r="F1" s="650"/>
      <c r="G1" s="650"/>
      <c r="H1" s="650"/>
      <c r="I1" s="650"/>
      <c r="J1" s="650"/>
      <c r="K1" s="650"/>
      <c r="L1" s="650"/>
      <c r="M1" s="650"/>
      <c r="N1" s="650"/>
    </row>
    <row r="2" spans="1:14">
      <c r="A2" s="443"/>
      <c r="B2" s="445"/>
      <c r="C2" s="445"/>
      <c r="D2" s="445"/>
      <c r="E2" s="445"/>
      <c r="F2" s="445"/>
      <c r="G2" s="446"/>
      <c r="H2" s="446"/>
      <c r="I2" s="446"/>
      <c r="J2" s="446"/>
      <c r="K2" s="446"/>
      <c r="L2" s="446"/>
      <c r="M2" s="446"/>
      <c r="N2" s="446"/>
    </row>
    <row r="3" spans="1:14">
      <c r="A3" s="650" t="s">
        <v>772</v>
      </c>
      <c r="B3" s="650"/>
      <c r="C3" s="650"/>
      <c r="D3" s="650"/>
      <c r="E3" s="650"/>
      <c r="F3" s="650"/>
      <c r="G3" s="650"/>
      <c r="H3" s="650"/>
      <c r="I3" s="650"/>
      <c r="J3" s="650"/>
      <c r="K3" s="650"/>
      <c r="L3" s="650"/>
      <c r="M3" s="650"/>
      <c r="N3" s="650"/>
    </row>
    <row r="4" spans="1:14" ht="15.75" thickBot="1"/>
    <row r="5" spans="1:14" s="454" customFormat="1" ht="60.75" thickBot="1">
      <c r="A5" s="450" t="s">
        <v>773</v>
      </c>
      <c r="B5" s="451"/>
      <c r="C5" s="452" t="s">
        <v>774</v>
      </c>
      <c r="D5" s="452" t="s">
        <v>1</v>
      </c>
      <c r="E5" s="452" t="s">
        <v>775</v>
      </c>
      <c r="F5" s="452" t="s">
        <v>776</v>
      </c>
      <c r="G5" s="452" t="s">
        <v>777</v>
      </c>
      <c r="H5" s="452" t="s">
        <v>778</v>
      </c>
      <c r="I5" s="452" t="s">
        <v>779</v>
      </c>
      <c r="J5" s="452" t="s">
        <v>780</v>
      </c>
      <c r="K5" s="452" t="s">
        <v>781</v>
      </c>
      <c r="L5" s="452" t="s">
        <v>782</v>
      </c>
      <c r="M5" s="452" t="s">
        <v>783</v>
      </c>
      <c r="N5" s="453" t="s">
        <v>784</v>
      </c>
    </row>
    <row r="6" spans="1:14" ht="15.75" thickBot="1">
      <c r="A6" s="455"/>
      <c r="B6" s="456"/>
      <c r="C6" s="456"/>
      <c r="D6" s="456"/>
      <c r="E6" s="456"/>
      <c r="F6" s="456"/>
      <c r="G6" s="457"/>
      <c r="H6" s="457"/>
      <c r="I6" s="457"/>
      <c r="J6" s="457"/>
      <c r="K6" s="457"/>
      <c r="L6" s="458"/>
      <c r="M6" s="457"/>
      <c r="N6" s="459"/>
    </row>
    <row r="7" spans="1:14" ht="15.75" thickBot="1">
      <c r="A7" s="460"/>
      <c r="B7" s="461"/>
      <c r="C7" s="461"/>
      <c r="D7" s="461"/>
      <c r="E7" s="461"/>
      <c r="F7" s="461"/>
      <c r="G7" s="457"/>
      <c r="H7" s="462"/>
      <c r="I7" s="462"/>
      <c r="J7" s="457"/>
      <c r="K7" s="457"/>
      <c r="L7" s="457"/>
      <c r="M7" s="457"/>
      <c r="N7" s="459"/>
    </row>
    <row r="8" spans="1:14" ht="15.75" thickBot="1">
      <c r="A8" s="463" t="s">
        <v>15</v>
      </c>
      <c r="B8" s="464"/>
      <c r="C8" s="464"/>
      <c r="D8" s="464"/>
      <c r="E8" s="464"/>
      <c r="F8" s="464"/>
      <c r="G8" s="465" t="s">
        <v>100</v>
      </c>
      <c r="H8" s="466"/>
      <c r="I8" s="466"/>
      <c r="J8" s="465"/>
      <c r="K8" s="465"/>
      <c r="L8" s="465"/>
      <c r="M8" s="465"/>
      <c r="N8" s="467"/>
    </row>
    <row r="9" spans="1:14">
      <c r="A9" s="460"/>
      <c r="B9" s="461"/>
      <c r="C9" s="461"/>
      <c r="D9" s="461"/>
      <c r="E9" s="461"/>
      <c r="F9" s="461"/>
      <c r="G9" s="457"/>
      <c r="H9" s="462"/>
      <c r="I9" s="462"/>
      <c r="J9" s="457"/>
      <c r="K9" s="457"/>
      <c r="L9" s="457"/>
      <c r="M9" s="457"/>
      <c r="N9" s="459"/>
    </row>
    <row r="10" spans="1:14" ht="14.25">
      <c r="A10" s="468">
        <v>1.1000000000000001</v>
      </c>
      <c r="B10" s="469"/>
      <c r="C10" s="469"/>
      <c r="D10" s="470" t="s">
        <v>102</v>
      </c>
      <c r="E10" s="471" t="s">
        <v>785</v>
      </c>
      <c r="F10" s="472" t="s">
        <v>786</v>
      </c>
      <c r="G10" s="473" t="s">
        <v>787</v>
      </c>
      <c r="H10" s="474" t="s">
        <v>788</v>
      </c>
      <c r="I10" s="474">
        <v>40.545000000000002</v>
      </c>
      <c r="J10" s="473"/>
      <c r="K10" s="473"/>
      <c r="L10" s="473"/>
      <c r="M10" s="606">
        <v>3834</v>
      </c>
      <c r="N10" s="475">
        <f>SUM(I10*M10)</f>
        <v>155449.53</v>
      </c>
    </row>
    <row r="11" spans="1:14">
      <c r="A11" s="476"/>
      <c r="B11" s="469"/>
      <c r="C11" s="469"/>
      <c r="D11" s="469"/>
      <c r="E11" s="469"/>
      <c r="F11" s="469"/>
      <c r="G11" s="204" t="s">
        <v>789</v>
      </c>
      <c r="H11" s="474"/>
      <c r="I11" s="474"/>
      <c r="J11" s="477"/>
      <c r="K11" s="477"/>
      <c r="L11" s="477"/>
      <c r="M11" s="477"/>
      <c r="N11" s="478"/>
    </row>
    <row r="12" spans="1:14" ht="57">
      <c r="A12" s="476"/>
      <c r="B12" s="469"/>
      <c r="C12" s="469"/>
      <c r="D12" s="469"/>
      <c r="E12" s="469"/>
      <c r="F12" s="469"/>
      <c r="G12" s="479" t="s">
        <v>790</v>
      </c>
      <c r="H12" s="474"/>
      <c r="I12" s="474"/>
      <c r="J12" s="479"/>
      <c r="K12" s="479"/>
      <c r="L12" s="479"/>
      <c r="M12" s="479"/>
      <c r="N12" s="480"/>
    </row>
    <row r="13" spans="1:14">
      <c r="A13" s="476"/>
      <c r="B13" s="469"/>
      <c r="C13" s="469"/>
      <c r="D13" s="469"/>
      <c r="E13" s="469"/>
      <c r="F13" s="469"/>
      <c r="G13" s="479" t="s">
        <v>791</v>
      </c>
      <c r="H13" s="474"/>
      <c r="I13" s="474"/>
      <c r="J13" s="479"/>
      <c r="K13" s="479"/>
      <c r="L13" s="479"/>
      <c r="M13" s="479"/>
      <c r="N13" s="480"/>
    </row>
    <row r="14" spans="1:14">
      <c r="A14" s="476"/>
      <c r="B14" s="469"/>
      <c r="C14" s="469"/>
      <c r="D14" s="469"/>
      <c r="E14" s="469"/>
      <c r="F14" s="469"/>
      <c r="G14" s="477" t="s">
        <v>792</v>
      </c>
      <c r="H14" s="474"/>
      <c r="I14" s="474"/>
      <c r="J14" s="477"/>
      <c r="K14" s="477"/>
      <c r="L14" s="477"/>
      <c r="M14" s="477"/>
      <c r="N14" s="478"/>
    </row>
    <row r="15" spans="1:14">
      <c r="A15" s="476"/>
      <c r="B15" s="469"/>
      <c r="C15" s="469"/>
      <c r="D15" s="469"/>
      <c r="E15" s="469"/>
      <c r="F15" s="469"/>
      <c r="G15" s="204" t="s">
        <v>793</v>
      </c>
      <c r="H15" s="474"/>
      <c r="I15" s="474"/>
      <c r="J15" s="477"/>
      <c r="K15" s="477"/>
      <c r="L15" s="477"/>
      <c r="M15" s="477"/>
      <c r="N15" s="478"/>
    </row>
    <row r="16" spans="1:14">
      <c r="A16" s="476"/>
      <c r="B16" s="469"/>
      <c r="C16" s="469"/>
      <c r="D16" s="469"/>
      <c r="E16" s="469"/>
      <c r="F16" s="469"/>
      <c r="G16" s="477" t="s">
        <v>794</v>
      </c>
      <c r="H16" s="474"/>
      <c r="I16" s="474"/>
      <c r="J16" s="477"/>
      <c r="K16" s="477"/>
      <c r="L16" s="477"/>
      <c r="M16" s="477"/>
      <c r="N16" s="478"/>
    </row>
    <row r="17" spans="1:14">
      <c r="A17" s="476"/>
      <c r="B17" s="469"/>
      <c r="C17" s="469"/>
      <c r="D17" s="469"/>
      <c r="E17" s="469"/>
      <c r="F17" s="469"/>
      <c r="G17" s="477" t="s">
        <v>795</v>
      </c>
      <c r="H17" s="474"/>
      <c r="I17" s="474"/>
      <c r="J17" s="477"/>
      <c r="K17" s="477"/>
      <c r="L17" s="477"/>
      <c r="M17" s="477"/>
      <c r="N17" s="478"/>
    </row>
    <row r="18" spans="1:14">
      <c r="A18" s="476"/>
      <c r="B18" s="469"/>
      <c r="C18" s="469"/>
      <c r="D18" s="469"/>
      <c r="E18" s="469"/>
      <c r="F18" s="469"/>
      <c r="G18" s="204" t="s">
        <v>796</v>
      </c>
      <c r="H18" s="474"/>
      <c r="I18" s="474"/>
      <c r="J18" s="477"/>
      <c r="K18" s="477"/>
      <c r="L18" s="477"/>
      <c r="M18" s="477"/>
      <c r="N18" s="478"/>
    </row>
    <row r="19" spans="1:14" ht="28.5">
      <c r="A19" s="476"/>
      <c r="B19" s="469"/>
      <c r="C19" s="469"/>
      <c r="D19" s="469"/>
      <c r="E19" s="469"/>
      <c r="F19" s="469"/>
      <c r="G19" s="204" t="s">
        <v>797</v>
      </c>
      <c r="H19" s="474"/>
      <c r="I19" s="474"/>
      <c r="J19" s="204"/>
      <c r="K19" s="204"/>
      <c r="L19" s="204"/>
      <c r="M19" s="204"/>
      <c r="N19" s="481"/>
    </row>
    <row r="20" spans="1:14">
      <c r="A20" s="476"/>
      <c r="B20" s="469"/>
      <c r="C20" s="469"/>
      <c r="D20" s="469"/>
      <c r="E20" s="469"/>
      <c r="F20" s="469"/>
      <c r="G20" s="204" t="s">
        <v>798</v>
      </c>
      <c r="H20" s="474"/>
      <c r="I20" s="474"/>
      <c r="J20" s="204"/>
      <c r="K20" s="204"/>
      <c r="L20" s="204"/>
      <c r="M20" s="204"/>
      <c r="N20" s="481"/>
    </row>
    <row r="21" spans="1:14">
      <c r="A21" s="476"/>
      <c r="B21" s="469"/>
      <c r="C21" s="469"/>
      <c r="D21" s="469"/>
      <c r="E21" s="469"/>
      <c r="F21" s="469"/>
      <c r="G21" s="204"/>
      <c r="H21" s="474"/>
      <c r="I21" s="474"/>
      <c r="J21" s="204"/>
      <c r="K21" s="204"/>
      <c r="L21" s="204"/>
      <c r="M21" s="204"/>
      <c r="N21" s="481"/>
    </row>
    <row r="22" spans="1:14" ht="14.25">
      <c r="A22" s="468">
        <v>1.2</v>
      </c>
      <c r="B22" s="469"/>
      <c r="C22" s="469"/>
      <c r="D22" s="470" t="s">
        <v>102</v>
      </c>
      <c r="E22" s="471" t="s">
        <v>785</v>
      </c>
      <c r="F22" s="472" t="s">
        <v>786</v>
      </c>
      <c r="G22" s="473" t="s">
        <v>799</v>
      </c>
      <c r="H22" s="474" t="s">
        <v>788</v>
      </c>
      <c r="I22" s="474">
        <v>364.90499999999997</v>
      </c>
      <c r="J22" s="204"/>
      <c r="K22" s="204"/>
      <c r="L22" s="204"/>
      <c r="M22" s="606">
        <v>4519</v>
      </c>
      <c r="N22" s="475">
        <f>SUM(I22*M22)</f>
        <v>1649005.6949999998</v>
      </c>
    </row>
    <row r="23" spans="1:14">
      <c r="A23" s="476"/>
      <c r="B23" s="469"/>
      <c r="C23" s="469"/>
      <c r="D23" s="469"/>
      <c r="E23" s="469"/>
      <c r="F23" s="469"/>
      <c r="G23" s="204" t="s">
        <v>789</v>
      </c>
      <c r="H23" s="474"/>
      <c r="I23" s="474"/>
      <c r="J23" s="204"/>
      <c r="K23" s="204"/>
      <c r="L23" s="204"/>
      <c r="M23" s="204"/>
      <c r="N23" s="481"/>
    </row>
    <row r="24" spans="1:14" ht="57">
      <c r="A24" s="476"/>
      <c r="B24" s="469"/>
      <c r="C24" s="469"/>
      <c r="D24" s="469"/>
      <c r="E24" s="469"/>
      <c r="F24" s="469"/>
      <c r="G24" s="479" t="s">
        <v>800</v>
      </c>
      <c r="H24" s="474"/>
      <c r="I24" s="474"/>
      <c r="J24" s="204"/>
      <c r="K24" s="204"/>
      <c r="L24" s="204"/>
      <c r="M24" s="204"/>
      <c r="N24" s="481"/>
    </row>
    <row r="25" spans="1:14">
      <c r="A25" s="476"/>
      <c r="B25" s="469"/>
      <c r="C25" s="469"/>
      <c r="D25" s="469"/>
      <c r="E25" s="469"/>
      <c r="F25" s="469"/>
      <c r="G25" s="479" t="s">
        <v>791</v>
      </c>
      <c r="H25" s="474"/>
      <c r="I25" s="474"/>
      <c r="J25" s="204"/>
      <c r="K25" s="204"/>
      <c r="L25" s="204"/>
      <c r="M25" s="204"/>
      <c r="N25" s="481"/>
    </row>
    <row r="26" spans="1:14">
      <c r="A26" s="476"/>
      <c r="B26" s="469"/>
      <c r="C26" s="469"/>
      <c r="D26" s="469"/>
      <c r="E26" s="469"/>
      <c r="F26" s="469"/>
      <c r="G26" s="204" t="s">
        <v>801</v>
      </c>
      <c r="H26" s="474"/>
      <c r="I26" s="474"/>
      <c r="J26" s="204"/>
      <c r="K26" s="204"/>
      <c r="L26" s="204"/>
      <c r="M26" s="204"/>
      <c r="N26" s="481"/>
    </row>
    <row r="27" spans="1:14">
      <c r="A27" s="476"/>
      <c r="B27" s="469"/>
      <c r="C27" s="469"/>
      <c r="D27" s="469"/>
      <c r="E27" s="469"/>
      <c r="F27" s="469"/>
      <c r="G27" s="204" t="s">
        <v>793</v>
      </c>
      <c r="H27" s="474"/>
      <c r="I27" s="474"/>
      <c r="J27" s="204"/>
      <c r="K27" s="204"/>
      <c r="L27" s="204"/>
      <c r="M27" s="204"/>
      <c r="N27" s="481"/>
    </row>
    <row r="28" spans="1:14">
      <c r="A28" s="476"/>
      <c r="B28" s="469"/>
      <c r="C28" s="469"/>
      <c r="D28" s="469"/>
      <c r="E28" s="469"/>
      <c r="F28" s="469"/>
      <c r="G28" s="477" t="s">
        <v>794</v>
      </c>
      <c r="H28" s="474"/>
      <c r="I28" s="474"/>
      <c r="J28" s="204"/>
      <c r="K28" s="204"/>
      <c r="L28" s="204"/>
      <c r="M28" s="204"/>
      <c r="N28" s="481"/>
    </row>
    <row r="29" spans="1:14">
      <c r="A29" s="476"/>
      <c r="B29" s="469"/>
      <c r="C29" s="469"/>
      <c r="D29" s="469"/>
      <c r="E29" s="469"/>
      <c r="F29" s="469"/>
      <c r="G29" s="477" t="s">
        <v>795</v>
      </c>
      <c r="H29" s="474"/>
      <c r="I29" s="474"/>
      <c r="J29" s="204"/>
      <c r="K29" s="204"/>
      <c r="L29" s="204"/>
      <c r="M29" s="204"/>
      <c r="N29" s="481"/>
    </row>
    <row r="30" spans="1:14">
      <c r="A30" s="476"/>
      <c r="B30" s="469"/>
      <c r="C30" s="469"/>
      <c r="D30" s="469"/>
      <c r="E30" s="469"/>
      <c r="F30" s="469"/>
      <c r="G30" s="204" t="s">
        <v>796</v>
      </c>
      <c r="H30" s="474"/>
      <c r="I30" s="474"/>
      <c r="J30" s="204"/>
      <c r="K30" s="204"/>
      <c r="L30" s="204"/>
      <c r="M30" s="204"/>
      <c r="N30" s="481"/>
    </row>
    <row r="31" spans="1:14" ht="28.5">
      <c r="A31" s="476"/>
      <c r="B31" s="469"/>
      <c r="C31" s="469"/>
      <c r="D31" s="469"/>
      <c r="E31" s="469"/>
      <c r="F31" s="469"/>
      <c r="G31" s="204" t="s">
        <v>797</v>
      </c>
      <c r="H31" s="474"/>
      <c r="I31" s="474"/>
      <c r="J31" s="204"/>
      <c r="K31" s="204"/>
      <c r="L31" s="204"/>
      <c r="M31" s="204"/>
      <c r="N31" s="481"/>
    </row>
    <row r="32" spans="1:14">
      <c r="A32" s="476"/>
      <c r="B32" s="469"/>
      <c r="C32" s="469"/>
      <c r="D32" s="469"/>
      <c r="E32" s="469"/>
      <c r="F32" s="469"/>
      <c r="G32" s="204" t="s">
        <v>798</v>
      </c>
      <c r="H32" s="474"/>
      <c r="I32" s="474"/>
      <c r="J32" s="204"/>
      <c r="K32" s="204"/>
      <c r="L32" s="204"/>
      <c r="M32" s="204"/>
      <c r="N32" s="481"/>
    </row>
    <row r="33" spans="1:14">
      <c r="A33" s="476"/>
      <c r="B33" s="469"/>
      <c r="C33" s="469"/>
      <c r="D33" s="469"/>
      <c r="E33" s="469"/>
      <c r="F33" s="469"/>
      <c r="G33" s="204"/>
      <c r="H33" s="474"/>
      <c r="I33" s="474"/>
      <c r="J33" s="204"/>
      <c r="K33" s="204"/>
      <c r="L33" s="204"/>
      <c r="M33" s="204"/>
      <c r="N33" s="481"/>
    </row>
    <row r="34" spans="1:14" ht="14.25">
      <c r="A34" s="468">
        <v>1.3</v>
      </c>
      <c r="B34" s="469"/>
      <c r="C34" s="469"/>
      <c r="D34" s="470" t="s">
        <v>102</v>
      </c>
      <c r="E34" s="471" t="s">
        <v>785</v>
      </c>
      <c r="F34" s="472" t="s">
        <v>786</v>
      </c>
      <c r="G34" s="473" t="s">
        <v>802</v>
      </c>
      <c r="H34" s="474" t="s">
        <v>788</v>
      </c>
      <c r="I34" s="474">
        <v>13.85</v>
      </c>
      <c r="J34" s="204"/>
      <c r="K34" s="204"/>
      <c r="L34" s="204"/>
      <c r="M34" s="606">
        <v>3078</v>
      </c>
      <c r="N34" s="475">
        <f>SUM(I34*M34)</f>
        <v>42630.299999999996</v>
      </c>
    </row>
    <row r="35" spans="1:14" ht="57">
      <c r="A35" s="476"/>
      <c r="B35" s="469"/>
      <c r="C35" s="469"/>
      <c r="D35" s="469"/>
      <c r="E35" s="469"/>
      <c r="F35" s="469"/>
      <c r="G35" s="479" t="s">
        <v>803</v>
      </c>
      <c r="H35" s="474"/>
      <c r="I35" s="474"/>
      <c r="J35" s="204"/>
      <c r="K35" s="204"/>
      <c r="L35" s="204"/>
      <c r="M35" s="204"/>
      <c r="N35" s="481"/>
    </row>
    <row r="36" spans="1:14">
      <c r="A36" s="476"/>
      <c r="B36" s="469"/>
      <c r="C36" s="469"/>
      <c r="D36" s="469"/>
      <c r="E36" s="469"/>
      <c r="F36" s="469"/>
      <c r="G36" s="479" t="s">
        <v>791</v>
      </c>
      <c r="H36" s="474"/>
      <c r="I36" s="474"/>
      <c r="J36" s="204"/>
      <c r="K36" s="204"/>
      <c r="L36" s="204"/>
      <c r="M36" s="204"/>
      <c r="N36" s="481"/>
    </row>
    <row r="37" spans="1:14">
      <c r="A37" s="476"/>
      <c r="B37" s="469"/>
      <c r="C37" s="469"/>
      <c r="D37" s="469"/>
      <c r="E37" s="469"/>
      <c r="F37" s="469"/>
      <c r="G37" s="477" t="s">
        <v>792</v>
      </c>
      <c r="H37" s="474"/>
      <c r="I37" s="474"/>
      <c r="J37" s="204"/>
      <c r="K37" s="204"/>
      <c r="L37" s="204"/>
      <c r="M37" s="204"/>
      <c r="N37" s="481"/>
    </row>
    <row r="38" spans="1:14">
      <c r="A38" s="476"/>
      <c r="B38" s="469"/>
      <c r="C38" s="469"/>
      <c r="D38" s="469"/>
      <c r="E38" s="469"/>
      <c r="F38" s="469"/>
      <c r="G38" s="477" t="s">
        <v>793</v>
      </c>
      <c r="H38" s="474"/>
      <c r="I38" s="474"/>
      <c r="J38" s="204"/>
      <c r="K38" s="204"/>
      <c r="L38" s="204"/>
      <c r="M38" s="204"/>
      <c r="N38" s="481"/>
    </row>
    <row r="39" spans="1:14">
      <c r="A39" s="476"/>
      <c r="B39" s="469"/>
      <c r="C39" s="469"/>
      <c r="D39" s="469"/>
      <c r="E39" s="469"/>
      <c r="F39" s="469"/>
      <c r="G39" s="477" t="s">
        <v>794</v>
      </c>
      <c r="H39" s="474"/>
      <c r="I39" s="474"/>
      <c r="J39" s="204"/>
      <c r="K39" s="204"/>
      <c r="L39" s="204"/>
      <c r="M39" s="204"/>
      <c r="N39" s="481"/>
    </row>
    <row r="40" spans="1:14">
      <c r="A40" s="476"/>
      <c r="B40" s="469"/>
      <c r="C40" s="469"/>
      <c r="D40" s="469"/>
      <c r="E40" s="469"/>
      <c r="F40" s="469"/>
      <c r="G40" s="477" t="s">
        <v>795</v>
      </c>
      <c r="H40" s="474"/>
      <c r="I40" s="474"/>
      <c r="J40" s="204"/>
      <c r="K40" s="204"/>
      <c r="L40" s="204"/>
      <c r="M40" s="204"/>
      <c r="N40" s="481"/>
    </row>
    <row r="41" spans="1:14">
      <c r="A41" s="476"/>
      <c r="B41" s="469"/>
      <c r="C41" s="469"/>
      <c r="D41" s="469"/>
      <c r="E41" s="469"/>
      <c r="F41" s="469"/>
      <c r="G41" s="204" t="s">
        <v>796</v>
      </c>
      <c r="H41" s="474"/>
      <c r="I41" s="474"/>
      <c r="J41" s="204"/>
      <c r="K41" s="204"/>
      <c r="L41" s="204"/>
      <c r="M41" s="204"/>
      <c r="N41" s="481"/>
    </row>
    <row r="42" spans="1:14" ht="28.5">
      <c r="A42" s="476"/>
      <c r="B42" s="469"/>
      <c r="C42" s="469"/>
      <c r="D42" s="469"/>
      <c r="E42" s="469"/>
      <c r="F42" s="469"/>
      <c r="G42" s="204" t="s">
        <v>797</v>
      </c>
      <c r="H42" s="474"/>
      <c r="I42" s="474"/>
      <c r="J42" s="204"/>
      <c r="K42" s="204"/>
      <c r="L42" s="204"/>
      <c r="M42" s="204"/>
      <c r="N42" s="481"/>
    </row>
    <row r="43" spans="1:14">
      <c r="A43" s="476"/>
      <c r="B43" s="469"/>
      <c r="C43" s="469"/>
      <c r="D43" s="469"/>
      <c r="E43" s="469"/>
      <c r="F43" s="469"/>
      <c r="G43" s="204" t="s">
        <v>798</v>
      </c>
      <c r="H43" s="474"/>
      <c r="I43" s="474"/>
      <c r="J43" s="482"/>
      <c r="K43" s="482"/>
      <c r="L43" s="482"/>
      <c r="M43" s="482"/>
      <c r="N43" s="483"/>
    </row>
    <row r="44" spans="1:14">
      <c r="A44" s="476"/>
      <c r="B44" s="469"/>
      <c r="C44" s="469"/>
      <c r="D44" s="469"/>
      <c r="E44" s="469"/>
      <c r="F44" s="469"/>
      <c r="G44" s="204"/>
      <c r="H44" s="474"/>
      <c r="I44" s="474"/>
      <c r="J44" s="482"/>
      <c r="K44" s="482"/>
      <c r="L44" s="482"/>
      <c r="M44" s="482"/>
      <c r="N44" s="483"/>
    </row>
    <row r="45" spans="1:14" ht="14.25">
      <c r="A45" s="468">
        <v>1.4</v>
      </c>
      <c r="B45" s="469"/>
      <c r="C45" s="469"/>
      <c r="D45" s="470" t="s">
        <v>102</v>
      </c>
      <c r="E45" s="471" t="s">
        <v>785</v>
      </c>
      <c r="F45" s="472" t="s">
        <v>786</v>
      </c>
      <c r="G45" s="473" t="s">
        <v>804</v>
      </c>
      <c r="H45" s="474"/>
      <c r="I45" s="474">
        <v>124.65</v>
      </c>
      <c r="J45" s="473"/>
      <c r="K45" s="473"/>
      <c r="L45" s="473"/>
      <c r="M45" s="606">
        <v>3607</v>
      </c>
      <c r="N45" s="475">
        <f>SUM(I45*M45)</f>
        <v>449612.55000000005</v>
      </c>
    </row>
    <row r="46" spans="1:14">
      <c r="A46" s="476"/>
      <c r="B46" s="469"/>
      <c r="C46" s="469"/>
      <c r="D46" s="469"/>
      <c r="E46" s="469"/>
      <c r="F46" s="469"/>
      <c r="G46" s="204" t="s">
        <v>789</v>
      </c>
      <c r="H46" s="474"/>
      <c r="I46" s="474"/>
      <c r="J46" s="477"/>
      <c r="K46" s="477"/>
      <c r="L46" s="477"/>
      <c r="M46" s="477"/>
      <c r="N46" s="478"/>
    </row>
    <row r="47" spans="1:14" ht="57">
      <c r="A47" s="476"/>
      <c r="B47" s="469"/>
      <c r="C47" s="469"/>
      <c r="D47" s="469"/>
      <c r="E47" s="469"/>
      <c r="F47" s="469"/>
      <c r="G47" s="479" t="s">
        <v>805</v>
      </c>
      <c r="H47" s="474"/>
      <c r="I47" s="474"/>
      <c r="J47" s="204"/>
      <c r="K47" s="204"/>
      <c r="L47" s="204"/>
      <c r="M47" s="204"/>
      <c r="N47" s="481"/>
    </row>
    <row r="48" spans="1:14">
      <c r="A48" s="476"/>
      <c r="B48" s="469"/>
      <c r="C48" s="469"/>
      <c r="D48" s="469"/>
      <c r="E48" s="469"/>
      <c r="F48" s="469"/>
      <c r="G48" s="479" t="s">
        <v>791</v>
      </c>
      <c r="H48" s="474"/>
      <c r="I48" s="474"/>
      <c r="J48" s="477"/>
      <c r="K48" s="477"/>
      <c r="L48" s="477"/>
      <c r="M48" s="477"/>
      <c r="N48" s="478"/>
    </row>
    <row r="49" spans="1:14">
      <c r="A49" s="476"/>
      <c r="B49" s="469"/>
      <c r="C49" s="469"/>
      <c r="D49" s="469"/>
      <c r="E49" s="469"/>
      <c r="F49" s="469"/>
      <c r="G49" s="477" t="s">
        <v>792</v>
      </c>
      <c r="H49" s="474"/>
      <c r="I49" s="474"/>
      <c r="J49" s="477"/>
      <c r="K49" s="477"/>
      <c r="L49" s="477"/>
      <c r="M49" s="477"/>
      <c r="N49" s="478"/>
    </row>
    <row r="50" spans="1:14">
      <c r="A50" s="476"/>
      <c r="B50" s="469"/>
      <c r="C50" s="469"/>
      <c r="D50" s="469"/>
      <c r="E50" s="469"/>
      <c r="F50" s="469"/>
      <c r="G50" s="477" t="s">
        <v>793</v>
      </c>
      <c r="H50" s="474"/>
      <c r="I50" s="474"/>
      <c r="J50" s="477"/>
      <c r="K50" s="477"/>
      <c r="L50" s="477"/>
      <c r="M50" s="477"/>
      <c r="N50" s="478"/>
    </row>
    <row r="51" spans="1:14">
      <c r="A51" s="476"/>
      <c r="B51" s="469"/>
      <c r="C51" s="469"/>
      <c r="D51" s="469"/>
      <c r="E51" s="469"/>
      <c r="F51" s="469"/>
      <c r="G51" s="477" t="s">
        <v>794</v>
      </c>
      <c r="H51" s="474"/>
      <c r="I51" s="474"/>
      <c r="J51" s="477"/>
      <c r="K51" s="477"/>
      <c r="L51" s="477"/>
      <c r="M51" s="477"/>
      <c r="N51" s="478"/>
    </row>
    <row r="52" spans="1:14">
      <c r="A52" s="476"/>
      <c r="B52" s="469"/>
      <c r="C52" s="469"/>
      <c r="D52" s="469"/>
      <c r="E52" s="469"/>
      <c r="F52" s="469"/>
      <c r="G52" s="477" t="s">
        <v>795</v>
      </c>
      <c r="H52" s="474"/>
      <c r="I52" s="474"/>
      <c r="J52" s="477"/>
      <c r="K52" s="477"/>
      <c r="L52" s="477"/>
      <c r="M52" s="477"/>
      <c r="N52" s="478"/>
    </row>
    <row r="53" spans="1:14">
      <c r="A53" s="476"/>
      <c r="B53" s="469"/>
      <c r="C53" s="469"/>
      <c r="D53" s="469"/>
      <c r="E53" s="469"/>
      <c r="F53" s="469"/>
      <c r="G53" s="204" t="s">
        <v>796</v>
      </c>
      <c r="H53" s="474"/>
      <c r="I53" s="474"/>
      <c r="J53" s="477"/>
      <c r="K53" s="477"/>
      <c r="L53" s="477"/>
      <c r="M53" s="477"/>
      <c r="N53" s="478"/>
    </row>
    <row r="54" spans="1:14" ht="28.5">
      <c r="A54" s="476"/>
      <c r="B54" s="469"/>
      <c r="C54" s="469"/>
      <c r="D54" s="469"/>
      <c r="E54" s="469"/>
      <c r="F54" s="469"/>
      <c r="G54" s="204" t="s">
        <v>797</v>
      </c>
      <c r="H54" s="474"/>
      <c r="I54" s="474"/>
      <c r="J54" s="204"/>
      <c r="K54" s="204"/>
      <c r="L54" s="204"/>
      <c r="M54" s="204"/>
      <c r="N54" s="481"/>
    </row>
    <row r="55" spans="1:14">
      <c r="A55" s="476"/>
      <c r="B55" s="484"/>
      <c r="C55" s="484"/>
      <c r="D55" s="484"/>
      <c r="E55" s="484"/>
      <c r="F55" s="484"/>
      <c r="G55" s="204" t="s">
        <v>798</v>
      </c>
      <c r="H55" s="474"/>
      <c r="I55" s="474"/>
      <c r="J55" s="485"/>
      <c r="K55" s="485"/>
      <c r="L55" s="485"/>
      <c r="M55" s="485"/>
      <c r="N55" s="486"/>
    </row>
    <row r="56" spans="1:14">
      <c r="A56" s="476"/>
      <c r="B56" s="484"/>
      <c r="C56" s="484"/>
      <c r="D56" s="484"/>
      <c r="E56" s="484"/>
      <c r="F56" s="484"/>
      <c r="G56" s="204"/>
      <c r="H56" s="474"/>
      <c r="I56" s="474"/>
      <c r="J56" s="485"/>
      <c r="K56" s="485"/>
      <c r="L56" s="485"/>
      <c r="M56" s="485"/>
      <c r="N56" s="486"/>
    </row>
    <row r="57" spans="1:14" ht="14.25">
      <c r="A57" s="468">
        <v>1.5</v>
      </c>
      <c r="B57" s="469"/>
      <c r="C57" s="469"/>
      <c r="D57" s="470" t="s">
        <v>102</v>
      </c>
      <c r="E57" s="471" t="s">
        <v>785</v>
      </c>
      <c r="F57" s="472" t="s">
        <v>786</v>
      </c>
      <c r="G57" s="485" t="s">
        <v>806</v>
      </c>
      <c r="H57" s="474" t="s">
        <v>7</v>
      </c>
      <c r="I57" s="487">
        <v>193.31999999999996</v>
      </c>
      <c r="J57" s="485"/>
      <c r="K57" s="485"/>
      <c r="L57" s="485"/>
      <c r="M57" s="606">
        <v>3140</v>
      </c>
      <c r="N57" s="475">
        <f>SUM(I57*M57)</f>
        <v>607024.79999999993</v>
      </c>
    </row>
    <row r="58" spans="1:14">
      <c r="A58" s="476"/>
      <c r="B58" s="469" t="s">
        <v>807</v>
      </c>
      <c r="C58" s="469"/>
      <c r="D58" s="469"/>
      <c r="E58" s="469"/>
      <c r="F58" s="469"/>
      <c r="G58" s="204" t="s">
        <v>789</v>
      </c>
      <c r="H58" s="474"/>
      <c r="I58" s="474"/>
      <c r="J58" s="485"/>
      <c r="K58" s="485"/>
      <c r="L58" s="485"/>
      <c r="M58" s="485"/>
      <c r="N58" s="486"/>
    </row>
    <row r="59" spans="1:14" ht="57">
      <c r="A59" s="476"/>
      <c r="B59" s="469" t="s">
        <v>807</v>
      </c>
      <c r="C59" s="469"/>
      <c r="D59" s="469"/>
      <c r="E59" s="469"/>
      <c r="F59" s="469"/>
      <c r="G59" s="479" t="s">
        <v>808</v>
      </c>
      <c r="H59" s="474"/>
      <c r="I59" s="474"/>
      <c r="J59" s="485"/>
      <c r="K59" s="485"/>
      <c r="L59" s="485"/>
      <c r="M59" s="485"/>
      <c r="N59" s="486"/>
    </row>
    <row r="60" spans="1:14">
      <c r="A60" s="476"/>
      <c r="B60" s="469" t="s">
        <v>807</v>
      </c>
      <c r="C60" s="469"/>
      <c r="D60" s="469"/>
      <c r="E60" s="469"/>
      <c r="F60" s="469"/>
      <c r="G60" s="479" t="s">
        <v>791</v>
      </c>
      <c r="H60" s="474"/>
      <c r="I60" s="474"/>
      <c r="J60" s="485"/>
      <c r="K60" s="485"/>
      <c r="L60" s="485"/>
      <c r="M60" s="485"/>
      <c r="N60" s="486"/>
    </row>
    <row r="61" spans="1:14">
      <c r="A61" s="476"/>
      <c r="B61" s="469" t="s">
        <v>807</v>
      </c>
      <c r="C61" s="469"/>
      <c r="D61" s="469"/>
      <c r="E61" s="469"/>
      <c r="F61" s="469"/>
      <c r="G61" s="204" t="s">
        <v>809</v>
      </c>
      <c r="H61" s="474"/>
      <c r="I61" s="474"/>
      <c r="J61" s="485"/>
      <c r="K61" s="485"/>
      <c r="L61" s="485"/>
      <c r="M61" s="485"/>
      <c r="N61" s="486"/>
    </row>
    <row r="62" spans="1:14">
      <c r="A62" s="476"/>
      <c r="B62" s="469" t="s">
        <v>807</v>
      </c>
      <c r="C62" s="469"/>
      <c r="D62" s="469"/>
      <c r="E62" s="469"/>
      <c r="F62" s="469"/>
      <c r="G62" s="204" t="s">
        <v>793</v>
      </c>
      <c r="H62" s="474"/>
      <c r="I62" s="474"/>
      <c r="J62" s="485"/>
      <c r="K62" s="485"/>
      <c r="L62" s="485"/>
      <c r="M62" s="485"/>
      <c r="N62" s="486"/>
    </row>
    <row r="63" spans="1:14">
      <c r="A63" s="476"/>
      <c r="B63" s="469" t="s">
        <v>807</v>
      </c>
      <c r="C63" s="469"/>
      <c r="D63" s="469"/>
      <c r="E63" s="469"/>
      <c r="F63" s="469"/>
      <c r="G63" s="477" t="s">
        <v>794</v>
      </c>
      <c r="H63" s="474"/>
      <c r="I63" s="474"/>
      <c r="J63" s="485"/>
      <c r="K63" s="485"/>
      <c r="L63" s="485"/>
      <c r="M63" s="485"/>
      <c r="N63" s="486"/>
    </row>
    <row r="64" spans="1:14">
      <c r="A64" s="476"/>
      <c r="B64" s="469" t="s">
        <v>807</v>
      </c>
      <c r="C64" s="469"/>
      <c r="D64" s="469"/>
      <c r="E64" s="469"/>
      <c r="F64" s="469"/>
      <c r="G64" s="477" t="s">
        <v>795</v>
      </c>
      <c r="H64" s="474"/>
      <c r="I64" s="474"/>
      <c r="J64" s="488"/>
      <c r="K64" s="488"/>
      <c r="L64" s="488"/>
      <c r="M64" s="488"/>
      <c r="N64" s="489"/>
    </row>
    <row r="65" spans="1:14">
      <c r="A65" s="476"/>
      <c r="B65" s="469"/>
      <c r="C65" s="469"/>
      <c r="D65" s="469"/>
      <c r="E65" s="469"/>
      <c r="F65" s="469"/>
      <c r="G65" s="204" t="s">
        <v>796</v>
      </c>
      <c r="H65" s="474"/>
      <c r="I65" s="474"/>
      <c r="J65" s="488"/>
      <c r="K65" s="488"/>
      <c r="L65" s="488"/>
      <c r="M65" s="488"/>
      <c r="N65" s="489"/>
    </row>
    <row r="66" spans="1:14" ht="28.5">
      <c r="A66" s="476"/>
      <c r="B66" s="469"/>
      <c r="C66" s="469"/>
      <c r="D66" s="469"/>
      <c r="E66" s="469"/>
      <c r="F66" s="469"/>
      <c r="G66" s="204" t="s">
        <v>797</v>
      </c>
      <c r="H66" s="474"/>
      <c r="I66" s="474"/>
      <c r="J66" s="488"/>
      <c r="K66" s="488"/>
      <c r="L66" s="488"/>
      <c r="M66" s="488"/>
      <c r="N66" s="489"/>
    </row>
    <row r="67" spans="1:14">
      <c r="A67" s="476"/>
      <c r="B67" s="469"/>
      <c r="C67" s="469"/>
      <c r="D67" s="469"/>
      <c r="E67" s="469"/>
      <c r="F67" s="469"/>
      <c r="G67" s="204" t="s">
        <v>798</v>
      </c>
      <c r="H67" s="474"/>
      <c r="I67" s="474"/>
      <c r="J67" s="488"/>
      <c r="K67" s="488"/>
      <c r="L67" s="488"/>
      <c r="M67" s="488"/>
      <c r="N67" s="489"/>
    </row>
    <row r="68" spans="1:14">
      <c r="A68" s="476"/>
      <c r="B68" s="469"/>
      <c r="C68" s="469"/>
      <c r="D68" s="469"/>
      <c r="E68" s="469"/>
      <c r="F68" s="469"/>
      <c r="G68" s="488"/>
      <c r="H68" s="474"/>
      <c r="I68" s="474"/>
      <c r="J68" s="488"/>
      <c r="K68" s="488"/>
      <c r="L68" s="488"/>
      <c r="M68" s="488"/>
      <c r="N68" s="489"/>
    </row>
    <row r="69" spans="1:14" ht="14.25">
      <c r="A69" s="468">
        <v>1.6</v>
      </c>
      <c r="B69" s="469"/>
      <c r="C69" s="469"/>
      <c r="D69" s="470" t="s">
        <v>102</v>
      </c>
      <c r="E69" s="471" t="s">
        <v>810</v>
      </c>
      <c r="F69" s="472" t="s">
        <v>811</v>
      </c>
      <c r="G69" s="485" t="s">
        <v>812</v>
      </c>
      <c r="H69" s="474"/>
      <c r="I69" s="487"/>
      <c r="J69" s="485"/>
      <c r="K69" s="485"/>
      <c r="L69" s="485"/>
      <c r="M69" s="485"/>
      <c r="N69" s="486"/>
    </row>
    <row r="70" spans="1:14" ht="57">
      <c r="A70" s="476"/>
      <c r="B70" s="469"/>
      <c r="C70" s="469"/>
      <c r="D70" s="469"/>
      <c r="E70" s="469"/>
      <c r="F70" s="469"/>
      <c r="G70" s="490" t="s">
        <v>813</v>
      </c>
      <c r="H70" s="474"/>
      <c r="I70" s="474"/>
      <c r="J70" s="485"/>
      <c r="K70" s="485"/>
      <c r="L70" s="485"/>
      <c r="M70" s="485"/>
      <c r="N70" s="486"/>
    </row>
    <row r="71" spans="1:14">
      <c r="A71" s="476"/>
      <c r="B71" s="469"/>
      <c r="C71" s="469"/>
      <c r="D71" s="469"/>
      <c r="E71" s="469"/>
      <c r="F71" s="469"/>
      <c r="G71" s="204" t="s">
        <v>814</v>
      </c>
      <c r="H71" s="474"/>
      <c r="I71" s="474"/>
      <c r="J71" s="485"/>
      <c r="K71" s="485"/>
      <c r="L71" s="485"/>
      <c r="M71" s="485"/>
      <c r="N71" s="486"/>
    </row>
    <row r="72" spans="1:14">
      <c r="A72" s="476"/>
      <c r="B72" s="469"/>
      <c r="C72" s="469"/>
      <c r="D72" s="469"/>
      <c r="E72" s="469"/>
      <c r="F72" s="469"/>
      <c r="G72" s="204" t="s">
        <v>815</v>
      </c>
      <c r="H72" s="474"/>
      <c r="I72" s="474"/>
      <c r="J72" s="485"/>
      <c r="K72" s="485"/>
      <c r="L72" s="485"/>
      <c r="M72" s="485"/>
      <c r="N72" s="486"/>
    </row>
    <row r="73" spans="1:14">
      <c r="A73" s="476"/>
      <c r="B73" s="469"/>
      <c r="C73" s="469"/>
      <c r="D73" s="469"/>
      <c r="E73" s="469"/>
      <c r="F73" s="469"/>
      <c r="G73" s="204" t="s">
        <v>816</v>
      </c>
      <c r="H73" s="474"/>
      <c r="I73" s="474"/>
      <c r="J73" s="485"/>
      <c r="K73" s="485"/>
      <c r="L73" s="485"/>
      <c r="M73" s="485"/>
      <c r="N73" s="486"/>
    </row>
    <row r="74" spans="1:14">
      <c r="A74" s="476"/>
      <c r="B74" s="469"/>
      <c r="C74" s="469"/>
      <c r="D74" s="469"/>
      <c r="E74" s="469"/>
      <c r="F74" s="469"/>
      <c r="G74" s="204" t="s">
        <v>817</v>
      </c>
      <c r="H74" s="474"/>
      <c r="I74" s="474"/>
      <c r="J74" s="485"/>
      <c r="K74" s="485"/>
      <c r="L74" s="485"/>
      <c r="M74" s="485"/>
      <c r="N74" s="486"/>
    </row>
    <row r="75" spans="1:14">
      <c r="A75" s="476"/>
      <c r="B75" s="469"/>
      <c r="C75" s="469"/>
      <c r="D75" s="469"/>
      <c r="E75" s="469"/>
      <c r="F75" s="469"/>
      <c r="G75" s="204" t="s">
        <v>818</v>
      </c>
      <c r="H75" s="474"/>
      <c r="I75" s="474"/>
      <c r="J75" s="485"/>
      <c r="K75" s="485"/>
      <c r="L75" s="485"/>
      <c r="M75" s="485"/>
      <c r="N75" s="486"/>
    </row>
    <row r="76" spans="1:14">
      <c r="A76" s="476"/>
      <c r="B76" s="469"/>
      <c r="C76" s="469"/>
      <c r="D76" s="469"/>
      <c r="E76" s="469"/>
      <c r="F76" s="469"/>
      <c r="G76" s="204" t="s">
        <v>819</v>
      </c>
      <c r="H76" s="474"/>
      <c r="I76" s="474"/>
      <c r="J76" s="485"/>
      <c r="K76" s="485"/>
      <c r="L76" s="485"/>
      <c r="M76" s="485"/>
      <c r="N76" s="486"/>
    </row>
    <row r="77" spans="1:14">
      <c r="A77" s="476"/>
      <c r="B77" s="469"/>
      <c r="C77" s="469"/>
      <c r="D77" s="469"/>
      <c r="E77" s="469"/>
      <c r="F77" s="469"/>
      <c r="G77" s="204" t="s">
        <v>820</v>
      </c>
      <c r="H77" s="474"/>
      <c r="I77" s="474"/>
      <c r="J77" s="485"/>
      <c r="K77" s="485"/>
      <c r="L77" s="485"/>
      <c r="M77" s="485"/>
      <c r="N77" s="486"/>
    </row>
    <row r="78" spans="1:14">
      <c r="A78" s="476"/>
      <c r="B78" s="469"/>
      <c r="C78" s="469"/>
      <c r="D78" s="469"/>
      <c r="E78" s="469"/>
      <c r="F78" s="469"/>
      <c r="G78" s="204" t="s">
        <v>798</v>
      </c>
      <c r="H78" s="474"/>
      <c r="I78" s="474"/>
      <c r="J78" s="485"/>
      <c r="K78" s="485"/>
      <c r="L78" s="485"/>
      <c r="M78" s="485"/>
      <c r="N78" s="486"/>
    </row>
    <row r="79" spans="1:14">
      <c r="A79" s="476"/>
      <c r="B79" s="469"/>
      <c r="C79" s="469"/>
      <c r="D79" s="469"/>
      <c r="E79" s="469"/>
      <c r="F79" s="469"/>
      <c r="G79" s="485"/>
      <c r="H79" s="474"/>
      <c r="I79" s="474"/>
      <c r="J79" s="485"/>
      <c r="K79" s="485"/>
      <c r="L79" s="485"/>
      <c r="M79" s="485"/>
      <c r="N79" s="486"/>
    </row>
    <row r="80" spans="1:14">
      <c r="A80" s="476"/>
      <c r="B80" s="469" t="s">
        <v>147</v>
      </c>
      <c r="C80" s="469"/>
      <c r="D80" s="469"/>
      <c r="E80" s="469"/>
      <c r="F80" s="469"/>
      <c r="G80" s="491" t="s">
        <v>821</v>
      </c>
      <c r="H80" s="474" t="s">
        <v>7</v>
      </c>
      <c r="I80" s="487">
        <v>55</v>
      </c>
      <c r="J80" s="491"/>
      <c r="K80" s="491"/>
      <c r="L80" s="491"/>
      <c r="M80" s="606">
        <v>3030</v>
      </c>
      <c r="N80" s="475">
        <f t="shared" ref="N80:N82" si="0">SUM(I80*M80)</f>
        <v>166650</v>
      </c>
    </row>
    <row r="81" spans="1:14">
      <c r="A81" s="476"/>
      <c r="B81" s="469" t="s">
        <v>148</v>
      </c>
      <c r="C81" s="469"/>
      <c r="D81" s="469"/>
      <c r="E81" s="469"/>
      <c r="F81" s="469"/>
      <c r="G81" s="491" t="s">
        <v>822</v>
      </c>
      <c r="H81" s="474" t="s">
        <v>7</v>
      </c>
      <c r="I81" s="487">
        <v>5</v>
      </c>
      <c r="J81" s="491"/>
      <c r="K81" s="491"/>
      <c r="L81" s="491"/>
      <c r="M81" s="606">
        <v>4314</v>
      </c>
      <c r="N81" s="475">
        <f t="shared" si="0"/>
        <v>21570</v>
      </c>
    </row>
    <row r="82" spans="1:14">
      <c r="A82" s="476"/>
      <c r="B82" s="469" t="s">
        <v>149</v>
      </c>
      <c r="C82" s="469"/>
      <c r="D82" s="469"/>
      <c r="E82" s="469"/>
      <c r="F82" s="469"/>
      <c r="G82" s="491" t="s">
        <v>823</v>
      </c>
      <c r="H82" s="474" t="s">
        <v>7</v>
      </c>
      <c r="I82" s="487">
        <v>110</v>
      </c>
      <c r="J82" s="491"/>
      <c r="K82" s="491"/>
      <c r="L82" s="491"/>
      <c r="M82" s="606">
        <v>4386</v>
      </c>
      <c r="N82" s="475">
        <f t="shared" si="0"/>
        <v>482460</v>
      </c>
    </row>
    <row r="83" spans="1:14">
      <c r="A83" s="476"/>
      <c r="B83" s="469"/>
      <c r="C83" s="469"/>
      <c r="D83" s="469"/>
      <c r="E83" s="469"/>
      <c r="F83" s="469"/>
      <c r="G83" s="485"/>
      <c r="H83" s="474"/>
      <c r="I83" s="474"/>
      <c r="J83" s="485"/>
      <c r="K83" s="485"/>
      <c r="L83" s="485"/>
      <c r="M83" s="485"/>
      <c r="N83" s="486"/>
    </row>
    <row r="84" spans="1:14" ht="14.25">
      <c r="A84" s="468">
        <v>1.7</v>
      </c>
      <c r="B84" s="469"/>
      <c r="C84" s="469"/>
      <c r="D84" s="470" t="s">
        <v>102</v>
      </c>
      <c r="E84" s="471" t="s">
        <v>824</v>
      </c>
      <c r="F84" s="472" t="s">
        <v>825</v>
      </c>
      <c r="G84" s="485" t="s">
        <v>349</v>
      </c>
      <c r="H84" s="474"/>
      <c r="I84" s="487"/>
      <c r="J84" s="485"/>
      <c r="K84" s="485"/>
      <c r="L84" s="485"/>
      <c r="M84" s="485"/>
      <c r="N84" s="486"/>
    </row>
    <row r="85" spans="1:14">
      <c r="A85" s="476"/>
      <c r="B85" s="469" t="s">
        <v>807</v>
      </c>
      <c r="C85" s="469"/>
      <c r="D85" s="469"/>
      <c r="E85" s="469"/>
      <c r="F85" s="469"/>
      <c r="G85" s="485" t="s">
        <v>814</v>
      </c>
      <c r="H85" s="474"/>
      <c r="I85" s="474"/>
      <c r="J85" s="485"/>
      <c r="K85" s="485"/>
      <c r="L85" s="485"/>
      <c r="M85" s="485"/>
      <c r="N85" s="486"/>
    </row>
    <row r="86" spans="1:14">
      <c r="A86" s="476"/>
      <c r="B86" s="469" t="s">
        <v>807</v>
      </c>
      <c r="C86" s="469"/>
      <c r="D86" s="469"/>
      <c r="E86" s="469"/>
      <c r="F86" s="469"/>
      <c r="G86" s="485" t="s">
        <v>815</v>
      </c>
      <c r="H86" s="474"/>
      <c r="I86" s="474"/>
      <c r="J86" s="485"/>
      <c r="K86" s="485"/>
      <c r="L86" s="485"/>
      <c r="M86" s="485"/>
      <c r="N86" s="486"/>
    </row>
    <row r="87" spans="1:14">
      <c r="A87" s="476"/>
      <c r="B87" s="469" t="s">
        <v>807</v>
      </c>
      <c r="C87" s="469"/>
      <c r="D87" s="469"/>
      <c r="E87" s="469"/>
      <c r="F87" s="469"/>
      <c r="G87" s="485" t="s">
        <v>816</v>
      </c>
      <c r="H87" s="474"/>
      <c r="I87" s="474"/>
      <c r="J87" s="485"/>
      <c r="K87" s="485"/>
      <c r="L87" s="485"/>
      <c r="M87" s="485"/>
      <c r="N87" s="486"/>
    </row>
    <row r="88" spans="1:14">
      <c r="A88" s="476"/>
      <c r="B88" s="469" t="s">
        <v>807</v>
      </c>
      <c r="C88" s="469"/>
      <c r="D88" s="469"/>
      <c r="E88" s="469"/>
      <c r="F88" s="469"/>
      <c r="G88" s="485" t="s">
        <v>826</v>
      </c>
      <c r="H88" s="474"/>
      <c r="I88" s="474"/>
      <c r="J88" s="485"/>
      <c r="K88" s="485"/>
      <c r="L88" s="485"/>
      <c r="M88" s="485"/>
      <c r="N88" s="486"/>
    </row>
    <row r="89" spans="1:14" ht="26.25" customHeight="1">
      <c r="A89" s="476"/>
      <c r="B89" s="469" t="s">
        <v>807</v>
      </c>
      <c r="C89" s="469"/>
      <c r="D89" s="469"/>
      <c r="E89" s="469"/>
      <c r="F89" s="469"/>
      <c r="G89" s="485" t="s">
        <v>827</v>
      </c>
      <c r="H89" s="474"/>
      <c r="I89" s="474"/>
      <c r="J89" s="485"/>
      <c r="K89" s="485"/>
      <c r="L89" s="485"/>
      <c r="M89" s="485"/>
      <c r="N89" s="486"/>
    </row>
    <row r="90" spans="1:14">
      <c r="A90" s="476"/>
      <c r="B90" s="469" t="s">
        <v>807</v>
      </c>
      <c r="C90" s="469"/>
      <c r="D90" s="469"/>
      <c r="E90" s="469"/>
      <c r="F90" s="469"/>
      <c r="G90" s="485" t="s">
        <v>818</v>
      </c>
      <c r="H90" s="474"/>
      <c r="I90" s="474"/>
      <c r="J90" s="485"/>
      <c r="K90" s="485"/>
      <c r="L90" s="485"/>
      <c r="M90" s="485"/>
      <c r="N90" s="486"/>
    </row>
    <row r="91" spans="1:14">
      <c r="A91" s="476"/>
      <c r="B91" s="469" t="s">
        <v>807</v>
      </c>
      <c r="C91" s="469"/>
      <c r="D91" s="469"/>
      <c r="E91" s="469"/>
      <c r="F91" s="469"/>
      <c r="G91" s="485" t="s">
        <v>819</v>
      </c>
      <c r="H91" s="474"/>
      <c r="I91" s="474"/>
      <c r="J91" s="485"/>
      <c r="K91" s="485"/>
      <c r="L91" s="485"/>
      <c r="M91" s="485"/>
      <c r="N91" s="486"/>
    </row>
    <row r="92" spans="1:14">
      <c r="A92" s="476"/>
      <c r="B92" s="469"/>
      <c r="C92" s="469"/>
      <c r="D92" s="469"/>
      <c r="E92" s="469"/>
      <c r="F92" s="469"/>
      <c r="G92" s="204" t="s">
        <v>798</v>
      </c>
      <c r="H92" s="474"/>
      <c r="I92" s="474"/>
      <c r="J92" s="485"/>
      <c r="K92" s="485"/>
      <c r="L92" s="485"/>
      <c r="M92" s="485"/>
      <c r="N92" s="486"/>
    </row>
    <row r="93" spans="1:14">
      <c r="A93" s="476"/>
      <c r="B93" s="469" t="s">
        <v>147</v>
      </c>
      <c r="C93" s="469"/>
      <c r="D93" s="469"/>
      <c r="E93" s="469"/>
      <c r="F93" s="469"/>
      <c r="G93" s="491" t="s">
        <v>828</v>
      </c>
      <c r="H93" s="474" t="s">
        <v>7</v>
      </c>
      <c r="I93" s="487">
        <v>5</v>
      </c>
      <c r="J93" s="491"/>
      <c r="K93" s="491"/>
      <c r="L93" s="491"/>
      <c r="M93" s="606">
        <v>2766</v>
      </c>
      <c r="N93" s="475">
        <f t="shared" ref="N93:N95" si="1">SUM(I93*M93)</f>
        <v>13830</v>
      </c>
    </row>
    <row r="94" spans="1:14">
      <c r="A94" s="476"/>
      <c r="B94" s="469" t="s">
        <v>148</v>
      </c>
      <c r="C94" s="469"/>
      <c r="D94" s="469"/>
      <c r="E94" s="469"/>
      <c r="F94" s="469"/>
      <c r="G94" s="491" t="s">
        <v>829</v>
      </c>
      <c r="H94" s="474" t="s">
        <v>7</v>
      </c>
      <c r="I94" s="487">
        <v>5</v>
      </c>
      <c r="J94" s="491"/>
      <c r="K94" s="491"/>
      <c r="L94" s="491"/>
      <c r="M94" s="606">
        <v>3594</v>
      </c>
      <c r="N94" s="475">
        <f t="shared" si="1"/>
        <v>17970</v>
      </c>
    </row>
    <row r="95" spans="1:14">
      <c r="A95" s="476"/>
      <c r="B95" s="469" t="s">
        <v>149</v>
      </c>
      <c r="C95" s="469"/>
      <c r="D95" s="469"/>
      <c r="E95" s="469"/>
      <c r="F95" s="469"/>
      <c r="G95" s="491" t="s">
        <v>351</v>
      </c>
      <c r="H95" s="474" t="s">
        <v>7</v>
      </c>
      <c r="I95" s="487">
        <v>10</v>
      </c>
      <c r="J95" s="491"/>
      <c r="K95" s="491"/>
      <c r="L95" s="491"/>
      <c r="M95" s="606">
        <v>5802</v>
      </c>
      <c r="N95" s="475">
        <f t="shared" si="1"/>
        <v>58020</v>
      </c>
    </row>
    <row r="96" spans="1:14">
      <c r="A96" s="476"/>
      <c r="B96" s="469"/>
      <c r="C96" s="469"/>
      <c r="D96" s="469"/>
      <c r="E96" s="469"/>
      <c r="F96" s="469"/>
      <c r="G96" s="485"/>
      <c r="H96" s="474"/>
      <c r="I96" s="474"/>
      <c r="J96" s="485"/>
      <c r="K96" s="485"/>
      <c r="L96" s="485"/>
      <c r="M96" s="606">
        <v>0</v>
      </c>
      <c r="N96" s="486"/>
    </row>
    <row r="97" spans="1:14" ht="14.25">
      <c r="A97" s="468">
        <v>1.8</v>
      </c>
      <c r="B97" s="484" t="s">
        <v>147</v>
      </c>
      <c r="C97" s="484"/>
      <c r="D97" s="470" t="s">
        <v>102</v>
      </c>
      <c r="E97" s="471" t="s">
        <v>830</v>
      </c>
      <c r="F97" s="472" t="s">
        <v>107</v>
      </c>
      <c r="G97" s="485" t="s">
        <v>831</v>
      </c>
      <c r="H97" s="474" t="s">
        <v>7</v>
      </c>
      <c r="I97" s="487">
        <f>1288+130+82</f>
        <v>1500</v>
      </c>
      <c r="J97" s="485"/>
      <c r="K97" s="485"/>
      <c r="L97" s="485"/>
      <c r="M97" s="606">
        <v>1062</v>
      </c>
      <c r="N97" s="475">
        <f>SUM(I97*M97)</f>
        <v>1593000</v>
      </c>
    </row>
    <row r="98" spans="1:14" ht="28.5">
      <c r="A98" s="476"/>
      <c r="B98" s="469" t="s">
        <v>807</v>
      </c>
      <c r="C98" s="469"/>
      <c r="D98" s="469"/>
      <c r="E98" s="469"/>
      <c r="F98" s="469"/>
      <c r="G98" s="485" t="s">
        <v>832</v>
      </c>
      <c r="H98" s="492"/>
      <c r="I98" s="474"/>
      <c r="J98" s="485"/>
      <c r="K98" s="485"/>
      <c r="L98" s="485"/>
      <c r="M98" s="485"/>
      <c r="N98" s="486"/>
    </row>
    <row r="99" spans="1:14">
      <c r="A99" s="476"/>
      <c r="B99" s="469" t="s">
        <v>807</v>
      </c>
      <c r="C99" s="469"/>
      <c r="D99" s="469"/>
      <c r="E99" s="469"/>
      <c r="F99" s="469"/>
      <c r="G99" s="485" t="s">
        <v>833</v>
      </c>
      <c r="H99" s="492"/>
      <c r="I99" s="474"/>
      <c r="J99" s="485"/>
      <c r="K99" s="485"/>
      <c r="L99" s="485"/>
      <c r="M99" s="485"/>
      <c r="N99" s="486"/>
    </row>
    <row r="100" spans="1:14">
      <c r="A100" s="476"/>
      <c r="B100" s="469" t="s">
        <v>807</v>
      </c>
      <c r="C100" s="469"/>
      <c r="D100" s="469"/>
      <c r="E100" s="469"/>
      <c r="F100" s="469"/>
      <c r="G100" s="485" t="s">
        <v>834</v>
      </c>
      <c r="H100" s="492"/>
      <c r="I100" s="474"/>
      <c r="J100" s="485"/>
      <c r="K100" s="485"/>
      <c r="L100" s="485"/>
      <c r="M100" s="485"/>
      <c r="N100" s="486"/>
    </row>
    <row r="101" spans="1:14">
      <c r="A101" s="476"/>
      <c r="B101" s="469" t="s">
        <v>807</v>
      </c>
      <c r="C101" s="469"/>
      <c r="D101" s="469"/>
      <c r="E101" s="469"/>
      <c r="F101" s="469"/>
      <c r="G101" s="482" t="s">
        <v>835</v>
      </c>
      <c r="H101" s="492"/>
      <c r="I101" s="474"/>
      <c r="J101" s="482"/>
      <c r="K101" s="482"/>
      <c r="L101" s="482"/>
      <c r="M101" s="482"/>
      <c r="N101" s="483"/>
    </row>
    <row r="102" spans="1:14">
      <c r="A102" s="476"/>
      <c r="B102" s="469" t="s">
        <v>807</v>
      </c>
      <c r="C102" s="469"/>
      <c r="D102" s="469"/>
      <c r="E102" s="469"/>
      <c r="F102" s="469"/>
      <c r="G102" s="482" t="s">
        <v>816</v>
      </c>
      <c r="H102" s="492"/>
      <c r="I102" s="474"/>
      <c r="J102" s="482"/>
      <c r="K102" s="482"/>
      <c r="L102" s="482"/>
      <c r="M102" s="482"/>
      <c r="N102" s="483"/>
    </row>
    <row r="103" spans="1:14">
      <c r="A103" s="476"/>
      <c r="B103" s="469" t="s">
        <v>807</v>
      </c>
      <c r="C103" s="469"/>
      <c r="D103" s="469"/>
      <c r="E103" s="469"/>
      <c r="F103" s="469"/>
      <c r="G103" s="482" t="s">
        <v>836</v>
      </c>
      <c r="H103" s="492"/>
      <c r="I103" s="474"/>
      <c r="J103" s="482"/>
      <c r="K103" s="482"/>
      <c r="L103" s="482"/>
      <c r="M103" s="482"/>
      <c r="N103" s="483"/>
    </row>
    <row r="104" spans="1:14" ht="28.5">
      <c r="A104" s="476"/>
      <c r="B104" s="469" t="s">
        <v>807</v>
      </c>
      <c r="C104" s="469"/>
      <c r="D104" s="469"/>
      <c r="E104" s="469"/>
      <c r="F104" s="469"/>
      <c r="G104" s="482" t="s">
        <v>837</v>
      </c>
      <c r="H104" s="492"/>
      <c r="I104" s="474"/>
      <c r="J104" s="482"/>
      <c r="K104" s="482"/>
      <c r="L104" s="482"/>
      <c r="M104" s="482"/>
      <c r="N104" s="483"/>
    </row>
    <row r="105" spans="1:14">
      <c r="A105" s="476"/>
      <c r="B105" s="469" t="s">
        <v>807</v>
      </c>
      <c r="C105" s="469"/>
      <c r="D105" s="469"/>
      <c r="E105" s="469"/>
      <c r="F105" s="469"/>
      <c r="G105" s="482" t="s">
        <v>838</v>
      </c>
      <c r="H105" s="492"/>
      <c r="I105" s="474"/>
      <c r="J105" s="482"/>
      <c r="K105" s="482"/>
      <c r="L105" s="482"/>
      <c r="M105" s="482"/>
      <c r="N105" s="483"/>
    </row>
    <row r="106" spans="1:14">
      <c r="A106" s="476"/>
      <c r="B106" s="469" t="s">
        <v>807</v>
      </c>
      <c r="C106" s="469"/>
      <c r="D106" s="469"/>
      <c r="E106" s="469"/>
      <c r="F106" s="469"/>
      <c r="G106" s="482" t="s">
        <v>839</v>
      </c>
      <c r="H106" s="492"/>
      <c r="I106" s="474"/>
      <c r="J106" s="482"/>
      <c r="K106" s="482"/>
      <c r="L106" s="482"/>
      <c r="M106" s="482"/>
      <c r="N106" s="483"/>
    </row>
    <row r="107" spans="1:14">
      <c r="A107" s="476"/>
      <c r="B107" s="469" t="s">
        <v>807</v>
      </c>
      <c r="C107" s="469"/>
      <c r="D107" s="469"/>
      <c r="E107" s="469"/>
      <c r="F107" s="469"/>
      <c r="G107" s="482" t="s">
        <v>840</v>
      </c>
      <c r="H107" s="492"/>
      <c r="I107" s="474"/>
      <c r="J107" s="482"/>
      <c r="K107" s="482"/>
      <c r="L107" s="482"/>
      <c r="M107" s="482"/>
      <c r="N107" s="483"/>
    </row>
    <row r="108" spans="1:14">
      <c r="A108" s="476"/>
      <c r="B108" s="484"/>
      <c r="C108" s="484"/>
      <c r="D108" s="484"/>
      <c r="E108" s="484"/>
      <c r="F108" s="484"/>
      <c r="G108" s="482"/>
      <c r="H108" s="492"/>
      <c r="I108" s="474"/>
      <c r="J108" s="482"/>
      <c r="K108" s="482"/>
      <c r="L108" s="482"/>
      <c r="M108" s="482"/>
      <c r="N108" s="483"/>
    </row>
    <row r="109" spans="1:14">
      <c r="A109" s="476"/>
      <c r="B109" s="493" t="s">
        <v>148</v>
      </c>
      <c r="C109" s="493"/>
      <c r="D109" s="493"/>
      <c r="E109" s="493"/>
      <c r="F109" s="493"/>
      <c r="G109" s="485" t="s">
        <v>841</v>
      </c>
      <c r="H109" s="474" t="s">
        <v>7</v>
      </c>
      <c r="I109" s="487">
        <f>(73*3)+(32*3)+35</f>
        <v>350</v>
      </c>
      <c r="J109" s="485"/>
      <c r="K109" s="485"/>
      <c r="L109" s="485"/>
      <c r="M109" s="606">
        <v>1062</v>
      </c>
      <c r="N109" s="475">
        <f>SUM(I109*M109)</f>
        <v>371700</v>
      </c>
    </row>
    <row r="110" spans="1:14">
      <c r="A110" s="476"/>
      <c r="B110" s="484"/>
      <c r="C110" s="484"/>
      <c r="D110" s="484"/>
      <c r="E110" s="484"/>
      <c r="F110" s="484"/>
      <c r="G110" s="482"/>
      <c r="H110" s="492"/>
      <c r="I110" s="474"/>
      <c r="J110" s="482"/>
      <c r="K110" s="482"/>
      <c r="L110" s="482"/>
      <c r="M110" s="482"/>
      <c r="N110" s="483"/>
    </row>
    <row r="111" spans="1:14" ht="14.25">
      <c r="A111" s="468">
        <v>1.9</v>
      </c>
      <c r="B111" s="484"/>
      <c r="C111" s="484"/>
      <c r="D111" s="470" t="s">
        <v>102</v>
      </c>
      <c r="E111" s="471" t="s">
        <v>842</v>
      </c>
      <c r="F111" s="472" t="s">
        <v>843</v>
      </c>
      <c r="G111" s="482" t="s">
        <v>844</v>
      </c>
      <c r="H111" s="474" t="s">
        <v>7</v>
      </c>
      <c r="I111" s="487">
        <v>1120</v>
      </c>
      <c r="J111" s="482"/>
      <c r="K111" s="482"/>
      <c r="L111" s="482"/>
      <c r="M111" s="606">
        <v>1770</v>
      </c>
      <c r="N111" s="475">
        <f>SUM(I111*M111)</f>
        <v>1982400</v>
      </c>
    </row>
    <row r="112" spans="1:14">
      <c r="A112" s="476"/>
      <c r="B112" s="469" t="s">
        <v>807</v>
      </c>
      <c r="C112" s="469"/>
      <c r="D112" s="469"/>
      <c r="E112" s="469"/>
      <c r="F112" s="469"/>
      <c r="G112" s="482" t="s">
        <v>845</v>
      </c>
      <c r="H112" s="492"/>
      <c r="I112" s="474"/>
      <c r="J112" s="482"/>
      <c r="K112" s="482"/>
      <c r="L112" s="482"/>
      <c r="M112" s="482"/>
      <c r="N112" s="483"/>
    </row>
    <row r="113" spans="1:14">
      <c r="A113" s="476"/>
      <c r="B113" s="469" t="s">
        <v>807</v>
      </c>
      <c r="C113" s="469"/>
      <c r="D113" s="469"/>
      <c r="E113" s="469"/>
      <c r="F113" s="469"/>
      <c r="G113" s="482" t="s">
        <v>846</v>
      </c>
      <c r="H113" s="492"/>
      <c r="I113" s="474"/>
      <c r="J113" s="482"/>
      <c r="K113" s="482"/>
      <c r="L113" s="482"/>
      <c r="M113" s="482"/>
      <c r="N113" s="483"/>
    </row>
    <row r="114" spans="1:14">
      <c r="A114" s="476"/>
      <c r="B114" s="469" t="s">
        <v>807</v>
      </c>
      <c r="C114" s="469"/>
      <c r="D114" s="469"/>
      <c r="E114" s="469"/>
      <c r="F114" s="469"/>
      <c r="G114" s="482" t="s">
        <v>847</v>
      </c>
      <c r="H114" s="474"/>
      <c r="I114" s="474"/>
      <c r="J114" s="482"/>
      <c r="K114" s="482"/>
      <c r="L114" s="482"/>
      <c r="M114" s="482"/>
      <c r="N114" s="483"/>
    </row>
    <row r="115" spans="1:14">
      <c r="A115" s="476"/>
      <c r="B115" s="469" t="s">
        <v>807</v>
      </c>
      <c r="C115" s="469"/>
      <c r="D115" s="469"/>
      <c r="E115" s="469"/>
      <c r="F115" s="469"/>
      <c r="G115" s="482" t="s">
        <v>848</v>
      </c>
      <c r="H115" s="474"/>
      <c r="I115" s="474"/>
      <c r="J115" s="482"/>
      <c r="K115" s="482"/>
      <c r="L115" s="482"/>
      <c r="M115" s="482"/>
      <c r="N115" s="483"/>
    </row>
    <row r="116" spans="1:14">
      <c r="A116" s="476"/>
      <c r="B116" s="469" t="s">
        <v>807</v>
      </c>
      <c r="C116" s="469"/>
      <c r="D116" s="469"/>
      <c r="E116" s="469"/>
      <c r="F116" s="469"/>
      <c r="G116" s="482" t="s">
        <v>849</v>
      </c>
      <c r="H116" s="474"/>
      <c r="I116" s="474"/>
      <c r="J116" s="482"/>
      <c r="K116" s="482"/>
      <c r="L116" s="482"/>
      <c r="M116" s="482"/>
      <c r="N116" s="483"/>
    </row>
    <row r="117" spans="1:14">
      <c r="A117" s="476"/>
      <c r="B117" s="469"/>
      <c r="C117" s="469"/>
      <c r="D117" s="469"/>
      <c r="E117" s="469"/>
      <c r="F117" s="469"/>
      <c r="G117" s="494"/>
      <c r="H117" s="474"/>
      <c r="I117" s="474"/>
      <c r="J117" s="494"/>
      <c r="K117" s="494"/>
      <c r="L117" s="494"/>
      <c r="M117" s="494"/>
      <c r="N117" s="495"/>
    </row>
    <row r="118" spans="1:14" ht="14.25">
      <c r="A118" s="496">
        <v>1.1000000000000001</v>
      </c>
      <c r="B118" s="469"/>
      <c r="C118" s="469"/>
      <c r="D118" s="470" t="s">
        <v>102</v>
      </c>
      <c r="E118" s="471" t="s">
        <v>850</v>
      </c>
      <c r="F118" s="472" t="s">
        <v>851</v>
      </c>
      <c r="G118" s="482" t="s">
        <v>852</v>
      </c>
      <c r="H118" s="474"/>
      <c r="I118" s="487"/>
      <c r="J118" s="482"/>
      <c r="K118" s="482"/>
      <c r="L118" s="482"/>
      <c r="M118" s="482"/>
      <c r="N118" s="483"/>
    </row>
    <row r="119" spans="1:14" ht="294" customHeight="1">
      <c r="A119" s="469"/>
      <c r="B119" s="497" t="s">
        <v>807</v>
      </c>
      <c r="C119" s="497"/>
      <c r="D119" s="497"/>
      <c r="E119" s="497"/>
      <c r="F119" s="497"/>
      <c r="G119" s="498" t="s">
        <v>853</v>
      </c>
      <c r="H119" s="474"/>
      <c r="I119" s="474"/>
      <c r="J119" s="482"/>
      <c r="K119" s="482"/>
      <c r="L119" s="482"/>
      <c r="M119" s="482"/>
      <c r="N119" s="483"/>
    </row>
    <row r="120" spans="1:14" ht="14.25">
      <c r="A120" s="469"/>
      <c r="B120" s="497" t="s">
        <v>807</v>
      </c>
      <c r="C120" s="497"/>
      <c r="D120" s="497"/>
      <c r="E120" s="497"/>
      <c r="F120" s="497"/>
      <c r="G120" s="482" t="s">
        <v>854</v>
      </c>
      <c r="H120" s="474"/>
      <c r="I120" s="474"/>
      <c r="J120" s="482"/>
      <c r="K120" s="482"/>
      <c r="L120" s="482"/>
      <c r="M120" s="482"/>
      <c r="N120" s="483"/>
    </row>
    <row r="121" spans="1:14" ht="14.25">
      <c r="A121" s="469"/>
      <c r="B121" s="497" t="s">
        <v>807</v>
      </c>
      <c r="C121" s="497"/>
      <c r="D121" s="497"/>
      <c r="E121" s="497"/>
      <c r="F121" s="497"/>
      <c r="G121" s="482" t="s">
        <v>855</v>
      </c>
      <c r="H121" s="492"/>
      <c r="I121" s="474"/>
      <c r="J121" s="482"/>
      <c r="K121" s="482"/>
      <c r="L121" s="482"/>
      <c r="M121" s="482"/>
      <c r="N121" s="483"/>
    </row>
    <row r="122" spans="1:14" ht="28.5">
      <c r="A122" s="469"/>
      <c r="B122" s="497" t="s">
        <v>807</v>
      </c>
      <c r="C122" s="497"/>
      <c r="D122" s="497"/>
      <c r="E122" s="497"/>
      <c r="F122" s="497"/>
      <c r="G122" s="482" t="s">
        <v>856</v>
      </c>
      <c r="H122" s="492"/>
      <c r="I122" s="474"/>
      <c r="J122" s="482"/>
      <c r="K122" s="482"/>
      <c r="L122" s="482"/>
      <c r="M122" s="482"/>
      <c r="N122" s="483"/>
    </row>
    <row r="123" spans="1:14" ht="14.25">
      <c r="A123" s="469"/>
      <c r="B123" s="497"/>
      <c r="C123" s="497"/>
      <c r="D123" s="497"/>
      <c r="E123" s="497"/>
      <c r="F123" s="497"/>
      <c r="G123" s="482"/>
      <c r="H123" s="492"/>
      <c r="I123" s="474"/>
      <c r="J123" s="482"/>
      <c r="K123" s="482"/>
      <c r="L123" s="482"/>
      <c r="M123" s="482"/>
      <c r="N123" s="483"/>
    </row>
    <row r="124" spans="1:14">
      <c r="A124" s="469"/>
      <c r="B124" s="499" t="s">
        <v>147</v>
      </c>
      <c r="C124" s="499"/>
      <c r="D124" s="499"/>
      <c r="E124" s="499"/>
      <c r="F124" s="499"/>
      <c r="G124" s="485" t="s">
        <v>857</v>
      </c>
      <c r="H124" s="474" t="s">
        <v>7</v>
      </c>
      <c r="I124" s="487">
        <v>296</v>
      </c>
      <c r="J124" s="485"/>
      <c r="K124" s="485"/>
      <c r="L124" s="485"/>
      <c r="M124" s="606">
        <v>1656</v>
      </c>
      <c r="N124" s="475">
        <f>SUM(I124*M124)</f>
        <v>490176</v>
      </c>
    </row>
    <row r="125" spans="1:14" ht="12.75" customHeight="1">
      <c r="A125" s="469"/>
      <c r="B125" s="497"/>
      <c r="C125" s="497"/>
      <c r="D125" s="497"/>
      <c r="E125" s="497"/>
      <c r="F125" s="497"/>
      <c r="G125" s="482"/>
      <c r="H125" s="492"/>
      <c r="I125" s="474"/>
      <c r="J125" s="482"/>
      <c r="K125" s="482"/>
      <c r="L125" s="482"/>
      <c r="M125" s="482"/>
      <c r="N125" s="483"/>
    </row>
    <row r="126" spans="1:14" ht="14.25">
      <c r="A126" s="496">
        <v>1.1100000000000001</v>
      </c>
      <c r="B126" s="469"/>
      <c r="C126" s="469"/>
      <c r="D126" s="470" t="s">
        <v>102</v>
      </c>
      <c r="E126" s="471" t="s">
        <v>850</v>
      </c>
      <c r="F126" s="472" t="s">
        <v>851</v>
      </c>
      <c r="G126" s="482" t="s">
        <v>858</v>
      </c>
      <c r="H126" s="474" t="s">
        <v>7</v>
      </c>
      <c r="I126" s="487">
        <f>170+30</f>
        <v>200</v>
      </c>
      <c r="J126" s="482"/>
      <c r="K126" s="482"/>
      <c r="L126" s="482"/>
      <c r="M126" s="606">
        <v>2700</v>
      </c>
      <c r="N126" s="475">
        <f>SUM(I126*M126)</f>
        <v>540000</v>
      </c>
    </row>
    <row r="127" spans="1:14" ht="28.5">
      <c r="A127" s="476"/>
      <c r="B127" s="469" t="s">
        <v>807</v>
      </c>
      <c r="C127" s="469"/>
      <c r="D127" s="469"/>
      <c r="E127" s="469"/>
      <c r="F127" s="469"/>
      <c r="G127" s="482" t="s">
        <v>859</v>
      </c>
      <c r="H127" s="474"/>
      <c r="I127" s="474"/>
      <c r="J127" s="482"/>
      <c r="K127" s="482"/>
      <c r="L127" s="482"/>
      <c r="M127" s="482"/>
      <c r="N127" s="483"/>
    </row>
    <row r="128" spans="1:14">
      <c r="A128" s="476"/>
      <c r="B128" s="469" t="s">
        <v>807</v>
      </c>
      <c r="C128" s="469"/>
      <c r="D128" s="469"/>
      <c r="E128" s="469"/>
      <c r="F128" s="469"/>
      <c r="G128" s="482" t="s">
        <v>860</v>
      </c>
      <c r="H128" s="474"/>
      <c r="I128" s="474"/>
      <c r="J128" s="482"/>
      <c r="K128" s="482"/>
      <c r="L128" s="482"/>
      <c r="M128" s="482"/>
      <c r="N128" s="483"/>
    </row>
    <row r="129" spans="1:14">
      <c r="A129" s="476"/>
      <c r="B129" s="469" t="s">
        <v>807</v>
      </c>
      <c r="C129" s="469"/>
      <c r="D129" s="469"/>
      <c r="E129" s="469"/>
      <c r="F129" s="469"/>
      <c r="G129" s="482" t="s">
        <v>861</v>
      </c>
      <c r="H129" s="474"/>
      <c r="I129" s="474"/>
      <c r="J129" s="482"/>
      <c r="K129" s="482"/>
      <c r="L129" s="482"/>
      <c r="M129" s="482"/>
      <c r="N129" s="483"/>
    </row>
    <row r="130" spans="1:14">
      <c r="A130" s="476"/>
      <c r="B130" s="469" t="s">
        <v>807</v>
      </c>
      <c r="C130" s="469"/>
      <c r="D130" s="469"/>
      <c r="E130" s="469"/>
      <c r="F130" s="469"/>
      <c r="G130" s="482" t="s">
        <v>862</v>
      </c>
      <c r="H130" s="474"/>
      <c r="I130" s="474"/>
      <c r="J130" s="482"/>
      <c r="K130" s="482"/>
      <c r="L130" s="482"/>
      <c r="M130" s="482"/>
      <c r="N130" s="483"/>
    </row>
    <row r="131" spans="1:14" ht="28.5">
      <c r="A131" s="476"/>
      <c r="B131" s="469" t="s">
        <v>807</v>
      </c>
      <c r="C131" s="469"/>
      <c r="D131" s="469"/>
      <c r="E131" s="469"/>
      <c r="F131" s="469"/>
      <c r="G131" s="482" t="s">
        <v>863</v>
      </c>
      <c r="H131" s="474"/>
      <c r="I131" s="474"/>
      <c r="J131" s="482"/>
      <c r="K131" s="482"/>
      <c r="L131" s="482"/>
      <c r="M131" s="482"/>
      <c r="N131" s="483"/>
    </row>
    <row r="132" spans="1:14">
      <c r="A132" s="476"/>
      <c r="B132" s="499" t="s">
        <v>807</v>
      </c>
      <c r="C132" s="499"/>
      <c r="D132" s="499"/>
      <c r="E132" s="499"/>
      <c r="F132" s="499"/>
      <c r="G132" s="482" t="s">
        <v>864</v>
      </c>
      <c r="H132" s="474"/>
      <c r="I132" s="474"/>
      <c r="J132" s="482"/>
      <c r="K132" s="482"/>
      <c r="L132" s="482"/>
      <c r="M132" s="482"/>
      <c r="N132" s="483"/>
    </row>
    <row r="133" spans="1:14" ht="28.5">
      <c r="A133" s="476"/>
      <c r="B133" s="499" t="s">
        <v>807</v>
      </c>
      <c r="C133" s="499"/>
      <c r="D133" s="499"/>
      <c r="E133" s="499"/>
      <c r="F133" s="499"/>
      <c r="G133" s="482" t="s">
        <v>865</v>
      </c>
      <c r="H133" s="474"/>
      <c r="I133" s="474"/>
      <c r="J133" s="482"/>
      <c r="K133" s="482"/>
      <c r="L133" s="482"/>
      <c r="M133" s="482"/>
      <c r="N133" s="483"/>
    </row>
    <row r="134" spans="1:14">
      <c r="A134" s="476"/>
      <c r="B134" s="499"/>
      <c r="C134" s="499"/>
      <c r="D134" s="499"/>
      <c r="E134" s="499"/>
      <c r="F134" s="499"/>
      <c r="G134" s="482"/>
      <c r="H134" s="474"/>
      <c r="I134" s="474"/>
      <c r="J134" s="482"/>
      <c r="K134" s="482"/>
      <c r="L134" s="482"/>
      <c r="M134" s="482"/>
      <c r="N134" s="483"/>
    </row>
    <row r="135" spans="1:14">
      <c r="A135" s="500">
        <v>1.1200000000000001</v>
      </c>
      <c r="B135" s="469"/>
      <c r="C135" s="469"/>
      <c r="D135" s="501" t="s">
        <v>102</v>
      </c>
      <c r="E135" s="472" t="s">
        <v>215</v>
      </c>
      <c r="F135" s="502" t="s">
        <v>216</v>
      </c>
      <c r="G135" s="503" t="s">
        <v>866</v>
      </c>
      <c r="H135" s="504" t="s">
        <v>7</v>
      </c>
      <c r="I135" s="505">
        <v>50.019999999999996</v>
      </c>
      <c r="J135" s="482"/>
      <c r="K135" s="482"/>
      <c r="L135" s="482"/>
      <c r="M135" s="606">
        <v>1938</v>
      </c>
      <c r="N135" s="475">
        <f>SUM(I135*M135)</f>
        <v>96938.76</v>
      </c>
    </row>
    <row r="136" spans="1:14" ht="85.5">
      <c r="A136" s="506"/>
      <c r="B136" s="484"/>
      <c r="C136" s="484"/>
      <c r="D136" s="507"/>
      <c r="E136" s="507"/>
      <c r="F136" s="507"/>
      <c r="G136" s="204" t="s">
        <v>867</v>
      </c>
      <c r="H136" s="504"/>
      <c r="I136" s="482"/>
      <c r="J136" s="482"/>
      <c r="K136" s="482"/>
      <c r="L136" s="482"/>
      <c r="M136" s="482"/>
      <c r="N136" s="483"/>
    </row>
    <row r="137" spans="1:14">
      <c r="A137" s="506"/>
      <c r="B137" s="484"/>
      <c r="C137" s="484"/>
      <c r="D137" s="484"/>
      <c r="E137" s="484"/>
      <c r="F137" s="484"/>
      <c r="G137" s="482"/>
      <c r="H137" s="482"/>
      <c r="I137" s="482"/>
      <c r="J137" s="482"/>
      <c r="K137" s="482"/>
      <c r="L137" s="482"/>
      <c r="M137" s="482"/>
      <c r="N137" s="483"/>
    </row>
    <row r="138" spans="1:14" ht="185.25">
      <c r="A138" s="476">
        <v>1.1299999999999999</v>
      </c>
      <c r="B138" s="484"/>
      <c r="C138" s="484"/>
      <c r="D138" s="502" t="s">
        <v>102</v>
      </c>
      <c r="E138" s="508" t="s">
        <v>119</v>
      </c>
      <c r="F138" s="507" t="s">
        <v>120</v>
      </c>
      <c r="G138" s="204" t="s">
        <v>279</v>
      </c>
      <c r="H138" s="502" t="s">
        <v>7</v>
      </c>
      <c r="I138" s="482">
        <v>100</v>
      </c>
      <c r="J138" s="482"/>
      <c r="K138" s="482"/>
      <c r="L138" s="482"/>
      <c r="M138" s="606">
        <v>3066</v>
      </c>
      <c r="N138" s="475">
        <f>SUM(I138*M138)</f>
        <v>306600</v>
      </c>
    </row>
    <row r="139" spans="1:14">
      <c r="A139" s="506"/>
      <c r="B139" s="484"/>
      <c r="C139" s="484"/>
      <c r="D139" s="484"/>
      <c r="E139" s="484"/>
      <c r="F139" s="484"/>
      <c r="G139" s="482" t="s">
        <v>868</v>
      </c>
      <c r="H139" s="482"/>
      <c r="I139" s="482"/>
      <c r="J139" s="482"/>
      <c r="K139" s="482"/>
      <c r="L139" s="482"/>
      <c r="M139" s="482"/>
      <c r="N139" s="483"/>
    </row>
    <row r="140" spans="1:14">
      <c r="A140" s="506"/>
      <c r="B140" s="484"/>
      <c r="C140" s="484"/>
      <c r="D140" s="484"/>
      <c r="E140" s="484"/>
      <c r="F140" s="484"/>
      <c r="G140" s="482"/>
      <c r="H140" s="482"/>
      <c r="I140" s="482"/>
      <c r="J140" s="482"/>
      <c r="K140" s="482"/>
      <c r="L140" s="482"/>
      <c r="M140" s="482"/>
      <c r="N140" s="483"/>
    </row>
    <row r="141" spans="1:14" ht="85.5">
      <c r="A141" s="476">
        <v>1.1399999999999999</v>
      </c>
      <c r="B141" s="484"/>
      <c r="C141" s="484"/>
      <c r="D141" s="509" t="s">
        <v>102</v>
      </c>
      <c r="E141" s="509" t="s">
        <v>422</v>
      </c>
      <c r="F141" s="509" t="s">
        <v>869</v>
      </c>
      <c r="G141" s="204" t="s">
        <v>870</v>
      </c>
      <c r="H141" s="502" t="s">
        <v>8</v>
      </c>
      <c r="I141" s="482">
        <f>8*3</f>
        <v>24</v>
      </c>
      <c r="J141" s="482"/>
      <c r="K141" s="482"/>
      <c r="L141" s="482"/>
      <c r="M141" s="606">
        <v>2352</v>
      </c>
      <c r="N141" s="475">
        <f>SUM(I141*M141)</f>
        <v>56448</v>
      </c>
    </row>
    <row r="142" spans="1:14" ht="15.75" thickBot="1">
      <c r="A142" s="510"/>
      <c r="B142" s="511"/>
      <c r="C142" s="511"/>
      <c r="D142" s="511"/>
      <c r="E142" s="511"/>
      <c r="F142" s="511"/>
      <c r="G142" s="512"/>
      <c r="H142" s="513"/>
      <c r="I142" s="513"/>
      <c r="J142" s="512"/>
      <c r="K142" s="512"/>
      <c r="L142" s="512"/>
      <c r="M142" s="512"/>
      <c r="N142" s="514"/>
    </row>
    <row r="143" spans="1:14" ht="15.75" thickBot="1">
      <c r="A143" s="515" t="s">
        <v>16</v>
      </c>
      <c r="B143" s="464"/>
      <c r="C143" s="464"/>
      <c r="D143" s="464"/>
      <c r="E143" s="464"/>
      <c r="F143" s="464"/>
      <c r="G143" s="465" t="s">
        <v>871</v>
      </c>
      <c r="H143" s="466"/>
      <c r="I143" s="466"/>
      <c r="J143" s="516"/>
      <c r="K143" s="516"/>
      <c r="L143" s="516"/>
      <c r="M143" s="516"/>
      <c r="N143" s="517"/>
    </row>
    <row r="144" spans="1:14">
      <c r="A144" s="518"/>
      <c r="B144" s="519"/>
      <c r="C144" s="519"/>
      <c r="D144" s="519"/>
      <c r="E144" s="519"/>
      <c r="F144" s="519"/>
      <c r="G144" s="520"/>
      <c r="H144" s="521"/>
      <c r="I144" s="521"/>
      <c r="J144" s="520"/>
      <c r="K144" s="520"/>
      <c r="L144" s="520"/>
      <c r="M144" s="520"/>
      <c r="N144" s="522"/>
    </row>
    <row r="145" spans="1:14">
      <c r="A145" s="523">
        <v>2.1</v>
      </c>
      <c r="B145" s="499"/>
      <c r="C145" s="499"/>
      <c r="D145" s="499"/>
      <c r="E145" s="499"/>
      <c r="F145" s="499"/>
      <c r="G145" s="524" t="s">
        <v>872</v>
      </c>
      <c r="H145" s="474" t="s">
        <v>7</v>
      </c>
      <c r="I145" s="487">
        <f>20+80</f>
        <v>100</v>
      </c>
      <c r="J145" s="482"/>
      <c r="K145" s="482"/>
      <c r="L145" s="482"/>
      <c r="M145" s="606">
        <v>2382</v>
      </c>
      <c r="N145" s="475">
        <f>SUM(I145*M145)</f>
        <v>238200</v>
      </c>
    </row>
    <row r="146" spans="1:14" ht="42.75">
      <c r="A146" s="476"/>
      <c r="B146" s="499"/>
      <c r="C146" s="499"/>
      <c r="D146" s="499"/>
      <c r="E146" s="499"/>
      <c r="F146" s="499"/>
      <c r="G146" s="525" t="s">
        <v>873</v>
      </c>
      <c r="H146" s="474"/>
      <c r="I146" s="474"/>
      <c r="J146" s="482"/>
      <c r="K146" s="482"/>
      <c r="L146" s="482"/>
      <c r="M146" s="482"/>
      <c r="N146" s="483"/>
    </row>
    <row r="147" spans="1:14" ht="28.5">
      <c r="A147" s="476"/>
      <c r="B147" s="499"/>
      <c r="C147" s="499"/>
      <c r="D147" s="499"/>
      <c r="E147" s="499"/>
      <c r="F147" s="499"/>
      <c r="G147" s="525" t="s">
        <v>874</v>
      </c>
      <c r="H147" s="474"/>
      <c r="I147" s="474"/>
      <c r="J147" s="482"/>
      <c r="K147" s="482"/>
      <c r="L147" s="482"/>
      <c r="M147" s="482"/>
      <c r="N147" s="483"/>
    </row>
    <row r="148" spans="1:14" ht="28.5">
      <c r="A148" s="476"/>
      <c r="B148" s="499"/>
      <c r="C148" s="499"/>
      <c r="D148" s="499"/>
      <c r="E148" s="499"/>
      <c r="F148" s="499"/>
      <c r="G148" s="525" t="s">
        <v>875</v>
      </c>
      <c r="H148" s="474"/>
      <c r="I148" s="474"/>
      <c r="J148" s="482"/>
      <c r="K148" s="482"/>
      <c r="L148" s="482"/>
      <c r="M148" s="482"/>
      <c r="N148" s="483"/>
    </row>
    <row r="149" spans="1:14" ht="28.5">
      <c r="A149" s="476"/>
      <c r="B149" s="499"/>
      <c r="C149" s="499"/>
      <c r="D149" s="499"/>
      <c r="E149" s="499"/>
      <c r="F149" s="499"/>
      <c r="G149" s="525" t="s">
        <v>876</v>
      </c>
      <c r="H149" s="474"/>
      <c r="I149" s="474"/>
      <c r="J149" s="482"/>
      <c r="K149" s="482"/>
      <c r="L149" s="482"/>
      <c r="M149" s="482"/>
      <c r="N149" s="483"/>
    </row>
    <row r="150" spans="1:14" ht="28.5">
      <c r="A150" s="476"/>
      <c r="B150" s="499"/>
      <c r="C150" s="499"/>
      <c r="D150" s="499"/>
      <c r="E150" s="499"/>
      <c r="F150" s="499"/>
      <c r="G150" s="525" t="s">
        <v>877</v>
      </c>
      <c r="H150" s="474"/>
      <c r="I150" s="474"/>
      <c r="J150" s="482"/>
      <c r="K150" s="482"/>
      <c r="L150" s="482"/>
      <c r="M150" s="482"/>
      <c r="N150" s="483"/>
    </row>
    <row r="151" spans="1:14" ht="28.5">
      <c r="A151" s="476"/>
      <c r="B151" s="499"/>
      <c r="C151" s="499"/>
      <c r="D151" s="499"/>
      <c r="E151" s="499"/>
      <c r="F151" s="499"/>
      <c r="G151" s="525" t="s">
        <v>878</v>
      </c>
      <c r="H151" s="474"/>
      <c r="I151" s="474"/>
      <c r="J151" s="482"/>
      <c r="K151" s="482"/>
      <c r="L151" s="482"/>
      <c r="M151" s="482"/>
      <c r="N151" s="483"/>
    </row>
    <row r="152" spans="1:14" ht="28.5">
      <c r="A152" s="476"/>
      <c r="B152" s="499"/>
      <c r="C152" s="499"/>
      <c r="D152" s="499"/>
      <c r="E152" s="499"/>
      <c r="F152" s="499"/>
      <c r="G152" s="525" t="s">
        <v>879</v>
      </c>
      <c r="H152" s="474"/>
      <c r="I152" s="474"/>
      <c r="J152" s="482"/>
      <c r="K152" s="482"/>
      <c r="L152" s="482"/>
      <c r="M152" s="482"/>
      <c r="N152" s="483"/>
    </row>
    <row r="153" spans="1:14">
      <c r="A153" s="476"/>
      <c r="B153" s="499"/>
      <c r="C153" s="499"/>
      <c r="D153" s="499"/>
      <c r="E153" s="499"/>
      <c r="F153" s="499"/>
      <c r="G153" s="525" t="s">
        <v>880</v>
      </c>
      <c r="H153" s="474"/>
      <c r="I153" s="474"/>
      <c r="J153" s="482"/>
      <c r="K153" s="482"/>
      <c r="L153" s="482"/>
      <c r="M153" s="482"/>
      <c r="N153" s="483"/>
    </row>
    <row r="154" spans="1:14">
      <c r="A154" s="476"/>
      <c r="B154" s="499"/>
      <c r="C154" s="499"/>
      <c r="D154" s="499"/>
      <c r="E154" s="499"/>
      <c r="F154" s="499"/>
      <c r="G154" s="525" t="s">
        <v>881</v>
      </c>
      <c r="H154" s="474"/>
      <c r="I154" s="474"/>
      <c r="J154" s="482"/>
      <c r="K154" s="482"/>
      <c r="L154" s="482"/>
      <c r="M154" s="482"/>
      <c r="N154" s="483"/>
    </row>
    <row r="155" spans="1:14">
      <c r="A155" s="476"/>
      <c r="B155" s="499"/>
      <c r="C155" s="499"/>
      <c r="D155" s="499"/>
      <c r="E155" s="499"/>
      <c r="F155" s="499"/>
      <c r="G155" s="482" t="s">
        <v>882</v>
      </c>
      <c r="H155" s="474"/>
      <c r="I155" s="474"/>
      <c r="J155" s="482"/>
      <c r="K155" s="482"/>
      <c r="L155" s="482"/>
      <c r="M155" s="482"/>
      <c r="N155" s="483"/>
    </row>
    <row r="156" spans="1:14">
      <c r="A156" s="476"/>
      <c r="B156" s="499"/>
      <c r="C156" s="499"/>
      <c r="D156" s="499"/>
      <c r="E156" s="499"/>
      <c r="F156" s="499"/>
      <c r="G156" s="482"/>
      <c r="H156" s="474"/>
      <c r="I156" s="474"/>
      <c r="J156" s="482"/>
      <c r="K156" s="482"/>
      <c r="L156" s="482"/>
      <c r="M156" s="482"/>
      <c r="N156" s="483"/>
    </row>
    <row r="157" spans="1:14">
      <c r="A157" s="523">
        <v>2.2000000000000002</v>
      </c>
      <c r="B157" s="499"/>
      <c r="C157" s="499"/>
      <c r="D157" s="499"/>
      <c r="E157" s="499"/>
      <c r="F157" s="499"/>
      <c r="G157" s="526" t="s">
        <v>419</v>
      </c>
      <c r="H157" s="474" t="s">
        <v>7</v>
      </c>
      <c r="I157" s="487">
        <v>2000</v>
      </c>
      <c r="J157" s="482"/>
      <c r="K157" s="482"/>
      <c r="L157" s="482"/>
      <c r="M157" s="606">
        <v>654</v>
      </c>
      <c r="N157" s="475">
        <f>SUM(I157*M157)</f>
        <v>1308000</v>
      </c>
    </row>
    <row r="158" spans="1:14" ht="28.5">
      <c r="A158" s="476"/>
      <c r="B158" s="499"/>
      <c r="C158" s="499"/>
      <c r="D158" s="499"/>
      <c r="E158" s="499"/>
      <c r="F158" s="499"/>
      <c r="G158" s="204" t="s">
        <v>883</v>
      </c>
      <c r="H158" s="474"/>
      <c r="I158" s="474"/>
      <c r="J158" s="482"/>
      <c r="K158" s="482"/>
      <c r="L158" s="482"/>
      <c r="M158" s="482"/>
      <c r="N158" s="483"/>
    </row>
    <row r="159" spans="1:14">
      <c r="A159" s="476"/>
      <c r="B159" s="499"/>
      <c r="C159" s="499"/>
      <c r="D159" s="499"/>
      <c r="E159" s="499"/>
      <c r="F159" s="499"/>
      <c r="G159" s="479" t="s">
        <v>884</v>
      </c>
      <c r="H159" s="474"/>
      <c r="I159" s="474"/>
      <c r="J159" s="482"/>
      <c r="K159" s="482"/>
      <c r="L159" s="482"/>
      <c r="M159" s="482"/>
      <c r="N159" s="483"/>
    </row>
    <row r="160" spans="1:14">
      <c r="A160" s="476"/>
      <c r="B160" s="499"/>
      <c r="C160" s="499"/>
      <c r="D160" s="499"/>
      <c r="E160" s="499"/>
      <c r="F160" s="499"/>
      <c r="G160" s="479" t="s">
        <v>885</v>
      </c>
      <c r="H160" s="474"/>
      <c r="I160" s="474"/>
      <c r="J160" s="482"/>
      <c r="K160" s="482"/>
      <c r="L160" s="482"/>
      <c r="M160" s="482"/>
      <c r="N160" s="483"/>
    </row>
    <row r="161" spans="1:14">
      <c r="A161" s="476"/>
      <c r="B161" s="499"/>
      <c r="C161" s="499"/>
      <c r="D161" s="499"/>
      <c r="E161" s="499"/>
      <c r="F161" s="499"/>
      <c r="G161" s="479" t="s">
        <v>886</v>
      </c>
      <c r="H161" s="474"/>
      <c r="I161" s="474"/>
      <c r="J161" s="482"/>
      <c r="K161" s="482"/>
      <c r="L161" s="482"/>
      <c r="M161" s="482"/>
      <c r="N161" s="483"/>
    </row>
    <row r="162" spans="1:14">
      <c r="A162" s="476"/>
      <c r="B162" s="499"/>
      <c r="C162" s="499"/>
      <c r="D162" s="499"/>
      <c r="E162" s="499"/>
      <c r="F162" s="499"/>
      <c r="G162" s="479" t="s">
        <v>887</v>
      </c>
      <c r="H162" s="474"/>
      <c r="I162" s="474"/>
      <c r="J162" s="482"/>
      <c r="K162" s="482"/>
      <c r="L162" s="482"/>
      <c r="M162" s="482"/>
      <c r="N162" s="483"/>
    </row>
    <row r="163" spans="1:14">
      <c r="A163" s="476"/>
      <c r="B163" s="499"/>
      <c r="C163" s="499"/>
      <c r="D163" s="499"/>
      <c r="E163" s="499"/>
      <c r="F163" s="499"/>
      <c r="G163" s="479" t="s">
        <v>888</v>
      </c>
      <c r="H163" s="474"/>
      <c r="I163" s="474"/>
      <c r="J163" s="482"/>
      <c r="K163" s="482"/>
      <c r="L163" s="482"/>
      <c r="M163" s="482"/>
      <c r="N163" s="483"/>
    </row>
    <row r="164" spans="1:14">
      <c r="A164" s="476"/>
      <c r="B164" s="499"/>
      <c r="C164" s="499"/>
      <c r="D164" s="499"/>
      <c r="E164" s="499"/>
      <c r="F164" s="499"/>
      <c r="G164" s="479" t="s">
        <v>889</v>
      </c>
      <c r="H164" s="474"/>
      <c r="I164" s="474"/>
      <c r="J164" s="482"/>
      <c r="K164" s="482"/>
      <c r="L164" s="482"/>
      <c r="M164" s="482"/>
      <c r="N164" s="483"/>
    </row>
    <row r="165" spans="1:14">
      <c r="A165" s="476"/>
      <c r="B165" s="499"/>
      <c r="C165" s="499"/>
      <c r="D165" s="499"/>
      <c r="E165" s="499"/>
      <c r="F165" s="499"/>
      <c r="G165" s="479"/>
      <c r="H165" s="474"/>
      <c r="I165" s="474"/>
      <c r="J165" s="482"/>
      <c r="K165" s="482"/>
      <c r="L165" s="482"/>
      <c r="M165" s="482"/>
      <c r="N165" s="483"/>
    </row>
    <row r="166" spans="1:14" ht="199.5">
      <c r="A166" s="476">
        <v>2.2999999999999998</v>
      </c>
      <c r="B166" s="499"/>
      <c r="C166" s="499"/>
      <c r="D166" s="509" t="s">
        <v>890</v>
      </c>
      <c r="E166" s="509" t="s">
        <v>891</v>
      </c>
      <c r="F166" s="509" t="s">
        <v>892</v>
      </c>
      <c r="G166" s="204" t="s">
        <v>893</v>
      </c>
      <c r="H166" s="502" t="s">
        <v>7</v>
      </c>
      <c r="I166" s="469">
        <v>10</v>
      </c>
      <c r="J166" s="482"/>
      <c r="K166" s="482"/>
      <c r="L166" s="482"/>
      <c r="M166" s="606">
        <v>4626</v>
      </c>
      <c r="N166" s="475">
        <f>SUM(I166*M166)</f>
        <v>46260</v>
      </c>
    </row>
    <row r="167" spans="1:14">
      <c r="A167" s="510"/>
      <c r="B167" s="511"/>
      <c r="C167" s="511"/>
      <c r="D167" s="527"/>
      <c r="E167" s="527"/>
      <c r="F167" s="527"/>
      <c r="G167" s="528"/>
      <c r="H167" s="529"/>
      <c r="I167" s="530"/>
      <c r="J167" s="512"/>
      <c r="K167" s="512"/>
      <c r="L167" s="512"/>
      <c r="M167" s="512"/>
      <c r="N167" s="514"/>
    </row>
    <row r="168" spans="1:14">
      <c r="A168" s="510"/>
      <c r="B168" s="511"/>
      <c r="C168" s="511"/>
      <c r="D168" s="527"/>
      <c r="E168" s="527"/>
      <c r="F168" s="527"/>
      <c r="G168" s="528"/>
      <c r="H168" s="529"/>
      <c r="I168" s="530"/>
      <c r="J168" s="512"/>
      <c r="K168" s="512"/>
      <c r="L168" s="512"/>
      <c r="M168" s="512"/>
      <c r="N168" s="514"/>
    </row>
    <row r="169" spans="1:14">
      <c r="A169" s="510">
        <v>2.4</v>
      </c>
      <c r="B169" s="531"/>
      <c r="C169" s="532"/>
      <c r="D169" s="532"/>
      <c r="E169" s="532" t="s">
        <v>315</v>
      </c>
      <c r="F169" s="532" t="s">
        <v>321</v>
      </c>
      <c r="G169" s="533" t="s">
        <v>322</v>
      </c>
      <c r="H169" s="534" t="s">
        <v>8</v>
      </c>
      <c r="I169" s="535">
        <v>80</v>
      </c>
      <c r="J169" s="535">
        <v>5</v>
      </c>
      <c r="K169" s="535">
        <f t="shared" ref="K169:K170" si="2">SUM(I169:J169)</f>
        <v>85</v>
      </c>
      <c r="L169" s="536">
        <v>7500</v>
      </c>
      <c r="M169" s="606">
        <v>29360</v>
      </c>
      <c r="N169" s="475">
        <f>SUM(I169*M169)</f>
        <v>2348800</v>
      </c>
    </row>
    <row r="170" spans="1:14" ht="57.75">
      <c r="A170" s="510"/>
      <c r="B170" s="531"/>
      <c r="C170" s="532"/>
      <c r="D170" s="532"/>
      <c r="E170" s="532"/>
      <c r="F170" s="534"/>
      <c r="G170" s="537" t="s">
        <v>894</v>
      </c>
      <c r="H170" s="534"/>
      <c r="I170" s="535"/>
      <c r="J170" s="535"/>
      <c r="K170" s="535">
        <f t="shared" si="2"/>
        <v>0</v>
      </c>
      <c r="L170" s="535"/>
      <c r="M170" s="532"/>
      <c r="N170" s="514"/>
    </row>
    <row r="171" spans="1:14" ht="15.75" thickBot="1">
      <c r="A171" s="510"/>
      <c r="B171" s="530"/>
      <c r="C171" s="530"/>
      <c r="D171" s="530"/>
      <c r="E171" s="530"/>
      <c r="F171" s="530"/>
      <c r="G171" s="538"/>
      <c r="H171" s="538"/>
      <c r="I171" s="538"/>
      <c r="J171" s="538"/>
      <c r="K171" s="538"/>
      <c r="L171" s="538"/>
      <c r="M171" s="538"/>
      <c r="N171" s="539"/>
    </row>
    <row r="172" spans="1:14" ht="15.75" thickBot="1">
      <c r="A172" s="515"/>
      <c r="B172" s="540"/>
      <c r="C172" s="540"/>
      <c r="D172" s="540"/>
      <c r="E172" s="540"/>
      <c r="F172" s="540"/>
      <c r="G172" s="541" t="s">
        <v>895</v>
      </c>
      <c r="H172" s="541"/>
      <c r="I172" s="541"/>
      <c r="J172" s="541"/>
      <c r="K172" s="541"/>
      <c r="L172" s="541"/>
      <c r="M172" s="541"/>
      <c r="N172" s="607">
        <f>SUM(N8:N171)</f>
        <v>13042745.635</v>
      </c>
    </row>
    <row r="173" spans="1:14">
      <c r="A173" s="542"/>
      <c r="B173" s="543"/>
      <c r="C173" s="543"/>
      <c r="D173" s="543"/>
      <c r="E173" s="543"/>
      <c r="F173" s="543"/>
      <c r="G173" s="544"/>
      <c r="H173" s="544"/>
      <c r="I173" s="544"/>
      <c r="J173" s="544"/>
      <c r="K173" s="544"/>
      <c r="L173" s="544"/>
      <c r="M173" s="544"/>
      <c r="N173" s="544"/>
    </row>
    <row r="174" spans="1:14" ht="14.25">
      <c r="A174" s="444"/>
      <c r="B174" s="444"/>
      <c r="C174" s="444"/>
      <c r="D174" s="444"/>
      <c r="E174" s="444"/>
      <c r="F174" s="444"/>
      <c r="G174" s="444"/>
      <c r="H174" s="444"/>
      <c r="I174" s="444"/>
      <c r="J174" s="544"/>
      <c r="K174" s="544"/>
      <c r="L174" s="544"/>
      <c r="M174" s="544"/>
      <c r="N174" s="544"/>
    </row>
    <row r="175" spans="1:14" ht="14.25">
      <c r="A175" s="444"/>
      <c r="B175" s="444"/>
      <c r="C175" s="444"/>
      <c r="D175" s="444"/>
      <c r="E175" s="444"/>
      <c r="F175" s="444"/>
      <c r="G175" s="444"/>
      <c r="H175" s="444"/>
      <c r="I175" s="444"/>
    </row>
    <row r="177" spans="1:14" ht="14.25">
      <c r="A177" s="444"/>
      <c r="B177" s="444"/>
      <c r="C177" s="444"/>
      <c r="D177" s="444"/>
      <c r="E177" s="444"/>
      <c r="F177" s="444"/>
      <c r="G177" s="444"/>
      <c r="H177" s="444"/>
      <c r="I177" s="444"/>
    </row>
    <row r="179" spans="1:14" ht="14.25">
      <c r="A179" s="444"/>
      <c r="B179" s="444"/>
      <c r="C179" s="444"/>
      <c r="D179" s="444"/>
      <c r="E179" s="444"/>
      <c r="F179" s="444"/>
      <c r="G179" s="444"/>
      <c r="H179" s="444"/>
      <c r="I179" s="444"/>
    </row>
    <row r="181" spans="1:14" s="547" customFormat="1">
      <c r="A181" s="545"/>
      <c r="B181" s="546"/>
      <c r="C181" s="546"/>
      <c r="I181" s="548"/>
      <c r="J181" s="548"/>
      <c r="K181" s="548"/>
      <c r="L181" s="548"/>
      <c r="M181" s="548"/>
      <c r="N181" s="548"/>
    </row>
  </sheetData>
  <mergeCells count="2">
    <mergeCell ref="A1:N1"/>
    <mergeCell ref="A3:N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PH2-summary</vt:lpstr>
      <vt:lpstr>0 Overall</vt:lpstr>
      <vt:lpstr>welcome zone</vt:lpstr>
      <vt:lpstr>fine dine &amp; live kitchen</vt:lpstr>
      <vt:lpstr>tea lounge</vt:lpstr>
      <vt:lpstr>sports &amp; relax lounge</vt:lpstr>
      <vt:lpstr>SPA</vt:lpstr>
      <vt:lpstr>Water Lounge</vt:lpstr>
      <vt:lpstr>CIVIL-WET WORK</vt:lpstr>
      <vt:lpstr>SHIFTING AND CLEARING</vt:lpstr>
      <vt:lpstr>'PH2-summary'!Print_Area</vt:lpstr>
      <vt:lpstr>'SHIFTING AND CLEARING'!Print_Area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Kirtikumar Mistry</cp:lastModifiedBy>
  <cp:lastPrinted>2024-07-10T09:40:21Z</cp:lastPrinted>
  <dcterms:created xsi:type="dcterms:W3CDTF">2020-07-31T09:51:27Z</dcterms:created>
  <dcterms:modified xsi:type="dcterms:W3CDTF">2024-07-20T10:11:03Z</dcterms:modified>
</cp:coreProperties>
</file>