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NAS All TENDERS-31-01-2019\BIAL Phase 2 -TFS Domestic Lounge at Lvl 4-T1 -  10-04-2024\Submited\"/>
    </mc:Choice>
  </mc:AlternateContent>
  <xr:revisionPtr revIDLastSave="0" documentId="13_ncr:1_{D0201C0B-8E85-44CF-99A5-DF005EDF4F76}" xr6:coauthVersionLast="47" xr6:coauthVersionMax="47" xr10:uidLastSave="{00000000-0000-0000-0000-000000000000}"/>
  <bookViews>
    <workbookView xWindow="-120" yWindow="-120" windowWidth="29040" windowHeight="15840" tabRatio="820" xr2:uid="{00000000-000D-0000-FFFF-FFFF00000000}"/>
  </bookViews>
  <sheets>
    <sheet name="PH2-summary" sheetId="20" r:id="rId1"/>
    <sheet name="0 Overall" sheetId="13" r:id="rId2"/>
    <sheet name="welcome zone" sheetId="14" r:id="rId3"/>
    <sheet name="fine dine &amp; live kitchen" sheetId="15" r:id="rId4"/>
    <sheet name="tea lounge" sheetId="25" r:id="rId5"/>
    <sheet name="sports &amp; relax lounge" sheetId="17" r:id="rId6"/>
    <sheet name="SPA" sheetId="18" r:id="rId7"/>
    <sheet name="Water Lounge" sheetId="19" r:id="rId8"/>
    <sheet name="CIVIL-WET WORK" sheetId="26" r:id="rId9"/>
    <sheet name="SHIFTING AND CLEARING" sheetId="27" r:id="rId10"/>
  </sheets>
  <definedNames>
    <definedName name="___xlnm.Print_Titles_2">#REF!</definedName>
    <definedName name="___xlnm.Print_Titles_3">#REF!</definedName>
    <definedName name="__xlnm.Print_Titles_2" localSheetId="8">#REF!</definedName>
    <definedName name="__xlnm.Print_Titles_2" localSheetId="4">#REF!</definedName>
    <definedName name="__xlnm.Print_Titles_2">#REF!</definedName>
    <definedName name="__xlnm.Print_Titles_3" localSheetId="8">#REF!</definedName>
    <definedName name="__xlnm.Print_Titles_3" localSheetId="4">#REF!</definedName>
    <definedName name="__xlnm.Print_Titles_3">#REF!</definedName>
    <definedName name="_xlnm._FilterDatabase" localSheetId="1" hidden="1">'0 Overall'!#REF!</definedName>
    <definedName name="_xlnm.Print_Area" localSheetId="0">'PH2-summary'!$A$1:$D$44</definedName>
    <definedName name="_xlnm.Print_Area" localSheetId="9">'SHIFTING AND CLEARING'!$A$1:$G$46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7" l="1"/>
  <c r="G35" i="27"/>
  <c r="G38" i="27"/>
  <c r="G29" i="27" l="1"/>
  <c r="G28" i="27"/>
  <c r="G27" i="27"/>
  <c r="G26" i="27"/>
  <c r="G25" i="27"/>
  <c r="G24" i="27"/>
  <c r="G23" i="27"/>
  <c r="G17" i="27"/>
  <c r="G16" i="27"/>
  <c r="G10" i="27"/>
  <c r="D9" i="27"/>
  <c r="G9" i="27" s="1"/>
  <c r="G8" i="27"/>
  <c r="G7" i="27"/>
  <c r="G6" i="27"/>
  <c r="G31" i="27" l="1"/>
  <c r="G42" i="27" s="1"/>
  <c r="G19" i="27"/>
  <c r="F21" i="27" s="1"/>
  <c r="G21" i="27" s="1"/>
  <c r="G12" i="27"/>
  <c r="H111" i="15" l="1"/>
  <c r="H71" i="15"/>
  <c r="H55" i="15"/>
  <c r="H52" i="15"/>
  <c r="H49" i="15"/>
  <c r="H46" i="15"/>
  <c r="H30" i="15"/>
  <c r="H24" i="15"/>
  <c r="H21" i="15"/>
  <c r="H9" i="15"/>
  <c r="H61" i="13"/>
  <c r="H19" i="13"/>
  <c r="H15" i="13"/>
  <c r="H12" i="13"/>
  <c r="K170" i="26" l="1"/>
  <c r="K169" i="26"/>
  <c r="N166" i="26"/>
  <c r="N157" i="26"/>
  <c r="I145" i="26"/>
  <c r="I141" i="26"/>
  <c r="N138" i="26"/>
  <c r="N135" i="26"/>
  <c r="I126" i="26"/>
  <c r="N124" i="26"/>
  <c r="N111" i="26"/>
  <c r="I109" i="26"/>
  <c r="I97" i="26"/>
  <c r="N95" i="26"/>
  <c r="N94" i="26"/>
  <c r="N93" i="26"/>
  <c r="N82" i="26"/>
  <c r="N81" i="26"/>
  <c r="N80" i="26"/>
  <c r="N34" i="26"/>
  <c r="N10" i="26"/>
  <c r="I41" i="25"/>
  <c r="I38" i="25"/>
  <c r="I36" i="25"/>
  <c r="I35" i="25"/>
  <c r="I32" i="25"/>
  <c r="I29" i="25"/>
  <c r="I26" i="25"/>
  <c r="I21" i="25"/>
  <c r="I11" i="25"/>
  <c r="I6" i="25"/>
  <c r="J124" i="15"/>
  <c r="J122" i="15"/>
  <c r="J121" i="15"/>
  <c r="K21" i="25" l="1"/>
  <c r="K38" i="25"/>
  <c r="K41" i="25"/>
  <c r="K32" i="25"/>
  <c r="N97" i="26"/>
  <c r="N109" i="26"/>
  <c r="N141" i="26"/>
  <c r="N145" i="26"/>
  <c r="N126" i="26"/>
  <c r="K6" i="25" l="1"/>
  <c r="K29" i="25"/>
  <c r="K26" i="25"/>
  <c r="K35" i="25" l="1"/>
  <c r="N169" i="26"/>
  <c r="K11" i="25" l="1"/>
  <c r="K51" i="25" s="1"/>
  <c r="C11" i="20" s="1"/>
  <c r="N57" i="26" l="1"/>
  <c r="N45" i="26" l="1"/>
  <c r="N22" i="26" l="1"/>
  <c r="N172" i="26" s="1"/>
  <c r="C15" i="20" s="1"/>
  <c r="J15" i="15" l="1"/>
  <c r="J61" i="13" l="1"/>
  <c r="H31" i="18"/>
  <c r="J191" i="18"/>
  <c r="J188" i="18"/>
  <c r="J185" i="18"/>
  <c r="J159" i="18"/>
  <c r="J155" i="18" l="1"/>
  <c r="J144" i="18"/>
  <c r="J133" i="18"/>
  <c r="J130" i="18"/>
  <c r="J127" i="18"/>
  <c r="J124" i="18"/>
  <c r="J121" i="18"/>
  <c r="J118" i="18"/>
  <c r="J115" i="18"/>
  <c r="H112" i="18"/>
  <c r="H109" i="18"/>
  <c r="H106" i="18"/>
  <c r="J106" i="18" l="1"/>
  <c r="J109" i="18"/>
  <c r="J112" i="18"/>
  <c r="H103" i="18"/>
  <c r="H100" i="18"/>
  <c r="H97" i="18"/>
  <c r="H94" i="18"/>
  <c r="J94" i="18" l="1"/>
  <c r="J103" i="18"/>
  <c r="J97" i="18"/>
  <c r="J100" i="18"/>
  <c r="H82" i="18"/>
  <c r="J85" i="18"/>
  <c r="J84" i="18"/>
  <c r="J83" i="18"/>
  <c r="J87" i="18"/>
  <c r="H77" i="18"/>
  <c r="H74" i="18"/>
  <c r="H66" i="18"/>
  <c r="J63" i="18"/>
  <c r="H69" i="18"/>
  <c r="H48" i="18"/>
  <c r="J77" i="18" l="1"/>
  <c r="J66" i="18"/>
  <c r="J74" i="18"/>
  <c r="J82" i="18"/>
  <c r="J44" i="18"/>
  <c r="J27" i="18"/>
  <c r="H11" i="18"/>
  <c r="H15" i="18"/>
  <c r="H9" i="18"/>
  <c r="H13" i="18" l="1"/>
  <c r="J176" i="18"/>
  <c r="J175" i="18"/>
  <c r="J174" i="18"/>
  <c r="J173" i="18"/>
  <c r="J172" i="18"/>
  <c r="J171" i="18"/>
  <c r="J170" i="18"/>
  <c r="J169" i="18"/>
  <c r="J168" i="18"/>
  <c r="J167" i="18"/>
  <c r="J166" i="18"/>
  <c r="J165" i="18"/>
  <c r="J91" i="18"/>
  <c r="J69" i="18"/>
  <c r="J48" i="18"/>
  <c r="J40" i="18"/>
  <c r="J37" i="18"/>
  <c r="J34" i="18"/>
  <c r="J31" i="18"/>
  <c r="J24" i="18"/>
  <c r="J19" i="18"/>
  <c r="J17" i="18"/>
  <c r="J15" i="18"/>
  <c r="J13" i="18"/>
  <c r="J11" i="18"/>
  <c r="J6" i="18"/>
  <c r="J182" i="18" l="1"/>
  <c r="J57" i="18"/>
  <c r="J180" i="18"/>
  <c r="J9" i="18"/>
  <c r="J54" i="18"/>
  <c r="J60" i="18"/>
  <c r="J194" i="18" l="1"/>
  <c r="C13" i="20" s="1"/>
  <c r="H241" i="19"/>
  <c r="H239"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199" i="19"/>
  <c r="H194" i="19"/>
  <c r="J186" i="19"/>
  <c r="J178" i="19"/>
  <c r="J171" i="19"/>
  <c r="H164" i="19"/>
  <c r="J151" i="19"/>
  <c r="J140" i="19"/>
  <c r="H136" i="19"/>
  <c r="H133" i="19"/>
  <c r="H130" i="19"/>
  <c r="H127" i="19"/>
  <c r="H125" i="19"/>
  <c r="H120" i="19"/>
  <c r="H117" i="19"/>
  <c r="H114" i="19"/>
  <c r="H111" i="19"/>
  <c r="H108" i="19"/>
  <c r="J101" i="19"/>
  <c r="J97" i="19"/>
  <c r="J92" i="19"/>
  <c r="J87" i="19"/>
  <c r="H78" i="19"/>
  <c r="H75" i="19"/>
  <c r="J68" i="19"/>
  <c r="J54" i="19"/>
  <c r="H46" i="19"/>
  <c r="H38" i="19"/>
  <c r="J34" i="19"/>
  <c r="H31" i="19"/>
  <c r="H26" i="19"/>
  <c r="H24" i="19"/>
  <c r="H22" i="19"/>
  <c r="H20" i="19"/>
  <c r="J6" i="19"/>
  <c r="J114" i="19" l="1"/>
  <c r="J78" i="19"/>
  <c r="J164" i="19"/>
  <c r="J120" i="19"/>
  <c r="J125" i="19"/>
  <c r="J127" i="19"/>
  <c r="J239" i="19"/>
  <c r="J136" i="19"/>
  <c r="J117" i="19"/>
  <c r="J46" i="19"/>
  <c r="J241" i="19"/>
  <c r="J108" i="19"/>
  <c r="J133" i="19"/>
  <c r="J194" i="19"/>
  <c r="J24" i="19"/>
  <c r="J57" i="19"/>
  <c r="J64" i="19"/>
  <c r="J82" i="19"/>
  <c r="J9" i="19"/>
  <c r="J20" i="19"/>
  <c r="J38" i="19"/>
  <c r="J22" i="19"/>
  <c r="J51" i="19"/>
  <c r="J11" i="19"/>
  <c r="J31" i="19"/>
  <c r="J130" i="19"/>
  <c r="J13" i="19"/>
  <c r="J17" i="19"/>
  <c r="J26" i="19"/>
  <c r="J42" i="19"/>
  <c r="H15" i="19"/>
  <c r="J61" i="19"/>
  <c r="J75" i="19"/>
  <c r="J111" i="19"/>
  <c r="J72" i="19"/>
  <c r="J15" i="19" l="1"/>
  <c r="J244" i="19" s="1"/>
  <c r="C14" i="20" s="1"/>
  <c r="J100" i="17"/>
  <c r="J99" i="17"/>
  <c r="J98" i="17"/>
  <c r="J97" i="17"/>
  <c r="J96" i="17"/>
  <c r="J95" i="17"/>
  <c r="J94" i="17"/>
  <c r="J93" i="17"/>
  <c r="J92" i="17"/>
  <c r="J91" i="17"/>
  <c r="J90" i="17"/>
  <c r="J89" i="17"/>
  <c r="J88" i="17"/>
  <c r="J87" i="17"/>
  <c r="J86" i="17"/>
  <c r="J85" i="17"/>
  <c r="J84" i="17"/>
  <c r="J83" i="17"/>
  <c r="J82" i="17"/>
  <c r="J81" i="17"/>
  <c r="J80" i="17"/>
  <c r="J79" i="17"/>
  <c r="H78" i="17"/>
  <c r="J78" i="17" s="1"/>
  <c r="J77" i="17"/>
  <c r="J76" i="17"/>
  <c r="J75" i="17"/>
  <c r="J74" i="17"/>
  <c r="J73" i="17"/>
  <c r="J72" i="17"/>
  <c r="J71" i="17"/>
  <c r="J70" i="17"/>
  <c r="J69" i="17"/>
  <c r="J68" i="17"/>
  <c r="J67" i="17"/>
  <c r="J66" i="17"/>
  <c r="J65" i="17"/>
  <c r="H63" i="17"/>
  <c r="J63" i="17" s="1"/>
  <c r="H60" i="17"/>
  <c r="J60" i="17" s="1"/>
  <c r="J57" i="17"/>
  <c r="H53" i="17"/>
  <c r="J53" i="17" s="1"/>
  <c r="J50" i="17"/>
  <c r="J49" i="17"/>
  <c r="J48" i="17"/>
  <c r="H47" i="17"/>
  <c r="J47" i="17" s="1"/>
  <c r="H41" i="17"/>
  <c r="J41" i="17" s="1"/>
  <c r="J36" i="17"/>
  <c r="J26" i="17"/>
  <c r="J21" i="17"/>
  <c r="J18" i="17"/>
  <c r="H15" i="17"/>
  <c r="J15" i="17" s="1"/>
  <c r="J12" i="17"/>
  <c r="H9" i="17"/>
  <c r="J9" i="17" s="1"/>
  <c r="J6" i="17"/>
  <c r="L57" i="17" l="1"/>
  <c r="L36" i="17"/>
  <c r="L81" i="17"/>
  <c r="L97" i="17"/>
  <c r="L60" i="17"/>
  <c r="L66" i="17"/>
  <c r="L15" i="17"/>
  <c r="L49" i="17"/>
  <c r="L75" i="17"/>
  <c r="L78" i="17"/>
  <c r="L9" i="17"/>
  <c r="L18" i="17"/>
  <c r="L84" i="17"/>
  <c r="L100" i="17"/>
  <c r="L72" i="17"/>
  <c r="L12" i="17"/>
  <c r="L53" i="17"/>
  <c r="L41" i="17"/>
  <c r="L69" i="17"/>
  <c r="L26" i="17"/>
  <c r="L48" i="17"/>
  <c r="L21" i="17"/>
  <c r="L63" i="17"/>
  <c r="L6" i="17"/>
  <c r="L50" i="17"/>
  <c r="L47" i="17"/>
  <c r="L103" i="17" l="1"/>
  <c r="C12" i="20" s="1"/>
  <c r="J136" i="15"/>
  <c r="J133" i="15"/>
  <c r="J130" i="15"/>
  <c r="J108" i="15"/>
  <c r="J105" i="15"/>
  <c r="J102" i="15"/>
  <c r="J99" i="15"/>
  <c r="J88" i="15"/>
  <c r="J84" i="15"/>
  <c r="J81" i="15"/>
  <c r="J78" i="15"/>
  <c r="J75" i="15"/>
  <c r="J69" i="15"/>
  <c r="J67" i="15"/>
  <c r="J66" i="15"/>
  <c r="J62" i="15"/>
  <c r="J58" i="15"/>
  <c r="J41" i="15"/>
  <c r="J38" i="15"/>
  <c r="J33" i="15"/>
  <c r="J27" i="15"/>
  <c r="J18" i="15"/>
  <c r="J12" i="15"/>
  <c r="J49" i="15" l="1"/>
  <c r="J52" i="15"/>
  <c r="J55" i="15"/>
  <c r="J111" i="15"/>
  <c r="J30" i="15"/>
  <c r="J21" i="15"/>
  <c r="J71" i="15"/>
  <c r="J9" i="15"/>
  <c r="J24" i="15"/>
  <c r="J46" i="15"/>
  <c r="J139" i="15" l="1"/>
  <c r="C10" i="20" s="1"/>
  <c r="J156" i="14"/>
  <c r="O156" i="14" s="1"/>
  <c r="H153" i="14"/>
  <c r="J153" i="14" s="1"/>
  <c r="O153" i="14" s="1"/>
  <c r="H150" i="14"/>
  <c r="J150" i="14" s="1"/>
  <c r="O150" i="14" s="1"/>
  <c r="H147" i="14"/>
  <c r="J147" i="14" s="1"/>
  <c r="O147" i="14" s="1"/>
  <c r="J144" i="14"/>
  <c r="O144" i="14" s="1"/>
  <c r="J141" i="14"/>
  <c r="O141" i="14" s="1"/>
  <c r="J130" i="14"/>
  <c r="O130" i="14" s="1"/>
  <c r="J123" i="14"/>
  <c r="O123" i="14" s="1"/>
  <c r="J113" i="14"/>
  <c r="O113" i="14" s="1"/>
  <c r="J110" i="14"/>
  <c r="O110" i="14" s="1"/>
  <c r="J107" i="14"/>
  <c r="O107" i="14" s="1"/>
  <c r="I104" i="14"/>
  <c r="H104" i="14"/>
  <c r="I101" i="14"/>
  <c r="H101" i="14"/>
  <c r="H97" i="14"/>
  <c r="J97" i="14" s="1"/>
  <c r="O97" i="14" s="1"/>
  <c r="H93" i="14"/>
  <c r="J93" i="14" s="1"/>
  <c r="O93" i="14" s="1"/>
  <c r="J89" i="14"/>
  <c r="O89" i="14" s="1"/>
  <c r="J85" i="14"/>
  <c r="O85" i="14" s="1"/>
  <c r="J82" i="14"/>
  <c r="O82" i="14" s="1"/>
  <c r="I81" i="14"/>
  <c r="J81" i="14" s="1"/>
  <c r="O81" i="14" s="1"/>
  <c r="J76" i="14"/>
  <c r="O76" i="14" s="1"/>
  <c r="J75" i="14"/>
  <c r="O75" i="14" s="1"/>
  <c r="J74" i="14"/>
  <c r="O74" i="14" s="1"/>
  <c r="I73" i="14"/>
  <c r="I67" i="14"/>
  <c r="J67" i="14" s="1"/>
  <c r="O67" i="14" s="1"/>
  <c r="I63" i="14"/>
  <c r="I58" i="14"/>
  <c r="J56" i="14"/>
  <c r="O56" i="14" s="1"/>
  <c r="I55" i="14"/>
  <c r="J49" i="14"/>
  <c r="O49" i="14" s="1"/>
  <c r="I45" i="14"/>
  <c r="J40" i="14"/>
  <c r="O40" i="14" s="1"/>
  <c r="J37" i="14"/>
  <c r="O37" i="14" s="1"/>
  <c r="I34" i="14"/>
  <c r="J34" i="14" s="1"/>
  <c r="O34" i="14" s="1"/>
  <c r="I30" i="14"/>
  <c r="J27" i="14"/>
  <c r="O27" i="14" s="1"/>
  <c r="I23" i="14"/>
  <c r="I18" i="14"/>
  <c r="H18" i="14"/>
  <c r="I16" i="14"/>
  <c r="I14" i="14"/>
  <c r="J12" i="14"/>
  <c r="O12" i="14" s="1"/>
  <c r="I10" i="14"/>
  <c r="J6" i="14"/>
  <c r="O6" i="14" s="1"/>
  <c r="J30" i="14" l="1"/>
  <c r="O30" i="14" s="1"/>
  <c r="J63" i="14"/>
  <c r="O63" i="14" s="1"/>
  <c r="J101" i="14"/>
  <c r="O101" i="14" s="1"/>
  <c r="J14" i="14"/>
  <c r="O14" i="14" s="1"/>
  <c r="J23" i="14"/>
  <c r="O23" i="14" s="1"/>
  <c r="J58" i="14"/>
  <c r="O58" i="14" s="1"/>
  <c r="J73" i="14"/>
  <c r="O73" i="14" s="1"/>
  <c r="J104" i="14"/>
  <c r="O104" i="14" s="1"/>
  <c r="J16" i="14"/>
  <c r="O16" i="14" s="1"/>
  <c r="J10" i="14"/>
  <c r="O10" i="14" s="1"/>
  <c r="L18" i="14"/>
  <c r="J45" i="14"/>
  <c r="O45" i="14" s="1"/>
  <c r="J55" i="14"/>
  <c r="O55" i="14" s="1"/>
  <c r="J18" i="14"/>
  <c r="O18" i="14" s="1"/>
  <c r="J70" i="13" l="1"/>
  <c r="J68" i="13"/>
  <c r="J66" i="13"/>
  <c r="J28" i="13"/>
  <c r="O159" i="14" l="1"/>
  <c r="C9" i="20" s="1"/>
  <c r="J12" i="13"/>
  <c r="J84" i="13" l="1"/>
  <c r="J87" i="13"/>
  <c r="J57" i="13"/>
  <c r="J48" i="13"/>
  <c r="J46" i="13"/>
  <c r="J45" i="13"/>
  <c r="J44" i="13"/>
  <c r="J43" i="13"/>
  <c r="J35" i="13"/>
  <c r="J31" i="13"/>
  <c r="J23" i="13"/>
  <c r="J8" i="13"/>
  <c r="J90" i="13" l="1"/>
  <c r="J81" i="13"/>
  <c r="J53" i="13"/>
  <c r="J19" i="13"/>
  <c r="J15" i="13"/>
  <c r="J92" i="13" s="1"/>
  <c r="C8" i="20" l="1"/>
  <c r="C20" i="20" s="1"/>
  <c r="C22" i="20" l="1"/>
  <c r="C23" i="20" s="1"/>
</calcChain>
</file>

<file path=xl/sharedStrings.xml><?xml version="1.0" encoding="utf-8"?>
<sst xmlns="http://schemas.openxmlformats.org/spreadsheetml/2006/main" count="2088" uniqueCount="942">
  <si>
    <t>Service / Materials Code</t>
  </si>
  <si>
    <t>WBS</t>
  </si>
  <si>
    <t>WBS Level 2</t>
  </si>
  <si>
    <t>Short  Item Description</t>
  </si>
  <si>
    <t>Qty. of Items</t>
  </si>
  <si>
    <t>Amount in INR. (Without Taxes)</t>
  </si>
  <si>
    <t>CVL/FLR</t>
  </si>
  <si>
    <t>smt</t>
  </si>
  <si>
    <t>rmt</t>
  </si>
  <si>
    <t>CVL/LDG</t>
  </si>
  <si>
    <t>FP</t>
  </si>
  <si>
    <t>IV</t>
  </si>
  <si>
    <t>V</t>
  </si>
  <si>
    <t>PNT</t>
  </si>
  <si>
    <t>Painting to ceiling in acrylic emulsion paint</t>
  </si>
  <si>
    <t>I</t>
  </si>
  <si>
    <t>II</t>
  </si>
  <si>
    <t>III</t>
  </si>
  <si>
    <t>FRENCH PLASTER WORK</t>
  </si>
  <si>
    <t>CARPENTRY WORK</t>
  </si>
  <si>
    <t>Sr No</t>
  </si>
  <si>
    <t>Description</t>
  </si>
  <si>
    <t>Unit</t>
  </si>
  <si>
    <t xml:space="preserve">Total Rate / Unit (Materials + Fixing) </t>
  </si>
  <si>
    <t>CIVIL WORK</t>
  </si>
  <si>
    <t>Smt</t>
  </si>
  <si>
    <t>Marble flooring</t>
  </si>
  <si>
    <t>CVL/WCD</t>
  </si>
  <si>
    <t>Rmt</t>
  </si>
  <si>
    <t>POP plaster punning</t>
  </si>
  <si>
    <t>CP-SKIN</t>
  </si>
  <si>
    <t>PLY</t>
  </si>
  <si>
    <t>VENEER</t>
  </si>
  <si>
    <t>Veneer skin</t>
  </si>
  <si>
    <t>CP-SS</t>
  </si>
  <si>
    <t>SS PROFILE</t>
  </si>
  <si>
    <t>SS Skirting</t>
  </si>
  <si>
    <t>SS Bronze Satin finish skirting 50mm high</t>
  </si>
  <si>
    <t>MISCELLANOUS WORK</t>
  </si>
  <si>
    <t>MISC</t>
  </si>
  <si>
    <t>Painting</t>
  </si>
  <si>
    <t>LS</t>
  </si>
  <si>
    <t>PAINTING WORK</t>
  </si>
  <si>
    <t>Wall Paint</t>
  </si>
  <si>
    <t>Highlight Painting to walls</t>
  </si>
  <si>
    <t>Sanding and preparing surface for receiving paint, One coat of cement primer in solvent base, Two coats of putty in oil / synthetic enamel base, Three coats of luster paint. Complete as per manufacturer's specifications</t>
  </si>
  <si>
    <t>Ceiling Paint</t>
  </si>
  <si>
    <t>Sanding and preparing surface for receiving paint, One coat of cement primer in solvent base. Two coats of putty ,Three coats of acrylic emulsion paint, Complete as per manufacturer's specifications</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</si>
  <si>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</si>
  <si>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16 SWG, 304 Grade SS skirting over existing ply, Fixed with epoxy adhesive</t>
  </si>
  <si>
    <t>Signage</t>
  </si>
  <si>
    <t>Marble Skirting</t>
  </si>
  <si>
    <t>(Basic cost of veneer up to Rs. 125/-sft )</t>
  </si>
  <si>
    <t>Signages</t>
  </si>
  <si>
    <t>CEILING</t>
  </si>
  <si>
    <t>Duco Paint to Walls/Partition</t>
  </si>
  <si>
    <t>Concrete Paint</t>
  </si>
  <si>
    <t>ZONE -0 OVERALL  BOQ</t>
  </si>
  <si>
    <t>Refer drawing no-B00B01-TFS-I_ID-DOM-05-DWG-0005</t>
  </si>
  <si>
    <t>Texture tile Cladding</t>
  </si>
  <si>
    <t>Designer/Texture Tile Cladding</t>
  </si>
  <si>
    <t>refer Drawing no- B01-TFS-DOM02-ID-00-13</t>
  </si>
  <si>
    <t>Jamb line</t>
  </si>
  <si>
    <t>Marble  Jamb line</t>
  </si>
  <si>
    <t>CVL/SKT</t>
  </si>
  <si>
    <t>Marble Skirting Boxing -Openable</t>
  </si>
  <si>
    <t>French Plaster</t>
  </si>
  <si>
    <t>SS Satin Bronze finish Floor Insert in Curved Profile</t>
  </si>
  <si>
    <t>Art paintings &amp; atrifacts</t>
  </si>
  <si>
    <t>Attendance</t>
  </si>
  <si>
    <t>Attendance for MEPF works</t>
  </si>
  <si>
    <t>Including all Other services</t>
  </si>
  <si>
    <t>Sanding and preparing surface for receiving paint, Final coats of Dcuot paint. Complete as per manufacturer's specifications</t>
  </si>
  <si>
    <t>Concrete texture finish Paint</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</si>
  <si>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</si>
  <si>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</si>
  <si>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</si>
  <si>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</si>
  <si>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</si>
  <si>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</si>
  <si>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Paint By Evolve-mumbai ( basic cost of Pait Rs 250/sqft )</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</si>
  <si>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</si>
  <si>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Bulk Head in Profile- In Flat Water cut Paint finish</t>
  </si>
  <si>
    <t>18 mm thick Italian Marble flooring</t>
  </si>
  <si>
    <t>FRP Ply Paneling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</si>
  <si>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</si>
  <si>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Marble Wall Cladding</t>
  </si>
  <si>
    <t>18 mm thick Italian Marble Dado on Lift wall including Jambline</t>
  </si>
  <si>
    <t>Fire line 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</si>
  <si>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ceilling height is 4300 mm )</t>
    </r>
  </si>
  <si>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</si>
  <si>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</si>
  <si>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</si>
  <si>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</si>
  <si>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</si>
  <si>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</si>
  <si>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</si>
  <si>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</si>
  <si>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</si>
  <si>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</si>
  <si>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</si>
  <si>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</si>
  <si>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</si>
  <si>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</si>
  <si>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</si>
  <si>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t>Sq. Mtr.</t>
  </si>
  <si>
    <t xml:space="preserve">Building 100 mm thk. Aerocon block wall / Partition of 4300mm height at Toilet Areas. </t>
  </si>
  <si>
    <t>Plaster</t>
  </si>
  <si>
    <t>CVL-Wall Plaster</t>
  </si>
  <si>
    <t>12/15mm thick Wall Plaster on the both surfaces Block Wall / Partition up to 4300mm height .</t>
  </si>
  <si>
    <r>
      <t xml:space="preserve">P&amp;A of </t>
    </r>
    <r>
      <rPr>
        <b/>
        <sz val="11"/>
        <rFont val="Calibri"/>
        <family val="2"/>
      </rPr>
      <t>single coat backing plaster of 12/ 15 mm thick</t>
    </r>
    <r>
      <rPr>
        <sz val="11"/>
        <rFont val="Calibri"/>
        <family val="2"/>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</si>
  <si>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</si>
  <si>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</si>
  <si>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</si>
  <si>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</si>
  <si>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</si>
  <si>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</si>
  <si>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</si>
  <si>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</si>
  <si>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</si>
  <si>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</si>
  <si>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</si>
  <si>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</si>
  <si>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t>18 mm thick Exotic  Italian Marble Cladding on signage wall</t>
  </si>
  <si>
    <t>Planter Box</t>
  </si>
  <si>
    <t>Marble finish Planter Box</t>
  </si>
  <si>
    <t>nos</t>
  </si>
  <si>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</si>
  <si>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</si>
  <si>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</si>
  <si>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</si>
  <si>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</si>
  <si>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</si>
  <si>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</si>
  <si>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</si>
  <si>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</si>
  <si>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</si>
  <si>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</si>
  <si>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</si>
  <si>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</si>
  <si>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</si>
  <si>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</si>
  <si>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</si>
  <si>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</si>
  <si>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</si>
  <si>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</si>
  <si>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t>Ply Paneling</t>
  </si>
  <si>
    <t>a</t>
  </si>
  <si>
    <t>b</t>
  </si>
  <si>
    <t>c</t>
  </si>
  <si>
    <t>d</t>
  </si>
  <si>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</si>
  <si>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</si>
  <si>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</si>
  <si>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</si>
  <si>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CP-PNL</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</si>
  <si>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</si>
  <si>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</si>
  <si>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</si>
  <si>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</si>
  <si>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</si>
  <si>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</si>
  <si>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</si>
  <si>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</si>
  <si>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</si>
  <si>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</si>
  <si>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</si>
  <si>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</si>
  <si>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</si>
  <si>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</si>
  <si>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</si>
  <si>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</si>
  <si>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</si>
  <si>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</si>
  <si>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</si>
  <si>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</si>
  <si>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</si>
  <si>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</si>
  <si>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CP-DR</t>
  </si>
  <si>
    <t xml:space="preserve">DOOR </t>
  </si>
  <si>
    <t>Service room &amp; Spa room  Door in Fluted design matching to fluted paneling in metallic Paint Finish</t>
  </si>
  <si>
    <t>No</t>
  </si>
  <si>
    <t>Size : 1000mm x 2250mm</t>
  </si>
  <si>
    <t>Door Frame :</t>
  </si>
  <si>
    <t>Shutter :</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</si>
  <si>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</si>
  <si>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</si>
  <si>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</si>
  <si>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</si>
  <si>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</si>
  <si>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</si>
  <si>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</si>
  <si>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</si>
  <si>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</si>
  <si>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</si>
  <si>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</si>
  <si>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</si>
  <si>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</si>
  <si>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</si>
  <si>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</si>
  <si>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</si>
  <si>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</si>
  <si>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</si>
  <si>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</si>
  <si>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</si>
  <si>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</si>
  <si>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</si>
  <si>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</si>
  <si>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</si>
  <si>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450/sft </t>
    </r>
  </si>
  <si>
    <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family val="2"/>
      </rPr>
      <t xml:space="preserve"> including Approved sealer to be applied on all sides</t>
    </r>
    <r>
      <rPr>
        <sz val="10"/>
        <rFont val="Calibri"/>
        <family val="2"/>
      </rPr>
      <t xml:space="preserve">, All visible edges of Marble shall be mirror polished, Basic cost of marble Rs 1000/sft </t>
    </r>
  </si>
  <si>
    <t>1.1a</t>
  </si>
  <si>
    <t>18 mm thick Italian Marble flooring in Various Marble shade  and in strip form Pattern - for Dining</t>
  </si>
  <si>
    <t>1.1b</t>
  </si>
  <si>
    <t>Vitrified flooring</t>
  </si>
  <si>
    <t>CVL-TILE</t>
  </si>
  <si>
    <t>Tile Cladding</t>
  </si>
  <si>
    <t>Joint less ceramic tiles cladding ( behind Buffet counter )</t>
  </si>
  <si>
    <t>Vitrified tile For Live Kitchen</t>
  </si>
  <si>
    <t>CVL/CLD</t>
  </si>
  <si>
    <t>marble wall cladding</t>
  </si>
  <si>
    <t>Italian Marble Wall Cladding</t>
  </si>
  <si>
    <t>Italian Marble Finish Band</t>
  </si>
  <si>
    <t>Marble Architrave</t>
  </si>
  <si>
    <t>Marble Portal /Architrave ( 50 mm wide 400 mm deep )</t>
  </si>
  <si>
    <t>GYPSUM -CEINLING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</si>
  <si>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</si>
  <si>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</si>
  <si>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</si>
  <si>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</si>
  <si>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</si>
  <si>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</si>
  <si>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t>CP-Part</t>
  </si>
  <si>
    <t>Wooden Partition</t>
  </si>
  <si>
    <t>Free standing low height Partition in Curved Profile- 1350 mm High</t>
  </si>
  <si>
    <t>Free standing low height Partition in straight Profile-1350 mm high</t>
  </si>
  <si>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</si>
  <si>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</si>
  <si>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</si>
  <si>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</si>
  <si>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</si>
  <si>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</si>
  <si>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t>Coffee station</t>
  </si>
  <si>
    <t xml:space="preserve">Coffee Station </t>
  </si>
  <si>
    <t>Size : 1800mm length x 750mm depth x 950mm ht.</t>
  </si>
  <si>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</si>
  <si>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</si>
  <si>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</si>
  <si>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</si>
  <si>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</si>
  <si>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</si>
  <si>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</si>
  <si>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</si>
  <si>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</si>
  <si>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</si>
  <si>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</si>
  <si>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</si>
  <si>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</si>
  <si>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</si>
  <si>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</si>
  <si>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</si>
  <si>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</si>
  <si>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</si>
  <si>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</si>
  <si>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</si>
  <si>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</si>
  <si>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</si>
  <si>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</si>
  <si>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</si>
  <si>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</si>
  <si>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</si>
  <si>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</si>
  <si>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t>Corian finish fluted panelling</t>
  </si>
  <si>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</si>
  <si>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</si>
  <si>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TOTAL AMOUNT - I TO VI</t>
  </si>
  <si>
    <t>FINE DINING &amp; LIVE KITCHEN AREA BOQ</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</si>
  <si>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</si>
  <si>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</si>
  <si>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</si>
  <si>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Kotah tile Flooring for Live Kitchen</t>
  </si>
  <si>
    <r>
      <t xml:space="preserve">Cladding shall comprise of ceramic tile of 300 mm x 300 mm, Tiles to be fixed in ordinary Portland cement only, Tiles to be put with </t>
    </r>
    <r>
      <rPr>
        <sz val="10"/>
        <color rgb="FFFF0000"/>
        <rFont val="Calibri"/>
        <family val="2"/>
      </rPr>
      <t>Spacer required with Leticrete grout in  joints</t>
    </r>
    <r>
      <rPr>
        <sz val="10"/>
        <rFont val="Calibri"/>
        <family val="2"/>
      </rPr>
      <t xml:space="preserve"> in plumb, Joints to be filled with  matching grout.(Basic cost of ceramic tiles at Rs.30/sft) make: Johnson / Somany / Kajaria / Nitco</t>
    </r>
  </si>
  <si>
    <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family val="2"/>
      </rPr>
      <t>Tiles to be put with Spacer required with Leticrete grout in  joints in plumb</t>
    </r>
    <r>
      <rPr>
        <sz val="10"/>
        <rFont val="Calibri"/>
        <family val="2"/>
      </rPr>
      <t>, Joints to be filled with  matching grout.  preferably by a nominated contractor. Basic cost of mosaic tiles at Rs.150/sft without tax</t>
    </r>
  </si>
  <si>
    <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family val="2"/>
      </rPr>
      <t xml:space="preserve">including Approved sealer to be applied on all sides </t>
    </r>
    <r>
      <rPr>
        <sz val="10"/>
        <rFont val="Calibri"/>
        <family val="2"/>
      </rPr>
      <t>(Basic cost of Marble at Rs.450/sft )</t>
    </r>
  </si>
  <si>
    <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family val="2"/>
      </rPr>
      <t xml:space="preserve">including Approved sealer to be applied on all sides </t>
    </r>
    <r>
      <rPr>
        <sz val="10"/>
        <rFont val="Calibri"/>
        <family val="2"/>
      </rPr>
      <t>(  Basic cost of marble Rs 450/sft )</t>
    </r>
  </si>
  <si>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</si>
  <si>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</si>
  <si>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</si>
  <si>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</si>
  <si>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</si>
  <si>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SPROTS BAR</t>
  </si>
  <si>
    <t xml:space="preserve">Description </t>
  </si>
  <si>
    <t>Qty. of Items Sports bar</t>
  </si>
  <si>
    <t>Qty. of Items Relax lounge</t>
  </si>
  <si>
    <t>Total Quantity</t>
  </si>
  <si>
    <t xml:space="preserve">18 mm thick Italian Marble flooring </t>
  </si>
  <si>
    <t>18 mm thick Italian Marble flooring in Various Marble shade  and in Pattern - for Sports Bar</t>
  </si>
  <si>
    <t>Vitrified tile Flooring for Bar &amp; Store room</t>
  </si>
  <si>
    <t>Joint less ceramic tiles cladding ( behind Display screen and store room)</t>
  </si>
  <si>
    <t>Vitrified tile Cladding for Inside Bar wall</t>
  </si>
  <si>
    <t>COUNTER AND LEDGES</t>
  </si>
  <si>
    <t>CVL/FUR</t>
  </si>
  <si>
    <t>Bar Counter</t>
  </si>
  <si>
    <t>Sports  Bar counter in Profile</t>
  </si>
  <si>
    <t>Size : 11500mm length x 1050mm depth x 1150mm ht.</t>
  </si>
  <si>
    <t>Apron partition:</t>
  </si>
  <si>
    <t>Preparation counter:</t>
  </si>
  <si>
    <t>Serving counter top in profile:</t>
  </si>
  <si>
    <t>Bar Back unit</t>
  </si>
  <si>
    <t>Marble finish Bar Back unit</t>
  </si>
  <si>
    <t>Size : 3500mm length x 750mm depth x 975 mm ht.</t>
  </si>
  <si>
    <t>REFER DRAWING-00B01-TFS-DOM02-ID-07-03/11 &amp; 12</t>
  </si>
  <si>
    <t>VENEER Skin</t>
  </si>
  <si>
    <t>Veneer skin for Straight &amp; curved surfaces</t>
  </si>
  <si>
    <t>(Basic cost of veneer upto Rs. 150/-sft )</t>
  </si>
  <si>
    <t>SS -WRK</t>
  </si>
  <si>
    <t>L.H. Partition</t>
  </si>
  <si>
    <t>Low height Curved Partition ( 1100 mm high )</t>
  </si>
  <si>
    <t>Furniture</t>
  </si>
  <si>
    <t>Community table ( 1600 mm long  x 650 mm wide)</t>
  </si>
  <si>
    <t>SS Bronze Satin finish 50 mm high skirting</t>
  </si>
  <si>
    <t>Foot Rail</t>
  </si>
  <si>
    <t>SS Foot Rail</t>
  </si>
  <si>
    <r>
      <t xml:space="preserve">up to 200 mm high -Providing and fixing in position 304 grade </t>
    </r>
    <r>
      <rPr>
        <b/>
        <sz val="10"/>
        <rFont val="Tahoma"/>
        <family val="2"/>
      </rPr>
      <t>S.S</t>
    </r>
    <r>
      <rPr>
        <sz val="10"/>
        <rFont val="Tahoma"/>
        <family val="2"/>
      </rPr>
      <t xml:space="preserve"> Satin Bronze finish </t>
    </r>
    <r>
      <rPr>
        <b/>
        <sz val="10"/>
        <rFont val="Tahoma"/>
        <family val="2"/>
      </rPr>
      <t xml:space="preserve">foot rail </t>
    </r>
    <r>
      <rPr>
        <sz val="10"/>
        <rFont val="Tahoma"/>
        <family val="2"/>
      </rPr>
      <t>of 38mm diameter with horizontal &amp; vertical members, Grouting in concrete, etc. complete, as specified and as directed by Architect</t>
    </r>
  </si>
  <si>
    <t>Wicked Door</t>
  </si>
  <si>
    <t>Corian finish Wicked door</t>
  </si>
  <si>
    <t>Size : 950mm x 2250mm</t>
  </si>
  <si>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</si>
  <si>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</si>
  <si>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Note:</t>
  </si>
  <si>
    <t xml:space="preserve">1) All plywood to be fire rated </t>
  </si>
  <si>
    <t>2) Approved make to be specified</t>
  </si>
  <si>
    <t>3) All polish to  be water based PU</t>
  </si>
  <si>
    <t>5) Profile to be check</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</si>
  <si>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 with edge polish etc., complete, Including using plastic/Pvc  sheet and POP to protect on marble flooring  as  protection , Include removal and disposing of protection materials before handover,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</si>
  <si>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</si>
  <si>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</si>
  <si>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PLY Paneling</t>
  </si>
  <si>
    <t>Community Tabel</t>
  </si>
  <si>
    <t>4) Apporved sealer to be applied in all 6 sides of marble</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</si>
  <si>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</si>
  <si>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Cladding shall comprise of ceramic tile of 300 mm x 600 mm, Tiles to be fixed in ordinary Portland cement only, Tiles to be put with </t>
    </r>
    <r>
      <rPr>
        <sz val="10"/>
        <color rgb="FFFF0000"/>
        <rFont val="Tahoma"/>
        <family val="2"/>
      </rPr>
      <t>Spacer required with Leticrete grout in  joints</t>
    </r>
    <r>
      <rPr>
        <sz val="10"/>
        <rFont val="Tahoma"/>
        <family val="2"/>
      </rPr>
      <t xml:space="preserve"> , in plumb, Joints to be filled with  matching grout . (Basic cost of ceramic tiles at Rs.60/sft) make: Johnson / Somany / Kajaria / Nitco</t>
    </r>
  </si>
  <si>
    <r>
      <t xml:space="preserve">Cladding shall comprise of vitrified tile of 600 mm x 600 mm, Tiles to be fixed in ordinary Portland cement only, Tiles to be put with </t>
    </r>
    <r>
      <rPr>
        <sz val="10"/>
        <color rgb="FFFF0000"/>
        <rFont val="Tahoma"/>
        <family val="2"/>
      </rPr>
      <t xml:space="preserve">Spacer required with Leticrete grout in  joints </t>
    </r>
    <r>
      <rPr>
        <sz val="10"/>
        <rFont val="Tahoma"/>
        <family val="2"/>
      </rPr>
      <t>in plumb, Joints to be filled with  matching grout . (Basic cost of vitrified tiles at Rs.60/sft) make: Johnson / Somany / Kajaria / Nitco</t>
    </r>
  </si>
  <si>
    <t>COMP - Wet Works/civil &amp; Interior finishes</t>
  </si>
  <si>
    <t>Long  Item Description</t>
  </si>
  <si>
    <t>Units</t>
  </si>
  <si>
    <t>Building 200 mm thk. Aerocon block wall / Partition of 4300mm height up to Mother Slab .</t>
  </si>
  <si>
    <t>12/15mm thick Wall Plaster on the surfaces of Existing Masonry Works Surfaces up to 4300mm height .</t>
  </si>
  <si>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</si>
  <si>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</si>
  <si>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</si>
  <si>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</si>
  <si>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Brickbat Coba / Screeding</t>
  </si>
  <si>
    <t>150mm thick Brickbat Coba / Screeding at Raised flooring.</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</si>
  <si>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</si>
  <si>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</si>
  <si>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</si>
  <si>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</si>
  <si>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</si>
  <si>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</si>
  <si>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</si>
  <si>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t>Ramp-marble flooring</t>
  </si>
  <si>
    <t xml:space="preserve">Italian Marble Flooring on Ramp in Strip Form </t>
  </si>
  <si>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</si>
  <si>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</si>
  <si>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</si>
  <si>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</si>
  <si>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</si>
  <si>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</si>
  <si>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</si>
  <si>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</si>
  <si>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CLADDING</t>
  </si>
  <si>
    <t>Marble wall cladding</t>
  </si>
  <si>
    <t xml:space="preserve">Synthetic Marble Wall Cladding with Grooves </t>
  </si>
  <si>
    <t>Italian Marble Wall Cladding for in strip format</t>
  </si>
  <si>
    <t>Jointless ceramic tiles cladding ( for staff toilet &amp; Service Corridor )</t>
  </si>
  <si>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</si>
  <si>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</si>
  <si>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</si>
  <si>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</si>
  <si>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</si>
  <si>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CVL/JAMB</t>
  </si>
  <si>
    <t>Door jamb line</t>
  </si>
  <si>
    <t>Synthetic Marble Jamb lining for common Toilet Door Openings</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</si>
  <si>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</si>
  <si>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</si>
  <si>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</si>
  <si>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</si>
  <si>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</si>
  <si>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</si>
  <si>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</si>
  <si>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</si>
  <si>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CVL/CNTR</t>
  </si>
  <si>
    <t>Wash basin counter</t>
  </si>
  <si>
    <t>Italian Marble Finish Wash Basin Counter for Common toilet</t>
  </si>
  <si>
    <t>(Basic cost of marble at Rs.450/sft including fiber filling &amp; polish)</t>
  </si>
  <si>
    <t>Marble Ledge</t>
  </si>
  <si>
    <t xml:space="preserve">Synthetic Marble  Ledges for all WC </t>
  </si>
  <si>
    <t xml:space="preserve"> (Basic cost of Synthetic Marble at Rs.275/sft without tax)</t>
  </si>
  <si>
    <t>Synthetic Marble  Dressing Vanity Ledge  in Common Ladies toilet</t>
  </si>
  <si>
    <t>CVL/DVR</t>
  </si>
  <si>
    <t>Marble divider</t>
  </si>
  <si>
    <t>Urinal Divider for Gents Toilet</t>
  </si>
  <si>
    <t>Granite Ledge</t>
  </si>
  <si>
    <t>Granite Ledge  in Janitor room</t>
  </si>
  <si>
    <t xml:space="preserve"> (Basic cost of Synthetic Marble at Rs.200/sft without tax)</t>
  </si>
  <si>
    <t>Ceiling</t>
  </si>
  <si>
    <t>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</si>
  <si>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</si>
  <si>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Ceiling drop</t>
  </si>
  <si>
    <t>Gypsum board Facia Band 50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</si>
  <si>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</si>
  <si>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</si>
  <si>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</si>
  <si>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</si>
  <si>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</si>
  <si>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</si>
  <si>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</si>
  <si>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</si>
  <si>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</si>
  <si>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</si>
  <si>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</si>
  <si>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</si>
  <si>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</si>
  <si>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</si>
  <si>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CW</t>
  </si>
  <si>
    <t>GL-SCR</t>
  </si>
  <si>
    <t>Glass Screen</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</si>
  <si>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</si>
  <si>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</si>
  <si>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</si>
  <si>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</si>
  <si>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</si>
  <si>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</si>
  <si>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Mirror</t>
  </si>
  <si>
    <t>Vanity Mirror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</si>
  <si>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</si>
  <si>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</si>
  <si>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</si>
  <si>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</si>
  <si>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DOORS</t>
  </si>
  <si>
    <t>VNR/DOR</t>
  </si>
  <si>
    <t>Door</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</si>
  <si>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</si>
  <si>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</si>
  <si>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</si>
  <si>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</si>
  <si>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</si>
  <si>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</si>
  <si>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</si>
  <si>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</si>
  <si>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</si>
  <si>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</si>
  <si>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</si>
  <si>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</si>
  <si>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</si>
  <si>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</si>
  <si>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</si>
  <si>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</si>
  <si>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</si>
  <si>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</si>
  <si>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</si>
  <si>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</si>
  <si>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</si>
  <si>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</si>
  <si>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</si>
  <si>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</si>
  <si>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</si>
  <si>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</si>
  <si>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</si>
  <si>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</si>
  <si>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</si>
  <si>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</si>
  <si>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</si>
  <si>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</si>
  <si>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sqmt</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</si>
  <si>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</si>
  <si>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</si>
  <si>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</si>
  <si>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</si>
  <si>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</si>
  <si>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SANITARY &amp; CP FITTINGS - ONLY FIXING</t>
  </si>
  <si>
    <t>COMMON LADIES AND GENTS TOILET</t>
  </si>
  <si>
    <t>SAN</t>
  </si>
  <si>
    <t>SAN/WR</t>
  </si>
  <si>
    <t>WC for common toilet</t>
  </si>
  <si>
    <t>Flush tank</t>
  </si>
  <si>
    <t>Flush plate</t>
  </si>
  <si>
    <t>Wash basin - Gents</t>
  </si>
  <si>
    <t>Wash basin - Ladies</t>
  </si>
  <si>
    <t>health faucet for WC</t>
  </si>
  <si>
    <t>wash basin faucet</t>
  </si>
  <si>
    <t>toilet paper holder</t>
  </si>
  <si>
    <t>hand dryer</t>
  </si>
  <si>
    <t>tissue paper holder</t>
  </si>
  <si>
    <t>Napi change ledge</t>
  </si>
  <si>
    <t>Urinals</t>
  </si>
  <si>
    <t>Urinals censor plates</t>
  </si>
  <si>
    <t>Soap dispenser</t>
  </si>
  <si>
    <t>Robe hook</t>
  </si>
  <si>
    <t>Dust bin</t>
  </si>
  <si>
    <t>handicap WC</t>
  </si>
  <si>
    <t>Wash basin - Handicap</t>
  </si>
  <si>
    <t>wash basin faucet for handicap</t>
  </si>
  <si>
    <t>Grab bar for handicap toilet</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</si>
  <si>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</si>
  <si>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</si>
  <si>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</si>
  <si>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</si>
  <si>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</si>
  <si>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</si>
  <si>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</si>
  <si>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</si>
  <si>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</si>
  <si>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TOTAL - I TO VII</t>
  </si>
  <si>
    <t>Zone  19</t>
  </si>
  <si>
    <t>A</t>
  </si>
  <si>
    <t>SR.NO</t>
  </si>
  <si>
    <t>LOUNGES PHASE-1</t>
  </si>
  <si>
    <t>AMT</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</si>
  <si>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</si>
  <si>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</si>
  <si>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</si>
  <si>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</si>
  <si>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</si>
  <si>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</si>
  <si>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</si>
  <si>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</si>
  <si>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</si>
  <si>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</si>
  <si>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</si>
  <si>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</si>
  <si>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</si>
  <si>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</si>
  <si>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</si>
  <si>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</si>
  <si>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</si>
  <si>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</si>
  <si>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</si>
  <si>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SUMMARY - DOMESTIC LOUNGE PHASE-2 - INTERIOR WORKS</t>
  </si>
  <si>
    <t>OVERALL COMMON SPACES</t>
  </si>
  <si>
    <t>WELCOME LOUNGES</t>
  </si>
  <si>
    <t>FINE DINE AND LIVE KITCHEN</t>
  </si>
  <si>
    <t>TEA LOUNGE</t>
  </si>
  <si>
    <t>SPORTS AND RELAX LOUNGE</t>
  </si>
  <si>
    <t xml:space="preserve">SPA </t>
  </si>
  <si>
    <t>WATER LOUNGE</t>
  </si>
  <si>
    <t>BASEWORK CIVIL WORK</t>
  </si>
  <si>
    <t>DEMOLITION AND BARRICATION WORK</t>
  </si>
  <si>
    <r>
      <t xml:space="preserve">providing and fixing </t>
    </r>
    <r>
      <rPr>
        <sz val="10"/>
        <color rgb="FFFF0000"/>
        <rFont val="Tahoma"/>
        <family val="2"/>
      </rPr>
      <t>Fire rated plywood</t>
    </r>
    <r>
      <rPr>
        <sz val="10"/>
        <rFont val="Tahoma"/>
        <family val="2"/>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</si>
  <si>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Tahoma"/>
        <family val="2"/>
      </rPr>
      <t>Fire rated</t>
    </r>
    <r>
      <rPr>
        <sz val="10"/>
        <rFont val="Tahoma"/>
        <family val="2"/>
      </rPr>
      <t xml:space="preserve"> plywood</t>
    </r>
  </si>
  <si>
    <r>
      <t xml:space="preserve">providing and fixing </t>
    </r>
    <r>
      <rPr>
        <sz val="11"/>
        <color rgb="FFFF0000"/>
        <rFont val="Calibri"/>
        <family val="2"/>
      </rPr>
      <t>Fire rated</t>
    </r>
    <r>
      <rPr>
        <sz val="11"/>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</si>
  <si>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1"/>
        <color rgb="FFFF0000"/>
        <rFont val="Calibri"/>
        <family val="2"/>
      </rPr>
      <t>Fire rated</t>
    </r>
    <r>
      <rPr>
        <sz val="11"/>
        <rFont val="Calibri"/>
        <family val="2"/>
      </rPr>
      <t xml:space="preserve"> plywood</t>
    </r>
  </si>
  <si>
    <r>
      <t xml:space="preserve">15 mm thk </t>
    </r>
    <r>
      <rPr>
        <sz val="11"/>
        <color rgb="FFFF0000"/>
        <rFont val="Calibri"/>
        <family val="2"/>
      </rPr>
      <t>Fire rated</t>
    </r>
    <r>
      <rPr>
        <sz val="11"/>
        <rFont val="Calibri"/>
        <family val="2"/>
      </rPr>
      <t xml:space="preserve"> plywood</t>
    </r>
  </si>
  <si>
    <r>
      <t xml:space="preserve">18 mm thk </t>
    </r>
    <r>
      <rPr>
        <sz val="11"/>
        <color rgb="FFFF0000"/>
        <rFont val="Calibri"/>
        <family val="2"/>
      </rPr>
      <t>Fire rated</t>
    </r>
    <r>
      <rPr>
        <sz val="11"/>
        <rFont val="Calibri"/>
        <family val="2"/>
      </rPr>
      <t xml:space="preserve"> plywood</t>
    </r>
  </si>
  <si>
    <r>
      <t xml:space="preserve">6 mm thk Flexi </t>
    </r>
    <r>
      <rPr>
        <sz val="11"/>
        <color rgb="FFFF0000"/>
        <rFont val="Calibri"/>
        <family val="2"/>
      </rPr>
      <t>Fire rated</t>
    </r>
    <r>
      <rPr>
        <sz val="11"/>
        <rFont val="Calibri"/>
        <family val="2"/>
      </rPr>
      <t xml:space="preserve"> plywood</t>
    </r>
  </si>
  <si>
    <r>
      <t xml:space="preserve">providing and fixing </t>
    </r>
    <r>
      <rPr>
        <sz val="10"/>
        <color rgb="FFFF0000"/>
        <rFont val="Calibri"/>
        <family val="2"/>
      </rPr>
      <t>Fire rated</t>
    </r>
    <r>
      <rPr>
        <sz val="10"/>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</si>
  <si>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Calibri"/>
        <family val="2"/>
      </rPr>
      <t>Fire rated</t>
    </r>
    <r>
      <rPr>
        <sz val="10"/>
        <rFont val="Calibri"/>
        <family val="2"/>
      </rPr>
      <t xml:space="preserve"> plywood</t>
    </r>
  </si>
  <si>
    <r>
      <t xml:space="preserve">15 mm thk </t>
    </r>
    <r>
      <rPr>
        <sz val="10"/>
        <color rgb="FFFF0000"/>
        <rFont val="Calibri"/>
        <family val="2"/>
      </rPr>
      <t>Fire rated</t>
    </r>
    <r>
      <rPr>
        <sz val="10"/>
        <rFont val="Calibri"/>
        <family val="2"/>
      </rPr>
      <t xml:space="preserve"> plywood</t>
    </r>
  </si>
  <si>
    <r>
      <t xml:space="preserve">18 mm thk </t>
    </r>
    <r>
      <rPr>
        <sz val="10"/>
        <color rgb="FFFF0000"/>
        <rFont val="Calibri"/>
        <family val="2"/>
      </rPr>
      <t>Fire rated</t>
    </r>
    <r>
      <rPr>
        <sz val="10"/>
        <rFont val="Calibri"/>
        <family val="2"/>
      </rPr>
      <t xml:space="preserve"> plywood</t>
    </r>
  </si>
  <si>
    <r>
      <t xml:space="preserve">6 mm thk Flexi </t>
    </r>
    <r>
      <rPr>
        <sz val="10"/>
        <color rgb="FFFF0000"/>
        <rFont val="Calibri"/>
        <family val="2"/>
      </rPr>
      <t>Fire rated</t>
    </r>
    <r>
      <rPr>
        <sz val="10"/>
        <rFont val="Calibri"/>
        <family val="2"/>
      </rPr>
      <t xml:space="preserve"> plywood</t>
    </r>
  </si>
  <si>
    <r>
      <t xml:space="preserve">Clean existing wall surface before fixing wall cladding, Marble shall be minimum 18 mm thick fixed to </t>
    </r>
    <r>
      <rPr>
        <sz val="10"/>
        <color rgb="FFFF0000"/>
        <rFont val="Calibri"/>
        <family val="2"/>
      </rPr>
      <t xml:space="preserve">fire rated </t>
    </r>
    <r>
      <rPr>
        <sz val="10"/>
        <color indexed="8"/>
        <rFont val="Calibri"/>
        <family val="2"/>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family val="2"/>
      </rPr>
      <t xml:space="preserve"> including Approved sealer to be applied on all sides</t>
    </r>
    <r>
      <rPr>
        <sz val="10"/>
        <color indexed="8"/>
        <rFont val="Calibri"/>
        <family val="2"/>
      </rPr>
      <t xml:space="preserve"> (On site cost of Italian marble @ Rs.450/sft without tax)</t>
    </r>
  </si>
  <si>
    <r>
      <t xml:space="preserve">Size up to 400 Mm high, Clean existing wall surface before fixing wall cladding, Marble shall be minimum 18 mm thick fixed to </t>
    </r>
    <r>
      <rPr>
        <sz val="10"/>
        <color rgb="FFFF0000"/>
        <rFont val="Calibri"/>
        <family val="2"/>
      </rPr>
      <t>Fire rated</t>
    </r>
    <r>
      <rPr>
        <sz val="10"/>
        <color indexed="8"/>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family val="2"/>
      </rPr>
      <t>including Approved sealer to be applied on all sides</t>
    </r>
    <r>
      <rPr>
        <sz val="10"/>
        <color indexed="8"/>
        <rFont val="Calibri"/>
        <family val="2"/>
      </rPr>
      <t xml:space="preserve"> (On site cost of Italian marble @ Rs.450/sft without tax)</t>
    </r>
  </si>
  <si>
    <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family val="2"/>
      </rPr>
      <t>Fire rated</t>
    </r>
    <r>
      <rPr>
        <sz val="10"/>
        <rFont val="Calibri"/>
        <family val="2"/>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</si>
  <si>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r>
      <t xml:space="preserve">As per drawing, Serving counter structure constructed out of 18 mm thk  </t>
    </r>
    <r>
      <rPr>
        <sz val="10"/>
        <color rgb="FFFF0000"/>
        <rFont val="Calibri"/>
        <family val="2"/>
      </rPr>
      <t>Fire rated</t>
    </r>
    <r>
      <rPr>
        <sz val="10"/>
        <rFont val="Calibri"/>
        <family val="2"/>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</si>
  <si>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r>
      <t xml:space="preserve">As per drawing, counter structure constructed out of 18 mm thk </t>
    </r>
    <r>
      <rPr>
        <sz val="10"/>
        <color rgb="FFFF0000"/>
        <rFont val="Calibri"/>
        <family val="2"/>
      </rPr>
      <t xml:space="preserve">Fire rated </t>
    </r>
    <r>
      <rPr>
        <sz val="10"/>
        <rFont val="Calibri"/>
        <family val="2"/>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</si>
  <si>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r>
      <t xml:space="preserve">Providing and fixing  up to 50 mm  wide x 600 umm high Corian batten form, Using 12 mm thk approved  Corian sheet , pressed over 12 mm thick  backing </t>
    </r>
    <r>
      <rPr>
        <sz val="10"/>
        <color rgb="FFFF0000"/>
        <rFont val="Calibri"/>
        <family val="2"/>
      </rPr>
      <t>Fire rated</t>
    </r>
    <r>
      <rPr>
        <sz val="10"/>
        <rFont val="Calibri"/>
        <family val="2"/>
      </rPr>
      <t xml:space="preserve"> plywood as per approved design, with 12 mm x 6 mm finish groove as per design, Pressing shall be free of defects, Basic cost of Corian at Rs.900/sft without tax</t>
    </r>
  </si>
  <si>
    <r>
      <t xml:space="preserve">Clean existing wall surface before fixing wall cladding, Marble shall be minimum 18 mm thick fixed to </t>
    </r>
    <r>
      <rPr>
        <sz val="10"/>
        <color rgb="FFFF0000"/>
        <rFont val="Tahoma"/>
        <family val="2"/>
      </rPr>
      <t>Fire rated</t>
    </r>
    <r>
      <rPr>
        <sz val="10"/>
        <color indexed="8"/>
        <rFont val="Tahoma"/>
        <family val="2"/>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family val="2"/>
      </rPr>
      <t xml:space="preserve">including Approved sealer to be applied on all sides </t>
    </r>
    <r>
      <rPr>
        <sz val="10"/>
        <color indexed="8"/>
        <rFont val="Tahoma"/>
        <family val="2"/>
      </rPr>
      <t>(On site cost of Italian marble @ Rs.450/sft without tax)</t>
    </r>
  </si>
  <si>
    <r>
      <t xml:space="preserve">50 mm x 50 Aluminum Box framework made up thickness up to 150 mm wide, frame to be covered with 18 mm thk </t>
    </r>
    <r>
      <rPr>
        <sz val="10"/>
        <color rgb="FFFF0000"/>
        <rFont val="Tahoma"/>
        <family val="2"/>
      </rPr>
      <t>Fire rated</t>
    </r>
    <r>
      <rPr>
        <sz val="10"/>
        <rFont val="Tahoma"/>
        <family val="2"/>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</si>
  <si>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t xml:space="preserve">Size up to 650 mm wide Preparation counter structure constructed out of 18 mm thk </t>
    </r>
    <r>
      <rPr>
        <sz val="10"/>
        <color rgb="FFFF0000"/>
        <rFont val="Tahoma"/>
        <family val="2"/>
      </rPr>
      <t>Fire rated</t>
    </r>
    <r>
      <rPr>
        <sz val="10"/>
        <rFont val="Tahoma"/>
        <family val="2"/>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</si>
  <si>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t xml:space="preserve">Upto 450 mm wide Serving Counter top, 100 mm facia Including provision for Led strip light, comprising of 1st quality CP teakwood framework with </t>
    </r>
    <r>
      <rPr>
        <sz val="10"/>
        <color rgb="FFFF0000"/>
        <rFont val="Tahoma"/>
        <family val="2"/>
      </rPr>
      <t>Fire rated</t>
    </r>
    <r>
      <rPr>
        <sz val="10"/>
        <rFont val="Tahoma"/>
        <family val="2"/>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</si>
  <si>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r>
      <t xml:space="preserve">Back unit structure constructed out of 18 mm thk </t>
    </r>
    <r>
      <rPr>
        <sz val="10"/>
        <color rgb="FFFF0000"/>
        <rFont val="Tahoma"/>
        <family val="2"/>
      </rPr>
      <t xml:space="preserve">Fire rated </t>
    </r>
    <r>
      <rPr>
        <sz val="10"/>
        <rFont val="Tahoma"/>
        <family val="2"/>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</si>
  <si>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r>
      <t xml:space="preserve">15 mm thk </t>
    </r>
    <r>
      <rPr>
        <sz val="10"/>
        <color rgb="FFFF0000"/>
        <rFont val="Tahoma"/>
        <family val="2"/>
      </rPr>
      <t>Fire rated</t>
    </r>
    <r>
      <rPr>
        <sz val="10"/>
        <rFont val="Tahoma"/>
        <family val="2"/>
      </rPr>
      <t xml:space="preserve"> plywood</t>
    </r>
  </si>
  <si>
    <r>
      <t xml:space="preserve">18 mm thk </t>
    </r>
    <r>
      <rPr>
        <sz val="10"/>
        <color rgb="FFFF0000"/>
        <rFont val="Tahoma"/>
        <family val="2"/>
      </rPr>
      <t>Fire rated</t>
    </r>
    <r>
      <rPr>
        <sz val="10"/>
        <rFont val="Tahoma"/>
        <family val="2"/>
      </rPr>
      <t xml:space="preserve"> plywood</t>
    </r>
  </si>
  <si>
    <r>
      <t xml:space="preserve">6 mm thk Flexi </t>
    </r>
    <r>
      <rPr>
        <sz val="10"/>
        <color rgb="FFFF0000"/>
        <rFont val="Tahoma"/>
        <family val="2"/>
      </rPr>
      <t>Fire rated</t>
    </r>
    <r>
      <rPr>
        <sz val="10"/>
        <rFont val="Tahoma"/>
        <family val="2"/>
      </rPr>
      <t xml:space="preserve"> plywood</t>
    </r>
  </si>
  <si>
    <r>
      <t xml:space="preserve">Door size 950mm wide x 1150 height, 50 mm x 50 Aluminum  framework for shutter, frame to be covered with 12 mm thk </t>
    </r>
    <r>
      <rPr>
        <sz val="10"/>
        <color rgb="FFFF0000"/>
        <rFont val="Tahoma"/>
        <family val="2"/>
      </rPr>
      <t>Fire rated</t>
    </r>
    <r>
      <rPr>
        <sz val="10"/>
        <rFont val="Tahoma"/>
        <family val="2"/>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</si>
  <si>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family val="2"/>
      </rPr>
      <t>including approved sealer to be applied on all sides,</t>
    </r>
    <r>
      <rPr>
        <sz val="11"/>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</si>
  <si>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Basic cost of marble Rs 450/sft </t>
    </r>
  </si>
  <si>
    <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Special care to be taken to fix marble on horizontal surface. Shall rest over ply at one end and vertical marble on the other, ( Basic cost of marble Rs 450/sft )</t>
    </r>
  </si>
  <si>
    <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family val="2"/>
      </rPr>
      <t>approved sealer to be applied on all sides</t>
    </r>
    <r>
      <rPr>
        <sz val="11"/>
        <rFont val="Calibri"/>
        <family val="2"/>
      </rPr>
      <t xml:space="preserve"> (  Basic cost of marble Rs 450/sft )</t>
    </r>
  </si>
  <si>
    <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1500/sft </t>
    </r>
  </si>
  <si>
    <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family val="2"/>
      </rPr>
      <t>including Approved sealer to be applied on all sides</t>
    </r>
    <r>
      <rPr>
        <sz val="11"/>
        <rFont val="Calibri"/>
        <family val="2"/>
      </rPr>
      <t>, Including sealer coat , Including using plastic/Pvc  sheet and POP to protect on marble flooring  as  protection , Include removal and disposing of protection materials before handover</t>
    </r>
  </si>
  <si>
    <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family val="2"/>
      </rPr>
      <t xml:space="preserve"> including Approved sealer to be applied on all sides</t>
    </r>
    <r>
      <rPr>
        <sz val="11"/>
        <rFont val="Calibri"/>
        <family val="2"/>
      </rPr>
      <t>, Including sealer coat, Including using plastic/Pvc  sheet and POP to protect on marble flooring  as  protection , Include removal and disposing of protection materials before handover</t>
    </r>
  </si>
  <si>
    <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family val="2"/>
      </rPr>
      <t xml:space="preserve">including Approved sealer to be applied on all sides </t>
    </r>
    <r>
      <rPr>
        <sz val="11"/>
        <rFont val="Calibri"/>
        <family val="2"/>
      </rPr>
      <t>(On site cost of Synthetic marble @ Rs.275/sft without tax)</t>
    </r>
  </si>
  <si>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</si>
  <si>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family val="2"/>
      </rPr>
      <t>including Approved sealer to be applied on all sides</t>
    </r>
    <r>
      <rPr>
        <sz val="11"/>
        <rFont val="Calibri"/>
        <family val="2"/>
      </rPr>
      <t xml:space="preserve">  (Basic cost of Synthetic Marble at Rs.275/sft without tax)</t>
    </r>
  </si>
  <si>
    <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family val="2"/>
      </rPr>
      <t>Approved sealer to be applied on all sides</t>
    </r>
    <r>
      <rPr>
        <sz val="11"/>
        <rFont val="Calibri"/>
        <family val="2"/>
      </rPr>
      <t>.  Including all plumbing cutout as shown in drawing</t>
    </r>
  </si>
  <si>
    <r>
      <t>Using 18mm thick marble top, Including 2" high Marble fascia, Pre-polished finish marble shall be installed as per tech specs. Joint filling and finishing and mirror polishing as per tech specs. including</t>
    </r>
    <r>
      <rPr>
        <sz val="11"/>
        <color rgb="FFFF0000"/>
        <rFont val="Calibri"/>
        <family val="2"/>
      </rPr>
      <t xml:space="preserve"> Approved sealer to be applied on all sides</t>
    </r>
    <r>
      <rPr>
        <sz val="11"/>
        <rFont val="Calibri"/>
        <family val="2"/>
      </rPr>
      <t>.</t>
    </r>
  </si>
  <si>
    <r>
      <t xml:space="preserve">Using 18 mm thick marble top, including  2" high Marble fascia, Pre-polished finish marble shall be installed as per tech specs. Joint filling and finishing and mirror polishing as per tech specs. </t>
    </r>
    <r>
      <rPr>
        <sz val="11"/>
        <color rgb="FFFF0000"/>
        <rFont val="Calibri"/>
        <family val="2"/>
      </rPr>
      <t>including Approved sealer to be applied on all sides</t>
    </r>
  </si>
  <si>
    <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family val="2"/>
      </rPr>
      <t>including Approved sealer to be applied on all sides</t>
    </r>
    <r>
      <rPr>
        <sz val="11"/>
        <rFont val="Calibri"/>
        <family val="2"/>
      </rPr>
      <t xml:space="preserve"> (Basic cost of Marble at Rs.275/sft without tax)</t>
    </r>
  </si>
  <si>
    <r>
      <t xml:space="preserve">Cladding shall comprise of ceramic tile of 600 mm x 300 mm, Tiles to be fixed in ordinary Portland cement only, Tiles to be put with </t>
    </r>
    <r>
      <rPr>
        <sz val="11"/>
        <color rgb="FFFF0000"/>
        <rFont val="Calibri"/>
        <family val="2"/>
      </rPr>
      <t xml:space="preserve">Spacer required with Leticrete grout in  joints </t>
    </r>
    <r>
      <rPr>
        <sz val="11"/>
        <rFont val="Calibri"/>
        <family val="2"/>
      </rPr>
      <t>in plumb, including levelling coat if any , Joints to be filled with  matching groute.(Basic cost of ceramic tiles at Rs.60/sft) make: Johnson / Somany / Kajaria / Nitco</t>
    </r>
  </si>
  <si>
    <r>
      <t xml:space="preserve">Providing and fixing 150 mm wide batten form, Using 4 mm thk approved veneer sheet with 0.4 mm thick wooden face, pressed over 12 mm thick  backing </t>
    </r>
    <r>
      <rPr>
        <sz val="10"/>
        <color rgb="FFFF0000"/>
        <rFont val="Calibri"/>
        <family val="2"/>
      </rPr>
      <t>Fire rated</t>
    </r>
    <r>
      <rPr>
        <sz val="10"/>
        <rFont val="Calibri"/>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family val="2"/>
      </rPr>
      <t>Approved waterbase PU polish</t>
    </r>
  </si>
  <si>
    <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family val="2"/>
      </rPr>
      <t>Approved waterbase PU polish</t>
    </r>
  </si>
  <si>
    <r>
      <t xml:space="preserve">size up to 300 mm Deep- Providing and fixing 75  mm thick Veneer finish Capital including adequate MS frame and 12 mm thick </t>
    </r>
    <r>
      <rPr>
        <sz val="10"/>
        <color rgb="FFFF0000"/>
        <rFont val="Calibri"/>
        <family val="2"/>
      </rPr>
      <t>Fire rated</t>
    </r>
    <r>
      <rPr>
        <sz val="10"/>
        <rFont val="Calibri"/>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family val="2"/>
      </rPr>
      <t>Approved waterbase PU polish</t>
    </r>
  </si>
  <si>
    <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family val="2"/>
      </rPr>
      <t xml:space="preserve"> Approved waterbase PU polish </t>
    </r>
    <r>
      <rPr>
        <sz val="10"/>
        <rFont val="Calibri"/>
        <family val="2"/>
      </rPr>
      <t>.  (Basic cost of veneer up to Rs. 125/-sft )</t>
    </r>
  </si>
  <si>
    <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family val="2"/>
      </rPr>
      <t xml:space="preserve"> Approved Waterbase PU polish</t>
    </r>
  </si>
  <si>
    <r>
      <t xml:space="preserve">Frame &amp; entire door  to be  to be Finished in </t>
    </r>
    <r>
      <rPr>
        <sz val="10"/>
        <color rgb="FFFF0000"/>
        <rFont val="Calibri"/>
        <family val="2"/>
      </rPr>
      <t>Approved waterbase PU polish</t>
    </r>
  </si>
  <si>
    <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family val="2"/>
      </rPr>
      <t>Finished in Approved waterbase PU polish</t>
    </r>
  </si>
  <si>
    <r>
      <t xml:space="preserve">size up to 300 mm Deep- Providing and fixing 75  mm thick Veneer finish Capital including adequate MS frame and 12 mm thick </t>
    </r>
    <r>
      <rPr>
        <sz val="10"/>
        <color rgb="FFFF0000"/>
        <rFont val="Tahoma"/>
        <family val="2"/>
      </rPr>
      <t>Fire rated</t>
    </r>
    <r>
      <rPr>
        <sz val="10"/>
        <rFont val="Tahoma"/>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family val="2"/>
      </rPr>
      <t>Approved waterbase PU polish</t>
    </r>
  </si>
  <si>
    <r>
      <t>Providing and fixing 50 to 100 mm wide batten form, Using 4 mm thk approved veneer sheet with 0.4 mm thick wooden face, pressed over 12 mm thick  backing</t>
    </r>
    <r>
      <rPr>
        <sz val="10"/>
        <color rgb="FFFF0000"/>
        <rFont val="Tahoma"/>
        <family val="2"/>
      </rPr>
      <t xml:space="preserve"> fire rated</t>
    </r>
    <r>
      <rPr>
        <sz val="10"/>
        <rFont val="Tahoma"/>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family val="2"/>
      </rPr>
      <t>Approved waterbase PU polish</t>
    </r>
  </si>
  <si>
    <r>
      <t xml:space="preserve">As per drawing, 50mm x 50 mm  MS framework, 6+6  mm thk Flexi </t>
    </r>
    <r>
      <rPr>
        <sz val="10"/>
        <color rgb="FFFF0000"/>
        <rFont val="Tahoma"/>
        <family val="2"/>
      </rPr>
      <t>Fire rated</t>
    </r>
    <r>
      <rPr>
        <sz val="10"/>
        <rFont val="Tahoma"/>
        <family val="2"/>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family val="2"/>
      </rPr>
      <t>Approved waterbase PU polish</t>
    </r>
    <r>
      <rPr>
        <sz val="10"/>
        <rFont val="Tahoma"/>
        <family val="2"/>
      </rPr>
      <t>, (Basic cost of veneer at Rs.125/sft)</t>
    </r>
  </si>
  <si>
    <r>
      <t xml:space="preserve">as per drawing Using 50 x 50 mm SS Base Frame in satin bronze finish,  Frame top to be covered with 18 mm thick sleeper wooden plank,  to beFinished in </t>
    </r>
    <r>
      <rPr>
        <sz val="10"/>
        <color rgb="FFFF0000"/>
        <rFont val="Tahoma"/>
        <family val="2"/>
      </rPr>
      <t>Approved waterbase PU polish</t>
    </r>
  </si>
  <si>
    <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family val="2"/>
      </rPr>
      <t>Approved waterbase PU polish</t>
    </r>
  </si>
  <si>
    <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family val="2"/>
      </rPr>
      <t>approved waterbase PU polish</t>
    </r>
    <r>
      <rPr>
        <sz val="10"/>
        <rFont val="Tahoma"/>
        <family val="2"/>
      </rPr>
      <t xml:space="preserve"> (basic cost of veneer up to Rs. 150/sft) &amp; (basic cost of laminate Rs 1600 / sheet)</t>
    </r>
  </si>
  <si>
    <r>
      <t xml:space="preserve">Frame &amp; entire door  to be  to be finish  in </t>
    </r>
    <r>
      <rPr>
        <sz val="10"/>
        <color rgb="FFFF0000"/>
        <rFont val="Tahoma"/>
        <family val="2"/>
      </rPr>
      <t>Approved waterbase PU polish</t>
    </r>
  </si>
  <si>
    <t>Providing and fixing  1000 mm wide x 1000 mm length Reception (Lectrun )desk , finish in Marble /SS/Veneer. As per detail drawings</t>
  </si>
  <si>
    <r>
      <t xml:space="preserve">P&amp;C of </t>
    </r>
    <r>
      <rPr>
        <b/>
        <sz val="11"/>
        <rFont val="Calibri"/>
        <family val="2"/>
      </rPr>
      <t>200mm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</si>
  <si>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t>
    </r>
    <r>
      <rPr>
        <b/>
        <sz val="11"/>
        <rFont val="Calibri"/>
        <family val="2"/>
      </rPr>
      <t>150mm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 xml:space="preserve">cement/Adhesive </t>
    </r>
    <r>
      <rPr>
        <sz val="11"/>
        <rFont val="Calibri"/>
        <family val="2"/>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</si>
  <si>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P&amp;C of</t>
    </r>
    <r>
      <rPr>
        <b/>
        <sz val="11"/>
        <rFont val="Calibri"/>
        <family val="2"/>
      </rPr>
      <t xml:space="preserve"> 100mm</t>
    </r>
    <r>
      <rPr>
        <sz val="11"/>
        <rFont val="Calibri"/>
        <family val="2"/>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family val="2"/>
      </rPr>
      <t>up to 4300mm ht</t>
    </r>
    <r>
      <rPr>
        <sz val="11"/>
        <rFont val="Calibri"/>
        <family val="2"/>
      </rPr>
      <t xml:space="preserve"> of internal divider walls at toilet area.                                                                                      </t>
    </r>
  </si>
  <si>
    <r>
      <t xml:space="preserve">Frame &amp; entire door  to be  Finished in </t>
    </r>
    <r>
      <rPr>
        <sz val="11"/>
        <color rgb="FFFF0000"/>
        <rFont val="Calibri"/>
        <family val="2"/>
      </rPr>
      <t>Approved waterbase PU polish</t>
    </r>
  </si>
  <si>
    <r>
      <t xml:space="preserve">Frame , All wood &amp; Veneer  to be Veneer to be Finished in </t>
    </r>
    <r>
      <rPr>
        <sz val="11"/>
        <color rgb="FFFF0000"/>
        <rFont val="Calibri"/>
        <family val="2"/>
      </rPr>
      <t>Approved waterbase PU polish</t>
    </r>
  </si>
  <si>
    <t>SPA - Wet Works/civil &amp; Interior finishes</t>
  </si>
  <si>
    <t>WC for  toilet</t>
  </si>
  <si>
    <t>Italian Marble Finish Wash Basin Counter for toilet</t>
  </si>
  <si>
    <t>Synthetic Marble  Portal 450 mm wide</t>
  </si>
  <si>
    <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family val="2"/>
      </rPr>
      <t xml:space="preserve"> Approved sealer to be applied on all sides.</t>
    </r>
    <r>
      <rPr>
        <sz val="11"/>
        <rFont val="Calibri"/>
        <family val="2"/>
      </rPr>
      <t xml:space="preserve"> Special care to be taken to fix marble on horizontal surface. Shall rest over ply at one end and vertical marble on the other, The vertical marble over 50 mm shall be fixed using brass pins</t>
    </r>
  </si>
  <si>
    <t>Size : 1800mm length x 450mm depth x 850mm ht.</t>
  </si>
  <si>
    <t>sink counter</t>
  </si>
  <si>
    <t>Gypsum board Facia Band 50 mm TO 100 mm</t>
  </si>
  <si>
    <t>Ceiling slit</t>
  </si>
  <si>
    <t>Gypsum board slit 100 mm TO 150 mm wide</t>
  </si>
  <si>
    <t>Gypsum board slit 50 mm  wide for curtain</t>
  </si>
  <si>
    <t>12 mm thk plywood</t>
  </si>
  <si>
    <t>15 mm thk plywood</t>
  </si>
  <si>
    <t>18 mm thk plywood</t>
  </si>
  <si>
    <t>6 mm thk Flexi plywood</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</si>
  <si>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</si>
  <si>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</si>
  <si>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 xml:space="preserve">Decorative Toilet Vanity Mirrors </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</si>
  <si>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</si>
  <si>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 xml:space="preserve">Providing and fixing 25 mm wide x 12mm thick NBTW wooden strip as shown in drawing, Fixing shall be free of defects, Wooden strip to be  Finished in Approved Melamine Polish </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</si>
  <si>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</si>
  <si>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</si>
  <si>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Size : 1000mm x 2400mm</t>
  </si>
  <si>
    <t>Reception Display unit</t>
  </si>
  <si>
    <t>Veneer finish Retail Display Behind reception table ( 2600 L x450 D x3000 H)</t>
  </si>
  <si>
    <t>Duco paint  finish Salon unit ( 3200 L x400 D x3000 H)</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</si>
  <si>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</si>
  <si>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Salon wall unit</t>
  </si>
  <si>
    <t>Duco paint  finish Salon unit ( 2800 L x150 D x3000 H)</t>
  </si>
  <si>
    <t>CP-NICH</t>
  </si>
  <si>
    <t xml:space="preserve">As per drawing, Carcase to be made out of 12 mm thick ply, Ply to be covered with 16g SS bronze finish with 50 mm wide cover border in SS bronze finish as shown in drawings, </t>
  </si>
  <si>
    <t>TINTED Mirror PANELING</t>
  </si>
  <si>
    <t>Nail bar counter</t>
  </si>
  <si>
    <t>Nail Bar counter in profile ( 1250 L x400 D x750 H)</t>
  </si>
  <si>
    <t>CP-FURN</t>
  </si>
  <si>
    <t>Reception table</t>
  </si>
  <si>
    <t>Spa reception table in profile ( 2500 L x 600 D x1100 H)</t>
  </si>
  <si>
    <t>CP-LD</t>
  </si>
  <si>
    <t>CP-FRM</t>
  </si>
  <si>
    <t>Picture Frame</t>
  </si>
  <si>
    <t>1000 mm dia Circular Picture frame in duco paint</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</si>
  <si>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</si>
  <si>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</si>
  <si>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</si>
  <si>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</si>
  <si>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</si>
  <si>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</si>
  <si>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</si>
  <si>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Surface Preparation</t>
  </si>
  <si>
    <t>Surface preparation for wall paper</t>
  </si>
  <si>
    <t>Include cement primer, 2 coats of putty, touch up putty and primer with water base, Surface to be made ready to receive wall paper</t>
  </si>
  <si>
    <t>Built-in seating -Seat</t>
  </si>
  <si>
    <t>SEAT</t>
  </si>
  <si>
    <t>Seating Bench</t>
  </si>
  <si>
    <t>Wall paper</t>
  </si>
  <si>
    <t>Providing and fixing approved wall paper by -Marshal /Ego wall paper, as approved by architect, Include protection till handover,  (Basic cost of wall paper @ Rs.350/sft )</t>
  </si>
  <si>
    <t>WL/WP</t>
  </si>
  <si>
    <t>Wash basin</t>
  </si>
  <si>
    <t xml:space="preserve">  Sink counter including under counter shutter </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</si>
  <si>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</si>
  <si>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</si>
  <si>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t>(Basic cost of marble at Rs.450/sft including fibre filling &amp; polish)</t>
  </si>
  <si>
    <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family val="2"/>
      </rPr>
      <t>Approved water base PU polish</t>
    </r>
    <r>
      <rPr>
        <sz val="11"/>
        <rFont val="Calibri"/>
        <family val="2"/>
      </rPr>
      <t>, including 50 mm high SS skirting , as per  approved design. Including all cutouts for electrical points,  (Basic cost of Terrazzo at Rs. 750/sft ) (Basic cost of Veneer at Rs. 150/sft ) excluding sink</t>
    </r>
  </si>
  <si>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</si>
  <si>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</si>
  <si>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</si>
  <si>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</si>
  <si>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</si>
  <si>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</si>
  <si>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</si>
  <si>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</si>
  <si>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</si>
  <si>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providing and fixing 10 mm thick toughen fix glass panel with 12 mm wide SS Beading around glass</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</si>
  <si>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</si>
  <si>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</si>
  <si>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</si>
  <si>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</si>
  <si>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HDF wall Panelling</t>
  </si>
  <si>
    <t>Fluted Wall panelling in Duco paint finish</t>
  </si>
  <si>
    <t>Wooden strip panelling</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</si>
  <si>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</si>
  <si>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</si>
  <si>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</si>
  <si>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SS Bronze finish niche for Nail bar  ( 1600 L x100 D x500 H)</t>
  </si>
  <si>
    <t xml:space="preserve">Providing and fixing  Nail Bar counter desk in profile  , up to 100 mm thick Top finish in Terrazzo , with SS bronze finish base  As per detail drawings. </t>
  </si>
  <si>
    <t xml:space="preserve">Providing and fixing  Reception counter desk in profile  , SS bronze finish top , with Fluted Apron finish in Duco paint, including drawer and storage As per detail drawings. </t>
  </si>
  <si>
    <t>Corian Ledge</t>
  </si>
  <si>
    <t>30 mm thick x 400 mm deep Corian finish ledge,</t>
  </si>
  <si>
    <t>Using 18 mm thick marine ply covered with 6 mm thick approved Corian on both side with 30 mm wide Facia.</t>
  </si>
  <si>
    <t>Main Ent door -Wooden strip/fluted  panel door in Polish and Duco paint</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</si>
  <si>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</si>
  <si>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</si>
  <si>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Hand painted / Customised Wall paper</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</si>
  <si>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</si>
  <si>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</si>
  <si>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Terrazzo Flooring</t>
  </si>
  <si>
    <t>10 mm thick Terrazzo Flooring</t>
  </si>
  <si>
    <t>Paneling</t>
  </si>
  <si>
    <t>View Cutter Paneling up to 2500 mm high above Deck Slab</t>
  </si>
  <si>
    <t>Req location, Drg No</t>
  </si>
  <si>
    <t>Ceiling detail was diff in Phase I</t>
  </si>
  <si>
    <t>Used HDHMR in Phase 1</t>
  </si>
  <si>
    <t>Used HDHMR &amp; Metalic PU paint in Phase 1</t>
  </si>
  <si>
    <t>Supply &amp; Installation of Led Lights to be clarify.In Ph 1 Nas Supplied &amp; Installed Led lights</t>
  </si>
  <si>
    <t>Used HDHMR  in Phase 1</t>
  </si>
  <si>
    <t>Req Drg</t>
  </si>
  <si>
    <t>Rate</t>
  </si>
  <si>
    <t>B</t>
  </si>
  <si>
    <t>NA</t>
  </si>
  <si>
    <t>R/O PER DAY</t>
  </si>
  <si>
    <r>
      <t xml:space="preserve">Req Making top round nosing with mirror finish polish to Exotic marble edge.
Exotic marble dado in </t>
    </r>
    <r>
      <rPr>
        <b/>
        <sz val="10"/>
        <rFont val="Calibri"/>
        <family val="2"/>
      </rPr>
      <t>book match pattern</t>
    </r>
    <r>
      <rPr>
        <sz val="10"/>
        <rFont val="Calibri"/>
        <family val="2"/>
      </rPr>
      <t xml:space="preserve">, Marble shall be installed with white cement paste All joints of Marble shall be filled with matching colour TIM-X or equivalent grout filler
</t>
    </r>
    <r>
      <rPr>
        <b/>
        <sz val="10"/>
        <rFont val="Calibri"/>
        <family val="2"/>
      </rPr>
      <t>Basic Rate @ Rs. 2000/- Per Sft</t>
    </r>
  </si>
  <si>
    <t>Req  10 mm Thk acrylic for support to marble, need to change the detail in Drg &amp; BOQ,
Marble edge to be round nosing with mirror polish. Basic rate of marble considered Rs. 1300/- per Sft</t>
  </si>
  <si>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</si>
  <si>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</si>
  <si>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</si>
  <si>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</si>
  <si>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</si>
  <si>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</si>
  <si>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</si>
  <si>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</si>
  <si>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</si>
  <si>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</si>
  <si>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</si>
  <si>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</si>
  <si>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</si>
  <si>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</si>
  <si>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</si>
  <si>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1.1c</t>
  </si>
  <si>
    <t>18 mm thick Italian Marble flooring black and white tile form- for Dining</t>
  </si>
  <si>
    <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family val="2"/>
      </rPr>
      <t>including Approved sealer to be applied on all sides,</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550/sft </t>
    </r>
  </si>
  <si>
    <t>Qty. of Items Tea Garden</t>
  </si>
  <si>
    <t>Terrazo Flooring</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</si>
  <si>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</si>
  <si>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Tea  Bar counter in Curved  Profile</t>
  </si>
  <si>
    <t>Size : 9000mm length x 650 mm depth x 1100mm ht.</t>
  </si>
  <si>
    <r>
      <t xml:space="preserve">38 mm x 38 Aluminum Box framework made up thickness up to 100 mm wide, frame to be covered with 6+6 mm thick flexi </t>
    </r>
    <r>
      <rPr>
        <sz val="10"/>
        <color rgb="FFFF0000"/>
        <rFont val="Tahoma"/>
        <family val="2"/>
      </rPr>
      <t>Fire rated</t>
    </r>
    <r>
      <rPr>
        <sz val="10"/>
        <rFont val="Tahoma"/>
        <family val="2"/>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</si>
  <si>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r>
      <t xml:space="preserve">Size up to 600 mm wide Preparation counter structure constructed out of 18 mm thk </t>
    </r>
    <r>
      <rPr>
        <sz val="10"/>
        <color rgb="FFFF0000"/>
        <rFont val="Tahoma"/>
        <family val="2"/>
      </rPr>
      <t>Fire rated</t>
    </r>
    <r>
      <rPr>
        <sz val="10"/>
        <rFont val="Tahoma"/>
        <family val="2"/>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</si>
  <si>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r>
      <t xml:space="preserve">Upto 350 mm wide Serving Counter top,75 mm facia Including provision for Led strip profile light, comprising of 38x38 mm Aluminium framework covered with </t>
    </r>
    <r>
      <rPr>
        <sz val="10"/>
        <color rgb="FFFF0000"/>
        <rFont val="Tahoma"/>
        <family val="2"/>
      </rPr>
      <t>Fire rated</t>
    </r>
    <r>
      <rPr>
        <sz val="10"/>
        <rFont val="Tahoma"/>
        <family val="2"/>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</si>
  <si>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t>Terrazo finish Bar Back unit</t>
  </si>
  <si>
    <t>Size : 6500mm length x 600mm depth x 900 mm ht.</t>
  </si>
  <si>
    <r>
      <t xml:space="preserve">Back unit structure constructed out of 18 mm thk </t>
    </r>
    <r>
      <rPr>
        <sz val="10"/>
        <color rgb="FFFF0000"/>
        <rFont val="Tahoma"/>
        <family val="2"/>
      </rPr>
      <t xml:space="preserve">Fire rated </t>
    </r>
    <r>
      <rPr>
        <sz val="10"/>
        <rFont val="Tahoma"/>
        <family val="2"/>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</si>
  <si>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Low height Curved Partition ( 1500 mm high ) Attached to  Built in Seating</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</si>
  <si>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</si>
  <si>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Low height Curved Partition ( 1500 mm high ) with moulding panel behind counter</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</si>
  <si>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</si>
  <si>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 xml:space="preserve">Low height Curved Partition ( 600 mm high ) for Planter </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</si>
  <si>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family val="2"/>
      </rPr>
      <t>Approved waterbase PU polish</t>
    </r>
    <r>
      <rPr>
        <sz val="10"/>
        <rFont val="Tahoma"/>
        <family val="2"/>
      </rPr>
      <t xml:space="preserve">,  (Basic cost of veneer at Rs.150/sft) (Basic cost of marble  at Rs.450/sft) </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</si>
  <si>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</si>
  <si>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</si>
  <si>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</si>
  <si>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Roof</t>
  </si>
  <si>
    <t>Tea Garden Tree with Roof in Oval Profile</t>
  </si>
  <si>
    <t>Size :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</si>
  <si>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</si>
  <si>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</si>
  <si>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</si>
  <si>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</si>
  <si>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</si>
  <si>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</si>
  <si>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</si>
  <si>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</si>
  <si>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</si>
  <si>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</si>
  <si>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</si>
  <si>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</si>
  <si>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</si>
  <si>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</si>
  <si>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</si>
  <si>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</si>
  <si>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</si>
  <si>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</si>
  <si>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</si>
  <si>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</si>
  <si>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</si>
  <si>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</si>
  <si>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</si>
  <si>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</si>
  <si>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</si>
  <si>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</si>
  <si>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</si>
  <si>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</si>
  <si>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t xml:space="preserve">Only 43 or 53 grade </t>
    </r>
    <r>
      <rPr>
        <sz val="11"/>
        <color rgb="FFFF0000"/>
        <rFont val="Helvetica"/>
        <family val="2"/>
        <scheme val="minor"/>
      </rPr>
      <t>Cement/Adhesive</t>
    </r>
    <r>
      <rPr>
        <sz val="11"/>
        <rFont val="Helvetica"/>
        <family val="2"/>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</si>
  <si>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</si>
  <si>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</si>
  <si>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</si>
  <si>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</si>
  <si>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</si>
  <si>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</si>
  <si>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</si>
  <si>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t xml:space="preserve">Include 200 mm high </t>
    </r>
    <r>
      <rPr>
        <sz val="11"/>
        <color rgb="FFFF0000"/>
        <rFont val="Helvetica"/>
        <family val="2"/>
        <scheme val="minor"/>
      </rPr>
      <t>RCC Patli to be after every 5 layers</t>
    </r>
    <r>
      <rPr>
        <sz val="11"/>
        <rFont val="Helvetica"/>
        <family val="2"/>
        <scheme val="minor"/>
      </rPr>
      <t xml:space="preserve"> &amp; above doors with 6nos x 8 mm MS twisted bars and 6 mm MS rod rings at 150 mm c/c. Concrete in 1:2:4 ratio, incl. shuttering. ( including door opening lintel )</t>
    </r>
  </si>
  <si>
    <r>
      <t xml:space="preserve">Only 43 or 53 grade </t>
    </r>
    <r>
      <rPr>
        <sz val="11"/>
        <color rgb="FFFF0000"/>
        <rFont val="Helvetica"/>
        <family val="2"/>
        <scheme val="minor"/>
      </rPr>
      <t>cement/Adhesive</t>
    </r>
    <r>
      <rPr>
        <sz val="11"/>
        <rFont val="Helvetica"/>
        <family val="2"/>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</si>
  <si>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</si>
  <si>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</si>
  <si>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</si>
  <si>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t xml:space="preserve">Include 150 mm high RCC </t>
    </r>
    <r>
      <rPr>
        <sz val="11"/>
        <color rgb="FFFF0000"/>
        <rFont val="Helvetica"/>
        <family val="2"/>
        <scheme val="minor"/>
      </rPr>
      <t>Patli to be after every 5 layers</t>
    </r>
    <r>
      <rPr>
        <sz val="11"/>
        <rFont val="Helvetica"/>
        <family val="2"/>
        <scheme val="minor"/>
      </rPr>
      <t xml:space="preserve"> &amp; above doors with 4nos x 8 mm MS twisted bars and 6 mm MS rod rings at 100 mm c/c. Concrete in 1:2:4 ratio, incl. shuttering. ( including door opening lintel )</t>
    </r>
  </si>
  <si>
    <t>Building 100 mm thk. Aerocon block wall</t>
  </si>
  <si>
    <t>*</t>
  </si>
  <si>
    <r>
      <t xml:space="preserve">Include 100 mm high </t>
    </r>
    <r>
      <rPr>
        <sz val="11"/>
        <color rgb="FFFF0000"/>
        <rFont val="Helvetica"/>
        <family val="2"/>
        <scheme val="minor"/>
      </rPr>
      <t>RCC Patli to be after every 5 layers</t>
    </r>
    <r>
      <rPr>
        <sz val="11"/>
        <rFont val="Helvetica"/>
        <family val="2"/>
        <scheme val="minor"/>
      </rPr>
      <t xml:space="preserve"> &amp; above doors with 4nos x 8 mm MS twisted bars and 6 mm MS rod rings at 150 mm c/c. Concrete in 1:2:4 ratio, incl. shuttering. ( including door opening lintel )</t>
    </r>
  </si>
  <si>
    <r>
      <t xml:space="preserve">Only 43 or 53 grade </t>
    </r>
    <r>
      <rPr>
        <sz val="11"/>
        <color rgb="FFFF0000"/>
        <rFont val="Helvetica"/>
        <family val="2"/>
        <scheme val="minor"/>
      </rPr>
      <t xml:space="preserve">Cement/Adhesive </t>
    </r>
    <r>
      <rPr>
        <sz val="11"/>
        <rFont val="Helvetica"/>
        <family val="2"/>
        <scheme val="minor"/>
      </rPr>
      <t>to be used</t>
    </r>
  </si>
  <si>
    <t>CVL-RFL</t>
  </si>
  <si>
    <t>Raised Flooring</t>
  </si>
  <si>
    <t>Raised flooring in Brick bat Coba</t>
  </si>
  <si>
    <r>
      <t xml:space="preserve">Providing waterproofing treatment to Slab (India water proofing or alike) </t>
    </r>
    <r>
      <rPr>
        <sz val="11"/>
        <color rgb="FFFF0000"/>
        <rFont val="Helvetica"/>
        <family val="2"/>
        <scheme val="minor"/>
      </rPr>
      <t>Light weight block filling with cement mortar. Top to be finished with 60-70mm 1:2:4 screed</t>
    </r>
    <r>
      <rPr>
        <sz val="11"/>
        <rFont val="Helvetica"/>
        <family val="2"/>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</si>
  <si>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</si>
  <si>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</si>
  <si>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</si>
  <si>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</si>
  <si>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</si>
  <si>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</si>
  <si>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</si>
  <si>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</si>
  <si>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</si>
  <si>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</si>
  <si>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</si>
  <si>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</si>
  <si>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</si>
  <si>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</si>
  <si>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</si>
  <si>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</si>
  <si>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</si>
  <si>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</si>
  <si>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</si>
  <si>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</si>
  <si>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</si>
  <si>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</si>
  <si>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</si>
  <si>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</si>
  <si>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</si>
  <si>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</si>
  <si>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</si>
  <si>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</si>
  <si>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</si>
  <si>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</si>
  <si>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</si>
  <si>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</si>
  <si>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</si>
  <si>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</si>
  <si>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</si>
  <si>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</si>
  <si>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</si>
  <si>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</si>
  <si>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</si>
  <si>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</si>
  <si>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</si>
  <si>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</si>
  <si>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</si>
  <si>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</si>
  <si>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</si>
  <si>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</si>
  <si>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</si>
  <si>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</si>
  <si>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</si>
  <si>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</si>
  <si>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</si>
  <si>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</si>
  <si>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t>Jointless ceramic tiles cladding ( for  Garbage station )</t>
  </si>
  <si>
    <r>
      <t xml:space="preserve">Cladding shall comprise of ceramic tile of 600 mm x 300 mm,Tiles to be fixed in ordinary Portland cement only, </t>
    </r>
    <r>
      <rPr>
        <sz val="11"/>
        <color rgb="FFFF0000"/>
        <rFont val="Helvetica"/>
        <family val="2"/>
        <scheme val="minor"/>
      </rPr>
      <t>Spacer required with Leticrete grout in joints</t>
    </r>
    <r>
      <rPr>
        <sz val="11"/>
        <rFont val="Helvetica"/>
        <family val="2"/>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</si>
  <si>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</si>
  <si>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</si>
  <si>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t xml:space="preserve">P&amp;F of 304 grade 3mm thick SS Corner guard </t>
    </r>
    <r>
      <rPr>
        <sz val="11"/>
        <color rgb="FFFF0000"/>
        <rFont val="Helvetica"/>
        <family val="2"/>
        <scheme val="minor"/>
      </rPr>
      <t>(50x50x2mmthick SS angles)</t>
    </r>
    <r>
      <rPr>
        <sz val="11"/>
        <rFont val="Helvetica"/>
        <family val="2"/>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</si>
  <si>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</si>
  <si>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Fire line  Gypsum Board ceiling</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</si>
  <si>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</si>
  <si>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</si>
  <si>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</si>
  <si>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</si>
  <si>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</si>
  <si>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</si>
  <si>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</si>
  <si>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</si>
  <si>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</si>
  <si>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</si>
  <si>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</si>
  <si>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</si>
  <si>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</si>
  <si>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</si>
  <si>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</si>
  <si>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</si>
  <si>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</si>
  <si>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</si>
  <si>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</si>
  <si>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</si>
  <si>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</si>
  <si>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t xml:space="preserve">up to 200 mm high -Providing and fixing in position 304 grade </t>
    </r>
    <r>
      <rPr>
        <b/>
        <sz val="11"/>
        <rFont val="Helvetica"/>
        <family val="2"/>
        <scheme val="minor"/>
      </rPr>
      <t>S.S</t>
    </r>
    <r>
      <rPr>
        <sz val="11"/>
        <rFont val="Helvetica"/>
        <family val="2"/>
        <scheme val="minor"/>
      </rPr>
      <t xml:space="preserve"> Satin Bronze finish </t>
    </r>
    <r>
      <rPr>
        <b/>
        <sz val="11"/>
        <rFont val="Helvetica"/>
        <family val="2"/>
        <scheme val="minor"/>
      </rPr>
      <t xml:space="preserve">foot rail </t>
    </r>
    <r>
      <rPr>
        <sz val="11"/>
        <rFont val="Helvetica"/>
        <family val="2"/>
        <scheme val="minor"/>
      </rPr>
      <t>of 38mm diameter with horizontal &amp; vertical members, Grouting in concrete, etc. complete, as specified and as directed by Architect</t>
    </r>
  </si>
  <si>
    <t>TOTAL - II</t>
  </si>
  <si>
    <t xml:space="preserve">up to 18 mm wide, 4 mm thick 304 grade  Insert in Two Floorings ,  Fixed with epoxy adhesive </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</si>
  <si>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</si>
  <si>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</si>
  <si>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10 mm thick Terrazzo Flooring in Pattern</t>
  </si>
  <si>
    <t xml:space="preserve">                                                             </t>
  </si>
  <si>
    <t>S. No.</t>
  </si>
  <si>
    <t>UOM</t>
  </si>
  <si>
    <t>Qty/day</t>
  </si>
  <si>
    <t>Qty/month</t>
  </si>
  <si>
    <t>Amount/ month</t>
  </si>
  <si>
    <t>Shifting of materials by trucks to forest belt.</t>
  </si>
  <si>
    <t>Nos.</t>
  </si>
  <si>
    <t xml:space="preserve">Shifting of heavy materials by crane from L0 to L3 garden area. </t>
  </si>
  <si>
    <t>Shiting of heavy material from L3 garden area to Domestic site. Manually via staircase. (marble slab and other equipments by special team)</t>
  </si>
  <si>
    <t>Extra manpower for loading/unloading of materials at various points.</t>
  </si>
  <si>
    <t xml:space="preserve">Extra supervisors </t>
  </si>
  <si>
    <t>Total</t>
  </si>
  <si>
    <t>Month</t>
  </si>
  <si>
    <t>Attendence/Day</t>
  </si>
  <si>
    <t>Wages per person per day</t>
  </si>
  <si>
    <t>Food per person</t>
  </si>
  <si>
    <t>Per day labour expenses</t>
  </si>
  <si>
    <t>Per month labour cost</t>
  </si>
  <si>
    <t>Labour/day</t>
  </si>
  <si>
    <t>1st Month</t>
  </si>
  <si>
    <t>2nd Month</t>
  </si>
  <si>
    <t>3rd month</t>
  </si>
  <si>
    <t>4th Month</t>
  </si>
  <si>
    <t>5th Month</t>
  </si>
  <si>
    <t>6th Month</t>
  </si>
  <si>
    <t>7th Month</t>
  </si>
  <si>
    <t>Trucks</t>
  </si>
  <si>
    <r>
      <t xml:space="preserve">TOTAL COST FOR 7 MONTH   - </t>
    </r>
    <r>
      <rPr>
        <b/>
        <sz val="10"/>
        <color rgb="FF000000"/>
        <rFont val="Verdana"/>
        <family val="2"/>
      </rPr>
      <t>A</t>
    </r>
  </si>
  <si>
    <t xml:space="preserve">Carting away debris Clearing existing scrap,debries from site and disposing as directed </t>
  </si>
  <si>
    <r>
      <t xml:space="preserve">B
</t>
    </r>
    <r>
      <rPr>
        <sz val="10"/>
        <color rgb="FF000000"/>
        <rFont val="Verdana"/>
        <family val="2"/>
      </rPr>
      <t xml:space="preserve">Carting away debris Clearing existing scrap,debries from site and disposing as directed </t>
    </r>
  </si>
  <si>
    <t>C</t>
  </si>
  <si>
    <t>Temporary Electrical works</t>
  </si>
  <si>
    <t>L.S.</t>
  </si>
  <si>
    <t>N/a</t>
  </si>
  <si>
    <t>Will be reimbursed on actuals</t>
  </si>
  <si>
    <t>TOTAL A- 1 TO 10 ( Net of Tax )</t>
  </si>
  <si>
    <t>NAS</t>
  </si>
  <si>
    <t>SHIFTING AND CLEARING OF DEBRIES LABOUR AND TRUCK</t>
  </si>
  <si>
    <t xml:space="preserve">LEAD,LIFT, SHIFTING OF MATERIAL </t>
  </si>
  <si>
    <t>LABOUR FOR SHIFTING, CLEARING OF DEBRIES  AND DEBRIES TRUCK CHARGES</t>
  </si>
  <si>
    <t xml:space="preserve">                            NAS QUOTATION R2 
                                 Dt:-20/07/2024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</si>
</sst>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_(* #,##0_);_(* \(#,##0\);_(* \-??_);_(@_)"/>
    <numFmt numFmtId="167" formatCode="_(* #,##0.00_);_(* \(#,##0.00\);_(* \-??_);_(@_)"/>
    <numFmt numFmtId="168" formatCode="_ * #,##0_ ;_ * \-#,##0_ ;_ * &quot;-&quot;??_ ;_ @_ "/>
    <numFmt numFmtId="169" formatCode="&quot; &quot;* #,##0.00&quot; &quot;;&quot; &quot;* \(#,##0.00\);&quot; &quot;* &quot;-&quot;??&quot; &quot;"/>
    <numFmt numFmtId="170" formatCode="_(* #,##0_);_(* \(#,##0\);_(* &quot;-&quot;??_);_(@_)"/>
  </numFmts>
  <fonts count="45">
    <font>
      <sz val="10"/>
      <color indexed="8"/>
      <name val="Verdana"/>
      <family val="2"/>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2"/>
      <color indexed="8"/>
      <name val="Verdana"/>
      <family val="2"/>
    </font>
    <font>
      <b/>
      <sz val="11"/>
      <name val="Calibri"/>
      <family val="2"/>
    </font>
    <font>
      <sz val="10"/>
      <name val="Calibri"/>
      <family val="2"/>
    </font>
    <font>
      <sz val="10"/>
      <name val="Arial"/>
      <family val="2"/>
    </font>
    <font>
      <b/>
      <sz val="10"/>
      <name val="Calibri"/>
      <family val="2"/>
    </font>
    <font>
      <sz val="11"/>
      <name val="Calibri"/>
      <family val="2"/>
    </font>
    <font>
      <b/>
      <sz val="12"/>
      <name val="Calibri"/>
      <family val="2"/>
    </font>
    <font>
      <sz val="11"/>
      <color rgb="FFFF0000"/>
      <name val="Calibri"/>
      <family val="2"/>
    </font>
    <font>
      <sz val="10"/>
      <color rgb="FFFF0000"/>
      <name val="Calibri"/>
      <family val="2"/>
    </font>
    <font>
      <sz val="10"/>
      <color indexed="8"/>
      <name val="Calibri"/>
      <family val="2"/>
    </font>
    <font>
      <b/>
      <sz val="11"/>
      <name val="Helvetica"/>
      <family val="2"/>
      <scheme val="minor"/>
    </font>
    <font>
      <sz val="11"/>
      <name val="Helvetica"/>
      <family val="2"/>
      <scheme val="minor"/>
    </font>
    <font>
      <sz val="10"/>
      <name val="Tahoma"/>
      <family val="2"/>
    </font>
    <font>
      <b/>
      <sz val="10"/>
      <name val="Tahoma"/>
      <family val="2"/>
    </font>
    <font>
      <sz val="10"/>
      <color rgb="FFFF0000"/>
      <name val="Tahoma"/>
      <family val="2"/>
    </font>
    <font>
      <b/>
      <sz val="11"/>
      <name val="Tahoma"/>
      <family val="2"/>
    </font>
    <font>
      <sz val="10"/>
      <color indexed="8"/>
      <name val="Tahoma"/>
      <family val="2"/>
    </font>
    <font>
      <b/>
      <sz val="10"/>
      <color indexed="8"/>
      <name val="Tahoma"/>
      <family val="2"/>
    </font>
    <font>
      <sz val="11"/>
      <color indexed="8"/>
      <name val="Calibri"/>
      <family val="2"/>
    </font>
    <font>
      <sz val="11"/>
      <color theme="1"/>
      <name val="Calibri"/>
      <family val="2"/>
    </font>
    <font>
      <b/>
      <sz val="11"/>
      <color theme="1"/>
      <name val="Calibri"/>
      <family val="2"/>
    </font>
    <font>
      <b/>
      <sz val="14"/>
      <color theme="1"/>
      <name val="Calibri"/>
      <family val="2"/>
    </font>
    <font>
      <sz val="10"/>
      <color theme="1"/>
      <name val="Calibri"/>
      <family val="2"/>
    </font>
    <font>
      <b/>
      <sz val="12"/>
      <color theme="1"/>
      <name val="Calibri"/>
      <family val="2"/>
    </font>
    <font>
      <sz val="12"/>
      <color theme="1"/>
      <name val="Calibri"/>
      <family val="2"/>
    </font>
    <font>
      <b/>
      <u/>
      <sz val="10"/>
      <color rgb="FFFF0000"/>
      <name val="Calibri"/>
      <family val="2"/>
    </font>
    <font>
      <sz val="11"/>
      <color rgb="FF000000"/>
      <name val="Calibri"/>
      <family val="2"/>
    </font>
    <font>
      <sz val="10"/>
      <name val="Times New Roman"/>
      <family val="1"/>
    </font>
    <font>
      <b/>
      <sz val="10"/>
      <color rgb="FF000000"/>
      <name val="Verdana"/>
      <family val="2"/>
    </font>
    <font>
      <b/>
      <sz val="10"/>
      <color indexed="8"/>
      <name val="Verdana"/>
      <family val="2"/>
    </font>
    <font>
      <sz val="11"/>
      <color rgb="FFFF0000"/>
      <name val="Helvetica"/>
      <family val="2"/>
      <scheme val="minor"/>
    </font>
    <font>
      <b/>
      <sz val="11"/>
      <color theme="1"/>
      <name val="Helvetica"/>
      <family val="2"/>
      <scheme val="minor"/>
    </font>
    <font>
      <sz val="10.35"/>
      <color rgb="FF000000"/>
      <name val="Helvetica"/>
      <charset val="134"/>
      <scheme val="minor"/>
    </font>
    <font>
      <b/>
      <sz val="11"/>
      <color indexed="8"/>
      <name val="Helvetica"/>
      <family val="2"/>
      <scheme val="minor"/>
    </font>
    <font>
      <sz val="11"/>
      <color indexed="8"/>
      <name val="Helvetica"/>
      <family val="2"/>
      <scheme val="minor"/>
    </font>
    <font>
      <sz val="8"/>
      <name val="Verdana"/>
      <family val="2"/>
    </font>
    <font>
      <sz val="10"/>
      <color rgb="FF000000"/>
      <name val="Verdana"/>
      <family val="2"/>
    </font>
    <font>
      <b/>
      <sz val="18"/>
      <color theme="1"/>
      <name val="Calibri"/>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0">
    <xf numFmtId="0" fontId="0" fillId="0" borderId="0" applyNumberFormat="0" applyFill="0" applyBorder="0" applyProtection="0">
      <alignment vertical="top" wrapText="1"/>
    </xf>
    <xf numFmtId="43" fontId="7" fillId="0" borderId="0" applyFont="0" applyFill="0" applyBorder="0" applyAlignment="0" applyProtection="0"/>
    <xf numFmtId="0" fontId="6" fillId="0" borderId="0"/>
    <xf numFmtId="0" fontId="10" fillId="0" borderId="0"/>
    <xf numFmtId="164" fontId="6" fillId="0" borderId="0" applyFont="0" applyFill="0" applyBorder="0" applyAlignment="0" applyProtection="0"/>
    <xf numFmtId="0" fontId="10" fillId="0" borderId="0"/>
    <xf numFmtId="0" fontId="10" fillId="0" borderId="0"/>
    <xf numFmtId="0" fontId="10" fillId="0" borderId="0"/>
    <xf numFmtId="167" fontId="10" fillId="0" borderId="0"/>
    <xf numFmtId="0" fontId="10" fillId="0" borderId="0"/>
    <xf numFmtId="0" fontId="5" fillId="0" borderId="0"/>
    <xf numFmtId="164" fontId="5" fillId="0" borderId="0" applyFont="0" applyFill="0" applyBorder="0" applyAlignment="0" applyProtection="0"/>
    <xf numFmtId="0" fontId="4" fillId="0" borderId="0"/>
    <xf numFmtId="0" fontId="10" fillId="0" borderId="0"/>
    <xf numFmtId="43" fontId="3" fillId="0" borderId="0" applyFont="0" applyFill="0" applyBorder="0" applyAlignment="0" applyProtection="0"/>
    <xf numFmtId="0" fontId="10" fillId="0" borderId="0"/>
    <xf numFmtId="0" fontId="34" fillId="0" borderId="0"/>
    <xf numFmtId="0" fontId="10" fillId="0" borderId="0" applyFont="0" applyFill="0" applyBorder="0" applyAlignment="0" applyProtection="0"/>
    <xf numFmtId="0" fontId="34" fillId="0" borderId="0"/>
    <xf numFmtId="164" fontId="10" fillId="0" borderId="0" applyFont="0" applyFill="0" applyBorder="0" applyAlignment="0" applyProtection="0"/>
    <xf numFmtId="0" fontId="33" fillId="0" borderId="0"/>
    <xf numFmtId="164" fontId="33" fillId="0" borderId="0" applyFont="0" applyFill="0" applyBorder="0" applyAlignment="0" applyProtection="0"/>
    <xf numFmtId="0" fontId="10" fillId="0" borderId="0"/>
    <xf numFmtId="0" fontId="10" fillId="0" borderId="0"/>
    <xf numFmtId="0" fontId="10" fillId="0" borderId="0"/>
    <xf numFmtId="0" fontId="2" fillId="0" borderId="0"/>
    <xf numFmtId="164" fontId="2" fillId="0" borderId="0" applyFont="0" applyFill="0" applyBorder="0" applyAlignment="0" applyProtection="0"/>
    <xf numFmtId="0" fontId="2" fillId="0" borderId="0"/>
    <xf numFmtId="0" fontId="10" fillId="0" borderId="0"/>
    <xf numFmtId="0" fontId="1" fillId="0" borderId="0"/>
  </cellStyleXfs>
  <cellXfs count="651">
    <xf numFmtId="0" fontId="0" fillId="0" borderId="0" xfId="0">
      <alignment vertical="top" wrapText="1"/>
    </xf>
    <xf numFmtId="0" fontId="9" fillId="0" borderId="1" xfId="3" applyFont="1" applyBorder="1" applyAlignment="1">
      <alignment horizontal="center" vertical="center"/>
    </xf>
    <xf numFmtId="166" fontId="9" fillId="0" borderId="1" xfId="11" applyNumberFormat="1" applyFont="1" applyFill="1" applyBorder="1" applyAlignment="1" applyProtection="1">
      <alignment horizontal="center" vertical="center"/>
    </xf>
    <xf numFmtId="166" fontId="9" fillId="0" borderId="1" xfId="11" applyNumberFormat="1" applyFont="1" applyFill="1" applyBorder="1" applyAlignment="1" applyProtection="1">
      <alignment horizontal="center" vertical="center" wrapText="1"/>
    </xf>
    <xf numFmtId="165"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center" vertical="center" wrapText="1"/>
    </xf>
    <xf numFmtId="0" fontId="11" fillId="0" borderId="1" xfId="3" applyFont="1" applyBorder="1" applyAlignment="1">
      <alignment horizontal="center" vertical="center" wrapText="1"/>
    </xf>
    <xf numFmtId="0" fontId="9" fillId="0" borderId="0" xfId="3" applyFont="1" applyAlignment="1">
      <alignment horizontal="center" vertical="center" wrapText="1"/>
    </xf>
    <xf numFmtId="0" fontId="9" fillId="0" borderId="1" xfId="10" applyFont="1" applyBorder="1" applyAlignment="1">
      <alignment horizontal="center" vertical="center"/>
    </xf>
    <xf numFmtId="165" fontId="11" fillId="0" borderId="1" xfId="3" applyNumberFormat="1" applyFont="1" applyBorder="1" applyAlignment="1">
      <alignment horizontal="center" vertical="center" wrapText="1"/>
    </xf>
    <xf numFmtId="0" fontId="9" fillId="0" borderId="1" xfId="10" applyFont="1" applyBorder="1" applyAlignment="1">
      <alignment horizontal="left" vertical="center" wrapText="1"/>
    </xf>
    <xf numFmtId="0" fontId="9" fillId="0" borderId="1" xfId="3" applyFont="1" applyBorder="1" applyAlignment="1">
      <alignment vertical="center" wrapText="1"/>
    </xf>
    <xf numFmtId="0" fontId="9" fillId="0" borderId="1" xfId="6" applyFont="1" applyBorder="1" applyAlignment="1">
      <alignment horizontal="left" vertical="center" wrapText="1"/>
    </xf>
    <xf numFmtId="0" fontId="11" fillId="0" borderId="1" xfId="10" applyFont="1" applyBorder="1" applyAlignment="1">
      <alignment horizontal="left" vertical="center" wrapText="1"/>
    </xf>
    <xf numFmtId="0" fontId="11" fillId="0" borderId="1" xfId="3" applyFont="1" applyBorder="1" applyAlignment="1">
      <alignment horizontal="left" vertical="center" wrapText="1"/>
    </xf>
    <xf numFmtId="164" fontId="9" fillId="0" borderId="1" xfId="11" applyFont="1" applyFill="1" applyBorder="1" applyAlignment="1" applyProtection="1">
      <alignment horizontal="right" vertical="center" wrapText="1"/>
    </xf>
    <xf numFmtId="166" fontId="9" fillId="0" borderId="1" xfId="11" applyNumberFormat="1" applyFont="1" applyFill="1" applyBorder="1" applyAlignment="1" applyProtection="1">
      <alignment horizontal="right" vertical="center" wrapText="1"/>
    </xf>
    <xf numFmtId="0" fontId="9" fillId="0" borderId="1" xfId="3" applyFont="1" applyBorder="1" applyAlignment="1">
      <alignment horizontal="center" vertical="center" wrapText="1"/>
    </xf>
    <xf numFmtId="0" fontId="11" fillId="0" borderId="1" xfId="10" applyFont="1" applyBorder="1" applyAlignment="1">
      <alignment horizontal="center" vertical="center" wrapText="1"/>
    </xf>
    <xf numFmtId="0" fontId="9" fillId="0" borderId="1" xfId="10" applyFont="1" applyBorder="1" applyAlignment="1">
      <alignment horizontal="center" vertical="center" wrapText="1"/>
    </xf>
    <xf numFmtId="168" fontId="8" fillId="0" borderId="1" xfId="1" applyNumberFormat="1" applyFont="1" applyFill="1" applyBorder="1" applyAlignment="1">
      <alignment horizontal="center" vertical="center"/>
    </xf>
    <xf numFmtId="0" fontId="9" fillId="0" borderId="1" xfId="3" applyFont="1" applyBorder="1" applyAlignment="1">
      <alignment horizontal="left" vertical="center" wrapText="1"/>
    </xf>
    <xf numFmtId="0" fontId="9" fillId="0" borderId="0" xfId="3" applyFont="1" applyAlignment="1">
      <alignment horizontal="left" vertical="center" wrapText="1"/>
    </xf>
    <xf numFmtId="1" fontId="11" fillId="0" borderId="0" xfId="3" applyNumberFormat="1" applyFont="1" applyAlignment="1">
      <alignment horizontal="center" vertical="center"/>
    </xf>
    <xf numFmtId="0" fontId="11" fillId="0" borderId="1" xfId="5" applyFont="1" applyBorder="1" applyAlignment="1">
      <alignment horizontal="left" vertical="center" wrapText="1"/>
    </xf>
    <xf numFmtId="0" fontId="9" fillId="0" borderId="1" xfId="5" applyFont="1" applyBorder="1" applyAlignment="1">
      <alignment horizontal="left" vertical="center" wrapText="1"/>
    </xf>
    <xf numFmtId="1" fontId="9" fillId="0" borderId="1" xfId="3" applyNumberFormat="1" applyFont="1" applyBorder="1" applyAlignment="1">
      <alignment vertical="center" wrapText="1"/>
    </xf>
    <xf numFmtId="0" fontId="11" fillId="0" borderId="1" xfId="3" applyFont="1" applyBorder="1" applyAlignment="1">
      <alignment vertical="center" wrapText="1"/>
    </xf>
    <xf numFmtId="1" fontId="9" fillId="0" borderId="1" xfId="11" applyNumberFormat="1" applyFont="1" applyFill="1" applyBorder="1" applyAlignment="1" applyProtection="1">
      <alignment horizontal="center" vertical="center" wrapText="1"/>
    </xf>
    <xf numFmtId="1" fontId="12" fillId="0" borderId="4" xfId="0" applyNumberFormat="1" applyFont="1" applyFill="1" applyBorder="1" applyAlignment="1">
      <alignment horizontal="center" vertical="center" wrapText="1"/>
    </xf>
    <xf numFmtId="3"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wrapText="1"/>
    </xf>
    <xf numFmtId="0" fontId="9" fillId="0" borderId="1" xfId="10" applyFont="1" applyBorder="1" applyAlignment="1">
      <alignment vertical="center" wrapText="1"/>
    </xf>
    <xf numFmtId="0" fontId="11" fillId="0" borderId="1" xfId="3" applyFont="1" applyBorder="1" applyAlignment="1">
      <alignment horizontal="justify" vertical="center" wrapText="1"/>
    </xf>
    <xf numFmtId="0" fontId="12" fillId="0" borderId="1" xfId="2" applyFont="1" applyBorder="1" applyAlignment="1">
      <alignment horizontal="center" vertical="center" wrapText="1"/>
    </xf>
    <xf numFmtId="0" fontId="9" fillId="0" borderId="0" xfId="3" applyFont="1" applyAlignment="1">
      <alignment vertical="center" wrapText="1"/>
    </xf>
    <xf numFmtId="1" fontId="11" fillId="0" borderId="0" xfId="3" applyNumberFormat="1" applyFont="1" applyAlignment="1">
      <alignment horizontal="center" vertical="center" wrapText="1"/>
    </xf>
    <xf numFmtId="165" fontId="11" fillId="0" borderId="5" xfId="3" applyNumberFormat="1" applyFont="1" applyBorder="1" applyAlignment="1">
      <alignment horizontal="center" vertical="center" wrapText="1"/>
    </xf>
    <xf numFmtId="0" fontId="11" fillId="0" borderId="6" xfId="10" applyFont="1" applyBorder="1" applyAlignment="1">
      <alignment horizontal="center" vertical="center" wrapText="1"/>
    </xf>
    <xf numFmtId="0" fontId="11" fillId="0" borderId="6" xfId="3" applyFont="1" applyBorder="1" applyAlignment="1">
      <alignment horizontal="center" vertical="center" wrapText="1"/>
    </xf>
    <xf numFmtId="1" fontId="11" fillId="0" borderId="6" xfId="10" applyNumberFormat="1" applyFont="1" applyBorder="1" applyAlignment="1">
      <alignment horizontal="center" vertical="center" wrapText="1"/>
    </xf>
    <xf numFmtId="0" fontId="11" fillId="0" borderId="7" xfId="10" applyFont="1" applyBorder="1" applyAlignment="1">
      <alignment horizontal="center" vertical="center" wrapText="1"/>
    </xf>
    <xf numFmtId="0" fontId="11" fillId="0" borderId="0" xfId="3" applyFont="1" applyAlignment="1">
      <alignment vertical="center" wrapText="1"/>
    </xf>
    <xf numFmtId="165" fontId="11" fillId="0" borderId="8" xfId="3" applyNumberFormat="1" applyFont="1" applyBorder="1" applyAlignment="1">
      <alignment horizontal="center" vertical="center" wrapText="1"/>
    </xf>
    <xf numFmtId="0" fontId="11" fillId="0" borderId="8" xfId="10" applyFont="1" applyBorder="1" applyAlignment="1">
      <alignment horizontal="center" vertical="center" wrapText="1"/>
    </xf>
    <xf numFmtId="0" fontId="11" fillId="0" borderId="8" xfId="3" applyFont="1" applyBorder="1" applyAlignment="1">
      <alignment horizontal="center" vertical="center" wrapText="1"/>
    </xf>
    <xf numFmtId="1" fontId="11" fillId="0" borderId="8" xfId="10" applyNumberFormat="1" applyFont="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43" fontId="12" fillId="0" borderId="6" xfId="1" applyFont="1" applyFill="1" applyBorder="1" applyAlignment="1">
      <alignment horizontal="center" vertical="center" wrapText="1"/>
    </xf>
    <xf numFmtId="1" fontId="12" fillId="0" borderId="6" xfId="0" applyNumberFormat="1" applyFont="1" applyFill="1" applyBorder="1" applyAlignment="1">
      <alignment horizontal="center" vertical="center" wrapText="1"/>
    </xf>
    <xf numFmtId="165" fontId="12" fillId="0" borderId="6" xfId="0" applyNumberFormat="1" applyFont="1" applyFill="1" applyBorder="1" applyAlignment="1">
      <alignment horizontal="center" vertical="center" wrapText="1"/>
    </xf>
    <xf numFmtId="0" fontId="12" fillId="0" borderId="6" xfId="10" applyFont="1" applyBorder="1" applyAlignment="1">
      <alignment horizontal="center" vertical="center" wrapText="1"/>
    </xf>
    <xf numFmtId="3" fontId="11" fillId="0" borderId="6" xfId="3" applyNumberFormat="1" applyFont="1" applyBorder="1" applyAlignment="1">
      <alignment horizontal="center" vertical="center" wrapText="1"/>
    </xf>
    <xf numFmtId="3" fontId="11" fillId="0" borderId="7" xfId="3" applyNumberFormat="1" applyFont="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1" fontId="8" fillId="0" borderId="4" xfId="0" applyNumberFormat="1" applyFont="1" applyFill="1" applyBorder="1" applyAlignment="1">
      <alignment horizontal="center" vertical="center" wrapText="1"/>
    </xf>
    <xf numFmtId="0" fontId="8" fillId="0" borderId="4" xfId="10" applyFont="1" applyBorder="1" applyAlignment="1">
      <alignment horizontal="center" vertical="center" wrapText="1"/>
    </xf>
    <xf numFmtId="0" fontId="12" fillId="0" borderId="0" xfId="0" applyNumberFormat="1" applyFont="1" applyFill="1" applyBorder="1" applyAlignment="1">
      <alignment horizontal="center" vertical="center" wrapText="1"/>
    </xf>
    <xf numFmtId="0" fontId="11" fillId="0" borderId="4" xfId="10" applyFont="1" applyBorder="1" applyAlignment="1">
      <alignment horizontal="center" vertical="center" wrapText="1"/>
    </xf>
    <xf numFmtId="165" fontId="11" fillId="0" borderId="9" xfId="3" applyNumberFormat="1" applyFont="1" applyBorder="1" applyAlignment="1">
      <alignment horizontal="center" vertical="center" wrapText="1"/>
    </xf>
    <xf numFmtId="0" fontId="11" fillId="0" borderId="9" xfId="10" applyFont="1" applyBorder="1" applyAlignment="1">
      <alignment horizontal="center" vertical="center" wrapText="1"/>
    </xf>
    <xf numFmtId="0" fontId="11" fillId="0" borderId="9" xfId="3" applyFont="1" applyBorder="1" applyAlignment="1">
      <alignment horizontal="center" vertical="center" wrapText="1"/>
    </xf>
    <xf numFmtId="1" fontId="11" fillId="0" borderId="9" xfId="10" applyNumberFormat="1" applyFont="1" applyBorder="1" applyAlignment="1">
      <alignment horizontal="center" vertical="center" wrapText="1"/>
    </xf>
    <xf numFmtId="0" fontId="8" fillId="0" borderId="6" xfId="0"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0" fontId="8" fillId="0" borderId="6" xfId="10" applyFont="1" applyBorder="1" applyAlignment="1">
      <alignment horizontal="center" vertical="center" wrapText="1"/>
    </xf>
    <xf numFmtId="0" fontId="12" fillId="0" borderId="4" xfId="0" applyFont="1" applyFill="1" applyBorder="1" applyAlignment="1">
      <alignment horizontal="center" vertical="top" wrapText="1"/>
    </xf>
    <xf numFmtId="0" fontId="12" fillId="0" borderId="4" xfId="0" applyFont="1" applyFill="1" applyBorder="1" applyAlignment="1">
      <alignment horizontal="center" vertical="center" wrapText="1"/>
    </xf>
    <xf numFmtId="43" fontId="12" fillId="0" borderId="4" xfId="1" applyFont="1" applyFill="1" applyBorder="1" applyAlignment="1">
      <alignment horizontal="center" vertical="center" wrapText="1"/>
    </xf>
    <xf numFmtId="0" fontId="12" fillId="0" borderId="4" xfId="10" applyFont="1" applyBorder="1" applyAlignment="1">
      <alignment horizontal="center" vertical="center" wrapText="1"/>
    </xf>
    <xf numFmtId="3" fontId="11" fillId="0" borderId="4" xfId="3"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1" xfId="10" applyFont="1" applyBorder="1" applyAlignment="1">
      <alignment horizontal="center" vertical="center" wrapText="1"/>
    </xf>
    <xf numFmtId="3" fontId="11" fillId="0" borderId="1" xfId="3" applyNumberFormat="1" applyFont="1" applyBorder="1" applyAlignment="1">
      <alignment horizontal="center"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43" fontId="12" fillId="0" borderId="1" xfId="1" applyFont="1" applyFill="1" applyBorder="1" applyAlignment="1">
      <alignment horizontal="center" vertical="center" wrapText="1"/>
    </xf>
    <xf numFmtId="164" fontId="12" fillId="0" borderId="4" xfId="10" applyNumberFormat="1" applyFont="1" applyBorder="1" applyAlignment="1">
      <alignment horizontal="center" vertical="center" wrapText="1"/>
    </xf>
    <xf numFmtId="0" fontId="12" fillId="0" borderId="9" xfId="0" applyFont="1" applyFill="1" applyBorder="1" applyAlignment="1">
      <alignment horizontal="center" vertical="top" wrapText="1"/>
    </xf>
    <xf numFmtId="0" fontId="12" fillId="0" borderId="9" xfId="0" applyFont="1" applyFill="1" applyBorder="1" applyAlignment="1">
      <alignment horizontal="center" vertical="center" wrapText="1"/>
    </xf>
    <xf numFmtId="43" fontId="12" fillId="0" borderId="9" xfId="1" applyFont="1" applyFill="1" applyBorder="1" applyAlignment="1">
      <alignment horizontal="center" vertical="center" wrapText="1"/>
    </xf>
    <xf numFmtId="1" fontId="12" fillId="0" borderId="9" xfId="0" applyNumberFormat="1" applyFont="1" applyFill="1" applyBorder="1" applyAlignment="1">
      <alignment horizontal="center" vertical="center" wrapText="1"/>
    </xf>
    <xf numFmtId="0" fontId="12" fillId="0" borderId="9" xfId="10" applyFont="1" applyBorder="1" applyAlignment="1">
      <alignment horizontal="center" vertical="center" wrapText="1"/>
    </xf>
    <xf numFmtId="3" fontId="11" fillId="0" borderId="9" xfId="3" applyNumberFormat="1" applyFont="1" applyBorder="1" applyAlignment="1">
      <alignment horizontal="center" vertical="center" wrapText="1"/>
    </xf>
    <xf numFmtId="165" fontId="9" fillId="0" borderId="8" xfId="3" applyNumberFormat="1" applyFont="1" applyBorder="1" applyAlignment="1">
      <alignment horizontal="center" vertical="center" wrapText="1"/>
    </xf>
    <xf numFmtId="0" fontId="9" fillId="0" borderId="8" xfId="3" applyFont="1" applyBorder="1" applyAlignment="1">
      <alignment horizontal="center" vertical="center" wrapText="1"/>
    </xf>
    <xf numFmtId="1" fontId="11" fillId="0" borderId="8" xfId="11" applyNumberFormat="1" applyFont="1" applyFill="1" applyBorder="1" applyAlignment="1" applyProtection="1">
      <alignment horizontal="center" vertical="center" wrapText="1"/>
    </xf>
    <xf numFmtId="3" fontId="11" fillId="0" borderId="8" xfId="3" applyNumberFormat="1" applyFont="1" applyBorder="1" applyAlignment="1">
      <alignment horizontal="center" vertical="center" wrapText="1"/>
    </xf>
    <xf numFmtId="165" fontId="9" fillId="0" borderId="5" xfId="3" applyNumberFormat="1" applyFont="1" applyBorder="1" applyAlignment="1">
      <alignment horizontal="center" vertical="center" wrapText="1"/>
    </xf>
    <xf numFmtId="0" fontId="9" fillId="0" borderId="6" xfId="3" applyFont="1" applyBorder="1" applyAlignment="1">
      <alignment horizontal="center" vertical="center" wrapText="1"/>
    </xf>
    <xf numFmtId="0" fontId="11" fillId="0" borderId="6" xfId="3" applyFont="1" applyBorder="1" applyAlignment="1">
      <alignment horizontal="justify" vertical="center" wrapText="1"/>
    </xf>
    <xf numFmtId="1" fontId="9" fillId="0" borderId="6" xfId="11" applyNumberFormat="1" applyFont="1" applyFill="1" applyBorder="1" applyAlignment="1" applyProtection="1">
      <alignment horizontal="center" vertical="center" wrapText="1"/>
    </xf>
    <xf numFmtId="3" fontId="9" fillId="0" borderId="6" xfId="3" applyNumberFormat="1" applyFont="1" applyBorder="1" applyAlignment="1">
      <alignment horizontal="center" vertical="center" wrapText="1"/>
    </xf>
    <xf numFmtId="3" fontId="9" fillId="0" borderId="7" xfId="3" applyNumberFormat="1" applyFont="1" applyBorder="1" applyAlignment="1">
      <alignment horizontal="center" vertical="center" wrapText="1"/>
    </xf>
    <xf numFmtId="165" fontId="9" fillId="0" borderId="4" xfId="3" applyNumberFormat="1" applyFont="1" applyBorder="1" applyAlignment="1">
      <alignment horizontal="center" vertical="center" wrapText="1"/>
    </xf>
    <xf numFmtId="0" fontId="9" fillId="0" borderId="4" xfId="3" applyFont="1" applyBorder="1" applyAlignment="1">
      <alignment horizontal="center" vertical="center" wrapText="1"/>
    </xf>
    <xf numFmtId="0" fontId="11" fillId="0" borderId="4" xfId="3" applyFont="1" applyBorder="1" applyAlignment="1">
      <alignment horizontal="justify" vertical="center" wrapText="1"/>
    </xf>
    <xf numFmtId="1" fontId="9" fillId="0" borderId="4" xfId="11" applyNumberFormat="1" applyFont="1" applyFill="1" applyBorder="1" applyAlignment="1" applyProtection="1">
      <alignment horizontal="center" vertical="center" wrapText="1"/>
    </xf>
    <xf numFmtId="3" fontId="9" fillId="0" borderId="4" xfId="3" applyNumberFormat="1" applyFont="1" applyBorder="1" applyAlignment="1">
      <alignment horizontal="center" vertical="center" wrapText="1"/>
    </xf>
    <xf numFmtId="165" fontId="12" fillId="0" borderId="1" xfId="0" applyNumberFormat="1" applyFont="1" applyBorder="1" applyAlignment="1">
      <alignment horizontal="left" vertical="top"/>
    </xf>
    <xf numFmtId="0" fontId="8" fillId="0" borderId="1" xfId="0" applyFont="1" applyFill="1" applyBorder="1" applyAlignment="1">
      <alignment horizontal="left" vertical="top"/>
    </xf>
    <xf numFmtId="0" fontId="12" fillId="0" borderId="1" xfId="0" applyFont="1" applyFill="1" applyBorder="1" applyAlignment="1">
      <alignment horizontal="left" vertical="top"/>
    </xf>
    <xf numFmtId="0" fontId="8" fillId="0" borderId="1" xfId="0" applyFont="1" applyFill="1" applyBorder="1" applyAlignment="1">
      <alignment horizontal="center" vertical="top"/>
    </xf>
    <xf numFmtId="0" fontId="9" fillId="0" borderId="1" xfId="0" applyFont="1" applyFill="1" applyBorder="1" applyAlignment="1">
      <alignment horizontal="left" vertical="center" wrapText="1"/>
    </xf>
    <xf numFmtId="165" fontId="9" fillId="0" borderId="9" xfId="3" applyNumberFormat="1" applyFont="1" applyBorder="1" applyAlignment="1">
      <alignment horizontal="center" vertical="center" wrapText="1"/>
    </xf>
    <xf numFmtId="0" fontId="9" fillId="0" borderId="9" xfId="3" applyFont="1" applyBorder="1" applyAlignment="1">
      <alignment horizontal="center" vertical="center" wrapText="1"/>
    </xf>
    <xf numFmtId="0" fontId="9" fillId="0" borderId="9" xfId="3" applyFont="1" applyBorder="1" applyAlignment="1">
      <alignment vertical="center" wrapText="1"/>
    </xf>
    <xf numFmtId="1" fontId="9" fillId="0" borderId="9" xfId="11" applyNumberFormat="1" applyFont="1" applyFill="1" applyBorder="1" applyAlignment="1" applyProtection="1">
      <alignment horizontal="center" vertical="center" wrapText="1"/>
    </xf>
    <xf numFmtId="3" fontId="9" fillId="0" borderId="9" xfId="3" applyNumberFormat="1" applyFont="1" applyBorder="1" applyAlignment="1">
      <alignment horizontal="center" vertical="center" wrapText="1"/>
    </xf>
    <xf numFmtId="1" fontId="9" fillId="0" borderId="9" xfId="3" applyNumberFormat="1" applyFont="1" applyBorder="1" applyAlignment="1">
      <alignment horizontal="center" vertical="center" wrapText="1"/>
    </xf>
    <xf numFmtId="1" fontId="11" fillId="0" borderId="6" xfId="11" applyNumberFormat="1" applyFont="1" applyFill="1" applyBorder="1" applyAlignment="1" applyProtection="1">
      <alignment horizontal="center" vertical="center" wrapText="1"/>
    </xf>
    <xf numFmtId="1" fontId="11" fillId="0" borderId="6" xfId="3" applyNumberFormat="1" applyFont="1" applyBorder="1" applyAlignment="1">
      <alignment horizontal="center" vertical="center" wrapText="1"/>
    </xf>
    <xf numFmtId="1" fontId="11" fillId="0" borderId="7" xfId="3" applyNumberFormat="1" applyFont="1" applyBorder="1" applyAlignment="1">
      <alignment horizontal="center" vertical="center" wrapText="1"/>
    </xf>
    <xf numFmtId="1" fontId="9" fillId="0" borderId="8" xfId="3" applyNumberFormat="1" applyFont="1" applyBorder="1" applyAlignment="1">
      <alignment horizontal="center" vertical="center" wrapText="1"/>
    </xf>
    <xf numFmtId="1" fontId="9" fillId="0" borderId="6" xfId="3" applyNumberFormat="1" applyFont="1" applyBorder="1" applyAlignment="1">
      <alignment horizontal="center" vertical="center" wrapText="1"/>
    </xf>
    <xf numFmtId="1" fontId="9" fillId="0" borderId="7" xfId="3" applyNumberFormat="1" applyFont="1" applyBorder="1" applyAlignment="1">
      <alignment horizontal="center" vertical="center" wrapText="1"/>
    </xf>
    <xf numFmtId="1" fontId="9" fillId="0" borderId="4" xfId="3" applyNumberFormat="1" applyFont="1" applyBorder="1" applyAlignment="1">
      <alignment horizontal="center" vertical="center" wrapText="1"/>
    </xf>
    <xf numFmtId="0" fontId="8" fillId="0" borderId="1" xfId="3" applyFont="1" applyBorder="1" applyAlignment="1">
      <alignment horizontal="center" vertical="center" wrapText="1"/>
    </xf>
    <xf numFmtId="0" fontId="12" fillId="0" borderId="1" xfId="3" applyFont="1" applyBorder="1" applyAlignment="1">
      <alignment horizontal="center" vertical="center" wrapText="1"/>
    </xf>
    <xf numFmtId="1" fontId="12" fillId="0" borderId="1" xfId="3" applyNumberFormat="1" applyFont="1" applyBorder="1" applyAlignment="1">
      <alignment horizontal="center" vertical="center" wrapText="1"/>
    </xf>
    <xf numFmtId="0" fontId="11" fillId="0" borderId="6" xfId="3" applyFont="1" applyBorder="1" applyAlignment="1">
      <alignment horizontal="left" vertical="center" wrapText="1"/>
    </xf>
    <xf numFmtId="0" fontId="11" fillId="0" borderId="4" xfId="3" applyFont="1" applyBorder="1" applyAlignment="1">
      <alignment horizontal="left" vertical="center" wrapText="1"/>
    </xf>
    <xf numFmtId="0" fontId="11" fillId="0" borderId="1" xfId="5" applyFont="1" applyBorder="1" applyAlignment="1">
      <alignment horizontal="justify" vertical="center" wrapText="1"/>
    </xf>
    <xf numFmtId="0" fontId="9" fillId="0" borderId="1" xfId="5" applyFont="1" applyBorder="1" applyAlignment="1">
      <alignment horizontal="justify" vertical="center" wrapText="1"/>
    </xf>
    <xf numFmtId="2" fontId="9" fillId="0" borderId="1" xfId="3" applyNumberFormat="1" applyFont="1" applyBorder="1" applyAlignment="1">
      <alignment horizontal="center" vertical="center" wrapText="1"/>
    </xf>
    <xf numFmtId="0" fontId="9" fillId="0" borderId="1" xfId="3" applyFont="1" applyBorder="1" applyAlignment="1">
      <alignment horizontal="justify" vertical="center" wrapText="1"/>
    </xf>
    <xf numFmtId="1" fontId="9" fillId="0" borderId="1" xfId="10" applyNumberFormat="1" applyFont="1" applyBorder="1" applyAlignment="1">
      <alignment horizontal="center" vertical="center" wrapText="1"/>
    </xf>
    <xf numFmtId="2" fontId="9" fillId="0" borderId="9" xfId="3" applyNumberFormat="1" applyFont="1" applyBorder="1" applyAlignment="1">
      <alignment horizontal="center" vertical="center" wrapText="1"/>
    </xf>
    <xf numFmtId="1" fontId="9" fillId="0" borderId="9" xfId="10" applyNumberFormat="1" applyFont="1" applyBorder="1" applyAlignment="1">
      <alignment horizontal="center" vertical="center" wrapText="1"/>
    </xf>
    <xf numFmtId="2" fontId="11" fillId="0" borderId="5" xfId="3" applyNumberFormat="1" applyFont="1" applyBorder="1" applyAlignment="1">
      <alignment horizontal="center" vertical="center" wrapText="1"/>
    </xf>
    <xf numFmtId="2"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164" fontId="12" fillId="0" borderId="1" xfId="4" applyFont="1" applyFill="1" applyBorder="1" applyAlignment="1" applyProtection="1">
      <alignment horizontal="center" vertical="center" wrapText="1"/>
    </xf>
    <xf numFmtId="0" fontId="8" fillId="0" borderId="1" xfId="2" applyFont="1" applyBorder="1" applyAlignment="1">
      <alignment horizontal="center" vertical="center" wrapText="1"/>
    </xf>
    <xf numFmtId="166" fontId="12" fillId="0" borderId="1" xfId="4" applyNumberFormat="1" applyFont="1" applyFill="1" applyBorder="1" applyAlignment="1" applyProtection="1">
      <alignment horizontal="center" vertical="center" wrapText="1"/>
    </xf>
    <xf numFmtId="166" fontId="12" fillId="0" borderId="9" xfId="4" applyNumberFormat="1" applyFont="1" applyFill="1" applyBorder="1" applyAlignment="1" applyProtection="1">
      <alignment horizontal="center" vertical="center" wrapText="1"/>
    </xf>
    <xf numFmtId="0" fontId="9" fillId="0" borderId="5" xfId="3" applyFont="1" applyBorder="1" applyAlignment="1">
      <alignment vertical="center" wrapText="1"/>
    </xf>
    <xf numFmtId="0" fontId="9" fillId="0" borderId="6" xfId="3" applyFont="1" applyBorder="1" applyAlignment="1">
      <alignment vertical="center" wrapText="1"/>
    </xf>
    <xf numFmtId="1" fontId="9" fillId="0" borderId="6" xfId="3" applyNumberFormat="1" applyFont="1" applyBorder="1" applyAlignment="1">
      <alignment vertical="center" wrapText="1"/>
    </xf>
    <xf numFmtId="3" fontId="11" fillId="0" borderId="6" xfId="3" applyNumberFormat="1" applyFont="1" applyBorder="1" applyAlignment="1">
      <alignment vertical="center" wrapText="1"/>
    </xf>
    <xf numFmtId="0" fontId="9" fillId="0" borderId="7" xfId="3" applyFont="1" applyBorder="1" applyAlignment="1">
      <alignment vertical="center" wrapText="1"/>
    </xf>
    <xf numFmtId="1" fontId="9" fillId="0" borderId="0" xfId="3" applyNumberFormat="1" applyFont="1" applyAlignment="1">
      <alignment vertical="center" wrapText="1"/>
    </xf>
    <xf numFmtId="1" fontId="9" fillId="0" borderId="0" xfId="3" applyNumberFormat="1" applyFont="1" applyAlignment="1">
      <alignment horizontal="center" vertical="center" wrapText="1"/>
    </xf>
    <xf numFmtId="1" fontId="11" fillId="0" borderId="9" xfId="3" applyNumberFormat="1" applyFont="1" applyBorder="1" applyAlignment="1">
      <alignment horizontal="center" vertical="center" wrapText="1"/>
    </xf>
    <xf numFmtId="1" fontId="11" fillId="0" borderId="7" xfId="10" applyNumberFormat="1" applyFont="1" applyBorder="1" applyAlignment="1">
      <alignment horizontal="center" vertical="center" wrapText="1"/>
    </xf>
    <xf numFmtId="164" fontId="11" fillId="0" borderId="8" xfId="11" applyFont="1" applyFill="1" applyBorder="1" applyAlignment="1" applyProtection="1">
      <alignment horizontal="center" vertical="center" wrapText="1"/>
    </xf>
    <xf numFmtId="164" fontId="11" fillId="0" borderId="6" xfId="11" applyFont="1" applyFill="1" applyBorder="1" applyAlignment="1" applyProtection="1">
      <alignment horizontal="center" vertical="center" wrapText="1"/>
    </xf>
    <xf numFmtId="0" fontId="11" fillId="0" borderId="4" xfId="3" applyFont="1" applyBorder="1" applyAlignment="1">
      <alignment horizontal="center" vertical="center" wrapText="1"/>
    </xf>
    <xf numFmtId="164" fontId="9" fillId="0" borderId="4" xfId="11" applyFont="1" applyFill="1" applyBorder="1" applyAlignment="1" applyProtection="1">
      <alignment horizontal="center" vertical="center" wrapText="1"/>
    </xf>
    <xf numFmtId="165" fontId="9" fillId="0" borderId="1" xfId="10" applyNumberFormat="1" applyFont="1" applyBorder="1" applyAlignment="1">
      <alignment horizontal="center" vertical="center" wrapText="1"/>
    </xf>
    <xf numFmtId="165" fontId="11" fillId="0" borderId="1" xfId="10" applyNumberFormat="1" applyFont="1" applyBorder="1" applyAlignment="1">
      <alignment horizontal="center" vertical="center" wrapText="1"/>
    </xf>
    <xf numFmtId="0" fontId="11" fillId="0" borderId="1" xfId="10" applyFont="1" applyBorder="1" applyAlignment="1">
      <alignment horizontal="center" vertical="center"/>
    </xf>
    <xf numFmtId="0"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9" fillId="0" borderId="1" xfId="6" applyFont="1" applyBorder="1" applyAlignment="1">
      <alignment horizontal="center" vertical="center" wrapText="1"/>
    </xf>
    <xf numFmtId="0" fontId="11" fillId="0" borderId="1" xfId="5" applyFont="1" applyBorder="1" applyAlignment="1">
      <alignment horizontal="center" vertical="center" wrapText="1"/>
    </xf>
    <xf numFmtId="166" fontId="9" fillId="0" borderId="1" xfId="8" applyNumberFormat="1" applyFont="1" applyBorder="1" applyAlignment="1">
      <alignment horizontal="center" vertical="center" wrapText="1"/>
    </xf>
    <xf numFmtId="0" fontId="9" fillId="0" borderId="1" xfId="5" applyFont="1" applyBorder="1" applyAlignment="1">
      <alignment horizontal="center" vertical="center" wrapText="1"/>
    </xf>
    <xf numFmtId="0" fontId="9" fillId="0" borderId="9" xfId="10" applyFont="1" applyBorder="1" applyAlignment="1">
      <alignment horizontal="center" vertical="center" wrapText="1"/>
    </xf>
    <xf numFmtId="166" fontId="9" fillId="0" borderId="9" xfId="11" applyNumberFormat="1" applyFont="1" applyFill="1" applyBorder="1" applyAlignment="1" applyProtection="1">
      <alignment horizontal="center" vertical="center" wrapText="1"/>
    </xf>
    <xf numFmtId="166" fontId="9" fillId="0" borderId="6" xfId="11" applyNumberFormat="1" applyFont="1" applyFill="1" applyBorder="1" applyAlignment="1" applyProtection="1">
      <alignment horizontal="center" vertical="center" wrapText="1"/>
    </xf>
    <xf numFmtId="165" fontId="8" fillId="0" borderId="5" xfId="3" applyNumberFormat="1" applyFont="1" applyBorder="1" applyAlignment="1">
      <alignment horizontal="center" vertical="center" wrapText="1"/>
    </xf>
    <xf numFmtId="1" fontId="8" fillId="0" borderId="6" xfId="3" applyNumberFormat="1" applyFont="1" applyBorder="1" applyAlignment="1">
      <alignment horizontal="center" vertical="center" wrapText="1"/>
    </xf>
    <xf numFmtId="0" fontId="8" fillId="0" borderId="6" xfId="3" applyFont="1" applyBorder="1" applyAlignment="1">
      <alignment horizontal="center" vertical="center" wrapText="1"/>
    </xf>
    <xf numFmtId="166" fontId="8" fillId="0" borderId="6" xfId="4" applyNumberFormat="1" applyFont="1" applyFill="1" applyBorder="1" applyAlignment="1" applyProtection="1">
      <alignment horizontal="center" vertical="center" wrapText="1"/>
    </xf>
    <xf numFmtId="0" fontId="12" fillId="0" borderId="7" xfId="3" applyFont="1" applyBorder="1" applyAlignment="1">
      <alignment horizontal="center" vertical="center" wrapText="1"/>
    </xf>
    <xf numFmtId="165" fontId="12" fillId="0" borderId="4" xfId="3" applyNumberFormat="1" applyFont="1" applyBorder="1" applyAlignment="1">
      <alignment horizontal="center" vertical="center" wrapText="1"/>
    </xf>
    <xf numFmtId="1" fontId="12" fillId="0" borderId="4" xfId="3" applyNumberFormat="1" applyFont="1" applyBorder="1" applyAlignment="1">
      <alignment horizontal="center" vertical="center" wrapText="1"/>
    </xf>
    <xf numFmtId="0" fontId="8" fillId="0" borderId="4" xfId="3" applyFont="1" applyBorder="1" applyAlignment="1">
      <alignment horizontal="center" vertical="center" wrapText="1"/>
    </xf>
    <xf numFmtId="0" fontId="12" fillId="0" borderId="4" xfId="3" applyFont="1" applyBorder="1" applyAlignment="1">
      <alignment horizontal="center" vertical="center" wrapText="1"/>
    </xf>
    <xf numFmtId="166" fontId="12" fillId="0" borderId="4" xfId="4" applyNumberFormat="1" applyFont="1" applyFill="1" applyBorder="1" applyAlignment="1" applyProtection="1">
      <alignment horizontal="center" vertical="center" wrapText="1"/>
    </xf>
    <xf numFmtId="165" fontId="12" fillId="0" borderId="1" xfId="3" applyNumberFormat="1" applyFont="1" applyBorder="1" applyAlignment="1">
      <alignment horizontal="center" vertical="center" wrapText="1"/>
    </xf>
    <xf numFmtId="0" fontId="9" fillId="0" borderId="1" xfId="2" applyFont="1" applyBorder="1" applyAlignment="1">
      <alignment horizontal="center" vertical="center" wrapText="1"/>
    </xf>
    <xf numFmtId="165" fontId="12" fillId="0" borderId="10" xfId="3" applyNumberFormat="1" applyFont="1" applyBorder="1" applyAlignment="1">
      <alignment horizontal="center" vertical="center" wrapText="1"/>
    </xf>
    <xf numFmtId="1" fontId="12" fillId="0" borderId="8" xfId="3" applyNumberFormat="1" applyFont="1" applyBorder="1" applyAlignment="1">
      <alignment horizontal="center" vertical="center" wrapText="1"/>
    </xf>
    <xf numFmtId="0" fontId="12" fillId="0" borderId="8" xfId="3" applyFont="1" applyBorder="1" applyAlignment="1">
      <alignment horizontal="center" vertical="center" wrapText="1"/>
    </xf>
    <xf numFmtId="0" fontId="12" fillId="0" borderId="8" xfId="2" applyFont="1" applyBorder="1" applyAlignment="1">
      <alignment horizontal="center" vertical="center" wrapText="1"/>
    </xf>
    <xf numFmtId="166" fontId="12" fillId="0" borderId="8" xfId="4" applyNumberFormat="1" applyFont="1" applyFill="1" applyBorder="1" applyAlignment="1" applyProtection="1">
      <alignment horizontal="center" vertical="center" wrapText="1"/>
    </xf>
    <xf numFmtId="0" fontId="12" fillId="0" borderId="11" xfId="3" applyFont="1" applyBorder="1" applyAlignment="1">
      <alignment horizontal="center" vertical="center" wrapText="1"/>
    </xf>
    <xf numFmtId="165" fontId="12" fillId="0" borderId="9" xfId="3" applyNumberFormat="1" applyFont="1" applyBorder="1" applyAlignment="1">
      <alignment horizontal="center" vertical="center" wrapText="1"/>
    </xf>
    <xf numFmtId="1" fontId="12" fillId="0" borderId="9" xfId="3" applyNumberFormat="1" applyFont="1" applyBorder="1" applyAlignment="1">
      <alignment horizontal="center" vertical="center" wrapText="1"/>
    </xf>
    <xf numFmtId="0" fontId="12" fillId="0" borderId="9" xfId="3" applyFont="1" applyBorder="1" applyAlignment="1">
      <alignment horizontal="center" vertical="center" wrapText="1"/>
    </xf>
    <xf numFmtId="0" fontId="12" fillId="0" borderId="9" xfId="2" applyFont="1" applyBorder="1" applyAlignment="1">
      <alignment horizontal="center" vertical="center" wrapText="1"/>
    </xf>
    <xf numFmtId="165" fontId="11" fillId="0" borderId="4" xfId="3" applyNumberFormat="1" applyFont="1" applyBorder="1" applyAlignment="1">
      <alignment horizontal="center" vertical="center" wrapText="1"/>
    </xf>
    <xf numFmtId="1" fontId="11" fillId="0" borderId="4" xfId="3" applyNumberFormat="1" applyFont="1" applyBorder="1" applyAlignment="1">
      <alignment horizontal="center" vertical="center" wrapText="1"/>
    </xf>
    <xf numFmtId="166" fontId="11" fillId="0" borderId="4" xfId="11" applyNumberFormat="1" applyFont="1" applyFill="1" applyBorder="1" applyAlignment="1" applyProtection="1">
      <alignment horizontal="center" vertical="center" wrapText="1"/>
    </xf>
    <xf numFmtId="0" fontId="17" fillId="0" borderId="1" xfId="2" applyFont="1" applyBorder="1" applyAlignment="1">
      <alignment horizontal="center" vertical="center" wrapText="1"/>
    </xf>
    <xf numFmtId="0" fontId="18" fillId="0" borderId="1" xfId="2" applyFont="1" applyBorder="1" applyAlignment="1">
      <alignment horizontal="center" vertical="center" wrapText="1"/>
    </xf>
    <xf numFmtId="166" fontId="11" fillId="0" borderId="1" xfId="11" applyNumberFormat="1" applyFont="1" applyFill="1" applyBorder="1" applyAlignment="1" applyProtection="1">
      <alignment horizontal="center" vertical="center" wrapText="1"/>
    </xf>
    <xf numFmtId="1" fontId="15" fillId="0" borderId="1" xfId="3" applyNumberFormat="1" applyFont="1" applyBorder="1" applyAlignment="1">
      <alignment horizontal="center" vertical="center" wrapText="1"/>
    </xf>
    <xf numFmtId="0" fontId="9" fillId="0" borderId="1" xfId="9" applyFont="1" applyBorder="1" applyAlignment="1">
      <alignment horizontal="center" vertical="center" wrapText="1"/>
    </xf>
    <xf numFmtId="0" fontId="9" fillId="0" borderId="1" xfId="7" applyFont="1" applyBorder="1" applyAlignment="1">
      <alignment horizontal="center" vertical="center" wrapText="1"/>
    </xf>
    <xf numFmtId="1" fontId="9" fillId="0" borderId="9" xfId="3" applyNumberFormat="1" applyFont="1" applyBorder="1" applyAlignment="1">
      <alignment vertical="center" wrapText="1"/>
    </xf>
    <xf numFmtId="2" fontId="8" fillId="0" borderId="5" xfId="3" applyNumberFormat="1" applyFont="1" applyBorder="1" applyAlignment="1">
      <alignment horizontal="center" vertical="center" wrapText="1"/>
    </xf>
    <xf numFmtId="164" fontId="8" fillId="0" borderId="6" xfId="4" applyFont="1" applyFill="1" applyBorder="1" applyAlignment="1" applyProtection="1">
      <alignment horizontal="center" vertical="center" wrapText="1"/>
    </xf>
    <xf numFmtId="2" fontId="12" fillId="0" borderId="4" xfId="3" applyNumberFormat="1" applyFont="1" applyBorder="1" applyAlignment="1">
      <alignment horizontal="center" vertical="center" wrapText="1"/>
    </xf>
    <xf numFmtId="164" fontId="12" fillId="0" borderId="4" xfId="4" applyFont="1" applyFill="1" applyBorder="1" applyAlignment="1" applyProtection="1">
      <alignment horizontal="center" vertical="center" wrapText="1"/>
    </xf>
    <xf numFmtId="0" fontId="19" fillId="0" borderId="1" xfId="10" applyFont="1" applyBorder="1" applyAlignment="1">
      <alignment horizontal="left" vertical="center" wrapText="1"/>
    </xf>
    <xf numFmtId="0" fontId="18" fillId="0" borderId="1" xfId="0" applyFont="1" applyFill="1" applyBorder="1" applyAlignment="1">
      <alignment horizontal="left" vertical="top" wrapText="1"/>
    </xf>
    <xf numFmtId="0" fontId="19" fillId="0" borderId="1" xfId="3" applyFont="1" applyBorder="1" applyAlignment="1">
      <alignment horizontal="center" vertical="center" wrapText="1"/>
    </xf>
    <xf numFmtId="0" fontId="19" fillId="0" borderId="1" xfId="10" applyFont="1" applyBorder="1" applyAlignment="1">
      <alignment horizontal="center" vertical="center" wrapText="1"/>
    </xf>
    <xf numFmtId="0" fontId="20" fillId="0" borderId="1" xfId="10" applyFont="1" applyBorder="1" applyAlignment="1">
      <alignment horizontal="left" vertical="center" wrapText="1"/>
    </xf>
    <xf numFmtId="168" fontId="19" fillId="0" borderId="1" xfId="1" applyNumberFormat="1" applyFont="1" applyFill="1" applyBorder="1" applyAlignment="1">
      <alignment horizontal="center" vertical="center" wrapText="1"/>
    </xf>
    <xf numFmtId="0" fontId="21" fillId="0" borderId="1" xfId="3" applyFont="1" applyBorder="1" applyAlignment="1">
      <alignment horizontal="center" vertical="center" wrapText="1"/>
    </xf>
    <xf numFmtId="0" fontId="19" fillId="0" borderId="0" xfId="3" applyFont="1" applyAlignment="1">
      <alignment horizontal="center" vertical="center" wrapText="1"/>
    </xf>
    <xf numFmtId="0" fontId="19" fillId="0" borderId="1" xfId="3" applyFont="1" applyBorder="1" applyAlignment="1">
      <alignment horizontal="left" vertical="center" wrapText="1"/>
    </xf>
    <xf numFmtId="165" fontId="20" fillId="0" borderId="1" xfId="3" applyNumberFormat="1" applyFont="1" applyBorder="1" applyAlignment="1">
      <alignment horizontal="center" vertical="center" wrapText="1"/>
    </xf>
    <xf numFmtId="0" fontId="20" fillId="0" borderId="1" xfId="10" applyFont="1" applyBorder="1" applyAlignment="1">
      <alignment horizontal="center" vertical="center" wrapText="1"/>
    </xf>
    <xf numFmtId="0" fontId="20" fillId="0" borderId="1" xfId="3" applyFont="1" applyBorder="1" applyAlignment="1">
      <alignment horizontal="left" vertical="center" wrapText="1"/>
    </xf>
    <xf numFmtId="0" fontId="20" fillId="0" borderId="1" xfId="3" applyFont="1" applyBorder="1" applyAlignment="1">
      <alignment horizontal="center" vertical="center" wrapText="1"/>
    </xf>
    <xf numFmtId="168" fontId="20" fillId="0" borderId="1" xfId="1" applyNumberFormat="1" applyFont="1" applyFill="1" applyBorder="1" applyAlignment="1">
      <alignment horizontal="center" vertical="center" wrapText="1"/>
    </xf>
    <xf numFmtId="0" fontId="20" fillId="0" borderId="0" xfId="3" applyFont="1" applyAlignment="1">
      <alignment horizontal="center" vertical="center" wrapText="1"/>
    </xf>
    <xf numFmtId="165" fontId="19" fillId="0" borderId="1" xfId="3" applyNumberFormat="1" applyFont="1" applyBorder="1" applyAlignment="1">
      <alignment horizontal="center" vertical="center" wrapText="1"/>
    </xf>
    <xf numFmtId="166" fontId="20" fillId="0" borderId="1" xfId="11" applyNumberFormat="1" applyFont="1" applyFill="1" applyBorder="1" applyAlignment="1" applyProtection="1">
      <alignment horizontal="center" vertical="center" wrapText="1"/>
    </xf>
    <xf numFmtId="164" fontId="20" fillId="0" borderId="1" xfId="11" applyFont="1" applyFill="1" applyBorder="1" applyAlignment="1" applyProtection="1">
      <alignment horizontal="center" vertical="center" wrapText="1"/>
    </xf>
    <xf numFmtId="166" fontId="19" fillId="0" borderId="1" xfId="11" applyNumberFormat="1" applyFont="1" applyFill="1" applyBorder="1" applyAlignment="1" applyProtection="1">
      <alignment horizontal="center" vertical="center" wrapText="1"/>
    </xf>
    <xf numFmtId="0" fontId="19" fillId="0" borderId="1" xfId="10" applyFont="1" applyBorder="1" applyAlignment="1">
      <alignment horizontal="left" vertical="top" wrapText="1"/>
    </xf>
    <xf numFmtId="0" fontId="19" fillId="0" borderId="1" xfId="10" applyFont="1" applyBorder="1" applyAlignment="1">
      <alignment horizontal="center" vertical="center"/>
    </xf>
    <xf numFmtId="165" fontId="19" fillId="0" borderId="1" xfId="10" applyNumberFormat="1" applyFont="1" applyBorder="1" applyAlignment="1">
      <alignment horizontal="center" vertical="center" wrapText="1"/>
    </xf>
    <xf numFmtId="0" fontId="20" fillId="0" borderId="1" xfId="10" applyFont="1" applyBorder="1" applyAlignment="1">
      <alignment horizontal="center" vertical="center"/>
    </xf>
    <xf numFmtId="0" fontId="23"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2" fontId="23" fillId="0" borderId="1"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top" wrapText="1"/>
    </xf>
    <xf numFmtId="1" fontId="19" fillId="0" borderId="1" xfId="3" applyNumberFormat="1" applyFont="1" applyBorder="1" applyAlignment="1">
      <alignment horizontal="center" vertical="center" wrapText="1"/>
    </xf>
    <xf numFmtId="165" fontId="21" fillId="0" borderId="1" xfId="3" applyNumberFormat="1" applyFont="1" applyBorder="1" applyAlignment="1">
      <alignment horizontal="center" vertical="center" wrapText="1"/>
    </xf>
    <xf numFmtId="1" fontId="21" fillId="0" borderId="1" xfId="3" applyNumberFormat="1" applyFont="1" applyBorder="1" applyAlignment="1">
      <alignment horizontal="center" vertical="center" wrapText="1"/>
    </xf>
    <xf numFmtId="166" fontId="21" fillId="0" borderId="1" xfId="11" applyNumberFormat="1" applyFont="1" applyFill="1" applyBorder="1" applyAlignment="1" applyProtection="1">
      <alignment horizontal="center" vertical="center" wrapText="1"/>
    </xf>
    <xf numFmtId="0" fontId="21" fillId="0" borderId="0" xfId="3" applyFont="1" applyAlignment="1">
      <alignment horizontal="center" vertical="center" wrapText="1"/>
    </xf>
    <xf numFmtId="1" fontId="20" fillId="0" borderId="1" xfId="3" applyNumberFormat="1" applyFont="1" applyBorder="1" applyAlignment="1">
      <alignment horizontal="center" vertical="center" wrapText="1"/>
    </xf>
    <xf numFmtId="164" fontId="19" fillId="0" borderId="1" xfId="11" applyFont="1" applyFill="1" applyBorder="1" applyAlignment="1" applyProtection="1">
      <alignment horizontal="center" vertical="center" wrapText="1"/>
    </xf>
    <xf numFmtId="0" fontId="19" fillId="0" borderId="1" xfId="6" applyFont="1" applyBorder="1" applyAlignment="1">
      <alignment horizontal="left" vertical="center" wrapText="1"/>
    </xf>
    <xf numFmtId="166" fontId="19" fillId="0" borderId="1" xfId="11" applyNumberFormat="1" applyFont="1" applyFill="1" applyBorder="1" applyAlignment="1" applyProtection="1">
      <alignment horizontal="center" vertical="center"/>
    </xf>
    <xf numFmtId="0" fontId="20" fillId="0" borderId="1" xfId="5" applyFont="1" applyBorder="1" applyAlignment="1">
      <alignment horizontal="left" vertical="center" wrapText="1"/>
    </xf>
    <xf numFmtId="2" fontId="19" fillId="0" borderId="1" xfId="3" applyNumberFormat="1" applyFont="1" applyBorder="1" applyAlignment="1">
      <alignment horizontal="center" vertical="center" wrapText="1"/>
    </xf>
    <xf numFmtId="0" fontId="19" fillId="0" borderId="1" xfId="5" applyFont="1" applyBorder="1" applyAlignment="1">
      <alignment horizontal="left" vertical="center" wrapText="1"/>
    </xf>
    <xf numFmtId="0" fontId="19" fillId="0" borderId="1" xfId="3" applyFont="1" applyBorder="1" applyAlignment="1">
      <alignment horizontal="center" vertical="center"/>
    </xf>
    <xf numFmtId="1" fontId="19" fillId="0" borderId="1" xfId="3" applyNumberFormat="1" applyFont="1" applyBorder="1" applyAlignment="1">
      <alignment horizontal="center" vertical="center"/>
    </xf>
    <xf numFmtId="2" fontId="20" fillId="0" borderId="1" xfId="3" applyNumberFormat="1" applyFont="1" applyBorder="1" applyAlignment="1">
      <alignment horizontal="center" vertical="center" wrapText="1"/>
    </xf>
    <xf numFmtId="168" fontId="19" fillId="0" borderId="0" xfId="1" applyNumberFormat="1" applyFont="1" applyFill="1" applyAlignment="1">
      <alignment horizontal="center" vertical="center" wrapText="1"/>
    </xf>
    <xf numFmtId="0" fontId="19" fillId="0" borderId="0" xfId="3" applyFont="1" applyAlignment="1">
      <alignment horizontal="left" vertical="center" wrapText="1"/>
    </xf>
    <xf numFmtId="0" fontId="12" fillId="0" borderId="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7" xfId="10" applyFont="1" applyBorder="1" applyAlignment="1">
      <alignment horizontal="center" vertical="center" wrapText="1"/>
    </xf>
    <xf numFmtId="0" fontId="8" fillId="0" borderId="8" xfId="0" applyNumberFormat="1" applyFont="1" applyFill="1" applyBorder="1" applyAlignment="1">
      <alignment horizontal="center" vertical="center" wrapText="1"/>
    </xf>
    <xf numFmtId="0" fontId="12" fillId="0" borderId="8" xfId="10" applyFont="1" applyBorder="1" applyAlignment="1">
      <alignment horizontal="center" vertical="center" wrapText="1"/>
    </xf>
    <xf numFmtId="0" fontId="12" fillId="0" borderId="16" xfId="0" applyNumberFormat="1" applyFont="1" applyBorder="1" applyAlignment="1">
      <alignment horizontal="center" vertical="top"/>
    </xf>
    <xf numFmtId="2" fontId="12" fillId="0" borderId="16" xfId="0" applyNumberFormat="1" applyFont="1" applyFill="1" applyBorder="1" applyAlignment="1">
      <alignment horizontal="center" vertical="top"/>
    </xf>
    <xf numFmtId="0" fontId="25" fillId="0" borderId="16" xfId="0" applyFont="1" applyFill="1" applyBorder="1" applyAlignment="1">
      <alignment horizontal="left" vertical="top" wrapText="1"/>
    </xf>
    <xf numFmtId="0" fontId="12" fillId="0" borderId="16" xfId="0" applyFont="1" applyFill="1" applyBorder="1" applyAlignment="1">
      <alignment horizontal="left" vertical="top"/>
    </xf>
    <xf numFmtId="0" fontId="25" fillId="0" borderId="16" xfId="0" applyFont="1" applyFill="1" applyBorder="1" applyAlignment="1">
      <alignment horizontal="center" vertical="top" wrapText="1"/>
    </xf>
    <xf numFmtId="0" fontId="8" fillId="0" borderId="16" xfId="0" applyFont="1" applyBorder="1" applyAlignment="1">
      <alignment horizontal="center" vertical="center" wrapText="1"/>
    </xf>
    <xf numFmtId="0" fontId="12" fillId="0" borderId="16" xfId="0" applyFont="1" applyFill="1" applyBorder="1" applyAlignment="1">
      <alignment horizontal="center" vertical="center"/>
    </xf>
    <xf numFmtId="43" fontId="12" fillId="0" borderId="16" xfId="1" applyFont="1" applyFill="1" applyBorder="1" applyAlignment="1">
      <alignment horizontal="center" vertical="center" wrapText="1"/>
    </xf>
    <xf numFmtId="0" fontId="8" fillId="0" borderId="16" xfId="10" applyFont="1" applyBorder="1" applyAlignment="1">
      <alignment horizontal="center" vertical="center" wrapText="1"/>
    </xf>
    <xf numFmtId="0"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top"/>
    </xf>
    <xf numFmtId="0" fontId="12" fillId="0" borderId="1" xfId="0" applyFont="1" applyFill="1" applyBorder="1" applyAlignment="1">
      <alignment horizontal="center"/>
    </xf>
    <xf numFmtId="0" fontId="12" fillId="0" borderId="1" xfId="0" applyFont="1" applyFill="1" applyBorder="1" applyAlignment="1">
      <alignment horizontal="center" vertical="center"/>
    </xf>
    <xf numFmtId="0" fontId="12" fillId="0" borderId="1" xfId="0" applyNumberFormat="1" applyFont="1" applyBorder="1" applyAlignment="1">
      <alignment vertical="top"/>
    </xf>
    <xf numFmtId="0" fontId="12" fillId="0" borderId="9" xfId="0" applyNumberFormat="1" applyFont="1" applyFill="1" applyBorder="1" applyAlignment="1">
      <alignment horizontal="center" vertical="center" wrapText="1"/>
    </xf>
    <xf numFmtId="164" fontId="12" fillId="0" borderId="8" xfId="10" applyNumberFormat="1" applyFont="1" applyBorder="1" applyAlignment="1">
      <alignment horizontal="center" vertical="center" wrapText="1"/>
    </xf>
    <xf numFmtId="0" fontId="12" fillId="0" borderId="8" xfId="0" applyNumberFormat="1" applyFont="1" applyBorder="1" applyAlignment="1">
      <alignment vertical="top"/>
    </xf>
    <xf numFmtId="0" fontId="12" fillId="0" borderId="8" xfId="0" applyNumberFormat="1" applyFont="1" applyBorder="1" applyAlignment="1">
      <alignment horizontal="center" vertical="center"/>
    </xf>
    <xf numFmtId="0" fontId="8" fillId="0" borderId="8" xfId="10" applyFont="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6" fontId="12" fillId="0" borderId="1" xfId="11" applyNumberFormat="1" applyFont="1" applyFill="1" applyBorder="1" applyAlignment="1" applyProtection="1">
      <alignment horizontal="center" vertical="center" wrapText="1"/>
    </xf>
    <xf numFmtId="0" fontId="8" fillId="0" borderId="1" xfId="10" applyFont="1" applyBorder="1" applyAlignment="1">
      <alignment horizontal="center" vertical="center" wrapText="1"/>
    </xf>
    <xf numFmtId="0" fontId="12" fillId="0" borderId="1" xfId="10" applyFont="1" applyBorder="1" applyAlignment="1">
      <alignment horizontal="center" vertical="center"/>
    </xf>
    <xf numFmtId="0" fontId="12" fillId="0" borderId="1" xfId="3" applyFont="1" applyBorder="1" applyAlignment="1">
      <alignment vertical="center" wrapText="1"/>
    </xf>
    <xf numFmtId="0" fontId="12" fillId="0" borderId="1" xfId="10" applyFont="1" applyBorder="1" applyAlignment="1">
      <alignment horizontal="left" vertical="center" wrapText="1"/>
    </xf>
    <xf numFmtId="0" fontId="26" fillId="0" borderId="1" xfId="0" applyFont="1" applyFill="1" applyBorder="1" applyAlignment="1">
      <alignment horizontal="center" vertical="top" wrapText="1"/>
    </xf>
    <xf numFmtId="0" fontId="26" fillId="0" borderId="1" xfId="0" applyFont="1" applyFill="1" applyBorder="1">
      <alignment vertical="top" wrapText="1"/>
    </xf>
    <xf numFmtId="0" fontId="27" fillId="0" borderId="1" xfId="0" applyFont="1" applyFill="1" applyBorder="1" applyAlignment="1">
      <alignment horizontal="center" vertical="top" wrapText="1"/>
    </xf>
    <xf numFmtId="0" fontId="26" fillId="0" borderId="1" xfId="0" applyFont="1" applyFill="1" applyBorder="1" applyAlignment="1">
      <alignment horizontal="center" vertical="top"/>
    </xf>
    <xf numFmtId="0" fontId="27" fillId="0" borderId="1" xfId="0" applyNumberFormat="1" applyFont="1" applyFill="1" applyBorder="1" applyAlignment="1">
      <alignment horizontal="center" vertical="top" wrapText="1"/>
    </xf>
    <xf numFmtId="166" fontId="26" fillId="0" borderId="1" xfId="11" applyNumberFormat="1" applyFont="1" applyFill="1" applyBorder="1" applyAlignment="1" applyProtection="1">
      <alignment horizontal="center" vertical="top" wrapText="1"/>
    </xf>
    <xf numFmtId="0" fontId="26" fillId="0" borderId="1" xfId="3" applyFont="1" applyBorder="1" applyAlignment="1">
      <alignment vertical="top" wrapText="1"/>
    </xf>
    <xf numFmtId="0" fontId="26"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NumberFormat="1" applyFont="1" applyBorder="1" applyAlignment="1">
      <alignment horizontal="left" vertical="top"/>
    </xf>
    <xf numFmtId="2" fontId="12" fillId="0" borderId="9" xfId="0" applyNumberFormat="1" applyFont="1" applyFill="1" applyBorder="1" applyAlignment="1">
      <alignment horizontal="center" vertical="center" wrapText="1"/>
    </xf>
    <xf numFmtId="164" fontId="12" fillId="0" borderId="9" xfId="0" applyNumberFormat="1"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2" fontId="12" fillId="0" borderId="6" xfId="0" applyNumberFormat="1" applyFont="1" applyFill="1" applyBorder="1" applyAlignment="1">
      <alignment horizontal="center" vertical="center" wrapText="1"/>
    </xf>
    <xf numFmtId="164" fontId="12" fillId="0" borderId="7" xfId="0" applyNumberFormat="1" applyFont="1" applyFill="1" applyBorder="1" applyAlignment="1">
      <alignment horizontal="center" vertical="center" wrapText="1"/>
    </xf>
    <xf numFmtId="2" fontId="12" fillId="0" borderId="4" xfId="0" applyNumberFormat="1" applyFont="1" applyFill="1" applyBorder="1" applyAlignment="1">
      <alignment horizontal="center" vertical="center" wrapText="1"/>
    </xf>
    <xf numFmtId="164" fontId="12" fillId="0" borderId="4" xfId="0" applyNumberFormat="1" applyFont="1" applyFill="1" applyBorder="1" applyAlignment="1">
      <alignment horizontal="center" vertical="center" wrapText="1"/>
    </xf>
    <xf numFmtId="169" fontId="12" fillId="0" borderId="1" xfId="0" applyNumberFormat="1" applyFont="1" applyFill="1" applyBorder="1" applyAlignment="1">
      <alignment horizontal="center" vertical="center" wrapText="1"/>
    </xf>
    <xf numFmtId="165" fontId="12" fillId="0" borderId="1" xfId="0" applyNumberFormat="1" applyFont="1" applyBorder="1" applyAlignment="1">
      <alignment horizontal="center" vertical="top"/>
    </xf>
    <xf numFmtId="0" fontId="12" fillId="0" borderId="1" xfId="0" applyFont="1" applyFill="1" applyBorder="1" applyAlignment="1">
      <alignment vertical="center"/>
    </xf>
    <xf numFmtId="0" fontId="8" fillId="0" borderId="1" xfId="0" applyNumberFormat="1" applyFont="1" applyBorder="1" applyAlignment="1">
      <alignment horizontal="center" vertical="top"/>
    </xf>
    <xf numFmtId="0" fontId="12" fillId="0" borderId="1" xfId="0" applyFont="1" applyFill="1" applyBorder="1" applyAlignment="1">
      <alignment horizontal="left" vertical="top" wrapText="1"/>
    </xf>
    <xf numFmtId="0" fontId="26" fillId="0" borderId="1" xfId="0" applyNumberFormat="1" applyFont="1" applyBorder="1" applyAlignment="1">
      <alignment horizontal="center" vertical="top"/>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xf>
    <xf numFmtId="0" fontId="26" fillId="0" borderId="1"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69" fontId="12" fillId="0" borderId="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0" fontId="29" fillId="0" borderId="0" xfId="12" applyFont="1"/>
    <xf numFmtId="0" fontId="30" fillId="0" borderId="9" xfId="12" applyFont="1" applyBorder="1" applyAlignment="1">
      <alignment horizontal="center" vertical="center"/>
    </xf>
    <xf numFmtId="0" fontId="31" fillId="0" borderId="9" xfId="12" applyFont="1" applyBorder="1" applyAlignment="1">
      <alignment horizontal="center" vertical="center"/>
    </xf>
    <xf numFmtId="0" fontId="30" fillId="0" borderId="5" xfId="12" applyFont="1" applyBorder="1" applyAlignment="1">
      <alignment horizontal="center" vertical="center"/>
    </xf>
    <xf numFmtId="0" fontId="30" fillId="0" borderId="6" xfId="12" applyFont="1" applyBorder="1" applyAlignment="1">
      <alignment horizontal="center" vertical="center"/>
    </xf>
    <xf numFmtId="0" fontId="30" fillId="0" borderId="7" xfId="12" applyFont="1" applyBorder="1" applyAlignment="1">
      <alignment horizontal="center" vertical="center"/>
    </xf>
    <xf numFmtId="0" fontId="29" fillId="0" borderId="4" xfId="12" applyFont="1" applyBorder="1" applyAlignment="1">
      <alignment horizontal="center" vertical="center"/>
    </xf>
    <xf numFmtId="0" fontId="29" fillId="0" borderId="1" xfId="12" applyFont="1" applyBorder="1" applyAlignment="1">
      <alignment horizontal="center" vertical="center"/>
    </xf>
    <xf numFmtId="0" fontId="29" fillId="0" borderId="9" xfId="12" applyFont="1" applyBorder="1" applyAlignment="1">
      <alignment horizontal="center" vertical="center"/>
    </xf>
    <xf numFmtId="0" fontId="27" fillId="0" borderId="5" xfId="12" applyFont="1" applyBorder="1" applyAlignment="1">
      <alignment horizontal="center" vertical="center"/>
    </xf>
    <xf numFmtId="0" fontId="27" fillId="0" borderId="6" xfId="12" applyFont="1" applyBorder="1" applyAlignment="1">
      <alignment horizontal="center" vertical="center"/>
    </xf>
    <xf numFmtId="0" fontId="27" fillId="0" borderId="4" xfId="12" applyFont="1" applyBorder="1" applyAlignment="1">
      <alignment horizontal="center" vertical="center"/>
    </xf>
    <xf numFmtId="0" fontId="27" fillId="0" borderId="8" xfId="12" applyFont="1" applyBorder="1" applyAlignment="1">
      <alignment horizontal="center" vertical="center"/>
    </xf>
    <xf numFmtId="0" fontId="26" fillId="0" borderId="8" xfId="12" applyFont="1" applyBorder="1" applyAlignment="1">
      <alignment horizontal="center" vertical="center"/>
    </xf>
    <xf numFmtId="0" fontId="29" fillId="0" borderId="0" xfId="12" applyFont="1" applyAlignment="1">
      <alignment horizontal="center" vertical="center"/>
    </xf>
    <xf numFmtId="1" fontId="29" fillId="0" borderId="0" xfId="12" applyNumberFormat="1" applyFont="1" applyAlignment="1">
      <alignment horizontal="center" vertical="center"/>
    </xf>
    <xf numFmtId="0" fontId="32" fillId="0" borderId="0" xfId="12" applyFont="1"/>
    <xf numFmtId="0" fontId="15" fillId="0" borderId="0" xfId="12" applyFont="1"/>
    <xf numFmtId="1" fontId="8" fillId="0" borderId="13" xfId="3" applyNumberFormat="1" applyFont="1" applyBorder="1" applyAlignment="1">
      <alignment vertical="center"/>
    </xf>
    <xf numFmtId="1" fontId="8" fillId="0" borderId="14" xfId="3" applyNumberFormat="1" applyFont="1" applyBorder="1" applyAlignment="1">
      <alignment vertical="center"/>
    </xf>
    <xf numFmtId="1" fontId="8" fillId="0" borderId="9" xfId="3" applyNumberFormat="1" applyFont="1" applyBorder="1" applyAlignment="1">
      <alignment horizontal="center" vertical="center"/>
    </xf>
    <xf numFmtId="1" fontId="8" fillId="0" borderId="9" xfId="3" applyNumberFormat="1" applyFont="1" applyBorder="1" applyAlignment="1">
      <alignment horizontal="left" vertical="center" wrapText="1"/>
    </xf>
    <xf numFmtId="0" fontId="8" fillId="0" borderId="6" xfId="3" applyFont="1" applyBorder="1" applyAlignment="1">
      <alignment horizontal="left" vertical="center" wrapText="1"/>
    </xf>
    <xf numFmtId="165" fontId="12" fillId="0" borderId="8" xfId="3" applyNumberFormat="1" applyFont="1" applyBorder="1" applyAlignment="1">
      <alignment horizontal="center" vertical="center"/>
    </xf>
    <xf numFmtId="0" fontId="12" fillId="0" borderId="8" xfId="3" applyFont="1" applyBorder="1" applyAlignment="1">
      <alignment horizontal="center" vertical="center"/>
    </xf>
    <xf numFmtId="0" fontId="8" fillId="0" borderId="8" xfId="3" applyFont="1" applyBorder="1" applyAlignment="1">
      <alignment horizontal="left" vertical="center" wrapText="1"/>
    </xf>
    <xf numFmtId="0" fontId="8" fillId="0" borderId="8" xfId="3" applyFont="1" applyBorder="1" applyAlignment="1">
      <alignment horizontal="center" vertical="center"/>
    </xf>
    <xf numFmtId="166" fontId="8" fillId="0" borderId="8" xfId="11" applyNumberFormat="1" applyFont="1" applyFill="1" applyBorder="1" applyAlignment="1" applyProtection="1">
      <alignment horizontal="center" vertical="center"/>
    </xf>
    <xf numFmtId="164" fontId="8" fillId="0" borderId="8" xfId="11" applyFont="1" applyFill="1" applyBorder="1" applyAlignment="1" applyProtection="1">
      <alignment horizontal="center" vertical="center"/>
    </xf>
    <xf numFmtId="165" fontId="12" fillId="0" borderId="5" xfId="3" applyNumberFormat="1" applyFont="1" applyBorder="1" applyAlignment="1">
      <alignment horizontal="center" vertical="center"/>
    </xf>
    <xf numFmtId="0" fontId="12" fillId="0" borderId="6" xfId="3" applyFont="1" applyBorder="1" applyAlignment="1">
      <alignment horizontal="center" vertical="center"/>
    </xf>
    <xf numFmtId="166" fontId="12" fillId="0" borderId="6" xfId="11" applyNumberFormat="1" applyFont="1" applyFill="1" applyBorder="1" applyAlignment="1" applyProtection="1">
      <alignment horizontal="center" vertical="center"/>
    </xf>
    <xf numFmtId="164" fontId="12" fillId="0" borderId="6" xfId="11" applyFont="1" applyFill="1" applyBorder="1" applyAlignment="1" applyProtection="1">
      <alignment horizontal="center" vertical="center"/>
    </xf>
    <xf numFmtId="0" fontId="12" fillId="0" borderId="7" xfId="3" applyFont="1" applyBorder="1" applyAlignment="1">
      <alignment horizontal="center" vertical="center"/>
    </xf>
    <xf numFmtId="165" fontId="12" fillId="0" borderId="4" xfId="3" applyNumberFormat="1" applyFont="1" applyBorder="1" applyAlignment="1">
      <alignment horizontal="center" vertical="center"/>
    </xf>
    <xf numFmtId="0" fontId="12" fillId="0" borderId="4" xfId="3" applyFont="1" applyBorder="1" applyAlignment="1">
      <alignment horizontal="center" vertical="center"/>
    </xf>
    <xf numFmtId="0" fontId="8" fillId="0" borderId="4" xfId="3" applyFont="1" applyBorder="1" applyAlignment="1">
      <alignment horizontal="left" vertical="center" wrapText="1"/>
    </xf>
    <xf numFmtId="166" fontId="12" fillId="0" borderId="4" xfId="11" applyNumberFormat="1" applyFont="1" applyFill="1" applyBorder="1" applyAlignment="1" applyProtection="1">
      <alignment horizontal="center" vertical="center"/>
    </xf>
    <xf numFmtId="164" fontId="12" fillId="0" borderId="4" xfId="11" applyFont="1" applyFill="1" applyBorder="1" applyAlignment="1" applyProtection="1">
      <alignment horizontal="center" vertical="center"/>
    </xf>
    <xf numFmtId="165" fontId="12" fillId="0" borderId="1" xfId="3" applyNumberFormat="1" applyFont="1" applyBorder="1" applyAlignment="1">
      <alignment horizontal="center" vertical="center"/>
    </xf>
    <xf numFmtId="0" fontId="12" fillId="0" borderId="1" xfId="3" applyFont="1" applyBorder="1" applyAlignment="1">
      <alignment horizontal="center" vertical="center"/>
    </xf>
    <xf numFmtId="0" fontId="8" fillId="0" borderId="1" xfId="3" applyFont="1" applyBorder="1" applyAlignment="1">
      <alignment horizontal="left" vertical="center" wrapText="1"/>
    </xf>
    <xf numFmtId="166" fontId="12" fillId="0" borderId="1" xfId="11" applyNumberFormat="1" applyFont="1" applyFill="1" applyBorder="1" applyAlignment="1" applyProtection="1">
      <alignment horizontal="center" vertical="center"/>
    </xf>
    <xf numFmtId="0" fontId="12" fillId="0" borderId="1" xfId="3" applyFont="1" applyBorder="1" applyAlignment="1">
      <alignment horizontal="left" vertical="center" wrapText="1"/>
    </xf>
    <xf numFmtId="0" fontId="8" fillId="0" borderId="1" xfId="3" applyFont="1" applyBorder="1" applyAlignment="1">
      <alignment vertical="center" wrapText="1"/>
    </xf>
    <xf numFmtId="1" fontId="12" fillId="0" borderId="1" xfId="11" applyNumberFormat="1" applyFont="1" applyFill="1" applyBorder="1" applyAlignment="1" applyProtection="1">
      <alignment horizontal="center" vertical="center" wrapText="1"/>
    </xf>
    <xf numFmtId="3" fontId="12" fillId="0" borderId="1" xfId="3" applyNumberFormat="1" applyFont="1" applyBorder="1" applyAlignment="1">
      <alignment horizontal="center" vertical="center" wrapText="1"/>
    </xf>
    <xf numFmtId="1" fontId="12" fillId="0" borderId="1" xfId="3" applyNumberFormat="1" applyFont="1" applyBorder="1" applyAlignment="1">
      <alignment horizontal="center" vertical="center"/>
    </xf>
    <xf numFmtId="0" fontId="8" fillId="0" borderId="1" xfId="5" applyFont="1" applyBorder="1" applyAlignment="1">
      <alignment horizontal="left" vertical="center" wrapText="1"/>
    </xf>
    <xf numFmtId="0" fontId="12" fillId="0" borderId="1" xfId="5" applyFont="1" applyBorder="1" applyAlignment="1">
      <alignment horizontal="left" vertical="center" wrapText="1"/>
    </xf>
    <xf numFmtId="165" fontId="12" fillId="0" borderId="9" xfId="3" applyNumberFormat="1" applyFont="1" applyBorder="1" applyAlignment="1">
      <alignment horizontal="center" vertical="center"/>
    </xf>
    <xf numFmtId="0" fontId="12" fillId="0" borderId="9" xfId="3" applyFont="1" applyBorder="1" applyAlignment="1">
      <alignment horizontal="center" vertical="center"/>
    </xf>
    <xf numFmtId="0" fontId="12" fillId="0" borderId="9" xfId="3" applyFont="1" applyBorder="1" applyAlignment="1">
      <alignment horizontal="left" vertical="center" wrapText="1"/>
    </xf>
    <xf numFmtId="166" fontId="12" fillId="0" borderId="9" xfId="11" applyNumberFormat="1" applyFont="1" applyFill="1" applyBorder="1" applyAlignment="1" applyProtection="1">
      <alignment horizontal="center" vertical="center"/>
    </xf>
    <xf numFmtId="165" fontId="8" fillId="0" borderId="5" xfId="3" applyNumberFormat="1" applyFont="1" applyBorder="1" applyAlignment="1">
      <alignment horizontal="center" vertical="center"/>
    </xf>
    <xf numFmtId="1" fontId="8" fillId="0" borderId="6" xfId="3" applyNumberFormat="1" applyFont="1" applyBorder="1" applyAlignment="1">
      <alignment horizontal="center" vertical="center"/>
    </xf>
    <xf numFmtId="0" fontId="8" fillId="0" borderId="6" xfId="3" applyFont="1" applyBorder="1" applyAlignment="1">
      <alignment horizontal="center" vertical="center"/>
    </xf>
    <xf numFmtId="166" fontId="8" fillId="0" borderId="6" xfId="11" applyNumberFormat="1" applyFont="1" applyFill="1" applyBorder="1" applyAlignment="1" applyProtection="1">
      <alignment horizontal="center" vertical="center"/>
    </xf>
    <xf numFmtId="0" fontId="8" fillId="0" borderId="7" xfId="3" applyFont="1" applyBorder="1" applyAlignment="1">
      <alignment horizontal="center" vertical="center"/>
    </xf>
    <xf numFmtId="1" fontId="12" fillId="0" borderId="4" xfId="3" applyNumberFormat="1" applyFont="1" applyBorder="1" applyAlignment="1">
      <alignment horizontal="center" vertical="center"/>
    </xf>
    <xf numFmtId="0" fontId="12" fillId="0" borderId="1" xfId="10" applyFont="1" applyBorder="1" applyAlignment="1">
      <alignment vertical="center" wrapText="1"/>
    </xf>
    <xf numFmtId="0" fontId="8" fillId="0" borderId="1" xfId="3" applyFont="1" applyBorder="1" applyAlignment="1">
      <alignment horizontal="justify" vertical="center" wrapText="1"/>
    </xf>
    <xf numFmtId="1" fontId="12" fillId="0" borderId="9" xfId="3" applyNumberFormat="1" applyFont="1" applyBorder="1" applyAlignment="1">
      <alignment horizontal="center" vertical="center"/>
    </xf>
    <xf numFmtId="164" fontId="12" fillId="0" borderId="1" xfId="11" applyFont="1" applyFill="1" applyBorder="1" applyAlignment="1" applyProtection="1">
      <alignment horizontal="center" vertical="center"/>
    </xf>
    <xf numFmtId="0" fontId="12" fillId="0" borderId="1" xfId="6" applyFont="1" applyBorder="1" applyAlignment="1">
      <alignment horizontal="left" vertical="center" wrapText="1"/>
    </xf>
    <xf numFmtId="2" fontId="12" fillId="0" borderId="1" xfId="3" applyNumberFormat="1" applyFont="1" applyBorder="1" applyAlignment="1">
      <alignment horizontal="center" vertical="center"/>
    </xf>
    <xf numFmtId="2" fontId="12" fillId="0" borderId="9" xfId="3" applyNumberFormat="1" applyFont="1" applyBorder="1" applyAlignment="1">
      <alignment horizontal="center" vertical="center"/>
    </xf>
    <xf numFmtId="164" fontId="12" fillId="0" borderId="9" xfId="11" applyFont="1" applyFill="1" applyBorder="1" applyAlignment="1" applyProtection="1">
      <alignment horizontal="center" vertical="center"/>
    </xf>
    <xf numFmtId="2" fontId="8" fillId="0" borderId="5" xfId="3" applyNumberFormat="1" applyFont="1" applyBorder="1" applyAlignment="1">
      <alignment horizontal="center" vertical="center"/>
    </xf>
    <xf numFmtId="164" fontId="8" fillId="0" borderId="6" xfId="11" applyFont="1" applyFill="1" applyBorder="1" applyAlignment="1" applyProtection="1">
      <alignment horizontal="center" vertical="center"/>
    </xf>
    <xf numFmtId="2" fontId="12" fillId="0" borderId="4" xfId="3" applyNumberFormat="1" applyFont="1" applyBorder="1" applyAlignment="1">
      <alignment horizontal="center" vertical="center"/>
    </xf>
    <xf numFmtId="0" fontId="21" fillId="0" borderId="0" xfId="3" applyFont="1" applyAlignment="1">
      <alignment horizontal="left" vertical="center"/>
    </xf>
    <xf numFmtId="43" fontId="12" fillId="0" borderId="1" xfId="0" applyNumberFormat="1" applyFont="1" applyFill="1" applyBorder="1" applyAlignment="1">
      <alignment horizontal="center" vertical="center" wrapText="1"/>
    </xf>
    <xf numFmtId="0" fontId="12" fillId="0" borderId="1" xfId="5" applyFont="1" applyBorder="1" applyAlignment="1">
      <alignment horizontal="center" vertical="center" wrapText="1"/>
    </xf>
    <xf numFmtId="0" fontId="8" fillId="0" borderId="1" xfId="6" applyFont="1" applyBorder="1" applyAlignment="1">
      <alignment horizontal="center" vertical="center" wrapText="1"/>
    </xf>
    <xf numFmtId="0" fontId="12" fillId="0" borderId="1" xfId="9" applyFont="1" applyBorder="1" applyAlignment="1">
      <alignment horizontal="center" vertical="center" wrapText="1"/>
    </xf>
    <xf numFmtId="0" fontId="12" fillId="0" borderId="1" xfId="6" applyFont="1" applyBorder="1" applyAlignment="1">
      <alignment horizontal="center" vertical="center" wrapText="1"/>
    </xf>
    <xf numFmtId="0" fontId="26" fillId="0" borderId="1" xfId="6" applyFont="1" applyBorder="1" applyAlignment="1">
      <alignment horizontal="center" vertical="center" wrapText="1"/>
    </xf>
    <xf numFmtId="0" fontId="16" fillId="0" borderId="1" xfId="7" applyFont="1" applyBorder="1" applyAlignment="1">
      <alignment horizontal="center" vertical="center" wrapText="1"/>
    </xf>
    <xf numFmtId="0" fontId="9" fillId="0" borderId="1" xfId="10" applyFont="1" applyBorder="1" applyAlignment="1">
      <alignment horizontal="center" vertical="top" wrapText="1"/>
    </xf>
    <xf numFmtId="0" fontId="8" fillId="0" borderId="1" xfId="5" applyFont="1" applyBorder="1" applyAlignment="1">
      <alignment horizontal="center" vertical="center" wrapText="1"/>
    </xf>
    <xf numFmtId="0" fontId="33" fillId="0" borderId="16" xfId="0" applyFont="1" applyBorder="1">
      <alignment vertical="top" wrapText="1"/>
    </xf>
    <xf numFmtId="43" fontId="11" fillId="0" borderId="9" xfId="1" applyFont="1" applyBorder="1" applyAlignment="1">
      <alignment horizontal="center" vertical="center" wrapText="1"/>
    </xf>
    <xf numFmtId="43" fontId="11" fillId="0" borderId="6" xfId="1" applyFont="1" applyBorder="1" applyAlignment="1">
      <alignment horizontal="center" vertical="center" wrapText="1"/>
    </xf>
    <xf numFmtId="43" fontId="11" fillId="0" borderId="8" xfId="1" applyFont="1" applyFill="1" applyBorder="1" applyAlignment="1" applyProtection="1">
      <alignment horizontal="center" vertical="center" wrapText="1"/>
    </xf>
    <xf numFmtId="43" fontId="11" fillId="0" borderId="6" xfId="1" applyFont="1" applyFill="1" applyBorder="1" applyAlignment="1" applyProtection="1">
      <alignment horizontal="center" vertical="center" wrapText="1"/>
    </xf>
    <xf numFmtId="43" fontId="9" fillId="0" borderId="4" xfId="1" applyFont="1" applyFill="1" applyBorder="1" applyAlignment="1" applyProtection="1">
      <alignment horizontal="center" vertical="center" wrapText="1"/>
    </xf>
    <xf numFmtId="43" fontId="9" fillId="0" borderId="1" xfId="1" applyFont="1" applyFill="1" applyBorder="1" applyAlignment="1" applyProtection="1">
      <alignment horizontal="center" vertical="center" wrapText="1"/>
    </xf>
    <xf numFmtId="43" fontId="9" fillId="0" borderId="9" xfId="1" applyFont="1" applyFill="1" applyBorder="1" applyAlignment="1" applyProtection="1">
      <alignment horizontal="center" vertical="center" wrapText="1"/>
    </xf>
    <xf numFmtId="43" fontId="12" fillId="0" borderId="1" xfId="1" applyFont="1" applyFill="1" applyBorder="1" applyAlignment="1" applyProtection="1">
      <alignment horizontal="center" vertical="center" wrapText="1"/>
    </xf>
    <xf numFmtId="43" fontId="12" fillId="0" borderId="9" xfId="1" applyFont="1" applyFill="1" applyBorder="1" applyAlignment="1" applyProtection="1">
      <alignment horizontal="center" vertical="center" wrapText="1"/>
    </xf>
    <xf numFmtId="43" fontId="9" fillId="0" borderId="6" xfId="1" applyFont="1" applyFill="1" applyBorder="1" applyAlignment="1" applyProtection="1">
      <alignment horizontal="center" vertical="center" wrapText="1"/>
    </xf>
    <xf numFmtId="43" fontId="9" fillId="0" borderId="0" xfId="1" applyFont="1" applyAlignment="1">
      <alignment horizontal="center" vertical="center" wrapText="1"/>
    </xf>
    <xf numFmtId="0" fontId="0" fillId="0" borderId="0" xfId="0" applyAlignment="1"/>
    <xf numFmtId="43" fontId="9" fillId="0" borderId="0" xfId="1" applyFont="1" applyAlignment="1">
      <alignment vertical="center" wrapText="1"/>
    </xf>
    <xf numFmtId="43" fontId="11" fillId="0" borderId="0" xfId="1" applyFont="1" applyAlignment="1">
      <alignment horizontal="center" vertical="center" wrapText="1"/>
    </xf>
    <xf numFmtId="43" fontId="11" fillId="0" borderId="8" xfId="1" applyFont="1" applyBorder="1" applyAlignment="1">
      <alignment horizontal="center" vertical="center" wrapText="1"/>
    </xf>
    <xf numFmtId="43" fontId="8" fillId="0" borderId="4" xfId="1" applyFont="1" applyFill="1" applyBorder="1" applyAlignment="1">
      <alignment horizontal="center" vertical="center" wrapText="1"/>
    </xf>
    <xf numFmtId="43" fontId="8" fillId="0" borderId="6" xfId="1" applyFont="1" applyFill="1" applyBorder="1" applyAlignment="1">
      <alignment horizontal="center" vertical="center" wrapText="1"/>
    </xf>
    <xf numFmtId="43" fontId="9" fillId="0" borderId="6" xfId="1" applyFont="1" applyBorder="1" applyAlignment="1">
      <alignment vertical="center" wrapText="1"/>
    </xf>
    <xf numFmtId="0" fontId="0" fillId="0" borderId="1" xfId="0" applyBorder="1" applyAlignment="1"/>
    <xf numFmtId="1"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43" fontId="29" fillId="0" borderId="0" xfId="1" applyFont="1" applyAlignment="1">
      <alignment vertical="center"/>
    </xf>
    <xf numFmtId="43" fontId="29" fillId="0" borderId="0" xfId="12" applyNumberFormat="1" applyFont="1"/>
    <xf numFmtId="0" fontId="9" fillId="0" borderId="9" xfId="5" applyFont="1" applyBorder="1" applyAlignment="1">
      <alignment horizontal="center" vertical="center" wrapText="1"/>
    </xf>
    <xf numFmtId="2" fontId="11" fillId="0" borderId="9" xfId="3" applyNumberFormat="1" applyFont="1" applyBorder="1" applyAlignment="1">
      <alignment horizontal="center" vertical="center" wrapText="1"/>
    </xf>
    <xf numFmtId="0" fontId="19" fillId="0" borderId="1" xfId="25" applyFont="1" applyBorder="1" applyAlignment="1">
      <alignment horizontal="center" vertical="center" wrapText="1"/>
    </xf>
    <xf numFmtId="0" fontId="20" fillId="0" borderId="1" xfId="25" applyFont="1" applyBorder="1" applyAlignment="1">
      <alignment horizontal="left" vertical="center" wrapText="1"/>
    </xf>
    <xf numFmtId="0" fontId="20" fillId="0" borderId="1" xfId="25" applyFont="1" applyBorder="1" applyAlignment="1">
      <alignment horizontal="center" vertical="center" wrapText="1"/>
    </xf>
    <xf numFmtId="166" fontId="20" fillId="0" borderId="1" xfId="26" applyNumberFormat="1" applyFont="1" applyFill="1" applyBorder="1" applyAlignment="1" applyProtection="1">
      <alignment horizontal="center" vertical="center" wrapText="1"/>
    </xf>
    <xf numFmtId="164" fontId="20" fillId="0" borderId="1" xfId="26" applyFont="1" applyFill="1" applyBorder="1" applyAlignment="1" applyProtection="1">
      <alignment horizontal="center" vertical="center" wrapText="1"/>
    </xf>
    <xf numFmtId="166" fontId="19" fillId="0" borderId="1" xfId="26" applyNumberFormat="1" applyFont="1" applyFill="1" applyBorder="1" applyAlignment="1" applyProtection="1">
      <alignment horizontal="center" vertical="center" wrapText="1"/>
    </xf>
    <xf numFmtId="0" fontId="39" fillId="0" borderId="16" xfId="0" applyFont="1" applyBorder="1">
      <alignment vertical="top" wrapText="1"/>
    </xf>
    <xf numFmtId="0" fontId="19" fillId="0" borderId="1" xfId="25" applyFont="1" applyBorder="1" applyAlignment="1">
      <alignment horizontal="left" vertical="top" wrapText="1"/>
    </xf>
    <xf numFmtId="166" fontId="21" fillId="0" borderId="1" xfId="26" applyNumberFormat="1" applyFont="1" applyFill="1" applyBorder="1" applyAlignment="1" applyProtection="1">
      <alignment horizontal="center" vertical="center" wrapText="1"/>
    </xf>
    <xf numFmtId="0" fontId="19" fillId="0" borderId="1" xfId="25" applyFont="1" applyBorder="1" applyAlignment="1">
      <alignment horizontal="left" vertical="center" wrapText="1"/>
    </xf>
    <xf numFmtId="166" fontId="19" fillId="0" borderId="1" xfId="26" applyNumberFormat="1" applyFont="1" applyFill="1" applyBorder="1" applyAlignment="1" applyProtection="1">
      <alignment horizontal="right" vertical="center" wrapText="1"/>
    </xf>
    <xf numFmtId="0" fontId="9" fillId="0" borderId="1" xfId="25" applyFont="1" applyBorder="1" applyAlignment="1">
      <alignment horizontal="center" vertical="center" wrapText="1"/>
    </xf>
    <xf numFmtId="0" fontId="11" fillId="0" borderId="1" xfId="25" applyFont="1" applyBorder="1" applyAlignment="1">
      <alignment horizontal="center" vertical="center" wrapText="1"/>
    </xf>
    <xf numFmtId="164" fontId="19" fillId="0" borderId="1" xfId="26" applyFont="1" applyFill="1" applyBorder="1" applyAlignment="1" applyProtection="1">
      <alignment horizontal="center" vertical="center" wrapText="1"/>
    </xf>
    <xf numFmtId="0" fontId="17" fillId="0" borderId="0" xfId="0" applyFont="1" applyAlignment="1">
      <alignment horizontal="center" vertical="center"/>
    </xf>
    <xf numFmtId="0" fontId="18" fillId="0" borderId="0" xfId="0" applyFont="1" applyAlignment="1"/>
    <xf numFmtId="0" fontId="17" fillId="0" borderId="0" xfId="0" applyFont="1" applyAlignment="1">
      <alignment horizontal="center" vertical="top"/>
    </xf>
    <xf numFmtId="0" fontId="17" fillId="0" borderId="0" xfId="0" applyFont="1" applyAlignment="1">
      <alignment horizontal="justify" vertical="top" wrapText="1"/>
    </xf>
    <xf numFmtId="0" fontId="17" fillId="0" borderId="0" xfId="0" applyNumberFormat="1" applyFont="1" applyAlignment="1">
      <alignment horizontal="center"/>
    </xf>
    <xf numFmtId="0" fontId="18" fillId="0" borderId="0" xfId="0" applyFont="1" applyAlignment="1">
      <alignment vertical="top"/>
    </xf>
    <xf numFmtId="0" fontId="18" fillId="0" borderId="0" xfId="0" applyFont="1" applyAlignment="1">
      <alignment horizontal="justify" vertical="top" wrapText="1"/>
    </xf>
    <xf numFmtId="0" fontId="17" fillId="0" borderId="5" xfId="0" applyNumberFormat="1" applyFont="1" applyBorder="1" applyAlignment="1">
      <alignment horizontal="center" wrapText="1"/>
    </xf>
    <xf numFmtId="0" fontId="17" fillId="0" borderId="6" xfId="0" applyFont="1" applyBorder="1" applyAlignment="1">
      <alignment horizontal="center" vertical="top" wrapText="1"/>
    </xf>
    <xf numFmtId="0" fontId="38" fillId="3" borderId="6" xfId="27" applyFont="1" applyFill="1" applyBorder="1" applyAlignment="1">
      <alignment horizontal="center" vertical="center" wrapText="1"/>
    </xf>
    <xf numFmtId="0" fontId="38" fillId="3" borderId="19" xfId="27" applyFont="1" applyFill="1" applyBorder="1" applyAlignment="1">
      <alignment horizontal="center" vertical="center" wrapText="1"/>
    </xf>
    <xf numFmtId="0" fontId="18" fillId="0" borderId="0" xfId="0" applyFont="1" applyAlignment="1">
      <alignment wrapText="1"/>
    </xf>
    <xf numFmtId="0" fontId="17" fillId="0" borderId="8" xfId="0" applyNumberFormat="1" applyFont="1" applyBorder="1" applyAlignment="1">
      <alignment horizontal="center"/>
    </xf>
    <xf numFmtId="0" fontId="18" fillId="0" borderId="8" xfId="0" applyFont="1" applyBorder="1" applyAlignment="1">
      <alignment vertical="top"/>
    </xf>
    <xf numFmtId="0" fontId="18" fillId="0" borderId="8" xfId="0" applyFont="1" applyBorder="1" applyAlignment="1">
      <alignment horizontal="justify" vertical="top" wrapText="1"/>
    </xf>
    <xf numFmtId="0" fontId="17" fillId="0" borderId="20" xfId="0" applyFont="1" applyBorder="1" applyAlignment="1">
      <alignment horizontal="justify" vertical="top" wrapText="1"/>
    </xf>
    <xf numFmtId="0" fontId="18" fillId="0" borderId="11" xfId="0" applyFont="1" applyBorder="1" applyAlignment="1">
      <alignment horizontal="justify" vertical="top" wrapText="1"/>
    </xf>
    <xf numFmtId="0" fontId="17" fillId="0" borderId="8" xfId="0" applyNumberFormat="1" applyFont="1" applyBorder="1" applyAlignment="1">
      <alignment horizontal="center" vertical="top"/>
    </xf>
    <xf numFmtId="0" fontId="18" fillId="0" borderId="8" xfId="0" applyFont="1" applyBorder="1" applyAlignment="1">
      <alignment horizontal="center" vertical="top"/>
    </xf>
    <xf numFmtId="0" fontId="18" fillId="0" borderId="8" xfId="0" applyFont="1" applyBorder="1" applyAlignment="1">
      <alignment horizontal="center"/>
    </xf>
    <xf numFmtId="0" fontId="17" fillId="0" borderId="5" xfId="0" applyNumberFormat="1" applyFont="1" applyBorder="1" applyAlignment="1">
      <alignment horizontal="center"/>
    </xf>
    <xf numFmtId="0" fontId="17" fillId="0" borderId="6" xfId="0" applyFont="1" applyBorder="1" applyAlignment="1">
      <alignment horizontal="center" vertical="top"/>
    </xf>
    <xf numFmtId="0" fontId="17" fillId="0" borderId="6" xfId="0" applyFont="1" applyBorder="1" applyAlignment="1">
      <alignment horizontal="justify" vertical="top" wrapText="1"/>
    </xf>
    <xf numFmtId="0" fontId="18" fillId="0" borderId="6" xfId="0" applyFont="1" applyBorder="1" applyAlignment="1">
      <alignment horizontal="center"/>
    </xf>
    <xf numFmtId="0" fontId="17" fillId="0" borderId="19" xfId="0" applyFont="1" applyBorder="1" applyAlignment="1">
      <alignment horizontal="justify" vertical="top" wrapText="1"/>
    </xf>
    <xf numFmtId="0" fontId="18" fillId="0" borderId="1" xfId="0" applyNumberFormat="1" applyFont="1" applyBorder="1" applyAlignment="1">
      <alignment horizontal="center" vertical="top"/>
    </xf>
    <xf numFmtId="0" fontId="18" fillId="0" borderId="1" xfId="0" applyFont="1" applyBorder="1" applyAlignment="1">
      <alignment horizontal="center" vertical="top"/>
    </xf>
    <xf numFmtId="0" fontId="18" fillId="0" borderId="1" xfId="0" applyFont="1" applyBorder="1" applyAlignment="1">
      <alignment horizontal="center" vertical="center"/>
    </xf>
    <xf numFmtId="0" fontId="18" fillId="0" borderId="1" xfId="0" applyFont="1" applyBorder="1" applyAlignment="1">
      <alignment vertical="center"/>
    </xf>
    <xf numFmtId="0" fontId="18" fillId="0" borderId="1" xfId="0" applyFont="1" applyFill="1" applyBorder="1" applyAlignment="1">
      <alignment vertical="center"/>
    </xf>
    <xf numFmtId="0" fontId="18" fillId="0" borderId="1" xfId="3" applyFont="1" applyBorder="1" applyAlignment="1">
      <alignment horizontal="justify" vertical="top"/>
    </xf>
    <xf numFmtId="0" fontId="18" fillId="0" borderId="1" xfId="0" applyFont="1" applyBorder="1" applyAlignment="1">
      <alignment horizontal="center"/>
    </xf>
    <xf numFmtId="0" fontId="18" fillId="0" borderId="2" xfId="3" applyFont="1" applyBorder="1" applyAlignment="1">
      <alignment horizontal="justify" vertical="top"/>
    </xf>
    <xf numFmtId="0" fontId="17" fillId="0" borderId="1" xfId="0" applyNumberFormat="1" applyFont="1" applyBorder="1" applyAlignment="1">
      <alignment horizontal="center" vertical="top"/>
    </xf>
    <xf numFmtId="0" fontId="18" fillId="0" borderId="1" xfId="0" applyFont="1" applyFill="1" applyBorder="1" applyAlignment="1">
      <alignment horizontal="left" vertical="top"/>
    </xf>
    <xf numFmtId="0" fontId="18" fillId="0" borderId="2" xfId="0" applyFont="1" applyFill="1" applyBorder="1" applyAlignment="1">
      <alignment horizontal="left" vertical="top"/>
    </xf>
    <xf numFmtId="0" fontId="18" fillId="0" borderId="1" xfId="0" applyFont="1" applyFill="1" applyBorder="1" applyAlignment="1">
      <alignment horizontal="justify" vertical="top"/>
    </xf>
    <xf numFmtId="0" fontId="18" fillId="0" borderId="2" xfId="0" applyFont="1" applyFill="1" applyBorder="1" applyAlignment="1">
      <alignment horizontal="justify" vertical="top"/>
    </xf>
    <xf numFmtId="0" fontId="18" fillId="0" borderId="2" xfId="0" applyFont="1" applyFill="1" applyBorder="1" applyAlignment="1">
      <alignment horizontal="left" vertical="top" wrapText="1"/>
    </xf>
    <xf numFmtId="0" fontId="18" fillId="0" borderId="1" xfId="0" applyFont="1" applyBorder="1" applyAlignment="1">
      <alignment horizontal="justify" vertical="top" wrapText="1"/>
    </xf>
    <xf numFmtId="0" fontId="18" fillId="0" borderId="2" xfId="0" applyFont="1" applyBorder="1" applyAlignment="1">
      <alignment horizontal="justify" vertical="top" wrapText="1"/>
    </xf>
    <xf numFmtId="0" fontId="18" fillId="0" borderId="1" xfId="0" applyFont="1" applyBorder="1" applyAlignment="1">
      <alignment vertical="top"/>
    </xf>
    <xf numFmtId="0" fontId="18" fillId="0" borderId="1" xfId="0" applyFont="1" applyFill="1" applyBorder="1" applyAlignment="1">
      <alignment horizontal="justify" vertical="top" wrapText="1"/>
    </xf>
    <xf numFmtId="0" fontId="18" fillId="0" borderId="2" xfId="0" applyFont="1" applyFill="1" applyBorder="1" applyAlignment="1">
      <alignment horizontal="justify" vertical="top" wrapText="1"/>
    </xf>
    <xf numFmtId="2" fontId="18" fillId="0" borderId="1" xfId="0" applyNumberFormat="1" applyFont="1" applyBorder="1" applyAlignment="1">
      <alignment horizont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1" xfId="28" applyFont="1" applyBorder="1" applyAlignment="1">
      <alignment horizontal="left" vertical="top" wrapText="1"/>
    </xf>
    <xf numFmtId="0" fontId="17" fillId="0" borderId="1" xfId="0" applyFont="1" applyFill="1" applyBorder="1" applyAlignment="1">
      <alignment horizontal="justify" vertical="top" wrapText="1"/>
    </xf>
    <xf numFmtId="0" fontId="18" fillId="0" borderId="1" xfId="0" applyFont="1" applyBorder="1" applyAlignment="1"/>
    <xf numFmtId="0" fontId="17" fillId="0" borderId="1" xfId="0" applyFont="1" applyBorder="1" applyAlignment="1">
      <alignment vertical="top"/>
    </xf>
    <xf numFmtId="0" fontId="17" fillId="0" borderId="1" xfId="0" applyFont="1" applyBorder="1" applyAlignment="1">
      <alignment horizontal="justify" vertical="top" wrapText="1"/>
    </xf>
    <xf numFmtId="0" fontId="17" fillId="0" borderId="2" xfId="0" applyFont="1" applyBorder="1" applyAlignment="1">
      <alignment horizontal="justify" vertical="top" wrapText="1"/>
    </xf>
    <xf numFmtId="2" fontId="18" fillId="0" borderId="1" xfId="0" applyNumberFormat="1" applyFont="1" applyBorder="1" applyAlignment="1">
      <alignment horizontal="center" vertical="top"/>
    </xf>
    <xf numFmtId="0" fontId="18" fillId="0" borderId="1" xfId="0" applyFont="1" applyBorder="1" applyAlignment="1">
      <alignment horizontal="center" vertical="top" wrapText="1"/>
    </xf>
    <xf numFmtId="0" fontId="37" fillId="2" borderId="1" xfId="25" applyFont="1" applyFill="1" applyBorder="1" applyAlignment="1">
      <alignment horizontal="left" vertical="top" wrapText="1"/>
    </xf>
    <xf numFmtId="0" fontId="17" fillId="0" borderId="1" xfId="0" applyFont="1" applyBorder="1" applyAlignment="1">
      <alignment horizontal="center" vertical="top"/>
    </xf>
    <xf numFmtId="0" fontId="18" fillId="0" borderId="1" xfId="0" applyNumberFormat="1" applyFont="1" applyBorder="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top"/>
    </xf>
    <xf numFmtId="0" fontId="17" fillId="0" borderId="1" xfId="0" applyFont="1" applyFill="1" applyBorder="1" applyAlignment="1">
      <alignment horizontal="left" vertical="top" wrapText="1"/>
    </xf>
    <xf numFmtId="0" fontId="18" fillId="0" borderId="1" xfId="0" applyFont="1" applyFill="1" applyBorder="1" applyAlignment="1">
      <alignment horizontal="center"/>
    </xf>
    <xf numFmtId="1" fontId="18" fillId="0" borderId="1" xfId="0" applyNumberFormat="1" applyFont="1" applyFill="1" applyBorder="1" applyAlignment="1">
      <alignment horizontal="justify" vertical="top" wrapText="1"/>
    </xf>
    <xf numFmtId="0" fontId="17" fillId="0" borderId="1" xfId="0" applyNumberFormat="1" applyFont="1" applyBorder="1" applyAlignment="1">
      <alignment horizontal="center"/>
    </xf>
    <xf numFmtId="0" fontId="17" fillId="0" borderId="1" xfId="0" applyFont="1" applyFill="1" applyBorder="1" applyAlignment="1">
      <alignment horizontal="center" vertical="top"/>
    </xf>
    <xf numFmtId="0" fontId="18"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9" xfId="0" applyNumberFormat="1" applyFont="1" applyBorder="1" applyAlignment="1">
      <alignment horizontal="center" vertical="top"/>
    </xf>
    <xf numFmtId="0" fontId="17" fillId="0" borderId="9" xfId="0" applyFont="1" applyBorder="1" applyAlignment="1">
      <alignment horizontal="center" vertical="top"/>
    </xf>
    <xf numFmtId="0" fontId="18" fillId="0" borderId="9" xfId="0" applyFont="1" applyBorder="1" applyAlignment="1">
      <alignment horizontal="justify" vertical="top" wrapText="1"/>
    </xf>
    <xf numFmtId="0" fontId="18" fillId="0" borderId="9" xfId="0" applyFont="1" applyBorder="1" applyAlignment="1">
      <alignment horizontal="center"/>
    </xf>
    <xf numFmtId="0" fontId="18" fillId="0" borderId="13" xfId="0" applyFont="1" applyBorder="1" applyAlignment="1">
      <alignment horizontal="justify" vertical="top" wrapText="1"/>
    </xf>
    <xf numFmtId="0" fontId="17" fillId="0" borderId="5" xfId="0" applyNumberFormat="1" applyFont="1" applyBorder="1" applyAlignment="1">
      <alignment horizontal="center" vertical="top"/>
    </xf>
    <xf numFmtId="0" fontId="18" fillId="0" borderId="6" xfId="0" applyFont="1" applyBorder="1" applyAlignment="1">
      <alignment horizontal="justify" vertical="top" wrapText="1"/>
    </xf>
    <xf numFmtId="0" fontId="18" fillId="0" borderId="19" xfId="0" applyFont="1" applyBorder="1" applyAlignment="1">
      <alignment horizontal="justify" vertical="top" wrapText="1"/>
    </xf>
    <xf numFmtId="0" fontId="17" fillId="0" borderId="4" xfId="0" applyNumberFormat="1" applyFont="1" applyBorder="1" applyAlignment="1">
      <alignment horizontal="center" vertical="top"/>
    </xf>
    <xf numFmtId="0" fontId="17" fillId="0" borderId="4" xfId="0" applyFont="1" applyBorder="1" applyAlignment="1">
      <alignment horizontal="center" vertical="top"/>
    </xf>
    <xf numFmtId="0" fontId="18" fillId="0" borderId="4" xfId="0" applyFont="1" applyBorder="1" applyAlignment="1">
      <alignment horizontal="justify" vertical="top" wrapText="1"/>
    </xf>
    <xf numFmtId="0" fontId="18" fillId="0" borderId="4" xfId="0" applyFont="1" applyBorder="1" applyAlignment="1">
      <alignment horizontal="center"/>
    </xf>
    <xf numFmtId="0" fontId="18" fillId="0" borderId="17" xfId="0" applyFont="1" applyBorder="1" applyAlignment="1">
      <alignment horizontal="justify" vertical="top" wrapText="1"/>
    </xf>
    <xf numFmtId="165" fontId="18" fillId="0" borderId="1" xfId="0" applyNumberFormat="1" applyFont="1" applyBorder="1" applyAlignment="1">
      <alignment horizontal="center" vertical="top"/>
    </xf>
    <xf numFmtId="0" fontId="40" fillId="0" borderId="1" xfId="5" applyFont="1" applyBorder="1" applyAlignment="1">
      <alignment horizontal="justify" vertical="justify" wrapText="1"/>
    </xf>
    <xf numFmtId="0" fontId="41" fillId="0" borderId="1" xfId="5" applyFont="1" applyBorder="1" applyAlignment="1">
      <alignment horizontal="justify" vertical="justify" wrapText="1"/>
    </xf>
    <xf numFmtId="0" fontId="17" fillId="0" borderId="1" xfId="0" applyFont="1" applyFill="1" applyBorder="1" applyAlignment="1">
      <alignment horizontal="justify" vertical="top"/>
    </xf>
    <xf numFmtId="0" fontId="17" fillId="0" borderId="9" xfId="0" applyFont="1" applyFill="1" applyBorder="1" applyAlignment="1">
      <alignment horizontal="center" vertical="top" wrapText="1"/>
    </xf>
    <xf numFmtId="0" fontId="18" fillId="0" borderId="9" xfId="0" applyFont="1" applyFill="1" applyBorder="1" applyAlignment="1">
      <alignment horizontal="left" vertical="top" wrapText="1"/>
    </xf>
    <xf numFmtId="0" fontId="18" fillId="0" borderId="9" xfId="0" applyFont="1" applyFill="1" applyBorder="1" applyAlignment="1">
      <alignment horizontal="center" vertical="top"/>
    </xf>
    <xf numFmtId="0" fontId="18" fillId="0" borderId="9" xfId="0" applyFont="1" applyBorder="1" applyAlignment="1">
      <alignment horizontal="center" vertical="top"/>
    </xf>
    <xf numFmtId="165" fontId="18" fillId="0" borderId="1" xfId="3" applyNumberFormat="1" applyFont="1" applyBorder="1" applyAlignment="1">
      <alignment horizontal="center" vertical="center" wrapText="1"/>
    </xf>
    <xf numFmtId="1" fontId="18" fillId="0" borderId="1" xfId="3" applyNumberFormat="1" applyFont="1" applyBorder="1" applyAlignment="1">
      <alignment horizontal="center" vertical="center" wrapText="1"/>
    </xf>
    <xf numFmtId="0" fontId="17" fillId="0" borderId="1" xfId="25" applyFont="1" applyBorder="1" applyAlignment="1">
      <alignment horizontal="center" vertical="center" wrapText="1"/>
    </xf>
    <xf numFmtId="0" fontId="18" fillId="0" borderId="1" xfId="3" applyFont="1" applyBorder="1" applyAlignment="1">
      <alignment horizontal="center" vertical="center" wrapText="1"/>
    </xf>
    <xf numFmtId="166" fontId="18" fillId="0" borderId="1" xfId="26" applyNumberFormat="1" applyFont="1" applyFill="1" applyBorder="1" applyAlignment="1" applyProtection="1">
      <alignment horizontal="center" vertical="center" wrapText="1"/>
    </xf>
    <xf numFmtId="166" fontId="18" fillId="0" borderId="1" xfId="1" applyNumberFormat="1" applyFont="1" applyFill="1" applyBorder="1" applyAlignment="1" applyProtection="1">
      <alignment horizontal="center" vertical="center" wrapText="1"/>
    </xf>
    <xf numFmtId="0" fontId="18" fillId="0" borderId="1" xfId="25" applyFont="1" applyBorder="1" applyAlignment="1">
      <alignment horizontal="center" vertical="center" wrapText="1"/>
    </xf>
    <xf numFmtId="0" fontId="18" fillId="0" borderId="9" xfId="0" applyFont="1" applyFill="1" applyBorder="1" applyAlignment="1">
      <alignment horizontal="justify" vertical="top" wrapText="1"/>
    </xf>
    <xf numFmtId="0" fontId="18" fillId="0" borderId="13" xfId="0" applyFont="1" applyFill="1" applyBorder="1" applyAlignment="1">
      <alignment horizontal="justify" vertical="top" wrapText="1"/>
    </xf>
    <xf numFmtId="0" fontId="18" fillId="0" borderId="6" xfId="0" applyFont="1" applyBorder="1" applyAlignment="1">
      <alignment horizontal="center" vertical="top"/>
    </xf>
    <xf numFmtId="0" fontId="17" fillId="0" borderId="6" xfId="0" applyFont="1" applyFill="1" applyBorder="1" applyAlignment="1">
      <alignment horizontal="justify" vertical="top" wrapText="1"/>
    </xf>
    <xf numFmtId="0" fontId="17" fillId="0" borderId="0" xfId="0" applyNumberFormat="1" applyFont="1" applyBorder="1" applyAlignment="1">
      <alignment horizontal="center" vertical="top"/>
    </xf>
    <xf numFmtId="0" fontId="18" fillId="0" borderId="0" xfId="0" applyFont="1" applyBorder="1" applyAlignment="1">
      <alignment horizontal="center" vertical="top"/>
    </xf>
    <xf numFmtId="0" fontId="18" fillId="0" borderId="0" xfId="0" applyFont="1" applyFill="1" applyBorder="1" applyAlignment="1">
      <alignment horizontal="justify" vertical="top" wrapText="1"/>
    </xf>
    <xf numFmtId="0" fontId="17" fillId="0" borderId="0" xfId="0" applyNumberFormat="1" applyFont="1" applyFill="1" applyAlignment="1">
      <alignment horizontal="center"/>
    </xf>
    <xf numFmtId="0" fontId="18" fillId="0" borderId="0" xfId="0" applyFont="1" applyFill="1" applyAlignment="1">
      <alignment vertical="top"/>
    </xf>
    <xf numFmtId="0" fontId="18" fillId="0" borderId="0" xfId="0" applyFont="1" applyFill="1" applyAlignment="1"/>
    <xf numFmtId="0" fontId="18" fillId="0" borderId="0" xfId="0" applyFont="1" applyFill="1" applyAlignment="1">
      <alignment horizontal="justify" vertical="top" wrapText="1"/>
    </xf>
    <xf numFmtId="166" fontId="12" fillId="0" borderId="1" xfId="26" applyNumberFormat="1" applyFont="1" applyFill="1" applyBorder="1" applyAlignment="1" applyProtection="1">
      <alignment horizontal="center" vertical="center"/>
    </xf>
    <xf numFmtId="166" fontId="12" fillId="0" borderId="1" xfId="26" applyNumberFormat="1" applyFont="1" applyFill="1" applyBorder="1" applyAlignment="1" applyProtection="1">
      <alignment horizontal="center" vertical="center" wrapText="1"/>
    </xf>
    <xf numFmtId="1" fontId="12" fillId="0" borderId="1" xfId="26" applyNumberFormat="1" applyFont="1" applyFill="1" applyBorder="1" applyAlignment="1" applyProtection="1">
      <alignment horizontal="center" vertical="center" wrapText="1"/>
    </xf>
    <xf numFmtId="166" fontId="12" fillId="0" borderId="9" xfId="26" applyNumberFormat="1" applyFont="1" applyFill="1" applyBorder="1" applyAlignment="1" applyProtection="1">
      <alignment horizontal="center" vertical="center"/>
    </xf>
    <xf numFmtId="166" fontId="8" fillId="0" borderId="6" xfId="26" applyNumberFormat="1" applyFont="1" applyFill="1" applyBorder="1" applyAlignment="1" applyProtection="1">
      <alignment horizontal="center" vertical="center"/>
    </xf>
    <xf numFmtId="166" fontId="12" fillId="0" borderId="4" xfId="26" applyNumberFormat="1" applyFont="1" applyFill="1" applyBorder="1" applyAlignment="1" applyProtection="1">
      <alignment horizontal="center" vertical="center"/>
    </xf>
    <xf numFmtId="0" fontId="12" fillId="0" borderId="1" xfId="25" applyFont="1" applyBorder="1" applyAlignment="1">
      <alignment horizontal="left" vertical="center" wrapText="1"/>
    </xf>
    <xf numFmtId="1" fontId="12" fillId="0" borderId="1" xfId="25" applyNumberFormat="1" applyFont="1" applyBorder="1" applyAlignment="1">
      <alignment horizontal="left" vertical="center" wrapText="1"/>
    </xf>
    <xf numFmtId="1" fontId="8" fillId="0" borderId="1" xfId="25" applyNumberFormat="1" applyFont="1" applyBorder="1" applyAlignment="1">
      <alignment horizontal="left" vertical="center" wrapText="1"/>
    </xf>
    <xf numFmtId="0" fontId="12" fillId="0" borderId="9" xfId="25" applyFont="1" applyBorder="1" applyAlignment="1">
      <alignment horizontal="left" vertical="center" wrapText="1"/>
    </xf>
    <xf numFmtId="1" fontId="12" fillId="0" borderId="9" xfId="25" applyNumberFormat="1" applyFont="1" applyBorder="1" applyAlignment="1">
      <alignment horizontal="left" vertical="center" wrapText="1"/>
    </xf>
    <xf numFmtId="0" fontId="8" fillId="0" borderId="1" xfId="25" applyFont="1" applyBorder="1" applyAlignment="1">
      <alignment horizontal="left" vertical="center" wrapText="1"/>
    </xf>
    <xf numFmtId="0" fontId="9" fillId="0" borderId="1" xfId="25" applyFont="1" applyBorder="1" applyAlignment="1">
      <alignment horizontal="left" vertical="center" wrapText="1"/>
    </xf>
    <xf numFmtId="0" fontId="9" fillId="0" borderId="9" xfId="25" applyFont="1" applyBorder="1" applyAlignment="1">
      <alignment horizontal="left" vertical="center" wrapText="1"/>
    </xf>
    <xf numFmtId="1" fontId="9" fillId="0" borderId="1" xfId="25" applyNumberFormat="1" applyFont="1" applyBorder="1" applyAlignment="1">
      <alignment horizontal="center" vertical="center" wrapText="1"/>
    </xf>
    <xf numFmtId="1" fontId="9" fillId="0" borderId="9" xfId="25" applyNumberFormat="1" applyFont="1" applyBorder="1" applyAlignment="1">
      <alignment horizontal="center" vertical="center" wrapText="1"/>
    </xf>
    <xf numFmtId="1" fontId="9" fillId="0" borderId="1" xfId="25" applyNumberFormat="1" applyFont="1" applyBorder="1" applyAlignment="1">
      <alignment horizontal="left" vertical="center" wrapText="1"/>
    </xf>
    <xf numFmtId="0" fontId="9" fillId="0" borderId="4" xfId="25" applyFont="1" applyBorder="1" applyAlignment="1">
      <alignment horizontal="left" vertical="center" wrapText="1"/>
    </xf>
    <xf numFmtId="0" fontId="11" fillId="0" borderId="1" xfId="25" applyFont="1" applyBorder="1" applyAlignment="1">
      <alignment horizontal="left" vertical="center" wrapText="1"/>
    </xf>
    <xf numFmtId="0" fontId="11" fillId="0" borderId="9" xfId="25" applyFont="1" applyBorder="1" applyAlignment="1">
      <alignment horizontal="left" vertical="center" wrapText="1"/>
    </xf>
    <xf numFmtId="166" fontId="9" fillId="0" borderId="1" xfId="26" applyNumberFormat="1" applyFont="1" applyFill="1" applyBorder="1" applyAlignment="1" applyProtection="1">
      <alignment horizontal="center" vertical="center" wrapText="1"/>
    </xf>
    <xf numFmtId="2" fontId="16" fillId="0" borderId="1" xfId="0" applyNumberFormat="1" applyFont="1" applyFill="1" applyBorder="1" applyAlignment="1">
      <alignment horizontal="center" vertical="center" wrapText="1"/>
    </xf>
    <xf numFmtId="166" fontId="9" fillId="0" borderId="1" xfId="26" applyNumberFormat="1" applyFont="1" applyFill="1" applyBorder="1" applyAlignment="1" applyProtection="1">
      <alignment horizontal="center" vertical="center"/>
    </xf>
    <xf numFmtId="166" fontId="9" fillId="0" borderId="9" xfId="26" applyNumberFormat="1" applyFont="1" applyFill="1" applyBorder="1" applyAlignment="1" applyProtection="1">
      <alignment horizontal="center" vertical="center" wrapText="1"/>
    </xf>
    <xf numFmtId="166" fontId="11" fillId="0" borderId="4" xfId="26" applyNumberFormat="1" applyFont="1" applyFill="1" applyBorder="1" applyAlignment="1" applyProtection="1">
      <alignment horizontal="center" vertical="center" wrapText="1"/>
    </xf>
    <xf numFmtId="166" fontId="11" fillId="0" borderId="1" xfId="26" applyNumberFormat="1" applyFont="1" applyFill="1" applyBorder="1" applyAlignment="1" applyProtection="1">
      <alignment horizontal="center" vertical="center" wrapText="1"/>
    </xf>
    <xf numFmtId="1" fontId="11" fillId="0" borderId="1" xfId="25" applyNumberFormat="1" applyFont="1" applyBorder="1" applyAlignment="1">
      <alignment horizontal="left" vertical="center" wrapText="1"/>
    </xf>
    <xf numFmtId="0" fontId="9" fillId="0" borderId="9" xfId="25" applyFont="1" applyBorder="1" applyAlignment="1">
      <alignment horizontal="center" vertical="center" wrapText="1"/>
    </xf>
    <xf numFmtId="0" fontId="0" fillId="0" borderId="1" xfId="0" applyBorder="1" applyAlignment="1">
      <alignment wrapText="1"/>
    </xf>
    <xf numFmtId="0" fontId="0" fillId="0" borderId="0" xfId="0" applyAlignment="1">
      <alignment wrapText="1"/>
    </xf>
    <xf numFmtId="170" fontId="0" fillId="0" borderId="0" xfId="1" applyNumberFormat="1" applyFont="1" applyAlignment="1"/>
    <xf numFmtId="170" fontId="0" fillId="0" borderId="1" xfId="1" applyNumberFormat="1" applyFont="1" applyBorder="1" applyAlignment="1"/>
    <xf numFmtId="0" fontId="38" fillId="0" borderId="1" xfId="0" applyFont="1" applyBorder="1" applyAlignment="1">
      <alignment vertical="center"/>
    </xf>
    <xf numFmtId="170" fontId="38" fillId="0" borderId="1" xfId="1" applyNumberFormat="1" applyFont="1" applyBorder="1" applyAlignment="1">
      <alignment vertical="center"/>
    </xf>
    <xf numFmtId="0" fontId="38" fillId="0" borderId="1" xfId="0" applyFont="1" applyBorder="1" applyAlignment="1">
      <alignment horizontal="center" vertical="center"/>
    </xf>
    <xf numFmtId="170" fontId="38" fillId="0" borderId="1" xfId="1" applyNumberFormat="1" applyFont="1" applyBorder="1" applyAlignment="1">
      <alignment horizontal="center" vertical="center"/>
    </xf>
    <xf numFmtId="170" fontId="38" fillId="0" borderId="1" xfId="1" applyNumberFormat="1" applyFont="1" applyBorder="1" applyAlignment="1">
      <alignment horizontal="center" vertical="center" wrapText="1"/>
    </xf>
    <xf numFmtId="0" fontId="38"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70" fontId="0" fillId="0" borderId="1" xfId="1" applyNumberFormat="1" applyFont="1" applyBorder="1" applyAlignment="1">
      <alignment horizontal="center" vertical="center"/>
    </xf>
    <xf numFmtId="170" fontId="0" fillId="0" borderId="1" xfId="1" applyNumberFormat="1" applyFont="1" applyBorder="1" applyAlignment="1">
      <alignment vertical="center"/>
    </xf>
    <xf numFmtId="0" fontId="0" fillId="0" borderId="1" xfId="0" applyBorder="1" applyAlignment="1">
      <alignment vertical="center"/>
    </xf>
    <xf numFmtId="0" fontId="0" fillId="0" borderId="4" xfId="0" applyBorder="1" applyAlignment="1">
      <alignment wrapText="1"/>
    </xf>
    <xf numFmtId="43" fontId="0" fillId="0" borderId="1" xfId="1" applyFont="1" applyBorder="1" applyAlignment="1">
      <alignment vertical="center" wrapText="1"/>
    </xf>
    <xf numFmtId="43" fontId="0" fillId="0" borderId="1" xfId="1" applyFont="1" applyBorder="1" applyAlignment="1">
      <alignment wrapText="1"/>
    </xf>
    <xf numFmtId="43" fontId="0" fillId="0" borderId="18" xfId="1" applyFont="1" applyBorder="1" applyAlignment="1">
      <alignment wrapText="1"/>
    </xf>
    <xf numFmtId="43" fontId="0" fillId="0" borderId="4" xfId="0" applyNumberFormat="1" applyBorder="1" applyAlignment="1">
      <alignment wrapText="1"/>
    </xf>
    <xf numFmtId="43" fontId="0" fillId="0" borderId="0" xfId="1" applyFont="1" applyAlignment="1">
      <alignment vertical="center" wrapText="1"/>
    </xf>
    <xf numFmtId="0" fontId="0" fillId="0" borderId="18" xfId="0" applyBorder="1" applyAlignment="1">
      <alignment wrapText="1"/>
    </xf>
    <xf numFmtId="0" fontId="36" fillId="0" borderId="4" xfId="0" applyFont="1" applyBorder="1" applyAlignment="1">
      <alignment wrapText="1"/>
    </xf>
    <xf numFmtId="43" fontId="36" fillId="0" borderId="4" xfId="0" applyNumberFormat="1" applyFont="1" applyBorder="1" applyAlignment="1">
      <alignment wrapText="1"/>
    </xf>
    <xf numFmtId="43" fontId="35" fillId="0" borderId="1" xfId="1" applyFont="1" applyBorder="1" applyAlignment="1">
      <alignment vertical="center" wrapText="1"/>
    </xf>
    <xf numFmtId="0" fontId="15" fillId="0" borderId="0" xfId="12" applyFont="1" applyAlignment="1">
      <alignment wrapText="1"/>
    </xf>
    <xf numFmtId="43" fontId="11" fillId="0" borderId="7" xfId="1" applyFont="1" applyBorder="1" applyAlignment="1">
      <alignment horizontal="center" vertical="center" wrapText="1"/>
    </xf>
    <xf numFmtId="166" fontId="12" fillId="0" borderId="4" xfId="10" applyNumberFormat="1" applyFont="1" applyBorder="1" applyAlignment="1">
      <alignment horizontal="center" vertical="center" wrapText="1"/>
    </xf>
    <xf numFmtId="43" fontId="8" fillId="0" borderId="7" xfId="1" applyFont="1" applyFill="1" applyBorder="1" applyAlignment="1">
      <alignment wrapText="1"/>
    </xf>
    <xf numFmtId="166" fontId="18" fillId="0" borderId="1" xfId="3" applyNumberFormat="1" applyFont="1" applyBorder="1" applyAlignment="1">
      <alignment horizontal="justify" vertical="top"/>
    </xf>
    <xf numFmtId="43" fontId="17" fillId="0" borderId="19" xfId="1" applyFont="1" applyFill="1" applyBorder="1" applyAlignment="1">
      <alignment horizontal="justify" vertical="top" wrapText="1"/>
    </xf>
    <xf numFmtId="0" fontId="15" fillId="0" borderId="0" xfId="12" applyFont="1" applyAlignment="1">
      <alignment vertical="center" wrapText="1"/>
    </xf>
    <xf numFmtId="0" fontId="15" fillId="0" borderId="0" xfId="12" applyFont="1" applyAlignment="1">
      <alignment vertical="center"/>
    </xf>
    <xf numFmtId="168" fontId="29" fillId="0" borderId="1" xfId="1" applyNumberFormat="1" applyFont="1" applyBorder="1" applyAlignment="1">
      <alignment horizontal="center" vertical="center"/>
    </xf>
    <xf numFmtId="168" fontId="0" fillId="0" borderId="1" xfId="1" applyNumberFormat="1" applyFont="1" applyBorder="1" applyAlignment="1">
      <alignment horizontal="center" vertical="center" wrapText="1"/>
    </xf>
    <xf numFmtId="168" fontId="0" fillId="0" borderId="9" xfId="1" applyNumberFormat="1" applyFont="1" applyBorder="1" applyAlignment="1">
      <alignment horizontal="center" vertical="center" wrapText="1"/>
    </xf>
    <xf numFmtId="168" fontId="0" fillId="0" borderId="9" xfId="0" applyNumberFormat="1" applyBorder="1" applyAlignment="1">
      <alignment horizontal="center" vertical="center" wrapText="1"/>
    </xf>
    <xf numFmtId="168" fontId="29" fillId="0" borderId="9" xfId="12" applyNumberFormat="1" applyFont="1" applyBorder="1" applyAlignment="1">
      <alignment horizontal="center" vertical="center"/>
    </xf>
    <xf numFmtId="168" fontId="27" fillId="0" borderId="7" xfId="1" applyNumberFormat="1" applyFont="1" applyBorder="1" applyAlignment="1">
      <alignment horizontal="center" vertical="center"/>
    </xf>
    <xf numFmtId="168" fontId="27" fillId="0" borderId="4" xfId="12" applyNumberFormat="1" applyFont="1" applyBorder="1" applyAlignment="1">
      <alignment horizontal="center" vertical="center"/>
    </xf>
    <xf numFmtId="168" fontId="26" fillId="0" borderId="8" xfId="1" applyNumberFormat="1" applyFont="1" applyBorder="1" applyAlignment="1">
      <alignment horizontal="center" vertical="center"/>
    </xf>
    <xf numFmtId="168" fontId="9" fillId="0" borderId="0" xfId="1" applyNumberFormat="1" applyFont="1" applyAlignment="1">
      <alignment horizontal="center" vertical="center"/>
    </xf>
    <xf numFmtId="168" fontId="8" fillId="0" borderId="14" xfId="1" applyNumberFormat="1" applyFont="1" applyBorder="1" applyAlignment="1">
      <alignment vertical="center"/>
    </xf>
    <xf numFmtId="168" fontId="8" fillId="0" borderId="6" xfId="1" applyNumberFormat="1" applyFont="1" applyBorder="1" applyAlignment="1">
      <alignment horizontal="center" vertical="center" wrapText="1"/>
    </xf>
    <xf numFmtId="168" fontId="12" fillId="0" borderId="8" xfId="1" applyNumberFormat="1" applyFont="1" applyBorder="1" applyAlignment="1">
      <alignment horizontal="center" vertical="center"/>
    </xf>
    <xf numFmtId="168" fontId="12" fillId="0" borderId="6" xfId="1" applyNumberFormat="1" applyFont="1" applyBorder="1" applyAlignment="1">
      <alignment horizontal="center" vertical="center"/>
    </xf>
    <xf numFmtId="168" fontId="12" fillId="0" borderId="4" xfId="1" applyNumberFormat="1" applyFont="1" applyBorder="1" applyAlignment="1">
      <alignment horizontal="center" vertical="center"/>
    </xf>
    <xf numFmtId="168" fontId="12" fillId="0" borderId="1" xfId="1" applyNumberFormat="1" applyFont="1" applyBorder="1" applyAlignment="1">
      <alignment vertical="center" wrapText="1"/>
    </xf>
    <xf numFmtId="168" fontId="12" fillId="0" borderId="1" xfId="1" applyNumberFormat="1" applyFont="1" applyBorder="1" applyAlignment="1">
      <alignment horizontal="center" vertical="center" wrapText="1"/>
    </xf>
    <xf numFmtId="168" fontId="12" fillId="0" borderId="1" xfId="1" applyNumberFormat="1" applyFont="1" applyFill="1" applyBorder="1" applyAlignment="1" applyProtection="1">
      <alignment horizontal="center" vertical="center" wrapText="1"/>
    </xf>
    <xf numFmtId="168" fontId="12" fillId="0" borderId="1" xfId="1" applyNumberFormat="1" applyFont="1" applyBorder="1" applyAlignment="1">
      <alignment horizontal="center" vertical="center"/>
    </xf>
    <xf numFmtId="168" fontId="12" fillId="0" borderId="9" xfId="1" applyNumberFormat="1" applyFont="1" applyBorder="1" applyAlignment="1">
      <alignment horizontal="center" vertical="center"/>
    </xf>
    <xf numFmtId="168" fontId="8" fillId="0" borderId="6" xfId="1" applyNumberFormat="1" applyFont="1" applyBorder="1" applyAlignment="1">
      <alignment horizontal="center" vertical="center"/>
    </xf>
    <xf numFmtId="0" fontId="28" fillId="0" borderId="1" xfId="12" applyFont="1" applyBorder="1" applyAlignment="1">
      <alignment horizontal="center" vertical="center"/>
    </xf>
    <xf numFmtId="0" fontId="44" fillId="0" borderId="22" xfId="12" applyFont="1" applyBorder="1" applyAlignment="1">
      <alignment horizontal="center" vertical="center" wrapText="1"/>
    </xf>
    <xf numFmtId="0" fontId="44" fillId="0" borderId="21" xfId="12" applyFont="1" applyBorder="1" applyAlignment="1">
      <alignment horizontal="center" vertical="center"/>
    </xf>
    <xf numFmtId="0" fontId="44" fillId="0" borderId="23" xfId="12" applyFont="1" applyBorder="1" applyAlignment="1">
      <alignment horizontal="center" vertical="center"/>
    </xf>
    <xf numFmtId="1" fontId="11" fillId="0" borderId="0" xfId="3" applyNumberFormat="1" applyFont="1" applyAlignment="1">
      <alignment horizontal="center" vertical="center"/>
    </xf>
    <xf numFmtId="0" fontId="11" fillId="0" borderId="0" xfId="10" applyFont="1" applyAlignment="1">
      <alignment horizontal="center" vertical="center"/>
    </xf>
    <xf numFmtId="0" fontId="11" fillId="0" borderId="0" xfId="10" applyFont="1" applyAlignment="1">
      <alignment horizontal="center" vertical="center" wrapText="1"/>
    </xf>
    <xf numFmtId="1" fontId="11" fillId="0" borderId="0" xfId="3" applyNumberFormat="1" applyFont="1" applyAlignment="1">
      <alignment horizontal="center" vertical="center" wrapText="1"/>
    </xf>
    <xf numFmtId="1" fontId="13" fillId="0" borderId="0" xfId="3" applyNumberFormat="1" applyFont="1" applyAlignment="1">
      <alignment horizontal="center" vertical="center" wrapText="1"/>
    </xf>
    <xf numFmtId="1" fontId="8" fillId="0" borderId="9" xfId="3" applyNumberFormat="1" applyFont="1" applyBorder="1" applyAlignment="1">
      <alignment horizontal="center" vertical="center"/>
    </xf>
    <xf numFmtId="1" fontId="22" fillId="0" borderId="1" xfId="3" applyNumberFormat="1" applyFont="1" applyBorder="1" applyAlignment="1">
      <alignment horizontal="center" vertical="center"/>
    </xf>
    <xf numFmtId="0" fontId="13"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1" fontId="8" fillId="0" borderId="14" xfId="3" applyNumberFormat="1" applyFont="1" applyBorder="1" applyAlignment="1">
      <alignment horizontal="center" vertical="center"/>
    </xf>
    <xf numFmtId="1" fontId="8" fillId="0" borderId="15" xfId="3" applyNumberFormat="1" applyFont="1" applyBorder="1" applyAlignment="1">
      <alignment horizontal="center" vertical="center"/>
    </xf>
    <xf numFmtId="0" fontId="12" fillId="0" borderId="1" xfId="0" applyNumberFormat="1" applyFont="1" applyBorder="1" applyAlignment="1">
      <alignment horizontal="center" vertical="top"/>
    </xf>
    <xf numFmtId="0" fontId="12" fillId="0" borderId="1" xfId="0" applyFont="1" applyFill="1" applyBorder="1" applyAlignment="1">
      <alignment horizontal="center" vertical="top"/>
    </xf>
    <xf numFmtId="0" fontId="12" fillId="0" borderId="1" xfId="0" applyFont="1" applyFill="1" applyBorder="1" applyAlignment="1">
      <alignment horizontal="center" vertical="top" wrapText="1"/>
    </xf>
    <xf numFmtId="0" fontId="17" fillId="0" borderId="0" xfId="0" applyFont="1" applyAlignment="1">
      <alignment horizontal="center" vertical="center"/>
    </xf>
    <xf numFmtId="0" fontId="29" fillId="0" borderId="9" xfId="12" applyFont="1" applyBorder="1" applyAlignment="1">
      <alignment horizontal="center" vertical="center" wrapText="1"/>
    </xf>
  </cellXfs>
  <cellStyles count="30">
    <cellStyle name="Comma" xfId="1" builtinId="3"/>
    <cellStyle name="Comma 18 2 2 2" xfId="14" xr:uid="{BAB69C1B-AB09-474C-BE5E-DBC8E99AFDA9}"/>
    <cellStyle name="Comma 2" xfId="4" xr:uid="{00000000-0005-0000-0000-000001000000}"/>
    <cellStyle name="Comma 2 2" xfId="19" xr:uid="{59E0030F-CBA1-4A48-8B3D-BA3EA6695AB5}"/>
    <cellStyle name="Comma 2 2 2" xfId="17" xr:uid="{A6A443CA-76DA-49DE-A92C-57CABF81C1F0}"/>
    <cellStyle name="Comma 3" xfId="8" xr:uid="{00000000-0005-0000-0000-000002000000}"/>
    <cellStyle name="Comma 4" xfId="11" xr:uid="{00000000-0005-0000-0000-000003000000}"/>
    <cellStyle name="Comma 4 2" xfId="26" xr:uid="{7A8B8FC3-32D7-4A3F-B576-B37898FBABBE}"/>
    <cellStyle name="Comma 6" xfId="21" xr:uid="{B0DD75D8-0136-4AD3-86E7-A2BAD9D6DCC7}"/>
    <cellStyle name="Excel Built-in Normal" xfId="3" xr:uid="{00000000-0005-0000-0000-000004000000}"/>
    <cellStyle name="Excel Built-in Normal 2" xfId="13" xr:uid="{16F188F5-D412-4073-A49E-DB12D377CBB4}"/>
    <cellStyle name="Excel Built-in Normal 2 2" xfId="15" xr:uid="{E8567B5C-9C95-4D64-BA3B-CA1DAEF5F53F}"/>
    <cellStyle name="Normal" xfId="0" builtinId="0" customBuiltin="1"/>
    <cellStyle name="Normal - Style1 7" xfId="23" xr:uid="{67BABFC3-31B3-4697-9921-99B6A3305CF1}"/>
    <cellStyle name="Normal 10" xfId="6" xr:uid="{00000000-0005-0000-0000-000006000000}"/>
    <cellStyle name="Normal 10 2" xfId="22" xr:uid="{B6EB0DDA-FAFF-43BE-9D31-85C944E25FEB}"/>
    <cellStyle name="Normal 12 2" xfId="24" xr:uid="{4BF882FD-3364-477C-A6CF-443966F8E4F6}"/>
    <cellStyle name="Normal 2" xfId="2" xr:uid="{00000000-0005-0000-0000-000007000000}"/>
    <cellStyle name="Normal 2 2" xfId="5" xr:uid="{00000000-0005-0000-0000-000008000000}"/>
    <cellStyle name="Normal 2 3" xfId="7" xr:uid="{00000000-0005-0000-0000-000009000000}"/>
    <cellStyle name="Normal 2 3 2" xfId="16" xr:uid="{650DA545-123E-4FF1-8BBB-9F845806873B}"/>
    <cellStyle name="Normal 2 3 4 2" xfId="18" xr:uid="{8145940D-F293-4979-ADAF-A6F361CF6607}"/>
    <cellStyle name="Normal 3" xfId="10" xr:uid="{00000000-0005-0000-0000-00000A000000}"/>
    <cellStyle name="Normal 3 2" xfId="25" xr:uid="{A3CB8B68-ADD1-4042-947E-9BA2458F8EA7}"/>
    <cellStyle name="Normal 4" xfId="12" xr:uid="{00000000-0005-0000-0000-00000B000000}"/>
    <cellStyle name="Normal 4 2" xfId="27" xr:uid="{31CAC185-C679-4B2B-B5A5-79F7B498FB68}"/>
    <cellStyle name="Normal 5" xfId="29" xr:uid="{CB727309-5581-425E-934D-0225B105E323}"/>
    <cellStyle name="Normal 6" xfId="9" xr:uid="{00000000-0005-0000-0000-00000C000000}"/>
    <cellStyle name="Normal 7" xfId="20" xr:uid="{BD9B1AC6-B693-4D74-AEA1-1AF258E7A9A6}"/>
    <cellStyle name="Normal 9" xfId="28" xr:uid="{989E908A-21A4-4076-97F5-0351D895898F}"/>
  </cellStyles>
  <dxfs count="2">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FF2600"/>
      <rgbColor rgb="FFAAAAAA"/>
      <rgbColor rgb="FF4D5D2C"/>
      <rgbColor rgb="FFCE222B"/>
      <rgbColor rgb="FFFF0000"/>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95250</xdr:rowOff>
    </xdr:from>
    <xdr:to>
      <xdr:col>1</xdr:col>
      <xdr:colOff>895350</xdr:colOff>
      <xdr:row>1</xdr:row>
      <xdr:rowOff>762000</xdr:rowOff>
    </xdr:to>
    <xdr:pic>
      <xdr:nvPicPr>
        <xdr:cNvPr id="2" name="Picture 1">
          <a:extLst>
            <a:ext uri="{FF2B5EF4-FFF2-40B4-BE49-F238E27FC236}">
              <a16:creationId xmlns:a16="http://schemas.microsoft.com/office/drawing/2014/main" id="{636D3F65-E30D-4396-B1B9-2B0422C942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266700"/>
          <a:ext cx="131445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49</xdr:row>
      <xdr:rowOff>460098</xdr:rowOff>
    </xdr:from>
    <xdr:to>
      <xdr:col>18</xdr:col>
      <xdr:colOff>258326</xdr:colOff>
      <xdr:row>49</xdr:row>
      <xdr:rowOff>1366630</xdr:rowOff>
    </xdr:to>
    <xdr:pic>
      <xdr:nvPicPr>
        <xdr:cNvPr id="3" name="Picture 2">
          <a:extLst>
            <a:ext uri="{FF2B5EF4-FFF2-40B4-BE49-F238E27FC236}">
              <a16:creationId xmlns:a16="http://schemas.microsoft.com/office/drawing/2014/main" id="{A7AA0C25-FE40-52EC-19A9-1879E9E24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1508" y="41914555"/>
          <a:ext cx="1208709" cy="906532"/>
        </a:xfrm>
        <a:prstGeom prst="rect">
          <a:avLst/>
        </a:prstGeom>
      </xdr:spPr>
    </xdr:pic>
    <xdr:clientData/>
  </xdr:twoCellAnchor>
  <xdr:twoCellAnchor editAs="oneCell">
    <xdr:from>
      <xdr:col>16</xdr:col>
      <xdr:colOff>0</xdr:colOff>
      <xdr:row>37</xdr:row>
      <xdr:rowOff>935936</xdr:rowOff>
    </xdr:from>
    <xdr:to>
      <xdr:col>18</xdr:col>
      <xdr:colOff>262970</xdr:colOff>
      <xdr:row>37</xdr:row>
      <xdr:rowOff>1885537</xdr:rowOff>
    </xdr:to>
    <xdr:pic>
      <xdr:nvPicPr>
        <xdr:cNvPr id="5" name="Picture 4">
          <a:extLst>
            <a:ext uri="{FF2B5EF4-FFF2-40B4-BE49-F238E27FC236}">
              <a16:creationId xmlns:a16="http://schemas.microsoft.com/office/drawing/2014/main" id="{FC2AAF9C-6635-0313-6936-6977DF53B0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9349" y="34356262"/>
          <a:ext cx="1194303" cy="94960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zoomScaleNormal="100" zoomScaleSheetLayoutView="85" workbookViewId="0">
      <selection activeCell="J31" sqref="J31"/>
    </sheetView>
  </sheetViews>
  <sheetFormatPr defaultColWidth="9" defaultRowHeight="12.75"/>
  <cols>
    <col min="1" max="1" width="6.375" style="322" customWidth="1"/>
    <col min="2" max="2" width="44.125" style="322" customWidth="1"/>
    <col min="3" max="3" width="17.625" style="322" customWidth="1"/>
    <col min="4" max="4" width="9.5" style="322" customWidth="1"/>
    <col min="5" max="6" width="11.875" style="322" bestFit="1" customWidth="1"/>
    <col min="7" max="16384" width="9" style="322"/>
  </cols>
  <sheetData>
    <row r="1" spans="1:3" ht="13.5" thickBot="1"/>
    <row r="2" spans="1:3" ht="66.75" customHeight="1" thickBot="1">
      <c r="A2" s="631" t="s">
        <v>941</v>
      </c>
      <c r="B2" s="632"/>
      <c r="C2" s="633"/>
    </row>
    <row r="3" spans="1:3" ht="23.25" customHeight="1">
      <c r="A3" s="630" t="s">
        <v>539</v>
      </c>
      <c r="B3" s="630"/>
      <c r="C3" s="630"/>
    </row>
    <row r="5" spans="1:3" ht="21" customHeight="1" thickBot="1">
      <c r="A5" s="323" t="s">
        <v>516</v>
      </c>
      <c r="B5" s="324"/>
      <c r="C5" s="323" t="s">
        <v>937</v>
      </c>
    </row>
    <row r="6" spans="1:3" ht="16.5" thickBot="1">
      <c r="A6" s="325" t="s">
        <v>517</v>
      </c>
      <c r="B6" s="326" t="s">
        <v>518</v>
      </c>
      <c r="C6" s="327" t="s">
        <v>519</v>
      </c>
    </row>
    <row r="7" spans="1:3" ht="13.5" customHeight="1">
      <c r="A7" s="328"/>
      <c r="B7" s="328"/>
      <c r="C7" s="328"/>
    </row>
    <row r="8" spans="1:3">
      <c r="A8" s="329">
        <v>1</v>
      </c>
      <c r="B8" s="329" t="s">
        <v>540</v>
      </c>
      <c r="C8" s="610">
        <f>'0 Overall'!J92</f>
        <v>8365061.5199999996</v>
      </c>
    </row>
    <row r="9" spans="1:3">
      <c r="A9" s="329">
        <v>2</v>
      </c>
      <c r="B9" s="329" t="s">
        <v>541</v>
      </c>
      <c r="C9" s="610">
        <f>'welcome zone'!O159</f>
        <v>13378164</v>
      </c>
    </row>
    <row r="10" spans="1:3">
      <c r="A10" s="329">
        <v>3</v>
      </c>
      <c r="B10" s="329" t="s">
        <v>542</v>
      </c>
      <c r="C10" s="610">
        <f>'fine dine &amp; live kitchen'!J139</f>
        <v>11132359.900000002</v>
      </c>
    </row>
    <row r="11" spans="1:3">
      <c r="A11" s="329">
        <v>4</v>
      </c>
      <c r="B11" s="329" t="s">
        <v>543</v>
      </c>
      <c r="C11" s="610">
        <f>'tea lounge'!K51</f>
        <v>10854987</v>
      </c>
    </row>
    <row r="12" spans="1:3">
      <c r="A12" s="329">
        <v>5</v>
      </c>
      <c r="B12" s="329" t="s">
        <v>544</v>
      </c>
      <c r="C12" s="610">
        <f>'sports &amp; relax lounge'!L103</f>
        <v>13297122.6</v>
      </c>
    </row>
    <row r="13" spans="1:3">
      <c r="A13" s="329">
        <v>6</v>
      </c>
      <c r="B13" s="329" t="s">
        <v>545</v>
      </c>
      <c r="C13" s="610">
        <f>SPA!J194</f>
        <v>7537441.7000000002</v>
      </c>
    </row>
    <row r="14" spans="1:3">
      <c r="A14" s="329">
        <v>7</v>
      </c>
      <c r="B14" s="329" t="s">
        <v>546</v>
      </c>
      <c r="C14" s="611">
        <f>'Water Lounge'!J244</f>
        <v>13286099.459999999</v>
      </c>
    </row>
    <row r="15" spans="1:3">
      <c r="A15" s="330">
        <v>8</v>
      </c>
      <c r="B15" s="330" t="s">
        <v>547</v>
      </c>
      <c r="C15" s="612">
        <f>'CIVIL-WET WORK'!$N$172</f>
        <v>13042745.635</v>
      </c>
    </row>
    <row r="16" spans="1:3">
      <c r="A16" s="330">
        <v>9</v>
      </c>
      <c r="B16" s="330" t="s">
        <v>548</v>
      </c>
      <c r="C16" s="613" t="s">
        <v>934</v>
      </c>
    </row>
    <row r="17" spans="1:6" ht="25.5">
      <c r="A17" s="330">
        <v>10</v>
      </c>
      <c r="B17" s="650" t="s">
        <v>939</v>
      </c>
      <c r="C17" s="613" t="s">
        <v>935</v>
      </c>
    </row>
    <row r="18" spans="1:6" ht="25.5">
      <c r="A18" s="330">
        <v>11</v>
      </c>
      <c r="B18" s="650" t="s">
        <v>940</v>
      </c>
      <c r="C18" s="613" t="s">
        <v>935</v>
      </c>
    </row>
    <row r="19" spans="1:6" ht="13.5" thickBot="1">
      <c r="A19" s="330" t="s">
        <v>900</v>
      </c>
      <c r="B19" s="330"/>
      <c r="C19" s="614"/>
    </row>
    <row r="20" spans="1:6" ht="15.75" thickBot="1">
      <c r="A20" s="331"/>
      <c r="B20" s="332" t="s">
        <v>936</v>
      </c>
      <c r="C20" s="615">
        <f>SUM(C8:C19)</f>
        <v>90893981.815000013</v>
      </c>
      <c r="E20" s="425"/>
      <c r="F20" s="425"/>
    </row>
    <row r="21" spans="1:6" ht="15">
      <c r="A21" s="333"/>
      <c r="B21" s="333"/>
      <c r="C21" s="616"/>
      <c r="E21" s="426"/>
      <c r="F21" s="426"/>
    </row>
    <row r="22" spans="1:6" ht="15.75" thickBot="1">
      <c r="A22" s="334"/>
      <c r="B22" s="335" t="s">
        <v>520</v>
      </c>
      <c r="C22" s="617">
        <f>SUM(C20*10%)</f>
        <v>9089398.1815000009</v>
      </c>
    </row>
    <row r="23" spans="1:6" ht="15.75" thickBot="1">
      <c r="A23" s="331"/>
      <c r="B23" s="332" t="s">
        <v>521</v>
      </c>
      <c r="C23" s="615">
        <f>SUM(C20:C22)</f>
        <v>99983379.996500015</v>
      </c>
    </row>
    <row r="24" spans="1:6">
      <c r="A24" s="336"/>
      <c r="B24" s="336"/>
      <c r="C24" s="337"/>
    </row>
    <row r="25" spans="1:6">
      <c r="A25" s="338"/>
      <c r="B25" s="338" t="s">
        <v>522</v>
      </c>
    </row>
    <row r="26" spans="1:6">
      <c r="A26" s="339">
        <v>1</v>
      </c>
      <c r="B26" s="339" t="s">
        <v>929</v>
      </c>
    </row>
    <row r="27" spans="1:6">
      <c r="A27" s="339">
        <v>2</v>
      </c>
      <c r="B27" s="339" t="s">
        <v>938</v>
      </c>
    </row>
    <row r="28" spans="1:6">
      <c r="A28" s="339">
        <v>3</v>
      </c>
      <c r="B28" s="339" t="s">
        <v>523</v>
      </c>
    </row>
    <row r="29" spans="1:6">
      <c r="A29" s="339">
        <v>4</v>
      </c>
      <c r="B29" s="339" t="s">
        <v>524</v>
      </c>
    </row>
    <row r="30" spans="1:6">
      <c r="A30" s="339">
        <v>5</v>
      </c>
      <c r="B30" s="339" t="s">
        <v>525</v>
      </c>
    </row>
    <row r="31" spans="1:6">
      <c r="A31" s="339">
        <v>6</v>
      </c>
      <c r="B31" s="339" t="s">
        <v>526</v>
      </c>
    </row>
    <row r="32" spans="1:6">
      <c r="A32" s="339"/>
      <c r="B32" s="339"/>
    </row>
    <row r="33" spans="1:3">
      <c r="B33" s="338" t="s">
        <v>527</v>
      </c>
    </row>
    <row r="34" spans="1:3">
      <c r="A34" s="609">
        <v>1</v>
      </c>
      <c r="B34" s="339" t="s">
        <v>528</v>
      </c>
    </row>
    <row r="35" spans="1:3">
      <c r="A35" s="609">
        <v>2</v>
      </c>
      <c r="B35" s="339" t="s">
        <v>529</v>
      </c>
    </row>
    <row r="36" spans="1:3" ht="42" customHeight="1">
      <c r="A36" s="609">
        <v>3</v>
      </c>
      <c r="B36" s="608" t="s">
        <v>530</v>
      </c>
      <c r="C36" s="602"/>
    </row>
    <row r="37" spans="1:3">
      <c r="A37" s="609">
        <v>4</v>
      </c>
      <c r="B37" s="339" t="s">
        <v>531</v>
      </c>
    </row>
    <row r="38" spans="1:3">
      <c r="A38" s="609">
        <v>5</v>
      </c>
      <c r="B38" s="339" t="s">
        <v>532</v>
      </c>
    </row>
    <row r="39" spans="1:3">
      <c r="A39" s="609">
        <v>6</v>
      </c>
      <c r="B39" s="339" t="s">
        <v>533</v>
      </c>
    </row>
    <row r="40" spans="1:3">
      <c r="A40" s="609">
        <v>7</v>
      </c>
      <c r="B40" s="339" t="s">
        <v>534</v>
      </c>
    </row>
    <row r="41" spans="1:3">
      <c r="A41" s="609">
        <v>8</v>
      </c>
      <c r="B41" s="339" t="s">
        <v>535</v>
      </c>
    </row>
    <row r="42" spans="1:3">
      <c r="A42" s="609">
        <v>9</v>
      </c>
      <c r="B42" s="339" t="s">
        <v>536</v>
      </c>
    </row>
    <row r="43" spans="1:3">
      <c r="A43" s="609">
        <v>10</v>
      </c>
      <c r="B43" s="339" t="s">
        <v>537</v>
      </c>
    </row>
    <row r="44" spans="1:3">
      <c r="A44" s="609">
        <v>11</v>
      </c>
      <c r="B44" s="339" t="s">
        <v>538</v>
      </c>
    </row>
  </sheetData>
  <mergeCells count="2">
    <mergeCell ref="A3:C3"/>
    <mergeCell ref="A2:C2"/>
  </mergeCells>
  <pageMargins left="0.19685039370078741" right="0.19685039370078741" top="0.15748031496062992" bottom="0.19685039370078741" header="0.31496062992125984" footer="0.31496062992125984"/>
  <pageSetup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26148-4ED8-461E-B1B5-D4AA14F3132F}">
  <dimension ref="A4:I69"/>
  <sheetViews>
    <sheetView topLeftCell="A4" zoomScaleNormal="100" zoomScaleSheetLayoutView="85" workbookViewId="0">
      <pane ySplit="1" topLeftCell="A10" activePane="bottomLeft" state="frozen"/>
      <selection activeCell="A4" sqref="A4"/>
      <selection pane="bottomLeft" activeCell="I28" sqref="I28"/>
    </sheetView>
  </sheetViews>
  <sheetFormatPr defaultColWidth="11.25" defaultRowHeight="12.75"/>
  <cols>
    <col min="1" max="1" width="11.25" style="578"/>
    <col min="2" max="2" width="47.125" style="578" customWidth="1"/>
    <col min="3" max="5" width="11.25" style="578"/>
    <col min="6" max="6" width="12" style="578" bestFit="1" customWidth="1"/>
    <col min="7" max="7" width="19.5" style="578" customWidth="1"/>
    <col min="8" max="8" width="39" style="578" customWidth="1"/>
    <col min="9" max="16384" width="11.25" style="578"/>
  </cols>
  <sheetData>
    <row r="4" spans="1:9" s="415" customFormat="1" ht="15">
      <c r="A4" s="583" t="s">
        <v>901</v>
      </c>
      <c r="B4" s="583" t="s">
        <v>21</v>
      </c>
      <c r="C4" s="583" t="s">
        <v>902</v>
      </c>
      <c r="D4" s="583" t="s">
        <v>903</v>
      </c>
      <c r="E4" s="583" t="s">
        <v>904</v>
      </c>
      <c r="F4" s="584" t="s">
        <v>717</v>
      </c>
      <c r="G4" s="585" t="s">
        <v>905</v>
      </c>
      <c r="I4" s="579"/>
    </row>
    <row r="5" spans="1:9" s="415" customFormat="1">
      <c r="A5" s="422"/>
      <c r="B5" s="422"/>
      <c r="C5" s="422"/>
      <c r="D5" s="422"/>
      <c r="E5" s="422"/>
      <c r="F5" s="580"/>
      <c r="G5" s="580"/>
      <c r="I5" s="579"/>
    </row>
    <row r="6" spans="1:9" s="415" customFormat="1" ht="21" customHeight="1">
      <c r="A6" s="581">
        <v>1</v>
      </c>
      <c r="B6" s="586" t="s">
        <v>906</v>
      </c>
      <c r="C6" s="587" t="s">
        <v>907</v>
      </c>
      <c r="D6" s="588">
        <v>1</v>
      </c>
      <c r="E6" s="588">
        <v>30</v>
      </c>
      <c r="F6" s="589">
        <v>4500</v>
      </c>
      <c r="G6" s="590">
        <f>F6*E6</f>
        <v>135000</v>
      </c>
      <c r="I6" s="579"/>
    </row>
    <row r="7" spans="1:9" s="415" customFormat="1" ht="34.5" customHeight="1">
      <c r="A7" s="581">
        <v>2</v>
      </c>
      <c r="B7" s="586" t="s">
        <v>908</v>
      </c>
      <c r="C7" s="587" t="s">
        <v>907</v>
      </c>
      <c r="D7" s="588">
        <v>1</v>
      </c>
      <c r="E7" s="588">
        <v>7</v>
      </c>
      <c r="F7" s="589">
        <v>22000</v>
      </c>
      <c r="G7" s="590">
        <f>F7*E7</f>
        <v>154000</v>
      </c>
      <c r="I7" s="579"/>
    </row>
    <row r="8" spans="1:9" s="415" customFormat="1" ht="49.5" customHeight="1">
      <c r="A8" s="581">
        <v>3</v>
      </c>
      <c r="B8" s="586" t="s">
        <v>909</v>
      </c>
      <c r="C8" s="587" t="s">
        <v>907</v>
      </c>
      <c r="D8" s="588">
        <v>8</v>
      </c>
      <c r="E8" s="588">
        <v>15</v>
      </c>
      <c r="F8" s="589">
        <v>2000</v>
      </c>
      <c r="G8" s="590">
        <f>F8*E8*D8</f>
        <v>240000</v>
      </c>
      <c r="I8" s="579"/>
    </row>
    <row r="9" spans="1:9" s="415" customFormat="1" ht="27" customHeight="1">
      <c r="A9" s="581">
        <v>4</v>
      </c>
      <c r="B9" s="586" t="s">
        <v>910</v>
      </c>
      <c r="C9" s="591" t="s">
        <v>907</v>
      </c>
      <c r="D9" s="588">
        <f>25*1.5</f>
        <v>37.5</v>
      </c>
      <c r="E9" s="588">
        <v>30</v>
      </c>
      <c r="F9" s="589">
        <v>1200</v>
      </c>
      <c r="G9" s="590">
        <f t="shared" ref="G9" si="0">F9*E9*D9</f>
        <v>1350000</v>
      </c>
      <c r="I9" s="579"/>
    </row>
    <row r="10" spans="1:9" s="415" customFormat="1" ht="15">
      <c r="A10" s="591">
        <v>5</v>
      </c>
      <c r="B10" s="581" t="s">
        <v>911</v>
      </c>
      <c r="C10" s="591" t="s">
        <v>907</v>
      </c>
      <c r="D10" s="588">
        <v>3</v>
      </c>
      <c r="E10" s="588"/>
      <c r="F10" s="590">
        <v>25000</v>
      </c>
      <c r="G10" s="590">
        <f>F10*D10</f>
        <v>75000</v>
      </c>
      <c r="I10" s="579"/>
    </row>
    <row r="11" spans="1:9" s="415" customFormat="1">
      <c r="A11" s="591"/>
      <c r="B11" s="591"/>
      <c r="C11" s="591"/>
      <c r="D11" s="591"/>
      <c r="E11" s="591"/>
      <c r="F11" s="590"/>
      <c r="G11" s="590"/>
      <c r="I11" s="579"/>
    </row>
    <row r="12" spans="1:9" s="415" customFormat="1" ht="15">
      <c r="A12" s="591"/>
      <c r="B12" s="583" t="s">
        <v>912</v>
      </c>
      <c r="C12" s="591" t="s">
        <v>913</v>
      </c>
      <c r="D12" s="591">
        <v>1</v>
      </c>
      <c r="E12" s="591"/>
      <c r="F12" s="590"/>
      <c r="G12" s="582">
        <f>SUM(G6:G11)</f>
        <v>1954000</v>
      </c>
      <c r="I12" s="579"/>
    </row>
    <row r="13" spans="1:9">
      <c r="A13" s="577"/>
      <c r="B13" s="577"/>
      <c r="C13" s="577"/>
      <c r="D13" s="577"/>
      <c r="E13" s="577"/>
      <c r="F13" s="577"/>
      <c r="G13" s="577"/>
    </row>
    <row r="14" spans="1:9">
      <c r="A14" s="577"/>
      <c r="B14" s="577"/>
      <c r="C14" s="577"/>
      <c r="D14" s="577"/>
      <c r="E14" s="577"/>
      <c r="F14" s="577"/>
      <c r="G14" s="577"/>
    </row>
    <row r="15" spans="1:9" ht="45">
      <c r="A15" s="577"/>
      <c r="B15" s="586" t="s">
        <v>909</v>
      </c>
      <c r="C15" s="577"/>
      <c r="D15" s="577"/>
      <c r="E15" s="577"/>
      <c r="F15" s="577"/>
      <c r="G15" s="577"/>
    </row>
    <row r="16" spans="1:9" ht="25.5">
      <c r="A16" s="577"/>
      <c r="B16" s="587" t="s">
        <v>915</v>
      </c>
      <c r="C16" s="587" t="s">
        <v>914</v>
      </c>
      <c r="D16" s="587">
        <v>1.5</v>
      </c>
      <c r="E16" s="587"/>
      <c r="F16" s="587">
        <v>700</v>
      </c>
      <c r="G16" s="593">
        <f>F16*D16</f>
        <v>1050</v>
      </c>
    </row>
    <row r="17" spans="1:7" ht="25.5">
      <c r="A17" s="577"/>
      <c r="B17" s="587" t="s">
        <v>916</v>
      </c>
      <c r="C17" s="587" t="s">
        <v>914</v>
      </c>
      <c r="D17" s="587">
        <v>1</v>
      </c>
      <c r="E17" s="587"/>
      <c r="F17" s="587">
        <v>150</v>
      </c>
      <c r="G17" s="593">
        <f>F17*D17</f>
        <v>150</v>
      </c>
    </row>
    <row r="18" spans="1:7">
      <c r="A18" s="577"/>
      <c r="B18" s="587"/>
      <c r="C18" s="587"/>
      <c r="D18" s="587"/>
      <c r="E18" s="587"/>
      <c r="F18" s="587"/>
      <c r="G18" s="593"/>
    </row>
    <row r="19" spans="1:7">
      <c r="A19" s="577"/>
      <c r="B19" s="587" t="s">
        <v>917</v>
      </c>
      <c r="C19" s="587"/>
      <c r="D19" s="587"/>
      <c r="E19" s="587"/>
      <c r="F19" s="587"/>
      <c r="G19" s="593">
        <f>SUM(G16:G18)</f>
        <v>1200</v>
      </c>
    </row>
    <row r="20" spans="1:7">
      <c r="A20" s="577"/>
      <c r="B20" s="577"/>
      <c r="C20" s="577"/>
      <c r="D20" s="577"/>
      <c r="E20" s="577"/>
      <c r="F20" s="577"/>
      <c r="G20" s="594"/>
    </row>
    <row r="21" spans="1:7">
      <c r="A21" s="577"/>
      <c r="B21" s="577" t="s">
        <v>918</v>
      </c>
      <c r="C21" s="577" t="s">
        <v>919</v>
      </c>
      <c r="D21" s="577">
        <v>20</v>
      </c>
      <c r="E21" s="577">
        <v>30</v>
      </c>
      <c r="F21" s="577">
        <f>G19</f>
        <v>1200</v>
      </c>
      <c r="G21" s="594">
        <f>F21*E21*D21</f>
        <v>720000</v>
      </c>
    </row>
    <row r="22" spans="1:7">
      <c r="A22" s="577"/>
      <c r="B22" s="577"/>
      <c r="C22" s="577"/>
      <c r="D22" s="577"/>
      <c r="E22" s="577"/>
      <c r="F22" s="577"/>
      <c r="G22" s="577"/>
    </row>
    <row r="23" spans="1:7">
      <c r="A23" s="577"/>
      <c r="B23" s="577" t="s">
        <v>920</v>
      </c>
      <c r="C23" s="577" t="s">
        <v>919</v>
      </c>
      <c r="D23" s="577">
        <v>10</v>
      </c>
      <c r="E23" s="577">
        <v>30</v>
      </c>
      <c r="F23" s="577">
        <v>1200</v>
      </c>
      <c r="G23" s="594">
        <f>F23*E23*D23</f>
        <v>360000</v>
      </c>
    </row>
    <row r="24" spans="1:7">
      <c r="A24" s="577"/>
      <c r="B24" s="577" t="s">
        <v>921</v>
      </c>
      <c r="C24" s="577" t="s">
        <v>919</v>
      </c>
      <c r="D24" s="577">
        <v>15</v>
      </c>
      <c r="E24" s="577">
        <v>30</v>
      </c>
      <c r="F24" s="577">
        <v>1200</v>
      </c>
      <c r="G24" s="594">
        <f t="shared" ref="G24:G29" si="1">F24*E24*D24</f>
        <v>540000</v>
      </c>
    </row>
    <row r="25" spans="1:7">
      <c r="A25" s="577"/>
      <c r="B25" s="577" t="s">
        <v>922</v>
      </c>
      <c r="C25" s="577" t="s">
        <v>919</v>
      </c>
      <c r="D25" s="577">
        <v>20</v>
      </c>
      <c r="E25" s="577">
        <v>30</v>
      </c>
      <c r="F25" s="577">
        <v>1200</v>
      </c>
      <c r="G25" s="594">
        <f t="shared" si="1"/>
        <v>720000</v>
      </c>
    </row>
    <row r="26" spans="1:7">
      <c r="A26" s="577"/>
      <c r="B26" s="577" t="s">
        <v>923</v>
      </c>
      <c r="C26" s="577" t="s">
        <v>919</v>
      </c>
      <c r="D26" s="577">
        <v>20</v>
      </c>
      <c r="E26" s="577">
        <v>30</v>
      </c>
      <c r="F26" s="577">
        <v>1200</v>
      </c>
      <c r="G26" s="594">
        <f t="shared" si="1"/>
        <v>720000</v>
      </c>
    </row>
    <row r="27" spans="1:7">
      <c r="A27" s="577"/>
      <c r="B27" s="577" t="s">
        <v>924</v>
      </c>
      <c r="C27" s="577" t="s">
        <v>919</v>
      </c>
      <c r="D27" s="577">
        <v>20</v>
      </c>
      <c r="E27" s="577">
        <v>30</v>
      </c>
      <c r="F27" s="577">
        <v>1200</v>
      </c>
      <c r="G27" s="594">
        <f t="shared" si="1"/>
        <v>720000</v>
      </c>
    </row>
    <row r="28" spans="1:7">
      <c r="A28" s="577"/>
      <c r="B28" s="577" t="s">
        <v>925</v>
      </c>
      <c r="C28" s="577" t="s">
        <v>919</v>
      </c>
      <c r="D28" s="577">
        <v>15</v>
      </c>
      <c r="E28" s="577">
        <v>30</v>
      </c>
      <c r="F28" s="577">
        <v>1200</v>
      </c>
      <c r="G28" s="594">
        <f t="shared" si="1"/>
        <v>540000</v>
      </c>
    </row>
    <row r="29" spans="1:7">
      <c r="A29" s="577"/>
      <c r="B29" s="577" t="s">
        <v>926</v>
      </c>
      <c r="C29" s="577" t="s">
        <v>919</v>
      </c>
      <c r="D29" s="577">
        <v>15</v>
      </c>
      <c r="E29" s="577">
        <v>30</v>
      </c>
      <c r="F29" s="577">
        <v>1200</v>
      </c>
      <c r="G29" s="594">
        <f t="shared" si="1"/>
        <v>540000</v>
      </c>
    </row>
    <row r="30" spans="1:7" ht="13.5" thickBot="1">
      <c r="A30" s="577"/>
      <c r="B30" s="577"/>
      <c r="C30" s="577"/>
      <c r="D30" s="577"/>
      <c r="E30" s="577"/>
      <c r="F30" s="577"/>
      <c r="G30" s="595"/>
    </row>
    <row r="31" spans="1:7" ht="13.5" thickTop="1">
      <c r="A31" s="577" t="s">
        <v>516</v>
      </c>
      <c r="B31" s="577" t="s">
        <v>928</v>
      </c>
      <c r="C31" s="577"/>
      <c r="D31" s="577"/>
      <c r="E31" s="577"/>
      <c r="F31" s="577"/>
      <c r="G31" s="596">
        <f>SUM(G23:G30)</f>
        <v>4140000</v>
      </c>
    </row>
    <row r="32" spans="1:7">
      <c r="A32" s="577"/>
      <c r="B32" s="577"/>
      <c r="C32" s="577"/>
      <c r="D32" s="577"/>
      <c r="E32" s="577"/>
      <c r="F32" s="577"/>
      <c r="G32" s="577"/>
    </row>
    <row r="33" spans="1:7">
      <c r="A33" s="577"/>
      <c r="B33" s="577"/>
      <c r="C33" s="577"/>
      <c r="D33" s="577"/>
      <c r="E33" s="577"/>
      <c r="F33" s="577"/>
      <c r="G33" s="577"/>
    </row>
    <row r="34" spans="1:7">
      <c r="A34" s="577"/>
      <c r="B34" s="577"/>
      <c r="C34" s="577"/>
      <c r="D34" s="577"/>
      <c r="E34" s="577"/>
      <c r="F34" s="577"/>
      <c r="G34" s="577"/>
    </row>
    <row r="35" spans="1:7" s="597" customFormat="1" ht="38.25">
      <c r="A35" s="593" t="s">
        <v>718</v>
      </c>
      <c r="B35" s="601" t="s">
        <v>930</v>
      </c>
      <c r="C35" s="593" t="s">
        <v>927</v>
      </c>
      <c r="D35" s="593">
        <v>30</v>
      </c>
      <c r="E35" s="593"/>
      <c r="F35" s="593">
        <v>4500</v>
      </c>
      <c r="G35" s="593">
        <f>F35*D35</f>
        <v>135000</v>
      </c>
    </row>
    <row r="36" spans="1:7">
      <c r="A36" s="577"/>
      <c r="B36" s="577"/>
      <c r="C36" s="593" t="s">
        <v>927</v>
      </c>
      <c r="D36" s="593">
        <v>20</v>
      </c>
      <c r="E36" s="593"/>
      <c r="F36" s="593">
        <v>7500</v>
      </c>
      <c r="G36" s="593">
        <f>F36*D36</f>
        <v>150000</v>
      </c>
    </row>
    <row r="37" spans="1:7">
      <c r="A37" s="577" t="s">
        <v>931</v>
      </c>
      <c r="B37" s="577"/>
      <c r="C37" s="593"/>
      <c r="D37" s="593"/>
      <c r="E37" s="593"/>
      <c r="F37" s="593"/>
      <c r="G37" s="593"/>
    </row>
    <row r="38" spans="1:7">
      <c r="A38" s="577" t="s">
        <v>931</v>
      </c>
      <c r="B38" s="577" t="s">
        <v>932</v>
      </c>
      <c r="C38" s="593" t="s">
        <v>933</v>
      </c>
      <c r="D38" s="593">
        <v>1</v>
      </c>
      <c r="E38" s="593"/>
      <c r="F38" s="593">
        <v>500000</v>
      </c>
      <c r="G38" s="593">
        <f>F38*D38</f>
        <v>500000</v>
      </c>
    </row>
    <row r="39" spans="1:7">
      <c r="A39" s="577"/>
      <c r="B39" s="577"/>
      <c r="C39" s="577"/>
      <c r="D39" s="577"/>
      <c r="E39" s="577"/>
      <c r="F39" s="577"/>
      <c r="G39" s="577"/>
    </row>
    <row r="40" spans="1:7">
      <c r="A40" s="577"/>
      <c r="B40" s="577"/>
      <c r="C40" s="577"/>
      <c r="D40" s="577"/>
      <c r="E40" s="577"/>
      <c r="F40" s="577"/>
      <c r="G40" s="577"/>
    </row>
    <row r="41" spans="1:7" ht="13.5" thickBot="1">
      <c r="A41" s="598"/>
      <c r="B41" s="598"/>
      <c r="C41" s="598"/>
      <c r="D41" s="598"/>
      <c r="E41" s="598"/>
      <c r="F41" s="598"/>
      <c r="G41" s="598"/>
    </row>
    <row r="42" spans="1:7" ht="13.5" thickTop="1">
      <c r="A42" s="592"/>
      <c r="B42" s="599" t="s">
        <v>784</v>
      </c>
      <c r="C42" s="599"/>
      <c r="D42" s="599"/>
      <c r="E42" s="599"/>
      <c r="F42" s="599"/>
      <c r="G42" s="600">
        <f>SUM(G31:G41)</f>
        <v>4925000</v>
      </c>
    </row>
    <row r="43" spans="1:7">
      <c r="A43" s="577"/>
      <c r="B43" s="577"/>
      <c r="C43" s="577"/>
      <c r="D43" s="577"/>
      <c r="E43" s="577"/>
      <c r="F43" s="577"/>
      <c r="G43" s="577"/>
    </row>
    <row r="44" spans="1:7">
      <c r="A44" s="577"/>
      <c r="B44" s="577"/>
      <c r="C44" s="577"/>
      <c r="D44" s="577"/>
      <c r="E44" s="577"/>
      <c r="F44" s="577"/>
      <c r="G44" s="577"/>
    </row>
    <row r="45" spans="1:7">
      <c r="A45" s="577"/>
      <c r="B45" s="577"/>
      <c r="C45" s="577"/>
      <c r="D45" s="577"/>
      <c r="E45" s="577"/>
      <c r="F45" s="577"/>
      <c r="G45" s="577"/>
    </row>
    <row r="46" spans="1:7">
      <c r="A46" s="577"/>
      <c r="B46" s="577"/>
      <c r="C46" s="577"/>
      <c r="D46" s="577"/>
      <c r="E46" s="577"/>
      <c r="F46" s="577"/>
      <c r="G46" s="577"/>
    </row>
    <row r="47" spans="1:7">
      <c r="A47" s="577"/>
      <c r="B47" s="577"/>
      <c r="C47" s="577"/>
      <c r="D47" s="577"/>
      <c r="E47" s="577"/>
      <c r="F47" s="577"/>
      <c r="G47" s="577"/>
    </row>
    <row r="48" spans="1:7">
      <c r="A48" s="577"/>
      <c r="B48" s="577"/>
      <c r="C48" s="577"/>
      <c r="D48" s="577"/>
      <c r="E48" s="577"/>
      <c r="F48" s="577"/>
      <c r="G48" s="577"/>
    </row>
    <row r="49" spans="1:7">
      <c r="A49" s="577"/>
      <c r="B49" s="577"/>
      <c r="C49" s="577"/>
      <c r="D49" s="577"/>
      <c r="E49" s="577"/>
      <c r="F49" s="577"/>
      <c r="G49" s="577"/>
    </row>
    <row r="50" spans="1:7">
      <c r="A50" s="577"/>
      <c r="B50" s="577"/>
      <c r="C50" s="577"/>
      <c r="D50" s="577"/>
      <c r="E50" s="577"/>
      <c r="F50" s="577"/>
      <c r="G50" s="577"/>
    </row>
    <row r="51" spans="1:7">
      <c r="A51" s="577"/>
      <c r="B51" s="577"/>
      <c r="C51" s="577"/>
      <c r="D51" s="577"/>
      <c r="E51" s="577"/>
      <c r="F51" s="577"/>
      <c r="G51" s="577"/>
    </row>
    <row r="52" spans="1:7">
      <c r="A52" s="577"/>
      <c r="B52" s="577"/>
      <c r="C52" s="577"/>
      <c r="D52" s="577"/>
      <c r="E52" s="577"/>
      <c r="F52" s="577"/>
      <c r="G52" s="577"/>
    </row>
    <row r="53" spans="1:7">
      <c r="A53" s="577"/>
      <c r="B53" s="577"/>
      <c r="C53" s="577"/>
      <c r="D53" s="577"/>
      <c r="E53" s="577"/>
      <c r="F53" s="577"/>
      <c r="G53" s="577"/>
    </row>
    <row r="54" spans="1:7">
      <c r="A54" s="577"/>
      <c r="B54" s="577"/>
      <c r="C54" s="577"/>
      <c r="D54" s="577"/>
      <c r="E54" s="577"/>
      <c r="F54" s="577"/>
      <c r="G54" s="577"/>
    </row>
    <row r="55" spans="1:7">
      <c r="A55" s="577"/>
      <c r="B55" s="577"/>
      <c r="C55" s="577"/>
      <c r="D55" s="577"/>
      <c r="E55" s="577"/>
      <c r="F55" s="577"/>
      <c r="G55" s="577"/>
    </row>
    <row r="56" spans="1:7">
      <c r="A56" s="577"/>
      <c r="B56" s="577"/>
      <c r="C56" s="577"/>
      <c r="D56" s="577"/>
      <c r="E56" s="577"/>
      <c r="F56" s="577"/>
      <c r="G56" s="577"/>
    </row>
    <row r="57" spans="1:7">
      <c r="A57" s="577"/>
      <c r="B57" s="577"/>
      <c r="C57" s="577"/>
      <c r="D57" s="577"/>
      <c r="E57" s="577"/>
      <c r="F57" s="577"/>
      <c r="G57" s="577"/>
    </row>
    <row r="58" spans="1:7">
      <c r="A58" s="577"/>
      <c r="B58" s="577"/>
      <c r="C58" s="577"/>
      <c r="D58" s="577"/>
      <c r="E58" s="577"/>
      <c r="F58" s="577"/>
      <c r="G58" s="577"/>
    </row>
    <row r="59" spans="1:7">
      <c r="A59" s="577"/>
      <c r="B59" s="577"/>
      <c r="C59" s="577"/>
      <c r="D59" s="577"/>
      <c r="E59" s="577"/>
      <c r="F59" s="577"/>
      <c r="G59" s="577"/>
    </row>
    <row r="60" spans="1:7">
      <c r="A60" s="577"/>
      <c r="B60" s="577"/>
      <c r="C60" s="577"/>
      <c r="D60" s="577"/>
      <c r="E60" s="577"/>
      <c r="F60" s="577"/>
      <c r="G60" s="577"/>
    </row>
    <row r="61" spans="1:7">
      <c r="A61" s="577"/>
      <c r="B61" s="577"/>
      <c r="C61" s="577"/>
      <c r="D61" s="577"/>
      <c r="E61" s="577"/>
      <c r="F61" s="577"/>
      <c r="G61" s="577"/>
    </row>
    <row r="62" spans="1:7">
      <c r="A62" s="577"/>
      <c r="B62" s="577"/>
      <c r="C62" s="577"/>
      <c r="D62" s="577"/>
      <c r="E62" s="577"/>
      <c r="F62" s="577"/>
      <c r="G62" s="577"/>
    </row>
    <row r="63" spans="1:7">
      <c r="A63" s="577"/>
      <c r="B63" s="577"/>
      <c r="C63" s="577"/>
      <c r="D63" s="577"/>
      <c r="E63" s="577"/>
      <c r="F63" s="577"/>
      <c r="G63" s="577"/>
    </row>
    <row r="64" spans="1:7">
      <c r="A64" s="577"/>
      <c r="B64" s="577"/>
      <c r="C64" s="577"/>
      <c r="D64" s="577"/>
      <c r="E64" s="577"/>
      <c r="F64" s="577"/>
      <c r="G64" s="577"/>
    </row>
    <row r="65" spans="1:7">
      <c r="A65" s="577"/>
      <c r="B65" s="577"/>
      <c r="C65" s="577"/>
      <c r="D65" s="577"/>
      <c r="E65" s="577"/>
      <c r="F65" s="577"/>
      <c r="G65" s="577"/>
    </row>
    <row r="66" spans="1:7">
      <c r="A66" s="577"/>
      <c r="B66" s="577"/>
      <c r="C66" s="577"/>
      <c r="D66" s="577"/>
      <c r="E66" s="577"/>
      <c r="F66" s="577"/>
      <c r="G66" s="577"/>
    </row>
    <row r="67" spans="1:7">
      <c r="A67" s="577"/>
      <c r="B67" s="577"/>
      <c r="C67" s="577"/>
      <c r="D67" s="577"/>
      <c r="E67" s="577"/>
      <c r="F67" s="577"/>
      <c r="G67" s="577"/>
    </row>
    <row r="68" spans="1:7">
      <c r="A68" s="577"/>
      <c r="B68" s="577"/>
      <c r="C68" s="577"/>
      <c r="D68" s="577"/>
      <c r="E68" s="577"/>
      <c r="F68" s="577"/>
      <c r="G68" s="577"/>
    </row>
    <row r="69" spans="1:7">
      <c r="A69" s="577"/>
      <c r="B69" s="577"/>
      <c r="C69" s="577"/>
      <c r="D69" s="577"/>
      <c r="E69" s="577"/>
      <c r="F69" s="577"/>
      <c r="G69" s="577"/>
    </row>
  </sheetData>
  <phoneticPr fontId="42" type="noConversion"/>
  <pageMargins left="0.31496062992125984" right="0.11811023622047245" top="0.35433070866141736" bottom="0.35433070866141736"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9"/>
  <sheetViews>
    <sheetView zoomScale="80" zoomScaleNormal="80" workbookViewId="0">
      <pane ySplit="4" topLeftCell="A90" activePane="bottomLeft" state="frozen"/>
      <selection activeCell="D1" sqref="D1"/>
      <selection pane="bottomLeft" activeCell="A103" sqref="A103:XFD116"/>
    </sheetView>
  </sheetViews>
  <sheetFormatPr defaultColWidth="6.125" defaultRowHeight="12.75"/>
  <cols>
    <col min="1" max="3" width="3.5" style="6" customWidth="1"/>
    <col min="4" max="4" width="7.5" style="6" bestFit="1" customWidth="1"/>
    <col min="5" max="5" width="11.75" style="6" bestFit="1" customWidth="1"/>
    <col min="6" max="6" width="37" style="24" customWidth="1"/>
    <col min="7" max="7" width="4.375" style="6" customWidth="1"/>
    <col min="8" max="8" width="7" style="6" bestFit="1" customWidth="1"/>
    <col min="9" max="9" width="12.75" style="6" bestFit="1" customWidth="1"/>
    <col min="10" max="10" width="11.875" style="618" bestFit="1" customWidth="1"/>
    <col min="11" max="11" width="7.375" style="6" customWidth="1"/>
    <col min="12" max="12" width="13.125" style="6" customWidth="1"/>
    <col min="13" max="232" width="6.125" style="6"/>
    <col min="233" max="233" width="5" style="6" customWidth="1"/>
    <col min="234" max="234" width="8.875" style="6" customWidth="1"/>
    <col min="235" max="235" width="5" style="6" customWidth="1"/>
    <col min="236" max="236" width="8.25" style="6" bestFit="1" customWidth="1"/>
    <col min="237" max="237" width="16.125" style="6" customWidth="1"/>
    <col min="238" max="238" width="86" style="6" customWidth="1"/>
    <col min="239" max="239" width="5" style="6" customWidth="1"/>
    <col min="240" max="240" width="11.125" style="6" customWidth="1"/>
    <col min="241" max="241" width="10.375" style="6" customWidth="1"/>
    <col min="242" max="242" width="10.875" style="6" customWidth="1"/>
    <col min="243" max="243" width="7.75" style="6" customWidth="1"/>
    <col min="244" max="244" width="9.875" style="6" customWidth="1"/>
    <col min="245" max="245" width="10.625" style="6" customWidth="1"/>
    <col min="246" max="488" width="6.125" style="6"/>
    <col min="489" max="489" width="5" style="6" customWidth="1"/>
    <col min="490" max="490" width="8.875" style="6" customWidth="1"/>
    <col min="491" max="491" width="5" style="6" customWidth="1"/>
    <col min="492" max="492" width="8.25" style="6" bestFit="1" customWidth="1"/>
    <col min="493" max="493" width="16.125" style="6" customWidth="1"/>
    <col min="494" max="494" width="86" style="6" customWidth="1"/>
    <col min="495" max="495" width="5" style="6" customWidth="1"/>
    <col min="496" max="496" width="11.125" style="6" customWidth="1"/>
    <col min="497" max="497" width="10.375" style="6" customWidth="1"/>
    <col min="498" max="498" width="10.875" style="6" customWidth="1"/>
    <col min="499" max="499" width="7.75" style="6" customWidth="1"/>
    <col min="500" max="500" width="9.875" style="6" customWidth="1"/>
    <col min="501" max="501" width="10.625" style="6" customWidth="1"/>
    <col min="502" max="744" width="6.125" style="6"/>
    <col min="745" max="745" width="5" style="6" customWidth="1"/>
    <col min="746" max="746" width="8.875" style="6" customWidth="1"/>
    <col min="747" max="747" width="5" style="6" customWidth="1"/>
    <col min="748" max="748" width="8.25" style="6" bestFit="1" customWidth="1"/>
    <col min="749" max="749" width="16.125" style="6" customWidth="1"/>
    <col min="750" max="750" width="86" style="6" customWidth="1"/>
    <col min="751" max="751" width="5" style="6" customWidth="1"/>
    <col min="752" max="752" width="11.125" style="6" customWidth="1"/>
    <col min="753" max="753" width="10.375" style="6" customWidth="1"/>
    <col min="754" max="754" width="10.875" style="6" customWidth="1"/>
    <col min="755" max="755" width="7.75" style="6" customWidth="1"/>
    <col min="756" max="756" width="9.875" style="6" customWidth="1"/>
    <col min="757" max="757" width="10.625" style="6" customWidth="1"/>
    <col min="758" max="1000" width="6.125" style="6"/>
    <col min="1001" max="1001" width="5" style="6" customWidth="1"/>
    <col min="1002" max="1002" width="8.875" style="6" customWidth="1"/>
    <col min="1003" max="1003" width="5" style="6" customWidth="1"/>
    <col min="1004" max="1004" width="8.25" style="6" bestFit="1" customWidth="1"/>
    <col min="1005" max="1005" width="16.125" style="6" customWidth="1"/>
    <col min="1006" max="1006" width="86" style="6" customWidth="1"/>
    <col min="1007" max="1007" width="5" style="6" customWidth="1"/>
    <col min="1008" max="1008" width="11.125" style="6" customWidth="1"/>
    <col min="1009" max="1009" width="10.375" style="6" customWidth="1"/>
    <col min="1010" max="1010" width="10.875" style="6" customWidth="1"/>
    <col min="1011" max="1011" width="7.75" style="6" customWidth="1"/>
    <col min="1012" max="1012" width="9.875" style="6" customWidth="1"/>
    <col min="1013" max="1013" width="10.625" style="6" customWidth="1"/>
    <col min="1014" max="1256" width="6.125" style="6"/>
    <col min="1257" max="1257" width="5" style="6" customWidth="1"/>
    <col min="1258" max="1258" width="8.875" style="6" customWidth="1"/>
    <col min="1259" max="1259" width="5" style="6" customWidth="1"/>
    <col min="1260" max="1260" width="8.25" style="6" bestFit="1" customWidth="1"/>
    <col min="1261" max="1261" width="16.125" style="6" customWidth="1"/>
    <col min="1262" max="1262" width="86" style="6" customWidth="1"/>
    <col min="1263" max="1263" width="5" style="6" customWidth="1"/>
    <col min="1264" max="1264" width="11.125" style="6" customWidth="1"/>
    <col min="1265" max="1265" width="10.375" style="6" customWidth="1"/>
    <col min="1266" max="1266" width="10.875" style="6" customWidth="1"/>
    <col min="1267" max="1267" width="7.75" style="6" customWidth="1"/>
    <col min="1268" max="1268" width="9.875" style="6" customWidth="1"/>
    <col min="1269" max="1269" width="10.625" style="6" customWidth="1"/>
    <col min="1270" max="1512" width="6.125" style="6"/>
    <col min="1513" max="1513" width="5" style="6" customWidth="1"/>
    <col min="1514" max="1514" width="8.875" style="6" customWidth="1"/>
    <col min="1515" max="1515" width="5" style="6" customWidth="1"/>
    <col min="1516" max="1516" width="8.25" style="6" bestFit="1" customWidth="1"/>
    <col min="1517" max="1517" width="16.125" style="6" customWidth="1"/>
    <col min="1518" max="1518" width="86" style="6" customWidth="1"/>
    <col min="1519" max="1519" width="5" style="6" customWidth="1"/>
    <col min="1520" max="1520" width="11.125" style="6" customWidth="1"/>
    <col min="1521" max="1521" width="10.375" style="6" customWidth="1"/>
    <col min="1522" max="1522" width="10.875" style="6" customWidth="1"/>
    <col min="1523" max="1523" width="7.75" style="6" customWidth="1"/>
    <col min="1524" max="1524" width="9.875" style="6" customWidth="1"/>
    <col min="1525" max="1525" width="10.625" style="6" customWidth="1"/>
    <col min="1526" max="1768" width="6.125" style="6"/>
    <col min="1769" max="1769" width="5" style="6" customWidth="1"/>
    <col min="1770" max="1770" width="8.875" style="6" customWidth="1"/>
    <col min="1771" max="1771" width="5" style="6" customWidth="1"/>
    <col min="1772" max="1772" width="8.25" style="6" bestFit="1" customWidth="1"/>
    <col min="1773" max="1773" width="16.125" style="6" customWidth="1"/>
    <col min="1774" max="1774" width="86" style="6" customWidth="1"/>
    <col min="1775" max="1775" width="5" style="6" customWidth="1"/>
    <col min="1776" max="1776" width="11.125" style="6" customWidth="1"/>
    <col min="1777" max="1777" width="10.375" style="6" customWidth="1"/>
    <col min="1778" max="1778" width="10.875" style="6" customWidth="1"/>
    <col min="1779" max="1779" width="7.75" style="6" customWidth="1"/>
    <col min="1780" max="1780" width="9.875" style="6" customWidth="1"/>
    <col min="1781" max="1781" width="10.625" style="6" customWidth="1"/>
    <col min="1782" max="2024" width="6.125" style="6"/>
    <col min="2025" max="2025" width="5" style="6" customWidth="1"/>
    <col min="2026" max="2026" width="8.875" style="6" customWidth="1"/>
    <col min="2027" max="2027" width="5" style="6" customWidth="1"/>
    <col min="2028" max="2028" width="8.25" style="6" bestFit="1" customWidth="1"/>
    <col min="2029" max="2029" width="16.125" style="6" customWidth="1"/>
    <col min="2030" max="2030" width="86" style="6" customWidth="1"/>
    <col min="2031" max="2031" width="5" style="6" customWidth="1"/>
    <col min="2032" max="2032" width="11.125" style="6" customWidth="1"/>
    <col min="2033" max="2033" width="10.375" style="6" customWidth="1"/>
    <col min="2034" max="2034" width="10.875" style="6" customWidth="1"/>
    <col min="2035" max="2035" width="7.75" style="6" customWidth="1"/>
    <col min="2036" max="2036" width="9.875" style="6" customWidth="1"/>
    <col min="2037" max="2037" width="10.625" style="6" customWidth="1"/>
    <col min="2038" max="2280" width="6.125" style="6"/>
    <col min="2281" max="2281" width="5" style="6" customWidth="1"/>
    <col min="2282" max="2282" width="8.875" style="6" customWidth="1"/>
    <col min="2283" max="2283" width="5" style="6" customWidth="1"/>
    <col min="2284" max="2284" width="8.25" style="6" bestFit="1" customWidth="1"/>
    <col min="2285" max="2285" width="16.125" style="6" customWidth="1"/>
    <col min="2286" max="2286" width="86" style="6" customWidth="1"/>
    <col min="2287" max="2287" width="5" style="6" customWidth="1"/>
    <col min="2288" max="2288" width="11.125" style="6" customWidth="1"/>
    <col min="2289" max="2289" width="10.375" style="6" customWidth="1"/>
    <col min="2290" max="2290" width="10.875" style="6" customWidth="1"/>
    <col min="2291" max="2291" width="7.75" style="6" customWidth="1"/>
    <col min="2292" max="2292" width="9.875" style="6" customWidth="1"/>
    <col min="2293" max="2293" width="10.625" style="6" customWidth="1"/>
    <col min="2294" max="2536" width="6.125" style="6"/>
    <col min="2537" max="2537" width="5" style="6" customWidth="1"/>
    <col min="2538" max="2538" width="8.875" style="6" customWidth="1"/>
    <col min="2539" max="2539" width="5" style="6" customWidth="1"/>
    <col min="2540" max="2540" width="8.25" style="6" bestFit="1" customWidth="1"/>
    <col min="2541" max="2541" width="16.125" style="6" customWidth="1"/>
    <col min="2542" max="2542" width="86" style="6" customWidth="1"/>
    <col min="2543" max="2543" width="5" style="6" customWidth="1"/>
    <col min="2544" max="2544" width="11.125" style="6" customWidth="1"/>
    <col min="2545" max="2545" width="10.375" style="6" customWidth="1"/>
    <col min="2546" max="2546" width="10.875" style="6" customWidth="1"/>
    <col min="2547" max="2547" width="7.75" style="6" customWidth="1"/>
    <col min="2548" max="2548" width="9.875" style="6" customWidth="1"/>
    <col min="2549" max="2549" width="10.625" style="6" customWidth="1"/>
    <col min="2550" max="2792" width="6.125" style="6"/>
    <col min="2793" max="2793" width="5" style="6" customWidth="1"/>
    <col min="2794" max="2794" width="8.875" style="6" customWidth="1"/>
    <col min="2795" max="2795" width="5" style="6" customWidth="1"/>
    <col min="2796" max="2796" width="8.25" style="6" bestFit="1" customWidth="1"/>
    <col min="2797" max="2797" width="16.125" style="6" customWidth="1"/>
    <col min="2798" max="2798" width="86" style="6" customWidth="1"/>
    <col min="2799" max="2799" width="5" style="6" customWidth="1"/>
    <col min="2800" max="2800" width="11.125" style="6" customWidth="1"/>
    <col min="2801" max="2801" width="10.375" style="6" customWidth="1"/>
    <col min="2802" max="2802" width="10.875" style="6" customWidth="1"/>
    <col min="2803" max="2803" width="7.75" style="6" customWidth="1"/>
    <col min="2804" max="2804" width="9.875" style="6" customWidth="1"/>
    <col min="2805" max="2805" width="10.625" style="6" customWidth="1"/>
    <col min="2806" max="3048" width="6.125" style="6"/>
    <col min="3049" max="3049" width="5" style="6" customWidth="1"/>
    <col min="3050" max="3050" width="8.875" style="6" customWidth="1"/>
    <col min="3051" max="3051" width="5" style="6" customWidth="1"/>
    <col min="3052" max="3052" width="8.25" style="6" bestFit="1" customWidth="1"/>
    <col min="3053" max="3053" width="16.125" style="6" customWidth="1"/>
    <col min="3054" max="3054" width="86" style="6" customWidth="1"/>
    <col min="3055" max="3055" width="5" style="6" customWidth="1"/>
    <col min="3056" max="3056" width="11.125" style="6" customWidth="1"/>
    <col min="3057" max="3057" width="10.375" style="6" customWidth="1"/>
    <col min="3058" max="3058" width="10.875" style="6" customWidth="1"/>
    <col min="3059" max="3059" width="7.75" style="6" customWidth="1"/>
    <col min="3060" max="3060" width="9.875" style="6" customWidth="1"/>
    <col min="3061" max="3061" width="10.625" style="6" customWidth="1"/>
    <col min="3062" max="3304" width="6.125" style="6"/>
    <col min="3305" max="3305" width="5" style="6" customWidth="1"/>
    <col min="3306" max="3306" width="8.875" style="6" customWidth="1"/>
    <col min="3307" max="3307" width="5" style="6" customWidth="1"/>
    <col min="3308" max="3308" width="8.25" style="6" bestFit="1" customWidth="1"/>
    <col min="3309" max="3309" width="16.125" style="6" customWidth="1"/>
    <col min="3310" max="3310" width="86" style="6" customWidth="1"/>
    <col min="3311" max="3311" width="5" style="6" customWidth="1"/>
    <col min="3312" max="3312" width="11.125" style="6" customWidth="1"/>
    <col min="3313" max="3313" width="10.375" style="6" customWidth="1"/>
    <col min="3314" max="3314" width="10.875" style="6" customWidth="1"/>
    <col min="3315" max="3315" width="7.75" style="6" customWidth="1"/>
    <col min="3316" max="3316" width="9.875" style="6" customWidth="1"/>
    <col min="3317" max="3317" width="10.625" style="6" customWidth="1"/>
    <col min="3318" max="3560" width="6.125" style="6"/>
    <col min="3561" max="3561" width="5" style="6" customWidth="1"/>
    <col min="3562" max="3562" width="8.875" style="6" customWidth="1"/>
    <col min="3563" max="3563" width="5" style="6" customWidth="1"/>
    <col min="3564" max="3564" width="8.25" style="6" bestFit="1" customWidth="1"/>
    <col min="3565" max="3565" width="16.125" style="6" customWidth="1"/>
    <col min="3566" max="3566" width="86" style="6" customWidth="1"/>
    <col min="3567" max="3567" width="5" style="6" customWidth="1"/>
    <col min="3568" max="3568" width="11.125" style="6" customWidth="1"/>
    <col min="3569" max="3569" width="10.375" style="6" customWidth="1"/>
    <col min="3570" max="3570" width="10.875" style="6" customWidth="1"/>
    <col min="3571" max="3571" width="7.75" style="6" customWidth="1"/>
    <col min="3572" max="3572" width="9.875" style="6" customWidth="1"/>
    <col min="3573" max="3573" width="10.625" style="6" customWidth="1"/>
    <col min="3574" max="3816" width="6.125" style="6"/>
    <col min="3817" max="3817" width="5" style="6" customWidth="1"/>
    <col min="3818" max="3818" width="8.875" style="6" customWidth="1"/>
    <col min="3819" max="3819" width="5" style="6" customWidth="1"/>
    <col min="3820" max="3820" width="8.25" style="6" bestFit="1" customWidth="1"/>
    <col min="3821" max="3821" width="16.125" style="6" customWidth="1"/>
    <col min="3822" max="3822" width="86" style="6" customWidth="1"/>
    <col min="3823" max="3823" width="5" style="6" customWidth="1"/>
    <col min="3824" max="3824" width="11.125" style="6" customWidth="1"/>
    <col min="3825" max="3825" width="10.375" style="6" customWidth="1"/>
    <col min="3826" max="3826" width="10.875" style="6" customWidth="1"/>
    <col min="3827" max="3827" width="7.75" style="6" customWidth="1"/>
    <col min="3828" max="3828" width="9.875" style="6" customWidth="1"/>
    <col min="3829" max="3829" width="10.625" style="6" customWidth="1"/>
    <col min="3830" max="4072" width="6.125" style="6"/>
    <col min="4073" max="4073" width="5" style="6" customWidth="1"/>
    <col min="4074" max="4074" width="8.875" style="6" customWidth="1"/>
    <col min="4075" max="4075" width="5" style="6" customWidth="1"/>
    <col min="4076" max="4076" width="8.25" style="6" bestFit="1" customWidth="1"/>
    <col min="4077" max="4077" width="16.125" style="6" customWidth="1"/>
    <col min="4078" max="4078" width="86" style="6" customWidth="1"/>
    <col min="4079" max="4079" width="5" style="6" customWidth="1"/>
    <col min="4080" max="4080" width="11.125" style="6" customWidth="1"/>
    <col min="4081" max="4081" width="10.375" style="6" customWidth="1"/>
    <col min="4082" max="4082" width="10.875" style="6" customWidth="1"/>
    <col min="4083" max="4083" width="7.75" style="6" customWidth="1"/>
    <col min="4084" max="4084" width="9.875" style="6" customWidth="1"/>
    <col min="4085" max="4085" width="10.625" style="6" customWidth="1"/>
    <col min="4086" max="4328" width="6.125" style="6"/>
    <col min="4329" max="4329" width="5" style="6" customWidth="1"/>
    <col min="4330" max="4330" width="8.875" style="6" customWidth="1"/>
    <col min="4331" max="4331" width="5" style="6" customWidth="1"/>
    <col min="4332" max="4332" width="8.25" style="6" bestFit="1" customWidth="1"/>
    <col min="4333" max="4333" width="16.125" style="6" customWidth="1"/>
    <col min="4334" max="4334" width="86" style="6" customWidth="1"/>
    <col min="4335" max="4335" width="5" style="6" customWidth="1"/>
    <col min="4336" max="4336" width="11.125" style="6" customWidth="1"/>
    <col min="4337" max="4337" width="10.375" style="6" customWidth="1"/>
    <col min="4338" max="4338" width="10.875" style="6" customWidth="1"/>
    <col min="4339" max="4339" width="7.75" style="6" customWidth="1"/>
    <col min="4340" max="4340" width="9.875" style="6" customWidth="1"/>
    <col min="4341" max="4341" width="10.625" style="6" customWidth="1"/>
    <col min="4342" max="4584" width="6.125" style="6"/>
    <col min="4585" max="4585" width="5" style="6" customWidth="1"/>
    <col min="4586" max="4586" width="8.875" style="6" customWidth="1"/>
    <col min="4587" max="4587" width="5" style="6" customWidth="1"/>
    <col min="4588" max="4588" width="8.25" style="6" bestFit="1" customWidth="1"/>
    <col min="4589" max="4589" width="16.125" style="6" customWidth="1"/>
    <col min="4590" max="4590" width="86" style="6" customWidth="1"/>
    <col min="4591" max="4591" width="5" style="6" customWidth="1"/>
    <col min="4592" max="4592" width="11.125" style="6" customWidth="1"/>
    <col min="4593" max="4593" width="10.375" style="6" customWidth="1"/>
    <col min="4594" max="4594" width="10.875" style="6" customWidth="1"/>
    <col min="4595" max="4595" width="7.75" style="6" customWidth="1"/>
    <col min="4596" max="4596" width="9.875" style="6" customWidth="1"/>
    <col min="4597" max="4597" width="10.625" style="6" customWidth="1"/>
    <col min="4598" max="4840" width="6.125" style="6"/>
    <col min="4841" max="4841" width="5" style="6" customWidth="1"/>
    <col min="4842" max="4842" width="8.875" style="6" customWidth="1"/>
    <col min="4843" max="4843" width="5" style="6" customWidth="1"/>
    <col min="4844" max="4844" width="8.25" style="6" bestFit="1" customWidth="1"/>
    <col min="4845" max="4845" width="16.125" style="6" customWidth="1"/>
    <col min="4846" max="4846" width="86" style="6" customWidth="1"/>
    <col min="4847" max="4847" width="5" style="6" customWidth="1"/>
    <col min="4848" max="4848" width="11.125" style="6" customWidth="1"/>
    <col min="4849" max="4849" width="10.375" style="6" customWidth="1"/>
    <col min="4850" max="4850" width="10.875" style="6" customWidth="1"/>
    <col min="4851" max="4851" width="7.75" style="6" customWidth="1"/>
    <col min="4852" max="4852" width="9.875" style="6" customWidth="1"/>
    <col min="4853" max="4853" width="10.625" style="6" customWidth="1"/>
    <col min="4854" max="5096" width="6.125" style="6"/>
    <col min="5097" max="5097" width="5" style="6" customWidth="1"/>
    <col min="5098" max="5098" width="8.875" style="6" customWidth="1"/>
    <col min="5099" max="5099" width="5" style="6" customWidth="1"/>
    <col min="5100" max="5100" width="8.25" style="6" bestFit="1" customWidth="1"/>
    <col min="5101" max="5101" width="16.125" style="6" customWidth="1"/>
    <col min="5102" max="5102" width="86" style="6" customWidth="1"/>
    <col min="5103" max="5103" width="5" style="6" customWidth="1"/>
    <col min="5104" max="5104" width="11.125" style="6" customWidth="1"/>
    <col min="5105" max="5105" width="10.375" style="6" customWidth="1"/>
    <col min="5106" max="5106" width="10.875" style="6" customWidth="1"/>
    <col min="5107" max="5107" width="7.75" style="6" customWidth="1"/>
    <col min="5108" max="5108" width="9.875" style="6" customWidth="1"/>
    <col min="5109" max="5109" width="10.625" style="6" customWidth="1"/>
    <col min="5110" max="5352" width="6.125" style="6"/>
    <col min="5353" max="5353" width="5" style="6" customWidth="1"/>
    <col min="5354" max="5354" width="8.875" style="6" customWidth="1"/>
    <col min="5355" max="5355" width="5" style="6" customWidth="1"/>
    <col min="5356" max="5356" width="8.25" style="6" bestFit="1" customWidth="1"/>
    <col min="5357" max="5357" width="16.125" style="6" customWidth="1"/>
    <col min="5358" max="5358" width="86" style="6" customWidth="1"/>
    <col min="5359" max="5359" width="5" style="6" customWidth="1"/>
    <col min="5360" max="5360" width="11.125" style="6" customWidth="1"/>
    <col min="5361" max="5361" width="10.375" style="6" customWidth="1"/>
    <col min="5362" max="5362" width="10.875" style="6" customWidth="1"/>
    <col min="5363" max="5363" width="7.75" style="6" customWidth="1"/>
    <col min="5364" max="5364" width="9.875" style="6" customWidth="1"/>
    <col min="5365" max="5365" width="10.625" style="6" customWidth="1"/>
    <col min="5366" max="5608" width="6.125" style="6"/>
    <col min="5609" max="5609" width="5" style="6" customWidth="1"/>
    <col min="5610" max="5610" width="8.875" style="6" customWidth="1"/>
    <col min="5611" max="5611" width="5" style="6" customWidth="1"/>
    <col min="5612" max="5612" width="8.25" style="6" bestFit="1" customWidth="1"/>
    <col min="5613" max="5613" width="16.125" style="6" customWidth="1"/>
    <col min="5614" max="5614" width="86" style="6" customWidth="1"/>
    <col min="5615" max="5615" width="5" style="6" customWidth="1"/>
    <col min="5616" max="5616" width="11.125" style="6" customWidth="1"/>
    <col min="5617" max="5617" width="10.375" style="6" customWidth="1"/>
    <col min="5618" max="5618" width="10.875" style="6" customWidth="1"/>
    <col min="5619" max="5619" width="7.75" style="6" customWidth="1"/>
    <col min="5620" max="5620" width="9.875" style="6" customWidth="1"/>
    <col min="5621" max="5621" width="10.625" style="6" customWidth="1"/>
    <col min="5622" max="5864" width="6.125" style="6"/>
    <col min="5865" max="5865" width="5" style="6" customWidth="1"/>
    <col min="5866" max="5866" width="8.875" style="6" customWidth="1"/>
    <col min="5867" max="5867" width="5" style="6" customWidth="1"/>
    <col min="5868" max="5868" width="8.25" style="6" bestFit="1" customWidth="1"/>
    <col min="5869" max="5869" width="16.125" style="6" customWidth="1"/>
    <col min="5870" max="5870" width="86" style="6" customWidth="1"/>
    <col min="5871" max="5871" width="5" style="6" customWidth="1"/>
    <col min="5872" max="5872" width="11.125" style="6" customWidth="1"/>
    <col min="5873" max="5873" width="10.375" style="6" customWidth="1"/>
    <col min="5874" max="5874" width="10.875" style="6" customWidth="1"/>
    <col min="5875" max="5875" width="7.75" style="6" customWidth="1"/>
    <col min="5876" max="5876" width="9.875" style="6" customWidth="1"/>
    <col min="5877" max="5877" width="10.625" style="6" customWidth="1"/>
    <col min="5878" max="6120" width="6.125" style="6"/>
    <col min="6121" max="6121" width="5" style="6" customWidth="1"/>
    <col min="6122" max="6122" width="8.875" style="6" customWidth="1"/>
    <col min="6123" max="6123" width="5" style="6" customWidth="1"/>
    <col min="6124" max="6124" width="8.25" style="6" bestFit="1" customWidth="1"/>
    <col min="6125" max="6125" width="16.125" style="6" customWidth="1"/>
    <col min="6126" max="6126" width="86" style="6" customWidth="1"/>
    <col min="6127" max="6127" width="5" style="6" customWidth="1"/>
    <col min="6128" max="6128" width="11.125" style="6" customWidth="1"/>
    <col min="6129" max="6129" width="10.375" style="6" customWidth="1"/>
    <col min="6130" max="6130" width="10.875" style="6" customWidth="1"/>
    <col min="6131" max="6131" width="7.75" style="6" customWidth="1"/>
    <col min="6132" max="6132" width="9.875" style="6" customWidth="1"/>
    <col min="6133" max="6133" width="10.625" style="6" customWidth="1"/>
    <col min="6134" max="6376" width="6.125" style="6"/>
    <col min="6377" max="6377" width="5" style="6" customWidth="1"/>
    <col min="6378" max="6378" width="8.875" style="6" customWidth="1"/>
    <col min="6379" max="6379" width="5" style="6" customWidth="1"/>
    <col min="6380" max="6380" width="8.25" style="6" bestFit="1" customWidth="1"/>
    <col min="6381" max="6381" width="16.125" style="6" customWidth="1"/>
    <col min="6382" max="6382" width="86" style="6" customWidth="1"/>
    <col min="6383" max="6383" width="5" style="6" customWidth="1"/>
    <col min="6384" max="6384" width="11.125" style="6" customWidth="1"/>
    <col min="6385" max="6385" width="10.375" style="6" customWidth="1"/>
    <col min="6386" max="6386" width="10.875" style="6" customWidth="1"/>
    <col min="6387" max="6387" width="7.75" style="6" customWidth="1"/>
    <col min="6388" max="6388" width="9.875" style="6" customWidth="1"/>
    <col min="6389" max="6389" width="10.625" style="6" customWidth="1"/>
    <col min="6390" max="6632" width="6.125" style="6"/>
    <col min="6633" max="6633" width="5" style="6" customWidth="1"/>
    <col min="6634" max="6634" width="8.875" style="6" customWidth="1"/>
    <col min="6635" max="6635" width="5" style="6" customWidth="1"/>
    <col min="6636" max="6636" width="8.25" style="6" bestFit="1" customWidth="1"/>
    <col min="6637" max="6637" width="16.125" style="6" customWidth="1"/>
    <col min="6638" max="6638" width="86" style="6" customWidth="1"/>
    <col min="6639" max="6639" width="5" style="6" customWidth="1"/>
    <col min="6640" max="6640" width="11.125" style="6" customWidth="1"/>
    <col min="6641" max="6641" width="10.375" style="6" customWidth="1"/>
    <col min="6642" max="6642" width="10.875" style="6" customWidth="1"/>
    <col min="6643" max="6643" width="7.75" style="6" customWidth="1"/>
    <col min="6644" max="6644" width="9.875" style="6" customWidth="1"/>
    <col min="6645" max="6645" width="10.625" style="6" customWidth="1"/>
    <col min="6646" max="6888" width="6.125" style="6"/>
    <col min="6889" max="6889" width="5" style="6" customWidth="1"/>
    <col min="6890" max="6890" width="8.875" style="6" customWidth="1"/>
    <col min="6891" max="6891" width="5" style="6" customWidth="1"/>
    <col min="6892" max="6892" width="8.25" style="6" bestFit="1" customWidth="1"/>
    <col min="6893" max="6893" width="16.125" style="6" customWidth="1"/>
    <col min="6894" max="6894" width="86" style="6" customWidth="1"/>
    <col min="6895" max="6895" width="5" style="6" customWidth="1"/>
    <col min="6896" max="6896" width="11.125" style="6" customWidth="1"/>
    <col min="6897" max="6897" width="10.375" style="6" customWidth="1"/>
    <col min="6898" max="6898" width="10.875" style="6" customWidth="1"/>
    <col min="6899" max="6899" width="7.75" style="6" customWidth="1"/>
    <col min="6900" max="6900" width="9.875" style="6" customWidth="1"/>
    <col min="6901" max="6901" width="10.625" style="6" customWidth="1"/>
    <col min="6902" max="7144" width="6.125" style="6"/>
    <col min="7145" max="7145" width="5" style="6" customWidth="1"/>
    <col min="7146" max="7146" width="8.875" style="6" customWidth="1"/>
    <col min="7147" max="7147" width="5" style="6" customWidth="1"/>
    <col min="7148" max="7148" width="8.25" style="6" bestFit="1" customWidth="1"/>
    <col min="7149" max="7149" width="16.125" style="6" customWidth="1"/>
    <col min="7150" max="7150" width="86" style="6" customWidth="1"/>
    <col min="7151" max="7151" width="5" style="6" customWidth="1"/>
    <col min="7152" max="7152" width="11.125" style="6" customWidth="1"/>
    <col min="7153" max="7153" width="10.375" style="6" customWidth="1"/>
    <col min="7154" max="7154" width="10.875" style="6" customWidth="1"/>
    <col min="7155" max="7155" width="7.75" style="6" customWidth="1"/>
    <col min="7156" max="7156" width="9.875" style="6" customWidth="1"/>
    <col min="7157" max="7157" width="10.625" style="6" customWidth="1"/>
    <col min="7158" max="7400" width="6.125" style="6"/>
    <col min="7401" max="7401" width="5" style="6" customWidth="1"/>
    <col min="7402" max="7402" width="8.875" style="6" customWidth="1"/>
    <col min="7403" max="7403" width="5" style="6" customWidth="1"/>
    <col min="7404" max="7404" width="8.25" style="6" bestFit="1" customWidth="1"/>
    <col min="7405" max="7405" width="16.125" style="6" customWidth="1"/>
    <col min="7406" max="7406" width="86" style="6" customWidth="1"/>
    <col min="7407" max="7407" width="5" style="6" customWidth="1"/>
    <col min="7408" max="7408" width="11.125" style="6" customWidth="1"/>
    <col min="7409" max="7409" width="10.375" style="6" customWidth="1"/>
    <col min="7410" max="7410" width="10.875" style="6" customWidth="1"/>
    <col min="7411" max="7411" width="7.75" style="6" customWidth="1"/>
    <col min="7412" max="7412" width="9.875" style="6" customWidth="1"/>
    <col min="7413" max="7413" width="10.625" style="6" customWidth="1"/>
    <col min="7414" max="7656" width="6.125" style="6"/>
    <col min="7657" max="7657" width="5" style="6" customWidth="1"/>
    <col min="7658" max="7658" width="8.875" style="6" customWidth="1"/>
    <col min="7659" max="7659" width="5" style="6" customWidth="1"/>
    <col min="7660" max="7660" width="8.25" style="6" bestFit="1" customWidth="1"/>
    <col min="7661" max="7661" width="16.125" style="6" customWidth="1"/>
    <col min="7662" max="7662" width="86" style="6" customWidth="1"/>
    <col min="7663" max="7663" width="5" style="6" customWidth="1"/>
    <col min="7664" max="7664" width="11.125" style="6" customWidth="1"/>
    <col min="7665" max="7665" width="10.375" style="6" customWidth="1"/>
    <col min="7666" max="7666" width="10.875" style="6" customWidth="1"/>
    <col min="7667" max="7667" width="7.75" style="6" customWidth="1"/>
    <col min="7668" max="7668" width="9.875" style="6" customWidth="1"/>
    <col min="7669" max="7669" width="10.625" style="6" customWidth="1"/>
    <col min="7670" max="7912" width="6.125" style="6"/>
    <col min="7913" max="7913" width="5" style="6" customWidth="1"/>
    <col min="7914" max="7914" width="8.875" style="6" customWidth="1"/>
    <col min="7915" max="7915" width="5" style="6" customWidth="1"/>
    <col min="7916" max="7916" width="8.25" style="6" bestFit="1" customWidth="1"/>
    <col min="7917" max="7917" width="16.125" style="6" customWidth="1"/>
    <col min="7918" max="7918" width="86" style="6" customWidth="1"/>
    <col min="7919" max="7919" width="5" style="6" customWidth="1"/>
    <col min="7920" max="7920" width="11.125" style="6" customWidth="1"/>
    <col min="7921" max="7921" width="10.375" style="6" customWidth="1"/>
    <col min="7922" max="7922" width="10.875" style="6" customWidth="1"/>
    <col min="7923" max="7923" width="7.75" style="6" customWidth="1"/>
    <col min="7924" max="7924" width="9.875" style="6" customWidth="1"/>
    <col min="7925" max="7925" width="10.625" style="6" customWidth="1"/>
    <col min="7926" max="8168" width="6.125" style="6"/>
    <col min="8169" max="8169" width="5" style="6" customWidth="1"/>
    <col min="8170" max="8170" width="8.875" style="6" customWidth="1"/>
    <col min="8171" max="8171" width="5" style="6" customWidth="1"/>
    <col min="8172" max="8172" width="8.25" style="6" bestFit="1" customWidth="1"/>
    <col min="8173" max="8173" width="16.125" style="6" customWidth="1"/>
    <col min="8174" max="8174" width="86" style="6" customWidth="1"/>
    <col min="8175" max="8175" width="5" style="6" customWidth="1"/>
    <col min="8176" max="8176" width="11.125" style="6" customWidth="1"/>
    <col min="8177" max="8177" width="10.375" style="6" customWidth="1"/>
    <col min="8178" max="8178" width="10.875" style="6" customWidth="1"/>
    <col min="8179" max="8179" width="7.75" style="6" customWidth="1"/>
    <col min="8180" max="8180" width="9.875" style="6" customWidth="1"/>
    <col min="8181" max="8181" width="10.625" style="6" customWidth="1"/>
    <col min="8182" max="8424" width="6.125" style="6"/>
    <col min="8425" max="8425" width="5" style="6" customWidth="1"/>
    <col min="8426" max="8426" width="8.875" style="6" customWidth="1"/>
    <col min="8427" max="8427" width="5" style="6" customWidth="1"/>
    <col min="8428" max="8428" width="8.25" style="6" bestFit="1" customWidth="1"/>
    <col min="8429" max="8429" width="16.125" style="6" customWidth="1"/>
    <col min="8430" max="8430" width="86" style="6" customWidth="1"/>
    <col min="8431" max="8431" width="5" style="6" customWidth="1"/>
    <col min="8432" max="8432" width="11.125" style="6" customWidth="1"/>
    <col min="8433" max="8433" width="10.375" style="6" customWidth="1"/>
    <col min="8434" max="8434" width="10.875" style="6" customWidth="1"/>
    <col min="8435" max="8435" width="7.75" style="6" customWidth="1"/>
    <col min="8436" max="8436" width="9.875" style="6" customWidth="1"/>
    <col min="8437" max="8437" width="10.625" style="6" customWidth="1"/>
    <col min="8438" max="8680" width="6.125" style="6"/>
    <col min="8681" max="8681" width="5" style="6" customWidth="1"/>
    <col min="8682" max="8682" width="8.875" style="6" customWidth="1"/>
    <col min="8683" max="8683" width="5" style="6" customWidth="1"/>
    <col min="8684" max="8684" width="8.25" style="6" bestFit="1" customWidth="1"/>
    <col min="8685" max="8685" width="16.125" style="6" customWidth="1"/>
    <col min="8686" max="8686" width="86" style="6" customWidth="1"/>
    <col min="8687" max="8687" width="5" style="6" customWidth="1"/>
    <col min="8688" max="8688" width="11.125" style="6" customWidth="1"/>
    <col min="8689" max="8689" width="10.375" style="6" customWidth="1"/>
    <col min="8690" max="8690" width="10.875" style="6" customWidth="1"/>
    <col min="8691" max="8691" width="7.75" style="6" customWidth="1"/>
    <col min="8692" max="8692" width="9.875" style="6" customWidth="1"/>
    <col min="8693" max="8693" width="10.625" style="6" customWidth="1"/>
    <col min="8694" max="8936" width="6.125" style="6"/>
    <col min="8937" max="8937" width="5" style="6" customWidth="1"/>
    <col min="8938" max="8938" width="8.875" style="6" customWidth="1"/>
    <col min="8939" max="8939" width="5" style="6" customWidth="1"/>
    <col min="8940" max="8940" width="8.25" style="6" bestFit="1" customWidth="1"/>
    <col min="8941" max="8941" width="16.125" style="6" customWidth="1"/>
    <col min="8942" max="8942" width="86" style="6" customWidth="1"/>
    <col min="8943" max="8943" width="5" style="6" customWidth="1"/>
    <col min="8944" max="8944" width="11.125" style="6" customWidth="1"/>
    <col min="8945" max="8945" width="10.375" style="6" customWidth="1"/>
    <col min="8946" max="8946" width="10.875" style="6" customWidth="1"/>
    <col min="8947" max="8947" width="7.75" style="6" customWidth="1"/>
    <col min="8948" max="8948" width="9.875" style="6" customWidth="1"/>
    <col min="8949" max="8949" width="10.625" style="6" customWidth="1"/>
    <col min="8950" max="9192" width="6.125" style="6"/>
    <col min="9193" max="9193" width="5" style="6" customWidth="1"/>
    <col min="9194" max="9194" width="8.875" style="6" customWidth="1"/>
    <col min="9195" max="9195" width="5" style="6" customWidth="1"/>
    <col min="9196" max="9196" width="8.25" style="6" bestFit="1" customWidth="1"/>
    <col min="9197" max="9197" width="16.125" style="6" customWidth="1"/>
    <col min="9198" max="9198" width="86" style="6" customWidth="1"/>
    <col min="9199" max="9199" width="5" style="6" customWidth="1"/>
    <col min="9200" max="9200" width="11.125" style="6" customWidth="1"/>
    <col min="9201" max="9201" width="10.375" style="6" customWidth="1"/>
    <col min="9202" max="9202" width="10.875" style="6" customWidth="1"/>
    <col min="9203" max="9203" width="7.75" style="6" customWidth="1"/>
    <col min="9204" max="9204" width="9.875" style="6" customWidth="1"/>
    <col min="9205" max="9205" width="10.625" style="6" customWidth="1"/>
    <col min="9206" max="9448" width="6.125" style="6"/>
    <col min="9449" max="9449" width="5" style="6" customWidth="1"/>
    <col min="9450" max="9450" width="8.875" style="6" customWidth="1"/>
    <col min="9451" max="9451" width="5" style="6" customWidth="1"/>
    <col min="9452" max="9452" width="8.25" style="6" bestFit="1" customWidth="1"/>
    <col min="9453" max="9453" width="16.125" style="6" customWidth="1"/>
    <col min="9454" max="9454" width="86" style="6" customWidth="1"/>
    <col min="9455" max="9455" width="5" style="6" customWidth="1"/>
    <col min="9456" max="9456" width="11.125" style="6" customWidth="1"/>
    <col min="9457" max="9457" width="10.375" style="6" customWidth="1"/>
    <col min="9458" max="9458" width="10.875" style="6" customWidth="1"/>
    <col min="9459" max="9459" width="7.75" style="6" customWidth="1"/>
    <col min="9460" max="9460" width="9.875" style="6" customWidth="1"/>
    <col min="9461" max="9461" width="10.625" style="6" customWidth="1"/>
    <col min="9462" max="9704" width="6.125" style="6"/>
    <col min="9705" max="9705" width="5" style="6" customWidth="1"/>
    <col min="9706" max="9706" width="8.875" style="6" customWidth="1"/>
    <col min="9707" max="9707" width="5" style="6" customWidth="1"/>
    <col min="9708" max="9708" width="8.25" style="6" bestFit="1" customWidth="1"/>
    <col min="9709" max="9709" width="16.125" style="6" customWidth="1"/>
    <col min="9710" max="9710" width="86" style="6" customWidth="1"/>
    <col min="9711" max="9711" width="5" style="6" customWidth="1"/>
    <col min="9712" max="9712" width="11.125" style="6" customWidth="1"/>
    <col min="9713" max="9713" width="10.375" style="6" customWidth="1"/>
    <col min="9714" max="9714" width="10.875" style="6" customWidth="1"/>
    <col min="9715" max="9715" width="7.75" style="6" customWidth="1"/>
    <col min="9716" max="9716" width="9.875" style="6" customWidth="1"/>
    <col min="9717" max="9717" width="10.625" style="6" customWidth="1"/>
    <col min="9718" max="9960" width="6.125" style="6"/>
    <col min="9961" max="9961" width="5" style="6" customWidth="1"/>
    <col min="9962" max="9962" width="8.875" style="6" customWidth="1"/>
    <col min="9963" max="9963" width="5" style="6" customWidth="1"/>
    <col min="9964" max="9964" width="8.25" style="6" bestFit="1" customWidth="1"/>
    <col min="9965" max="9965" width="16.125" style="6" customWidth="1"/>
    <col min="9966" max="9966" width="86" style="6" customWidth="1"/>
    <col min="9967" max="9967" width="5" style="6" customWidth="1"/>
    <col min="9968" max="9968" width="11.125" style="6" customWidth="1"/>
    <col min="9969" max="9969" width="10.375" style="6" customWidth="1"/>
    <col min="9970" max="9970" width="10.875" style="6" customWidth="1"/>
    <col min="9971" max="9971" width="7.75" style="6" customWidth="1"/>
    <col min="9972" max="9972" width="9.875" style="6" customWidth="1"/>
    <col min="9973" max="9973" width="10.625" style="6" customWidth="1"/>
    <col min="9974" max="10216" width="6.125" style="6"/>
    <col min="10217" max="10217" width="5" style="6" customWidth="1"/>
    <col min="10218" max="10218" width="8.875" style="6" customWidth="1"/>
    <col min="10219" max="10219" width="5" style="6" customWidth="1"/>
    <col min="10220" max="10220" width="8.25" style="6" bestFit="1" customWidth="1"/>
    <col min="10221" max="10221" width="16.125" style="6" customWidth="1"/>
    <col min="10222" max="10222" width="86" style="6" customWidth="1"/>
    <col min="10223" max="10223" width="5" style="6" customWidth="1"/>
    <col min="10224" max="10224" width="11.125" style="6" customWidth="1"/>
    <col min="10225" max="10225" width="10.375" style="6" customWidth="1"/>
    <col min="10226" max="10226" width="10.875" style="6" customWidth="1"/>
    <col min="10227" max="10227" width="7.75" style="6" customWidth="1"/>
    <col min="10228" max="10228" width="9.875" style="6" customWidth="1"/>
    <col min="10229" max="10229" width="10.625" style="6" customWidth="1"/>
    <col min="10230" max="10472" width="6.125" style="6"/>
    <col min="10473" max="10473" width="5" style="6" customWidth="1"/>
    <col min="10474" max="10474" width="8.875" style="6" customWidth="1"/>
    <col min="10475" max="10475" width="5" style="6" customWidth="1"/>
    <col min="10476" max="10476" width="8.25" style="6" bestFit="1" customWidth="1"/>
    <col min="10477" max="10477" width="16.125" style="6" customWidth="1"/>
    <col min="10478" max="10478" width="86" style="6" customWidth="1"/>
    <col min="10479" max="10479" width="5" style="6" customWidth="1"/>
    <col min="10480" max="10480" width="11.125" style="6" customWidth="1"/>
    <col min="10481" max="10481" width="10.375" style="6" customWidth="1"/>
    <col min="10482" max="10482" width="10.875" style="6" customWidth="1"/>
    <col min="10483" max="10483" width="7.75" style="6" customWidth="1"/>
    <col min="10484" max="10484" width="9.875" style="6" customWidth="1"/>
    <col min="10485" max="10485" width="10.625" style="6" customWidth="1"/>
    <col min="10486" max="10728" width="6.125" style="6"/>
    <col min="10729" max="10729" width="5" style="6" customWidth="1"/>
    <col min="10730" max="10730" width="8.875" style="6" customWidth="1"/>
    <col min="10731" max="10731" width="5" style="6" customWidth="1"/>
    <col min="10732" max="10732" width="8.25" style="6" bestFit="1" customWidth="1"/>
    <col min="10733" max="10733" width="16.125" style="6" customWidth="1"/>
    <col min="10734" max="10734" width="86" style="6" customWidth="1"/>
    <col min="10735" max="10735" width="5" style="6" customWidth="1"/>
    <col min="10736" max="10736" width="11.125" style="6" customWidth="1"/>
    <col min="10737" max="10737" width="10.375" style="6" customWidth="1"/>
    <col min="10738" max="10738" width="10.875" style="6" customWidth="1"/>
    <col min="10739" max="10739" width="7.75" style="6" customWidth="1"/>
    <col min="10740" max="10740" width="9.875" style="6" customWidth="1"/>
    <col min="10741" max="10741" width="10.625" style="6" customWidth="1"/>
    <col min="10742" max="10984" width="6.125" style="6"/>
    <col min="10985" max="10985" width="5" style="6" customWidth="1"/>
    <col min="10986" max="10986" width="8.875" style="6" customWidth="1"/>
    <col min="10987" max="10987" width="5" style="6" customWidth="1"/>
    <col min="10988" max="10988" width="8.25" style="6" bestFit="1" customWidth="1"/>
    <col min="10989" max="10989" width="16.125" style="6" customWidth="1"/>
    <col min="10990" max="10990" width="86" style="6" customWidth="1"/>
    <col min="10991" max="10991" width="5" style="6" customWidth="1"/>
    <col min="10992" max="10992" width="11.125" style="6" customWidth="1"/>
    <col min="10993" max="10993" width="10.375" style="6" customWidth="1"/>
    <col min="10994" max="10994" width="10.875" style="6" customWidth="1"/>
    <col min="10995" max="10995" width="7.75" style="6" customWidth="1"/>
    <col min="10996" max="10996" width="9.875" style="6" customWidth="1"/>
    <col min="10997" max="10997" width="10.625" style="6" customWidth="1"/>
    <col min="10998" max="11240" width="6.125" style="6"/>
    <col min="11241" max="11241" width="5" style="6" customWidth="1"/>
    <col min="11242" max="11242" width="8.875" style="6" customWidth="1"/>
    <col min="11243" max="11243" width="5" style="6" customWidth="1"/>
    <col min="11244" max="11244" width="8.25" style="6" bestFit="1" customWidth="1"/>
    <col min="11245" max="11245" width="16.125" style="6" customWidth="1"/>
    <col min="11246" max="11246" width="86" style="6" customWidth="1"/>
    <col min="11247" max="11247" width="5" style="6" customWidth="1"/>
    <col min="11248" max="11248" width="11.125" style="6" customWidth="1"/>
    <col min="11249" max="11249" width="10.375" style="6" customWidth="1"/>
    <col min="11250" max="11250" width="10.875" style="6" customWidth="1"/>
    <col min="11251" max="11251" width="7.75" style="6" customWidth="1"/>
    <col min="11252" max="11252" width="9.875" style="6" customWidth="1"/>
    <col min="11253" max="11253" width="10.625" style="6" customWidth="1"/>
    <col min="11254" max="11496" width="6.125" style="6"/>
    <col min="11497" max="11497" width="5" style="6" customWidth="1"/>
    <col min="11498" max="11498" width="8.875" style="6" customWidth="1"/>
    <col min="11499" max="11499" width="5" style="6" customWidth="1"/>
    <col min="11500" max="11500" width="8.25" style="6" bestFit="1" customWidth="1"/>
    <col min="11501" max="11501" width="16.125" style="6" customWidth="1"/>
    <col min="11502" max="11502" width="86" style="6" customWidth="1"/>
    <col min="11503" max="11503" width="5" style="6" customWidth="1"/>
    <col min="11504" max="11504" width="11.125" style="6" customWidth="1"/>
    <col min="11505" max="11505" width="10.375" style="6" customWidth="1"/>
    <col min="11506" max="11506" width="10.875" style="6" customWidth="1"/>
    <col min="11507" max="11507" width="7.75" style="6" customWidth="1"/>
    <col min="11508" max="11508" width="9.875" style="6" customWidth="1"/>
    <col min="11509" max="11509" width="10.625" style="6" customWidth="1"/>
    <col min="11510" max="11752" width="6.125" style="6"/>
    <col min="11753" max="11753" width="5" style="6" customWidth="1"/>
    <col min="11754" max="11754" width="8.875" style="6" customWidth="1"/>
    <col min="11755" max="11755" width="5" style="6" customWidth="1"/>
    <col min="11756" max="11756" width="8.25" style="6" bestFit="1" customWidth="1"/>
    <col min="11757" max="11757" width="16.125" style="6" customWidth="1"/>
    <col min="11758" max="11758" width="86" style="6" customWidth="1"/>
    <col min="11759" max="11759" width="5" style="6" customWidth="1"/>
    <col min="11760" max="11760" width="11.125" style="6" customWidth="1"/>
    <col min="11761" max="11761" width="10.375" style="6" customWidth="1"/>
    <col min="11762" max="11762" width="10.875" style="6" customWidth="1"/>
    <col min="11763" max="11763" width="7.75" style="6" customWidth="1"/>
    <col min="11764" max="11764" width="9.875" style="6" customWidth="1"/>
    <col min="11765" max="11765" width="10.625" style="6" customWidth="1"/>
    <col min="11766" max="12008" width="6.125" style="6"/>
    <col min="12009" max="12009" width="5" style="6" customWidth="1"/>
    <col min="12010" max="12010" width="8.875" style="6" customWidth="1"/>
    <col min="12011" max="12011" width="5" style="6" customWidth="1"/>
    <col min="12012" max="12012" width="8.25" style="6" bestFit="1" customWidth="1"/>
    <col min="12013" max="12013" width="16.125" style="6" customWidth="1"/>
    <col min="12014" max="12014" width="86" style="6" customWidth="1"/>
    <col min="12015" max="12015" width="5" style="6" customWidth="1"/>
    <col min="12016" max="12016" width="11.125" style="6" customWidth="1"/>
    <col min="12017" max="12017" width="10.375" style="6" customWidth="1"/>
    <col min="12018" max="12018" width="10.875" style="6" customWidth="1"/>
    <col min="12019" max="12019" width="7.75" style="6" customWidth="1"/>
    <col min="12020" max="12020" width="9.875" style="6" customWidth="1"/>
    <col min="12021" max="12021" width="10.625" style="6" customWidth="1"/>
    <col min="12022" max="12264" width="6.125" style="6"/>
    <col min="12265" max="12265" width="5" style="6" customWidth="1"/>
    <col min="12266" max="12266" width="8.875" style="6" customWidth="1"/>
    <col min="12267" max="12267" width="5" style="6" customWidth="1"/>
    <col min="12268" max="12268" width="8.25" style="6" bestFit="1" customWidth="1"/>
    <col min="12269" max="12269" width="16.125" style="6" customWidth="1"/>
    <col min="12270" max="12270" width="86" style="6" customWidth="1"/>
    <col min="12271" max="12271" width="5" style="6" customWidth="1"/>
    <col min="12272" max="12272" width="11.125" style="6" customWidth="1"/>
    <col min="12273" max="12273" width="10.375" style="6" customWidth="1"/>
    <col min="12274" max="12274" width="10.875" style="6" customWidth="1"/>
    <col min="12275" max="12275" width="7.75" style="6" customWidth="1"/>
    <col min="12276" max="12276" width="9.875" style="6" customWidth="1"/>
    <col min="12277" max="12277" width="10.625" style="6" customWidth="1"/>
    <col min="12278" max="12520" width="6.125" style="6"/>
    <col min="12521" max="12521" width="5" style="6" customWidth="1"/>
    <col min="12522" max="12522" width="8.875" style="6" customWidth="1"/>
    <col min="12523" max="12523" width="5" style="6" customWidth="1"/>
    <col min="12524" max="12524" width="8.25" style="6" bestFit="1" customWidth="1"/>
    <col min="12525" max="12525" width="16.125" style="6" customWidth="1"/>
    <col min="12526" max="12526" width="86" style="6" customWidth="1"/>
    <col min="12527" max="12527" width="5" style="6" customWidth="1"/>
    <col min="12528" max="12528" width="11.125" style="6" customWidth="1"/>
    <col min="12529" max="12529" width="10.375" style="6" customWidth="1"/>
    <col min="12530" max="12530" width="10.875" style="6" customWidth="1"/>
    <col min="12531" max="12531" width="7.75" style="6" customWidth="1"/>
    <col min="12532" max="12532" width="9.875" style="6" customWidth="1"/>
    <col min="12533" max="12533" width="10.625" style="6" customWidth="1"/>
    <col min="12534" max="12776" width="6.125" style="6"/>
    <col min="12777" max="12777" width="5" style="6" customWidth="1"/>
    <col min="12778" max="12778" width="8.875" style="6" customWidth="1"/>
    <col min="12779" max="12779" width="5" style="6" customWidth="1"/>
    <col min="12780" max="12780" width="8.25" style="6" bestFit="1" customWidth="1"/>
    <col min="12781" max="12781" width="16.125" style="6" customWidth="1"/>
    <col min="12782" max="12782" width="86" style="6" customWidth="1"/>
    <col min="12783" max="12783" width="5" style="6" customWidth="1"/>
    <col min="12784" max="12784" width="11.125" style="6" customWidth="1"/>
    <col min="12785" max="12785" width="10.375" style="6" customWidth="1"/>
    <col min="12786" max="12786" width="10.875" style="6" customWidth="1"/>
    <col min="12787" max="12787" width="7.75" style="6" customWidth="1"/>
    <col min="12788" max="12788" width="9.875" style="6" customWidth="1"/>
    <col min="12789" max="12789" width="10.625" style="6" customWidth="1"/>
    <col min="12790" max="13032" width="6.125" style="6"/>
    <col min="13033" max="13033" width="5" style="6" customWidth="1"/>
    <col min="13034" max="13034" width="8.875" style="6" customWidth="1"/>
    <col min="13035" max="13035" width="5" style="6" customWidth="1"/>
    <col min="13036" max="13036" width="8.25" style="6" bestFit="1" customWidth="1"/>
    <col min="13037" max="13037" width="16.125" style="6" customWidth="1"/>
    <col min="13038" max="13038" width="86" style="6" customWidth="1"/>
    <col min="13039" max="13039" width="5" style="6" customWidth="1"/>
    <col min="13040" max="13040" width="11.125" style="6" customWidth="1"/>
    <col min="13041" max="13041" width="10.375" style="6" customWidth="1"/>
    <col min="13042" max="13042" width="10.875" style="6" customWidth="1"/>
    <col min="13043" max="13043" width="7.75" style="6" customWidth="1"/>
    <col min="13044" max="13044" width="9.875" style="6" customWidth="1"/>
    <col min="13045" max="13045" width="10.625" style="6" customWidth="1"/>
    <col min="13046" max="13288" width="6.125" style="6"/>
    <col min="13289" max="13289" width="5" style="6" customWidth="1"/>
    <col min="13290" max="13290" width="8.875" style="6" customWidth="1"/>
    <col min="13291" max="13291" width="5" style="6" customWidth="1"/>
    <col min="13292" max="13292" width="8.25" style="6" bestFit="1" customWidth="1"/>
    <col min="13293" max="13293" width="16.125" style="6" customWidth="1"/>
    <col min="13294" max="13294" width="86" style="6" customWidth="1"/>
    <col min="13295" max="13295" width="5" style="6" customWidth="1"/>
    <col min="13296" max="13296" width="11.125" style="6" customWidth="1"/>
    <col min="13297" max="13297" width="10.375" style="6" customWidth="1"/>
    <col min="13298" max="13298" width="10.875" style="6" customWidth="1"/>
    <col min="13299" max="13299" width="7.75" style="6" customWidth="1"/>
    <col min="13300" max="13300" width="9.875" style="6" customWidth="1"/>
    <col min="13301" max="13301" width="10.625" style="6" customWidth="1"/>
    <col min="13302" max="13544" width="6.125" style="6"/>
    <col min="13545" max="13545" width="5" style="6" customWidth="1"/>
    <col min="13546" max="13546" width="8.875" style="6" customWidth="1"/>
    <col min="13547" max="13547" width="5" style="6" customWidth="1"/>
    <col min="13548" max="13548" width="8.25" style="6" bestFit="1" customWidth="1"/>
    <col min="13549" max="13549" width="16.125" style="6" customWidth="1"/>
    <col min="13550" max="13550" width="86" style="6" customWidth="1"/>
    <col min="13551" max="13551" width="5" style="6" customWidth="1"/>
    <col min="13552" max="13552" width="11.125" style="6" customWidth="1"/>
    <col min="13553" max="13553" width="10.375" style="6" customWidth="1"/>
    <col min="13554" max="13554" width="10.875" style="6" customWidth="1"/>
    <col min="13555" max="13555" width="7.75" style="6" customWidth="1"/>
    <col min="13556" max="13556" width="9.875" style="6" customWidth="1"/>
    <col min="13557" max="13557" width="10.625" style="6" customWidth="1"/>
    <col min="13558" max="13800" width="6.125" style="6"/>
    <col min="13801" max="13801" width="5" style="6" customWidth="1"/>
    <col min="13802" max="13802" width="8.875" style="6" customWidth="1"/>
    <col min="13803" max="13803" width="5" style="6" customWidth="1"/>
    <col min="13804" max="13804" width="8.25" style="6" bestFit="1" customWidth="1"/>
    <col min="13805" max="13805" width="16.125" style="6" customWidth="1"/>
    <col min="13806" max="13806" width="86" style="6" customWidth="1"/>
    <col min="13807" max="13807" width="5" style="6" customWidth="1"/>
    <col min="13808" max="13808" width="11.125" style="6" customWidth="1"/>
    <col min="13809" max="13809" width="10.375" style="6" customWidth="1"/>
    <col min="13810" max="13810" width="10.875" style="6" customWidth="1"/>
    <col min="13811" max="13811" width="7.75" style="6" customWidth="1"/>
    <col min="13812" max="13812" width="9.875" style="6" customWidth="1"/>
    <col min="13813" max="13813" width="10.625" style="6" customWidth="1"/>
    <col min="13814" max="14056" width="6.125" style="6"/>
    <col min="14057" max="14057" width="5" style="6" customWidth="1"/>
    <col min="14058" max="14058" width="8.875" style="6" customWidth="1"/>
    <col min="14059" max="14059" width="5" style="6" customWidth="1"/>
    <col min="14060" max="14060" width="8.25" style="6" bestFit="1" customWidth="1"/>
    <col min="14061" max="14061" width="16.125" style="6" customWidth="1"/>
    <col min="14062" max="14062" width="86" style="6" customWidth="1"/>
    <col min="14063" max="14063" width="5" style="6" customWidth="1"/>
    <col min="14064" max="14064" width="11.125" style="6" customWidth="1"/>
    <col min="14065" max="14065" width="10.375" style="6" customWidth="1"/>
    <col min="14066" max="14066" width="10.875" style="6" customWidth="1"/>
    <col min="14067" max="14067" width="7.75" style="6" customWidth="1"/>
    <col min="14068" max="14068" width="9.875" style="6" customWidth="1"/>
    <col min="14069" max="14069" width="10.625" style="6" customWidth="1"/>
    <col min="14070" max="14312" width="6.125" style="6"/>
    <col min="14313" max="14313" width="5" style="6" customWidth="1"/>
    <col min="14314" max="14314" width="8.875" style="6" customWidth="1"/>
    <col min="14315" max="14315" width="5" style="6" customWidth="1"/>
    <col min="14316" max="14316" width="8.25" style="6" bestFit="1" customWidth="1"/>
    <col min="14317" max="14317" width="16.125" style="6" customWidth="1"/>
    <col min="14318" max="14318" width="86" style="6" customWidth="1"/>
    <col min="14319" max="14319" width="5" style="6" customWidth="1"/>
    <col min="14320" max="14320" width="11.125" style="6" customWidth="1"/>
    <col min="14321" max="14321" width="10.375" style="6" customWidth="1"/>
    <col min="14322" max="14322" width="10.875" style="6" customWidth="1"/>
    <col min="14323" max="14323" width="7.75" style="6" customWidth="1"/>
    <col min="14324" max="14324" width="9.875" style="6" customWidth="1"/>
    <col min="14325" max="14325" width="10.625" style="6" customWidth="1"/>
    <col min="14326" max="14568" width="6.125" style="6"/>
    <col min="14569" max="14569" width="5" style="6" customWidth="1"/>
    <col min="14570" max="14570" width="8.875" style="6" customWidth="1"/>
    <col min="14571" max="14571" width="5" style="6" customWidth="1"/>
    <col min="14572" max="14572" width="8.25" style="6" bestFit="1" customWidth="1"/>
    <col min="14573" max="14573" width="16.125" style="6" customWidth="1"/>
    <col min="14574" max="14574" width="86" style="6" customWidth="1"/>
    <col min="14575" max="14575" width="5" style="6" customWidth="1"/>
    <col min="14576" max="14576" width="11.125" style="6" customWidth="1"/>
    <col min="14577" max="14577" width="10.375" style="6" customWidth="1"/>
    <col min="14578" max="14578" width="10.875" style="6" customWidth="1"/>
    <col min="14579" max="14579" width="7.75" style="6" customWidth="1"/>
    <col min="14580" max="14580" width="9.875" style="6" customWidth="1"/>
    <col min="14581" max="14581" width="10.625" style="6" customWidth="1"/>
    <col min="14582" max="14824" width="6.125" style="6"/>
    <col min="14825" max="14825" width="5" style="6" customWidth="1"/>
    <col min="14826" max="14826" width="8.875" style="6" customWidth="1"/>
    <col min="14827" max="14827" width="5" style="6" customWidth="1"/>
    <col min="14828" max="14828" width="8.25" style="6" bestFit="1" customWidth="1"/>
    <col min="14829" max="14829" width="16.125" style="6" customWidth="1"/>
    <col min="14830" max="14830" width="86" style="6" customWidth="1"/>
    <col min="14831" max="14831" width="5" style="6" customWidth="1"/>
    <col min="14832" max="14832" width="11.125" style="6" customWidth="1"/>
    <col min="14833" max="14833" width="10.375" style="6" customWidth="1"/>
    <col min="14834" max="14834" width="10.875" style="6" customWidth="1"/>
    <col min="14835" max="14835" width="7.75" style="6" customWidth="1"/>
    <col min="14836" max="14836" width="9.875" style="6" customWidth="1"/>
    <col min="14837" max="14837" width="10.625" style="6" customWidth="1"/>
    <col min="14838" max="15080" width="6.125" style="6"/>
    <col min="15081" max="15081" width="5" style="6" customWidth="1"/>
    <col min="15082" max="15082" width="8.875" style="6" customWidth="1"/>
    <col min="15083" max="15083" width="5" style="6" customWidth="1"/>
    <col min="15084" max="15084" width="8.25" style="6" bestFit="1" customWidth="1"/>
    <col min="15085" max="15085" width="16.125" style="6" customWidth="1"/>
    <col min="15086" max="15086" width="86" style="6" customWidth="1"/>
    <col min="15087" max="15087" width="5" style="6" customWidth="1"/>
    <col min="15088" max="15088" width="11.125" style="6" customWidth="1"/>
    <col min="15089" max="15089" width="10.375" style="6" customWidth="1"/>
    <col min="15090" max="15090" width="10.875" style="6" customWidth="1"/>
    <col min="15091" max="15091" width="7.75" style="6" customWidth="1"/>
    <col min="15092" max="15092" width="9.875" style="6" customWidth="1"/>
    <col min="15093" max="15093" width="10.625" style="6" customWidth="1"/>
    <col min="15094" max="15336" width="6.125" style="6"/>
    <col min="15337" max="15337" width="5" style="6" customWidth="1"/>
    <col min="15338" max="15338" width="8.875" style="6" customWidth="1"/>
    <col min="15339" max="15339" width="5" style="6" customWidth="1"/>
    <col min="15340" max="15340" width="8.25" style="6" bestFit="1" customWidth="1"/>
    <col min="15341" max="15341" width="16.125" style="6" customWidth="1"/>
    <col min="15342" max="15342" width="86" style="6" customWidth="1"/>
    <col min="15343" max="15343" width="5" style="6" customWidth="1"/>
    <col min="15344" max="15344" width="11.125" style="6" customWidth="1"/>
    <col min="15345" max="15345" width="10.375" style="6" customWidth="1"/>
    <col min="15346" max="15346" width="10.875" style="6" customWidth="1"/>
    <col min="15347" max="15347" width="7.75" style="6" customWidth="1"/>
    <col min="15348" max="15348" width="9.875" style="6" customWidth="1"/>
    <col min="15349" max="15349" width="10.625" style="6" customWidth="1"/>
    <col min="15350" max="15592" width="6.125" style="6"/>
    <col min="15593" max="15593" width="5" style="6" customWidth="1"/>
    <col min="15594" max="15594" width="8.875" style="6" customWidth="1"/>
    <col min="15595" max="15595" width="5" style="6" customWidth="1"/>
    <col min="15596" max="15596" width="8.25" style="6" bestFit="1" customWidth="1"/>
    <col min="15597" max="15597" width="16.125" style="6" customWidth="1"/>
    <col min="15598" max="15598" width="86" style="6" customWidth="1"/>
    <col min="15599" max="15599" width="5" style="6" customWidth="1"/>
    <col min="15600" max="15600" width="11.125" style="6" customWidth="1"/>
    <col min="15601" max="15601" width="10.375" style="6" customWidth="1"/>
    <col min="15602" max="15602" width="10.875" style="6" customWidth="1"/>
    <col min="15603" max="15603" width="7.75" style="6" customWidth="1"/>
    <col min="15604" max="15604" width="9.875" style="6" customWidth="1"/>
    <col min="15605" max="15605" width="10.625" style="6" customWidth="1"/>
    <col min="15606" max="15848" width="6.125" style="6"/>
    <col min="15849" max="15849" width="5" style="6" customWidth="1"/>
    <col min="15850" max="15850" width="8.875" style="6" customWidth="1"/>
    <col min="15851" max="15851" width="5" style="6" customWidth="1"/>
    <col min="15852" max="15852" width="8.25" style="6" bestFit="1" customWidth="1"/>
    <col min="15853" max="15853" width="16.125" style="6" customWidth="1"/>
    <col min="15854" max="15854" width="86" style="6" customWidth="1"/>
    <col min="15855" max="15855" width="5" style="6" customWidth="1"/>
    <col min="15856" max="15856" width="11.125" style="6" customWidth="1"/>
    <col min="15857" max="15857" width="10.375" style="6" customWidth="1"/>
    <col min="15858" max="15858" width="10.875" style="6" customWidth="1"/>
    <col min="15859" max="15859" width="7.75" style="6" customWidth="1"/>
    <col min="15860" max="15860" width="9.875" style="6" customWidth="1"/>
    <col min="15861" max="15861" width="10.625" style="6" customWidth="1"/>
    <col min="15862" max="16104" width="6.125" style="6"/>
    <col min="16105" max="16105" width="5" style="6" customWidth="1"/>
    <col min="16106" max="16106" width="8.875" style="6" customWidth="1"/>
    <col min="16107" max="16107" width="5" style="6" customWidth="1"/>
    <col min="16108" max="16108" width="8.25" style="6" bestFit="1" customWidth="1"/>
    <col min="16109" max="16109" width="16.125" style="6" customWidth="1"/>
    <col min="16110" max="16110" width="86" style="6" customWidth="1"/>
    <col min="16111" max="16111" width="5" style="6" customWidth="1"/>
    <col min="16112" max="16112" width="11.125" style="6" customWidth="1"/>
    <col min="16113" max="16113" width="10.375" style="6" customWidth="1"/>
    <col min="16114" max="16114" width="10.875" style="6" customWidth="1"/>
    <col min="16115" max="16115" width="7.75" style="6" customWidth="1"/>
    <col min="16116" max="16116" width="9.875" style="6" customWidth="1"/>
    <col min="16117" max="16117" width="10.625" style="6" customWidth="1"/>
    <col min="16118" max="16384" width="6.125" style="6"/>
  </cols>
  <sheetData>
    <row r="1" spans="1:12" ht="24" customHeight="1">
      <c r="A1" s="635" t="s">
        <v>57</v>
      </c>
      <c r="B1" s="635"/>
      <c r="C1" s="635"/>
      <c r="D1" s="635"/>
      <c r="E1" s="635"/>
      <c r="F1" s="635"/>
      <c r="G1" s="635"/>
      <c r="H1" s="635"/>
    </row>
    <row r="2" spans="1:12" ht="12.75" customHeight="1">
      <c r="A2" s="634"/>
      <c r="B2" s="634"/>
      <c r="C2" s="634"/>
      <c r="D2" s="634"/>
      <c r="E2" s="634"/>
      <c r="F2" s="634"/>
      <c r="G2" s="634"/>
      <c r="H2" s="634"/>
      <c r="I2" s="25"/>
    </row>
    <row r="3" spans="1:12" ht="32.25" customHeight="1" thickBot="1">
      <c r="A3" s="342"/>
      <c r="B3" s="342"/>
      <c r="C3" s="342"/>
      <c r="D3" s="342"/>
      <c r="E3" s="342"/>
      <c r="F3" s="343"/>
      <c r="G3" s="342"/>
      <c r="H3" s="342"/>
      <c r="I3" s="340"/>
      <c r="J3" s="619"/>
      <c r="K3" s="340"/>
      <c r="L3" s="341"/>
    </row>
    <row r="4" spans="1:12" s="7" customFormat="1" ht="65.25" customHeight="1" thickBot="1">
      <c r="A4" s="167" t="s">
        <v>20</v>
      </c>
      <c r="B4" s="70" t="s">
        <v>0</v>
      </c>
      <c r="C4" s="70" t="s">
        <v>1</v>
      </c>
      <c r="D4" s="70" t="s">
        <v>2</v>
      </c>
      <c r="E4" s="70" t="s">
        <v>3</v>
      </c>
      <c r="F4" s="344" t="s">
        <v>21</v>
      </c>
      <c r="G4" s="169" t="s">
        <v>22</v>
      </c>
      <c r="H4" s="70" t="s">
        <v>4</v>
      </c>
      <c r="I4" s="70" t="s">
        <v>23</v>
      </c>
      <c r="J4" s="620" t="s">
        <v>5</v>
      </c>
      <c r="K4" s="70"/>
      <c r="L4" s="254"/>
    </row>
    <row r="5" spans="1:12" ht="15.75" thickBot="1">
      <c r="A5" s="345"/>
      <c r="B5" s="346"/>
      <c r="C5" s="346"/>
      <c r="D5" s="346"/>
      <c r="E5" s="346"/>
      <c r="F5" s="347"/>
      <c r="G5" s="348"/>
      <c r="H5" s="349"/>
      <c r="I5" s="350"/>
      <c r="J5" s="621"/>
      <c r="K5" s="346"/>
      <c r="L5" s="346"/>
    </row>
    <row r="6" spans="1:12" ht="15.75" thickBot="1">
      <c r="A6" s="351" t="s">
        <v>15</v>
      </c>
      <c r="B6" s="352"/>
      <c r="C6" s="352"/>
      <c r="D6" s="352"/>
      <c r="E6" s="352"/>
      <c r="F6" s="344" t="s">
        <v>24</v>
      </c>
      <c r="G6" s="352"/>
      <c r="H6" s="353"/>
      <c r="I6" s="354"/>
      <c r="J6" s="622"/>
      <c r="K6" s="352"/>
      <c r="L6" s="355"/>
    </row>
    <row r="7" spans="1:12" ht="15">
      <c r="A7" s="356"/>
      <c r="B7" s="357"/>
      <c r="C7" s="357"/>
      <c r="D7" s="357"/>
      <c r="E7" s="357"/>
      <c r="F7" s="358"/>
      <c r="G7" s="357"/>
      <c r="H7" s="359"/>
      <c r="I7" s="360"/>
      <c r="J7" s="623"/>
      <c r="K7" s="357"/>
      <c r="L7" s="357"/>
    </row>
    <row r="8" spans="1:12" s="9" customFormat="1" ht="30">
      <c r="A8" s="361">
        <v>1.1000000000000001</v>
      </c>
      <c r="B8" s="362"/>
      <c r="C8" s="362"/>
      <c r="D8" s="282" t="s">
        <v>6</v>
      </c>
      <c r="E8" s="124" t="s">
        <v>26</v>
      </c>
      <c r="F8" s="363" t="s">
        <v>83</v>
      </c>
      <c r="G8" s="362" t="s">
        <v>25</v>
      </c>
      <c r="H8" s="549">
        <v>190</v>
      </c>
      <c r="I8" s="280">
        <v>12294</v>
      </c>
      <c r="J8" s="624">
        <f>SUM(H8*I8)</f>
        <v>2335860</v>
      </c>
      <c r="K8" s="124"/>
      <c r="L8" s="124"/>
    </row>
    <row r="9" spans="1:12" s="9" customFormat="1" ht="243" customHeight="1">
      <c r="A9" s="361"/>
      <c r="B9" s="362"/>
      <c r="C9" s="362"/>
      <c r="D9" s="362"/>
      <c r="E9" s="362"/>
      <c r="F9" s="555" t="s">
        <v>576</v>
      </c>
      <c r="G9" s="362"/>
      <c r="H9" s="549"/>
      <c r="I9" s="280"/>
      <c r="J9" s="625"/>
      <c r="K9" s="124"/>
      <c r="L9" s="124"/>
    </row>
    <row r="10" spans="1:12" s="9" customFormat="1" ht="15">
      <c r="A10" s="177"/>
      <c r="B10" s="124"/>
      <c r="C10" s="124"/>
      <c r="D10" s="124"/>
      <c r="E10" s="124"/>
      <c r="F10" s="365"/>
      <c r="G10" s="124"/>
      <c r="H10" s="550"/>
      <c r="I10" s="280"/>
      <c r="J10" s="625"/>
      <c r="K10" s="124"/>
      <c r="L10" s="124"/>
    </row>
    <row r="11" spans="1:12" s="9" customFormat="1" ht="15">
      <c r="A11" s="177"/>
      <c r="B11" s="124"/>
      <c r="C11" s="124"/>
      <c r="D11" s="124"/>
      <c r="E11" s="124"/>
      <c r="F11" s="365"/>
      <c r="G11" s="124"/>
      <c r="H11" s="550"/>
      <c r="I11" s="280"/>
      <c r="J11" s="625"/>
      <c r="K11" s="124"/>
      <c r="L11" s="124"/>
    </row>
    <row r="12" spans="1:12" s="9" customFormat="1" ht="30">
      <c r="A12" s="177">
        <v>1.2</v>
      </c>
      <c r="B12" s="124"/>
      <c r="C12" s="124"/>
      <c r="D12" s="284" t="s">
        <v>27</v>
      </c>
      <c r="E12" s="124" t="s">
        <v>86</v>
      </c>
      <c r="F12" s="366" t="s">
        <v>87</v>
      </c>
      <c r="G12" s="124" t="s">
        <v>25</v>
      </c>
      <c r="H12" s="551">
        <f>(3.8*3)*3.6</f>
        <v>41.04</v>
      </c>
      <c r="I12" s="280">
        <v>11958</v>
      </c>
      <c r="J12" s="624">
        <f>SUM(H12*I12)</f>
        <v>490756.32</v>
      </c>
      <c r="K12" s="368"/>
      <c r="L12" s="125"/>
    </row>
    <row r="13" spans="1:12" s="9" customFormat="1" ht="165">
      <c r="A13" s="177"/>
      <c r="B13" s="124"/>
      <c r="C13" s="124"/>
      <c r="D13" s="124"/>
      <c r="E13" s="124"/>
      <c r="F13" s="555" t="s">
        <v>577</v>
      </c>
      <c r="G13" s="124"/>
      <c r="H13" s="551"/>
      <c r="I13" s="367"/>
      <c r="J13" s="626"/>
      <c r="K13" s="368"/>
      <c r="L13" s="125"/>
    </row>
    <row r="14" spans="1:12" s="9" customFormat="1" ht="15">
      <c r="A14" s="177"/>
      <c r="B14" s="124"/>
      <c r="C14" s="124"/>
      <c r="D14" s="124"/>
      <c r="E14" s="124"/>
      <c r="F14" s="365"/>
      <c r="G14" s="124"/>
      <c r="H14" s="550"/>
      <c r="I14" s="280"/>
      <c r="J14" s="625"/>
      <c r="K14" s="124"/>
      <c r="L14" s="124"/>
    </row>
    <row r="15" spans="1:12" s="9" customFormat="1" ht="30">
      <c r="A15" s="361">
        <v>1.3</v>
      </c>
      <c r="B15" s="362"/>
      <c r="C15" s="362"/>
      <c r="D15" s="282" t="s">
        <v>27</v>
      </c>
      <c r="E15" s="124" t="s">
        <v>59</v>
      </c>
      <c r="F15" s="363" t="s">
        <v>60</v>
      </c>
      <c r="G15" s="362" t="s">
        <v>25</v>
      </c>
      <c r="H15" s="550">
        <f>7*3.6</f>
        <v>25.2</v>
      </c>
      <c r="I15" s="280">
        <v>8976</v>
      </c>
      <c r="J15" s="624">
        <f>SUM(H15*I15)</f>
        <v>226195.19999999998</v>
      </c>
      <c r="K15" s="124"/>
      <c r="L15" s="124"/>
    </row>
    <row r="16" spans="1:12" s="9" customFormat="1" ht="120">
      <c r="A16" s="361"/>
      <c r="B16" s="124"/>
      <c r="C16" s="362"/>
      <c r="D16" s="362"/>
      <c r="E16" s="362"/>
      <c r="F16" s="555" t="s">
        <v>85</v>
      </c>
      <c r="G16" s="362"/>
      <c r="H16" s="550"/>
      <c r="I16" s="280"/>
      <c r="J16" s="625"/>
      <c r="K16" s="124"/>
      <c r="L16" s="124"/>
    </row>
    <row r="17" spans="1:12" s="9" customFormat="1" ht="15">
      <c r="A17" s="361"/>
      <c r="B17" s="362"/>
      <c r="C17" s="362"/>
      <c r="D17" s="362"/>
      <c r="E17" s="362"/>
      <c r="F17" s="556"/>
      <c r="G17" s="362"/>
      <c r="H17" s="550"/>
      <c r="I17" s="280"/>
      <c r="J17" s="625"/>
      <c r="K17" s="124"/>
      <c r="L17" s="124"/>
    </row>
    <row r="18" spans="1:12" s="9" customFormat="1" ht="15">
      <c r="A18" s="361"/>
      <c r="B18" s="369"/>
      <c r="C18" s="369"/>
      <c r="D18" s="369"/>
      <c r="E18" s="369"/>
      <c r="F18" s="365"/>
      <c r="G18" s="362"/>
      <c r="H18" s="550"/>
      <c r="I18" s="280"/>
      <c r="J18" s="625"/>
      <c r="K18" s="124"/>
      <c r="L18" s="124"/>
    </row>
    <row r="19" spans="1:12" s="9" customFormat="1" ht="15">
      <c r="A19" s="361">
        <v>1.4</v>
      </c>
      <c r="B19" s="369"/>
      <c r="C19" s="369"/>
      <c r="D19" s="282" t="s">
        <v>9</v>
      </c>
      <c r="E19" s="124" t="s">
        <v>62</v>
      </c>
      <c r="F19" s="370" t="s">
        <v>63</v>
      </c>
      <c r="G19" s="362" t="s">
        <v>8</v>
      </c>
      <c r="H19" s="550">
        <f>7.5*3</f>
        <v>22.5</v>
      </c>
      <c r="I19" s="280">
        <v>3852</v>
      </c>
      <c r="J19" s="624">
        <f>SUM(H19*I19)</f>
        <v>86670</v>
      </c>
      <c r="K19" s="124"/>
      <c r="L19" s="124"/>
    </row>
    <row r="20" spans="1:12" s="9" customFormat="1" ht="210">
      <c r="A20" s="361"/>
      <c r="B20" s="369"/>
      <c r="C20" s="369"/>
      <c r="D20" s="369"/>
      <c r="E20" s="362"/>
      <c r="F20" s="371" t="s">
        <v>578</v>
      </c>
      <c r="G20" s="362"/>
      <c r="H20" s="550"/>
      <c r="I20" s="280"/>
      <c r="J20" s="625"/>
      <c r="K20" s="124"/>
      <c r="L20" s="124"/>
    </row>
    <row r="21" spans="1:12" s="9" customFormat="1" ht="15">
      <c r="A21" s="361"/>
      <c r="B21" s="369"/>
      <c r="C21" s="369"/>
      <c r="D21" s="369"/>
      <c r="E21" s="369"/>
      <c r="F21" s="365"/>
      <c r="G21" s="362"/>
      <c r="H21" s="550"/>
      <c r="I21" s="280"/>
      <c r="J21" s="625"/>
      <c r="K21" s="124"/>
      <c r="L21" s="124"/>
    </row>
    <row r="22" spans="1:12" s="9" customFormat="1" ht="15">
      <c r="A22" s="361"/>
      <c r="B22" s="362"/>
      <c r="C22" s="362"/>
      <c r="D22" s="362"/>
      <c r="E22" s="362"/>
      <c r="F22" s="556"/>
      <c r="G22" s="124"/>
      <c r="H22" s="550"/>
      <c r="I22" s="280"/>
      <c r="J22" s="625"/>
      <c r="K22" s="124"/>
      <c r="L22" s="124"/>
    </row>
    <row r="23" spans="1:12" s="9" customFormat="1" ht="53.25" customHeight="1">
      <c r="A23" s="361">
        <v>1.5</v>
      </c>
      <c r="B23" s="362"/>
      <c r="C23" s="362"/>
      <c r="D23" s="282" t="s">
        <v>64</v>
      </c>
      <c r="E23" s="124" t="s">
        <v>51</v>
      </c>
      <c r="F23" s="557" t="s">
        <v>65</v>
      </c>
      <c r="G23" s="362" t="s">
        <v>8</v>
      </c>
      <c r="H23" s="549">
        <v>60</v>
      </c>
      <c r="I23" s="280">
        <v>10700</v>
      </c>
      <c r="J23" s="624">
        <f>SUM(H23*I23)</f>
        <v>642000</v>
      </c>
      <c r="K23" s="124"/>
      <c r="L23" s="124"/>
    </row>
    <row r="24" spans="1:12" ht="150">
      <c r="A24" s="361"/>
      <c r="B24" s="362"/>
      <c r="C24" s="362"/>
      <c r="D24" s="362"/>
      <c r="E24" s="362"/>
      <c r="F24" s="365" t="s">
        <v>579</v>
      </c>
      <c r="G24" s="362"/>
      <c r="H24" s="549"/>
      <c r="I24" s="364"/>
      <c r="J24" s="627"/>
      <c r="K24" s="362"/>
      <c r="L24" s="362"/>
    </row>
    <row r="25" spans="1:12" ht="15.75" thickBot="1">
      <c r="A25" s="372"/>
      <c r="B25" s="373"/>
      <c r="C25" s="373"/>
      <c r="D25" s="373"/>
      <c r="E25" s="373"/>
      <c r="F25" s="374"/>
      <c r="G25" s="373"/>
      <c r="H25" s="552"/>
      <c r="I25" s="375"/>
      <c r="J25" s="628"/>
      <c r="K25" s="373"/>
      <c r="L25" s="373"/>
    </row>
    <row r="26" spans="1:12" ht="15.75" thickBot="1">
      <c r="A26" s="376" t="s">
        <v>16</v>
      </c>
      <c r="B26" s="377"/>
      <c r="C26" s="377"/>
      <c r="D26" s="377"/>
      <c r="E26" s="377"/>
      <c r="F26" s="344" t="s">
        <v>18</v>
      </c>
      <c r="G26" s="378"/>
      <c r="H26" s="553"/>
      <c r="I26" s="379"/>
      <c r="J26" s="629"/>
      <c r="K26" s="378"/>
      <c r="L26" s="380"/>
    </row>
    <row r="27" spans="1:12" ht="15">
      <c r="A27" s="356"/>
      <c r="B27" s="381"/>
      <c r="C27" s="381"/>
      <c r="D27" s="381"/>
      <c r="E27" s="381"/>
      <c r="F27" s="358"/>
      <c r="G27" s="357"/>
      <c r="H27" s="554"/>
      <c r="I27" s="359"/>
      <c r="J27" s="623"/>
      <c r="K27" s="357"/>
      <c r="L27" s="357"/>
    </row>
    <row r="28" spans="1:12" ht="15">
      <c r="A28" s="177">
        <v>2.1</v>
      </c>
      <c r="B28" s="125"/>
      <c r="C28" s="125"/>
      <c r="D28" s="78" t="s">
        <v>10</v>
      </c>
      <c r="E28" s="382" t="s">
        <v>54</v>
      </c>
      <c r="F28" s="383" t="s">
        <v>88</v>
      </c>
      <c r="G28" s="124" t="s">
        <v>25</v>
      </c>
      <c r="H28" s="31">
        <v>20</v>
      </c>
      <c r="I28" s="280">
        <v>2868</v>
      </c>
      <c r="J28" s="624">
        <f>SUM(H28*I28)</f>
        <v>57360</v>
      </c>
      <c r="K28" s="125"/>
      <c r="L28" s="125"/>
    </row>
    <row r="29" spans="1:12" ht="225">
      <c r="A29" s="177"/>
      <c r="B29" s="125"/>
      <c r="C29" s="125"/>
      <c r="D29" s="125"/>
      <c r="E29" s="124"/>
      <c r="F29" s="36" t="s">
        <v>89</v>
      </c>
      <c r="G29" s="124"/>
      <c r="H29" s="549"/>
      <c r="I29" s="364"/>
      <c r="J29" s="627"/>
      <c r="K29" s="362"/>
      <c r="L29" s="362"/>
    </row>
    <row r="30" spans="1:12" ht="15">
      <c r="A30" s="361"/>
      <c r="B30" s="369"/>
      <c r="C30" s="369"/>
      <c r="D30" s="369"/>
      <c r="E30" s="369"/>
      <c r="F30" s="363"/>
      <c r="G30" s="362"/>
      <c r="H30" s="549"/>
      <c r="I30" s="364"/>
      <c r="J30" s="627"/>
      <c r="K30" s="362"/>
      <c r="L30" s="362"/>
    </row>
    <row r="31" spans="1:12" ht="30">
      <c r="A31" s="361">
        <v>2.2000000000000002</v>
      </c>
      <c r="B31" s="369"/>
      <c r="C31" s="369"/>
      <c r="D31" s="282" t="s">
        <v>10</v>
      </c>
      <c r="E31" s="282" t="s">
        <v>54</v>
      </c>
      <c r="F31" s="363" t="s">
        <v>82</v>
      </c>
      <c r="G31" s="362" t="s">
        <v>8</v>
      </c>
      <c r="H31" s="549">
        <v>30</v>
      </c>
      <c r="I31" s="280">
        <v>48475</v>
      </c>
      <c r="J31" s="624">
        <f>SUM(H31*I31)</f>
        <v>1454250</v>
      </c>
      <c r="K31" s="362"/>
      <c r="L31" s="362"/>
    </row>
    <row r="32" spans="1:12" ht="300">
      <c r="A32" s="361"/>
      <c r="B32" s="369"/>
      <c r="C32" s="369"/>
      <c r="D32" s="369"/>
      <c r="E32" s="362"/>
      <c r="F32" s="555" t="s">
        <v>81</v>
      </c>
      <c r="G32" s="362"/>
      <c r="H32" s="549"/>
      <c r="I32" s="364"/>
      <c r="J32" s="627"/>
      <c r="K32" s="362"/>
      <c r="L32" s="362"/>
    </row>
    <row r="33" spans="1:12" ht="15">
      <c r="A33" s="361"/>
      <c r="B33" s="369"/>
      <c r="C33" s="369"/>
      <c r="D33" s="369"/>
      <c r="E33" s="369"/>
      <c r="F33" s="556" t="s">
        <v>61</v>
      </c>
      <c r="G33" s="362"/>
      <c r="H33" s="549"/>
      <c r="I33" s="364"/>
      <c r="J33" s="627"/>
      <c r="K33" s="362"/>
      <c r="L33" s="362"/>
    </row>
    <row r="34" spans="1:12" ht="15">
      <c r="A34" s="361"/>
      <c r="B34" s="369"/>
      <c r="C34" s="369"/>
      <c r="D34" s="369"/>
      <c r="E34" s="369"/>
      <c r="F34" s="365"/>
      <c r="G34" s="362"/>
      <c r="H34" s="549"/>
      <c r="I34" s="364"/>
      <c r="J34" s="627"/>
      <c r="K34" s="362"/>
      <c r="L34" s="362"/>
    </row>
    <row r="35" spans="1:12" ht="15">
      <c r="A35" s="361">
        <v>2.2999999999999998</v>
      </c>
      <c r="B35" s="369"/>
      <c r="C35" s="369"/>
      <c r="D35" s="282" t="s">
        <v>10</v>
      </c>
      <c r="E35" s="282" t="s">
        <v>66</v>
      </c>
      <c r="F35" s="363" t="s">
        <v>29</v>
      </c>
      <c r="G35" s="362" t="s">
        <v>25</v>
      </c>
      <c r="H35" s="549">
        <v>50</v>
      </c>
      <c r="I35" s="280">
        <v>732</v>
      </c>
      <c r="J35" s="624">
        <f>SUM(H35*I35)</f>
        <v>36600</v>
      </c>
      <c r="K35" s="362"/>
      <c r="L35" s="362"/>
    </row>
    <row r="36" spans="1:12" ht="120">
      <c r="A36" s="361"/>
      <c r="B36" s="369"/>
      <c r="C36" s="369"/>
      <c r="D36" s="369"/>
      <c r="E36" s="369"/>
      <c r="F36" s="555" t="s">
        <v>48</v>
      </c>
      <c r="G36" s="362"/>
      <c r="H36" s="549"/>
      <c r="I36" s="364"/>
      <c r="J36" s="627"/>
      <c r="K36" s="362"/>
      <c r="L36" s="362"/>
    </row>
    <row r="37" spans="1:12" ht="15.75" thickBot="1">
      <c r="A37" s="372"/>
      <c r="B37" s="384"/>
      <c r="C37" s="384"/>
      <c r="D37" s="384"/>
      <c r="E37" s="384"/>
      <c r="F37" s="558"/>
      <c r="G37" s="373"/>
      <c r="H37" s="552"/>
      <c r="I37" s="375"/>
      <c r="J37" s="628"/>
      <c r="K37" s="373"/>
      <c r="L37" s="373"/>
    </row>
    <row r="38" spans="1:12" ht="15.75" thickBot="1">
      <c r="A38" s="376" t="s">
        <v>17</v>
      </c>
      <c r="B38" s="377"/>
      <c r="C38" s="377"/>
      <c r="D38" s="377"/>
      <c r="E38" s="377"/>
      <c r="F38" s="344" t="s">
        <v>19</v>
      </c>
      <c r="G38" s="378"/>
      <c r="H38" s="553"/>
      <c r="I38" s="379"/>
      <c r="J38" s="629"/>
      <c r="K38" s="378"/>
      <c r="L38" s="380"/>
    </row>
    <row r="39" spans="1:12" ht="15">
      <c r="A39" s="356"/>
      <c r="B39" s="381"/>
      <c r="C39" s="381"/>
      <c r="D39" s="381"/>
      <c r="E39" s="381"/>
      <c r="F39" s="358"/>
      <c r="G39" s="357"/>
      <c r="H39" s="554"/>
      <c r="I39" s="359"/>
      <c r="J39" s="623"/>
      <c r="K39" s="357"/>
      <c r="L39" s="357"/>
    </row>
    <row r="40" spans="1:12" ht="15">
      <c r="A40" s="361"/>
      <c r="B40" s="369"/>
      <c r="C40" s="369"/>
      <c r="D40" s="369"/>
      <c r="E40" s="369"/>
      <c r="F40" s="555"/>
      <c r="G40" s="362"/>
      <c r="H40" s="549"/>
      <c r="I40" s="364"/>
      <c r="J40" s="627"/>
      <c r="K40" s="362"/>
      <c r="L40" s="362"/>
    </row>
    <row r="41" spans="1:12" ht="15">
      <c r="A41" s="361">
        <v>3.1</v>
      </c>
      <c r="B41" s="369"/>
      <c r="C41" s="369"/>
      <c r="D41" s="369" t="s">
        <v>30</v>
      </c>
      <c r="E41" s="369" t="s">
        <v>31</v>
      </c>
      <c r="F41" s="363" t="s">
        <v>84</v>
      </c>
      <c r="G41" s="362"/>
      <c r="H41" s="549"/>
      <c r="I41" s="385"/>
      <c r="J41" s="627"/>
      <c r="K41" s="362"/>
      <c r="L41" s="362"/>
    </row>
    <row r="42" spans="1:12" ht="120">
      <c r="A42" s="361"/>
      <c r="B42" s="369"/>
      <c r="C42" s="369"/>
      <c r="D42" s="369"/>
      <c r="E42" s="369"/>
      <c r="F42" s="555" t="s">
        <v>551</v>
      </c>
      <c r="G42" s="362"/>
      <c r="H42" s="549"/>
      <c r="I42" s="364"/>
      <c r="J42" s="627"/>
      <c r="K42" s="362"/>
      <c r="L42" s="362"/>
    </row>
    <row r="43" spans="1:12" ht="15">
      <c r="A43" s="361"/>
      <c r="B43" s="369"/>
      <c r="C43" s="369"/>
      <c r="D43" s="369"/>
      <c r="E43" s="369"/>
      <c r="F43" s="386" t="s">
        <v>552</v>
      </c>
      <c r="G43" s="362" t="s">
        <v>25</v>
      </c>
      <c r="H43" s="549">
        <v>10</v>
      </c>
      <c r="I43" s="280">
        <v>3018</v>
      </c>
      <c r="J43" s="624">
        <f>SUM(H43*I43)</f>
        <v>30180</v>
      </c>
      <c r="K43" s="362"/>
      <c r="L43" s="362"/>
    </row>
    <row r="44" spans="1:12" ht="15">
      <c r="A44" s="361"/>
      <c r="B44" s="369"/>
      <c r="C44" s="369"/>
      <c r="D44" s="369"/>
      <c r="E44" s="369"/>
      <c r="F44" s="386" t="s">
        <v>553</v>
      </c>
      <c r="G44" s="362" t="s">
        <v>25</v>
      </c>
      <c r="H44" s="549">
        <v>10</v>
      </c>
      <c r="I44" s="280">
        <v>3426</v>
      </c>
      <c r="J44" s="624">
        <f>SUM(H44*I44)</f>
        <v>34260</v>
      </c>
      <c r="K44" s="362"/>
      <c r="L44" s="362"/>
    </row>
    <row r="45" spans="1:12" ht="15">
      <c r="A45" s="361"/>
      <c r="B45" s="369"/>
      <c r="C45" s="369"/>
      <c r="D45" s="369"/>
      <c r="E45" s="369"/>
      <c r="F45" s="386" t="s">
        <v>554</v>
      </c>
      <c r="G45" s="362" t="s">
        <v>25</v>
      </c>
      <c r="H45" s="549">
        <v>10</v>
      </c>
      <c r="I45" s="280">
        <v>3990</v>
      </c>
      <c r="J45" s="624">
        <f>SUM(H45*I45)</f>
        <v>39900</v>
      </c>
      <c r="K45" s="362"/>
      <c r="L45" s="362"/>
    </row>
    <row r="46" spans="1:12" ht="15">
      <c r="A46" s="361"/>
      <c r="B46" s="369"/>
      <c r="C46" s="369"/>
      <c r="D46" s="369"/>
      <c r="E46" s="369"/>
      <c r="F46" s="386" t="s">
        <v>555</v>
      </c>
      <c r="G46" s="362" t="s">
        <v>25</v>
      </c>
      <c r="H46" s="549">
        <v>10</v>
      </c>
      <c r="I46" s="280">
        <v>2040</v>
      </c>
      <c r="J46" s="624">
        <f>SUM(H46*I46)</f>
        <v>20400</v>
      </c>
      <c r="K46" s="362"/>
      <c r="L46" s="362"/>
    </row>
    <row r="47" spans="1:12" ht="15">
      <c r="A47" s="361"/>
      <c r="B47" s="369"/>
      <c r="C47" s="369"/>
      <c r="D47" s="369"/>
      <c r="E47" s="369"/>
      <c r="F47" s="556"/>
      <c r="G47" s="362"/>
      <c r="H47" s="549"/>
      <c r="I47" s="364"/>
      <c r="J47" s="627"/>
      <c r="K47" s="362"/>
      <c r="L47" s="362"/>
    </row>
    <row r="48" spans="1:12" ht="15">
      <c r="A48" s="361">
        <v>3.2</v>
      </c>
      <c r="B48" s="369"/>
      <c r="C48" s="369"/>
      <c r="D48" s="369" t="s">
        <v>30</v>
      </c>
      <c r="E48" s="369" t="s">
        <v>32</v>
      </c>
      <c r="F48" s="363" t="s">
        <v>33</v>
      </c>
      <c r="G48" s="362" t="s">
        <v>25</v>
      </c>
      <c r="H48" s="549">
        <v>10</v>
      </c>
      <c r="I48" s="280">
        <v>6042</v>
      </c>
      <c r="J48" s="624">
        <f>SUM(H48*I48)</f>
        <v>60420</v>
      </c>
      <c r="K48" s="362"/>
      <c r="L48" s="362"/>
    </row>
    <row r="49" spans="1:12" ht="120">
      <c r="A49" s="361"/>
      <c r="B49" s="369"/>
      <c r="C49" s="369"/>
      <c r="D49" s="369"/>
      <c r="E49" s="369"/>
      <c r="F49" s="555" t="s">
        <v>595</v>
      </c>
      <c r="G49" s="362"/>
      <c r="H49" s="549"/>
      <c r="I49" s="364"/>
      <c r="J49" s="627"/>
      <c r="K49" s="362"/>
      <c r="L49" s="362"/>
    </row>
    <row r="50" spans="1:12" ht="15">
      <c r="A50" s="361"/>
      <c r="B50" s="369"/>
      <c r="C50" s="369"/>
      <c r="D50" s="369"/>
      <c r="E50" s="369"/>
      <c r="F50" s="555" t="s">
        <v>52</v>
      </c>
      <c r="G50" s="362"/>
      <c r="H50" s="549"/>
      <c r="I50" s="364"/>
      <c r="J50" s="627"/>
      <c r="K50" s="362"/>
      <c r="L50" s="362"/>
    </row>
    <row r="51" spans="1:12" ht="15">
      <c r="A51" s="361"/>
      <c r="B51" s="369"/>
      <c r="C51" s="369"/>
      <c r="D51" s="369"/>
      <c r="E51" s="369"/>
      <c r="F51" s="556" t="s">
        <v>61</v>
      </c>
      <c r="G51" s="362"/>
      <c r="H51" s="549"/>
      <c r="I51" s="364"/>
      <c r="J51" s="627"/>
      <c r="K51" s="362"/>
      <c r="L51" s="362"/>
    </row>
    <row r="52" spans="1:12" ht="15">
      <c r="A52" s="387"/>
      <c r="B52" s="369"/>
      <c r="C52" s="369"/>
      <c r="D52" s="282"/>
      <c r="E52" s="78"/>
      <c r="F52" s="365"/>
      <c r="G52" s="362"/>
      <c r="H52" s="549"/>
      <c r="I52" s="364"/>
      <c r="J52" s="627"/>
      <c r="K52" s="362"/>
      <c r="L52" s="362"/>
    </row>
    <row r="53" spans="1:12" ht="30">
      <c r="A53" s="361">
        <v>3.3</v>
      </c>
      <c r="B53" s="369"/>
      <c r="C53" s="369"/>
      <c r="D53" s="369" t="s">
        <v>34</v>
      </c>
      <c r="E53" s="369" t="s">
        <v>35</v>
      </c>
      <c r="F53" s="363" t="s">
        <v>67</v>
      </c>
      <c r="G53" s="362" t="s">
        <v>28</v>
      </c>
      <c r="H53" s="549">
        <v>150</v>
      </c>
      <c r="I53" s="280">
        <v>3330</v>
      </c>
      <c r="J53" s="624">
        <f>SUM(H53*I53)</f>
        <v>499500</v>
      </c>
      <c r="K53" s="362"/>
      <c r="L53" s="362"/>
    </row>
    <row r="54" spans="1:12" ht="45">
      <c r="A54" s="361"/>
      <c r="B54" s="369"/>
      <c r="C54" s="369"/>
      <c r="D54" s="369"/>
      <c r="E54" s="369"/>
      <c r="F54" s="365" t="s">
        <v>896</v>
      </c>
      <c r="G54" s="362"/>
      <c r="H54" s="549"/>
      <c r="I54" s="364"/>
      <c r="J54" s="627"/>
      <c r="K54" s="362"/>
      <c r="L54" s="362"/>
    </row>
    <row r="55" spans="1:12" ht="30">
      <c r="A55" s="361"/>
      <c r="B55" s="369"/>
      <c r="C55" s="369"/>
      <c r="D55" s="369"/>
      <c r="E55" s="369"/>
      <c r="F55" s="365" t="s">
        <v>58</v>
      </c>
      <c r="G55" s="362"/>
      <c r="H55" s="549"/>
      <c r="I55" s="364"/>
      <c r="J55" s="627"/>
      <c r="K55" s="362"/>
      <c r="L55" s="362"/>
    </row>
    <row r="56" spans="1:12" ht="15">
      <c r="A56" s="361"/>
      <c r="B56" s="369"/>
      <c r="C56" s="369"/>
      <c r="D56" s="369"/>
      <c r="E56" s="362"/>
      <c r="F56" s="365"/>
      <c r="G56" s="362"/>
      <c r="H56" s="549"/>
      <c r="I56" s="364"/>
      <c r="J56" s="627"/>
      <c r="K56" s="362"/>
      <c r="L56" s="362"/>
    </row>
    <row r="57" spans="1:12" ht="15">
      <c r="A57" s="361">
        <v>3.4</v>
      </c>
      <c r="B57" s="369"/>
      <c r="C57" s="369"/>
      <c r="D57" s="369" t="s">
        <v>34</v>
      </c>
      <c r="E57" s="369" t="s">
        <v>36</v>
      </c>
      <c r="F57" s="370" t="s">
        <v>37</v>
      </c>
      <c r="G57" s="362" t="s">
        <v>28</v>
      </c>
      <c r="H57" s="549">
        <v>10</v>
      </c>
      <c r="I57" s="280">
        <v>1806</v>
      </c>
      <c r="J57" s="624">
        <f>SUM(H57*I57)</f>
        <v>18060</v>
      </c>
      <c r="K57" s="362"/>
      <c r="L57" s="362"/>
    </row>
    <row r="58" spans="1:12" ht="30">
      <c r="A58" s="361"/>
      <c r="B58" s="369"/>
      <c r="C58" s="369"/>
      <c r="D58" s="369"/>
      <c r="E58" s="362"/>
      <c r="F58" s="371" t="s">
        <v>49</v>
      </c>
      <c r="G58" s="362"/>
      <c r="H58" s="549"/>
      <c r="I58" s="364"/>
      <c r="J58" s="627"/>
      <c r="K58" s="362"/>
      <c r="L58" s="362"/>
    </row>
    <row r="59" spans="1:12" ht="15">
      <c r="A59" s="361"/>
      <c r="B59" s="369"/>
      <c r="C59" s="369"/>
      <c r="D59" s="369"/>
      <c r="E59" s="362"/>
      <c r="F59" s="556" t="s">
        <v>61</v>
      </c>
      <c r="G59" s="362"/>
      <c r="H59" s="549"/>
      <c r="I59" s="364"/>
      <c r="J59" s="627"/>
      <c r="K59" s="362"/>
      <c r="L59" s="362"/>
    </row>
    <row r="60" spans="1:12" ht="15">
      <c r="A60" s="372"/>
      <c r="B60" s="384"/>
      <c r="C60" s="384"/>
      <c r="D60" s="384"/>
      <c r="E60" s="373"/>
      <c r="F60" s="559"/>
      <c r="G60" s="373"/>
      <c r="H60" s="552"/>
      <c r="I60" s="375"/>
      <c r="J60" s="628"/>
      <c r="K60" s="373"/>
      <c r="L60" s="373"/>
    </row>
    <row r="61" spans="1:12" ht="30">
      <c r="A61" s="361">
        <v>3.5</v>
      </c>
      <c r="B61" s="369"/>
      <c r="C61" s="369"/>
      <c r="D61" s="369" t="s">
        <v>155</v>
      </c>
      <c r="E61" s="369" t="s">
        <v>708</v>
      </c>
      <c r="F61" s="370" t="s">
        <v>709</v>
      </c>
      <c r="G61" s="362" t="s">
        <v>475</v>
      </c>
      <c r="H61" s="549">
        <f>30*3</f>
        <v>90</v>
      </c>
      <c r="I61" s="280">
        <v>20395</v>
      </c>
      <c r="J61" s="624">
        <f>SUM(H61*I61)</f>
        <v>1835550</v>
      </c>
      <c r="K61" s="373"/>
      <c r="L61" s="373"/>
    </row>
    <row r="62" spans="1:12" ht="132" customHeight="1">
      <c r="A62" s="361"/>
      <c r="B62" s="369"/>
      <c r="C62" s="369"/>
      <c r="D62" s="369"/>
      <c r="E62" s="362"/>
      <c r="F62" s="371" t="s">
        <v>897</v>
      </c>
      <c r="G62" s="362"/>
      <c r="H62" s="549"/>
      <c r="I62" s="364"/>
      <c r="J62" s="627"/>
      <c r="K62" s="373"/>
      <c r="L62" s="373"/>
    </row>
    <row r="63" spans="1:12" ht="15.75" thickBot="1">
      <c r="A63" s="372"/>
      <c r="B63" s="384"/>
      <c r="C63" s="384"/>
      <c r="D63" s="384"/>
      <c r="E63" s="384"/>
      <c r="F63" s="374"/>
      <c r="G63" s="373"/>
      <c r="H63" s="552"/>
      <c r="I63" s="375"/>
      <c r="J63" s="628"/>
      <c r="K63" s="373"/>
      <c r="L63" s="373"/>
    </row>
    <row r="64" spans="1:12" ht="15.75" thickBot="1">
      <c r="A64" s="376" t="s">
        <v>11</v>
      </c>
      <c r="B64" s="377"/>
      <c r="C64" s="377"/>
      <c r="D64" s="377"/>
      <c r="E64" s="377"/>
      <c r="F64" s="344" t="s">
        <v>38</v>
      </c>
      <c r="G64" s="378"/>
      <c r="H64" s="553"/>
      <c r="I64" s="379"/>
      <c r="J64" s="629"/>
      <c r="K64" s="378"/>
      <c r="L64" s="380"/>
    </row>
    <row r="65" spans="1:12" ht="15">
      <c r="A65" s="356"/>
      <c r="B65" s="381"/>
      <c r="C65" s="381"/>
      <c r="D65" s="381"/>
      <c r="E65" s="381"/>
      <c r="F65" s="358"/>
      <c r="G65" s="357"/>
      <c r="H65" s="554"/>
      <c r="I65" s="359"/>
      <c r="J65" s="623"/>
      <c r="K65" s="357"/>
      <c r="L65" s="357"/>
    </row>
    <row r="66" spans="1:12" ht="15">
      <c r="A66" s="361">
        <v>4.0999999999999996</v>
      </c>
      <c r="B66" s="369"/>
      <c r="C66" s="369"/>
      <c r="D66" s="369" t="s">
        <v>39</v>
      </c>
      <c r="E66" s="369" t="s">
        <v>40</v>
      </c>
      <c r="F66" s="363" t="s">
        <v>68</v>
      </c>
      <c r="G66" s="362" t="s">
        <v>41</v>
      </c>
      <c r="H66" s="549">
        <v>1</v>
      </c>
      <c r="I66" s="280">
        <v>0</v>
      </c>
      <c r="J66" s="624">
        <f>SUM(H66*I66)</f>
        <v>0</v>
      </c>
      <c r="K66" s="362"/>
      <c r="L66" s="362" t="s">
        <v>719</v>
      </c>
    </row>
    <row r="67" spans="1:12" ht="15">
      <c r="A67" s="361"/>
      <c r="B67" s="369"/>
      <c r="C67" s="369"/>
      <c r="D67" s="369"/>
      <c r="E67" s="369"/>
      <c r="F67" s="363"/>
      <c r="G67" s="362"/>
      <c r="H67" s="549"/>
      <c r="I67" s="364"/>
      <c r="J67" s="627"/>
      <c r="K67" s="362"/>
      <c r="L67" s="362"/>
    </row>
    <row r="68" spans="1:12" ht="15">
      <c r="A68" s="361">
        <v>4.2</v>
      </c>
      <c r="B68" s="369"/>
      <c r="C68" s="369"/>
      <c r="D68" s="369" t="s">
        <v>39</v>
      </c>
      <c r="E68" s="369" t="s">
        <v>50</v>
      </c>
      <c r="F68" s="363" t="s">
        <v>53</v>
      </c>
      <c r="G68" s="362" t="s">
        <v>41</v>
      </c>
      <c r="H68" s="549">
        <v>1</v>
      </c>
      <c r="I68" s="280">
        <v>0</v>
      </c>
      <c r="J68" s="624">
        <f>SUM(H68*I68)</f>
        <v>0</v>
      </c>
      <c r="K68" s="362"/>
      <c r="L68" s="362" t="s">
        <v>719</v>
      </c>
    </row>
    <row r="69" spans="1:12" ht="15">
      <c r="A69" s="361"/>
      <c r="B69" s="369"/>
      <c r="C69" s="369"/>
      <c r="D69" s="369"/>
      <c r="E69" s="369"/>
      <c r="F69" s="365"/>
      <c r="G69" s="362"/>
      <c r="H69" s="549"/>
      <c r="I69" s="385"/>
      <c r="J69" s="627"/>
      <c r="K69" s="362"/>
      <c r="L69" s="362"/>
    </row>
    <row r="70" spans="1:12" ht="15">
      <c r="A70" s="361">
        <v>4.3</v>
      </c>
      <c r="B70" s="369"/>
      <c r="C70" s="369"/>
      <c r="D70" s="369" t="s">
        <v>39</v>
      </c>
      <c r="E70" s="369" t="s">
        <v>69</v>
      </c>
      <c r="F70" s="363" t="s">
        <v>70</v>
      </c>
      <c r="G70" s="362" t="s">
        <v>41</v>
      </c>
      <c r="H70" s="549">
        <v>1</v>
      </c>
      <c r="I70" s="280">
        <v>0</v>
      </c>
      <c r="J70" s="624">
        <f>SUM(H70*I70)</f>
        <v>0</v>
      </c>
      <c r="K70" s="362"/>
      <c r="L70" s="362" t="s">
        <v>720</v>
      </c>
    </row>
    <row r="71" spans="1:12" ht="15">
      <c r="A71" s="361"/>
      <c r="B71" s="369"/>
      <c r="C71" s="369"/>
      <c r="D71" s="369"/>
      <c r="E71" s="369"/>
      <c r="F71" s="555" t="s">
        <v>74</v>
      </c>
      <c r="G71" s="362"/>
      <c r="H71" s="549"/>
      <c r="I71" s="385"/>
      <c r="J71" s="627"/>
      <c r="K71" s="362"/>
      <c r="L71" s="362"/>
    </row>
    <row r="72" spans="1:12" ht="15">
      <c r="A72" s="361"/>
      <c r="B72" s="369"/>
      <c r="C72" s="369"/>
      <c r="D72" s="369"/>
      <c r="E72" s="369"/>
      <c r="F72" s="555" t="s">
        <v>75</v>
      </c>
      <c r="G72" s="362"/>
      <c r="H72" s="549"/>
      <c r="I72" s="385"/>
      <c r="J72" s="627"/>
      <c r="K72" s="362"/>
      <c r="L72" s="362"/>
    </row>
    <row r="73" spans="1:12" ht="15">
      <c r="A73" s="361"/>
      <c r="B73" s="369"/>
      <c r="C73" s="369"/>
      <c r="D73" s="369"/>
      <c r="E73" s="369"/>
      <c r="F73" s="555" t="s">
        <v>76</v>
      </c>
      <c r="G73" s="362"/>
      <c r="H73" s="549"/>
      <c r="I73" s="385"/>
      <c r="J73" s="627"/>
      <c r="K73" s="362"/>
      <c r="L73" s="362"/>
    </row>
    <row r="74" spans="1:12" ht="15">
      <c r="A74" s="361"/>
      <c r="B74" s="369"/>
      <c r="C74" s="369"/>
      <c r="D74" s="369"/>
      <c r="E74" s="369"/>
      <c r="F74" s="555" t="s">
        <v>77</v>
      </c>
      <c r="G74" s="362"/>
      <c r="H74" s="549"/>
      <c r="I74" s="385"/>
      <c r="J74" s="627"/>
      <c r="K74" s="362"/>
      <c r="L74" s="362"/>
    </row>
    <row r="75" spans="1:12" ht="15">
      <c r="A75" s="361"/>
      <c r="B75" s="369"/>
      <c r="C75" s="369"/>
      <c r="D75" s="369"/>
      <c r="E75" s="369"/>
      <c r="F75" s="555" t="s">
        <v>78</v>
      </c>
      <c r="G75" s="362"/>
      <c r="H75" s="549"/>
      <c r="I75" s="385"/>
      <c r="J75" s="627"/>
      <c r="K75" s="362"/>
      <c r="L75" s="362"/>
    </row>
    <row r="76" spans="1:12" ht="15">
      <c r="A76" s="361"/>
      <c r="B76" s="369"/>
      <c r="C76" s="369"/>
      <c r="D76" s="369"/>
      <c r="E76" s="369"/>
      <c r="F76" s="555" t="s">
        <v>79</v>
      </c>
      <c r="G76" s="362"/>
      <c r="H76" s="549"/>
      <c r="I76" s="385"/>
      <c r="J76" s="627"/>
      <c r="K76" s="362"/>
      <c r="L76" s="362"/>
    </row>
    <row r="77" spans="1:12" ht="15">
      <c r="A77" s="361"/>
      <c r="B77" s="369"/>
      <c r="C77" s="369"/>
      <c r="D77" s="369"/>
      <c r="E77" s="369"/>
      <c r="F77" s="555" t="s">
        <v>71</v>
      </c>
      <c r="G77" s="362"/>
      <c r="H77" s="549"/>
      <c r="I77" s="385"/>
      <c r="J77" s="627"/>
      <c r="K77" s="362"/>
      <c r="L77" s="362"/>
    </row>
    <row r="78" spans="1:12" ht="15.75" thickBot="1">
      <c r="A78" s="388"/>
      <c r="B78" s="384"/>
      <c r="C78" s="384"/>
      <c r="D78" s="384"/>
      <c r="E78" s="384"/>
      <c r="F78" s="374"/>
      <c r="G78" s="373"/>
      <c r="H78" s="552"/>
      <c r="I78" s="389"/>
      <c r="J78" s="628"/>
      <c r="K78" s="373"/>
      <c r="L78" s="373"/>
    </row>
    <row r="79" spans="1:12" ht="15.75" thickBot="1">
      <c r="A79" s="390" t="s">
        <v>12</v>
      </c>
      <c r="B79" s="377"/>
      <c r="C79" s="377"/>
      <c r="D79" s="377"/>
      <c r="E79" s="377"/>
      <c r="F79" s="344" t="s">
        <v>42</v>
      </c>
      <c r="G79" s="378"/>
      <c r="H79" s="553"/>
      <c r="I79" s="391"/>
      <c r="J79" s="629"/>
      <c r="K79" s="378"/>
      <c r="L79" s="380"/>
    </row>
    <row r="80" spans="1:12" ht="15">
      <c r="A80" s="392"/>
      <c r="B80" s="381"/>
      <c r="C80" s="381"/>
      <c r="D80" s="381"/>
      <c r="E80" s="381"/>
      <c r="F80" s="358"/>
      <c r="G80" s="357"/>
      <c r="H80" s="554"/>
      <c r="I80" s="360"/>
      <c r="J80" s="623"/>
      <c r="K80" s="357"/>
      <c r="L80" s="357"/>
    </row>
    <row r="81" spans="1:12" ht="15">
      <c r="A81" s="361">
        <v>5.0999999999999996</v>
      </c>
      <c r="B81" s="369"/>
      <c r="C81" s="369"/>
      <c r="D81" s="369" t="s">
        <v>13</v>
      </c>
      <c r="E81" s="369" t="s">
        <v>43</v>
      </c>
      <c r="F81" s="560" t="s">
        <v>44</v>
      </c>
      <c r="G81" s="362" t="s">
        <v>7</v>
      </c>
      <c r="H81" s="549">
        <v>50</v>
      </c>
      <c r="I81" s="280">
        <v>492</v>
      </c>
      <c r="J81" s="624">
        <f>SUM(H81*I81)</f>
        <v>24600</v>
      </c>
      <c r="K81" s="362"/>
      <c r="L81" s="362"/>
    </row>
    <row r="82" spans="1:12" ht="90">
      <c r="A82" s="361"/>
      <c r="B82" s="369"/>
      <c r="C82" s="369"/>
      <c r="D82" s="369"/>
      <c r="E82" s="369"/>
      <c r="F82" s="555" t="s">
        <v>45</v>
      </c>
      <c r="G82" s="362"/>
      <c r="H82" s="549"/>
      <c r="I82" s="385"/>
      <c r="J82" s="627"/>
      <c r="K82" s="362"/>
      <c r="L82" s="362"/>
    </row>
    <row r="83" spans="1:12" ht="15">
      <c r="A83" s="361"/>
      <c r="B83" s="369"/>
      <c r="C83" s="369"/>
      <c r="D83" s="369"/>
      <c r="E83" s="369"/>
      <c r="F83" s="555"/>
      <c r="G83" s="362"/>
      <c r="H83" s="549"/>
      <c r="I83" s="385"/>
      <c r="J83" s="627"/>
      <c r="K83" s="362"/>
      <c r="L83" s="362"/>
    </row>
    <row r="84" spans="1:12" ht="15">
      <c r="A84" s="361">
        <v>5.2</v>
      </c>
      <c r="B84" s="369"/>
      <c r="C84" s="369"/>
      <c r="D84" s="369" t="s">
        <v>13</v>
      </c>
      <c r="E84" s="369" t="s">
        <v>43</v>
      </c>
      <c r="F84" s="560" t="s">
        <v>55</v>
      </c>
      <c r="G84" s="362" t="s">
        <v>7</v>
      </c>
      <c r="H84" s="549">
        <v>50</v>
      </c>
      <c r="I84" s="280">
        <v>3912</v>
      </c>
      <c r="J84" s="624">
        <f>SUM(H84*I84)</f>
        <v>195600</v>
      </c>
      <c r="K84" s="362"/>
      <c r="L84" s="362"/>
    </row>
    <row r="85" spans="1:12" ht="45">
      <c r="A85" s="361"/>
      <c r="B85" s="369"/>
      <c r="C85" s="369"/>
      <c r="D85" s="369"/>
      <c r="E85" s="369"/>
      <c r="F85" s="555" t="s">
        <v>72</v>
      </c>
      <c r="G85" s="362"/>
      <c r="H85" s="549"/>
      <c r="I85" s="385"/>
      <c r="J85" s="627"/>
      <c r="K85" s="362"/>
      <c r="L85" s="362"/>
    </row>
    <row r="86" spans="1:12" ht="15">
      <c r="A86" s="361"/>
      <c r="B86" s="369"/>
      <c r="C86" s="369"/>
      <c r="D86" s="369"/>
      <c r="E86" s="369"/>
      <c r="F86" s="555"/>
      <c r="G86" s="362"/>
      <c r="H86" s="549"/>
      <c r="I86" s="385"/>
      <c r="J86" s="627"/>
      <c r="K86" s="362"/>
      <c r="L86" s="362"/>
    </row>
    <row r="87" spans="1:12" ht="15">
      <c r="A87" s="361">
        <v>5.3</v>
      </c>
      <c r="B87" s="369"/>
      <c r="C87" s="369"/>
      <c r="D87" s="369" t="s">
        <v>13</v>
      </c>
      <c r="E87" s="369" t="s">
        <v>46</v>
      </c>
      <c r="F87" s="560" t="s">
        <v>14</v>
      </c>
      <c r="G87" s="362" t="s">
        <v>7</v>
      </c>
      <c r="H87" s="549">
        <v>50</v>
      </c>
      <c r="I87" s="280">
        <v>552</v>
      </c>
      <c r="J87" s="624">
        <f>SUM(H87*I87)</f>
        <v>27600</v>
      </c>
      <c r="K87" s="362"/>
      <c r="L87" s="362"/>
    </row>
    <row r="88" spans="1:12" ht="75">
      <c r="A88" s="361"/>
      <c r="B88" s="369"/>
      <c r="C88" s="369"/>
      <c r="D88" s="369"/>
      <c r="E88" s="369"/>
      <c r="F88" s="555" t="s">
        <v>47</v>
      </c>
      <c r="G88" s="362"/>
      <c r="H88" s="549"/>
      <c r="I88" s="385"/>
      <c r="J88" s="627"/>
      <c r="K88" s="362"/>
      <c r="L88" s="362"/>
    </row>
    <row r="89" spans="1:12" ht="15">
      <c r="A89" s="361"/>
      <c r="B89" s="369"/>
      <c r="C89" s="369"/>
      <c r="D89" s="369"/>
      <c r="E89" s="369"/>
      <c r="F89" s="555"/>
      <c r="G89" s="362"/>
      <c r="H89" s="549"/>
      <c r="I89" s="385"/>
      <c r="J89" s="627"/>
      <c r="K89" s="362"/>
      <c r="L89" s="362"/>
    </row>
    <row r="90" spans="1:12" ht="15">
      <c r="A90" s="361">
        <v>5.4</v>
      </c>
      <c r="B90" s="369"/>
      <c r="C90" s="369"/>
      <c r="D90" s="369" t="s">
        <v>13</v>
      </c>
      <c r="E90" s="369" t="s">
        <v>56</v>
      </c>
      <c r="F90" s="560" t="s">
        <v>73</v>
      </c>
      <c r="G90" s="362" t="s">
        <v>7</v>
      </c>
      <c r="H90" s="549">
        <v>50</v>
      </c>
      <c r="I90" s="280">
        <v>4986</v>
      </c>
      <c r="J90" s="624">
        <f>SUM(H90*I90)</f>
        <v>249300</v>
      </c>
      <c r="K90" s="362"/>
      <c r="L90" s="362"/>
    </row>
    <row r="91" spans="1:12" ht="30">
      <c r="A91" s="361"/>
      <c r="B91" s="369"/>
      <c r="C91" s="369"/>
      <c r="D91" s="369"/>
      <c r="E91" s="369"/>
      <c r="F91" s="555" t="s">
        <v>80</v>
      </c>
      <c r="G91" s="362"/>
      <c r="H91" s="364"/>
      <c r="I91" s="385"/>
      <c r="J91" s="627"/>
      <c r="K91" s="362"/>
      <c r="L91" s="362"/>
    </row>
    <row r="92" spans="1:12" ht="27.75" customHeight="1">
      <c r="A92" s="361"/>
      <c r="B92" s="369"/>
      <c r="C92" s="369"/>
      <c r="D92" s="369"/>
      <c r="E92" s="369"/>
      <c r="F92" s="284"/>
      <c r="G92" s="362"/>
      <c r="H92" s="364"/>
      <c r="I92" s="385"/>
      <c r="J92" s="22">
        <f>SUM(J8:J91)</f>
        <v>8365061.5199999996</v>
      </c>
      <c r="K92" s="362"/>
      <c r="L92" s="362"/>
    </row>
    <row r="94" spans="1:12" ht="25.5" customHeight="1">
      <c r="B94" s="393" t="s">
        <v>329</v>
      </c>
    </row>
    <row r="95" spans="1:12">
      <c r="B95" s="393" t="s">
        <v>330</v>
      </c>
    </row>
    <row r="96" spans="1:12">
      <c r="B96" s="393" t="s">
        <v>331</v>
      </c>
    </row>
    <row r="97" spans="2:2">
      <c r="B97" s="393" t="s">
        <v>332</v>
      </c>
    </row>
    <row r="98" spans="2:2">
      <c r="B98" s="393" t="s">
        <v>339</v>
      </c>
    </row>
    <row r="99" spans="2:2">
      <c r="B99" s="393" t="s">
        <v>333</v>
      </c>
    </row>
  </sheetData>
  <mergeCells count="2">
    <mergeCell ref="A2:H2"/>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9"/>
  <sheetViews>
    <sheetView zoomScale="90" zoomScaleNormal="90" workbookViewId="0">
      <pane ySplit="4" topLeftCell="A157" activePane="bottomLeft" state="frozen"/>
      <selection pane="bottomLeft" activeCell="A161" sqref="A161:XFD178"/>
    </sheetView>
  </sheetViews>
  <sheetFormatPr defaultColWidth="6.125" defaultRowHeight="12.75"/>
  <cols>
    <col min="1" max="1" width="7.75" style="37" customWidth="1"/>
    <col min="2" max="4" width="7.75" style="37" hidden="1" customWidth="1"/>
    <col min="5" max="5" width="10.875" style="37" customWidth="1"/>
    <col min="6" max="6" width="44.75" style="37" customWidth="1"/>
    <col min="7" max="7" width="6.75" style="37" customWidth="1"/>
    <col min="8" max="8" width="9.5" style="416" customWidth="1"/>
    <col min="9" max="9" width="10.75" style="147" customWidth="1"/>
    <col min="10" max="10" width="7.75" style="147" customWidth="1"/>
    <col min="11" max="11" width="10.125" style="37" customWidth="1"/>
    <col min="12" max="14" width="9.75" style="37" customWidth="1"/>
    <col min="15" max="15" width="10.875" style="37" customWidth="1"/>
    <col min="16" max="16" width="22.5" style="37" customWidth="1"/>
    <col min="17" max="207" width="6.125" style="37"/>
    <col min="208" max="208" width="5" style="37" customWidth="1"/>
    <col min="209" max="209" width="8.875" style="37" customWidth="1"/>
    <col min="210" max="210" width="5" style="37" customWidth="1"/>
    <col min="211" max="211" width="8.25" style="37" bestFit="1" customWidth="1"/>
    <col min="212" max="212" width="16.125" style="37" customWidth="1"/>
    <col min="213" max="213" width="86" style="37" customWidth="1"/>
    <col min="214" max="214" width="5" style="37" customWidth="1"/>
    <col min="215" max="215" width="11.125" style="37" customWidth="1"/>
    <col min="216" max="216" width="10.375" style="37" customWidth="1"/>
    <col min="217" max="217" width="10.875" style="37" customWidth="1"/>
    <col min="218" max="218" width="7.75" style="37" customWidth="1"/>
    <col min="219" max="219" width="9.875" style="37" customWidth="1"/>
    <col min="220" max="220" width="10.625" style="37" customWidth="1"/>
    <col min="221" max="463" width="6.125" style="37"/>
    <col min="464" max="464" width="5" style="37" customWidth="1"/>
    <col min="465" max="465" width="8.875" style="37" customWidth="1"/>
    <col min="466" max="466" width="5" style="37" customWidth="1"/>
    <col min="467" max="467" width="8.25" style="37" bestFit="1" customWidth="1"/>
    <col min="468" max="468" width="16.125" style="37" customWidth="1"/>
    <col min="469" max="469" width="86" style="37" customWidth="1"/>
    <col min="470" max="470" width="5" style="37" customWidth="1"/>
    <col min="471" max="471" width="11.125" style="37" customWidth="1"/>
    <col min="472" max="472" width="10.375" style="37" customWidth="1"/>
    <col min="473" max="473" width="10.875" style="37" customWidth="1"/>
    <col min="474" max="474" width="7.75" style="37" customWidth="1"/>
    <col min="475" max="475" width="9.875" style="37" customWidth="1"/>
    <col min="476" max="476" width="10.625" style="37" customWidth="1"/>
    <col min="477" max="719" width="6.125" style="37"/>
    <col min="720" max="720" width="5" style="37" customWidth="1"/>
    <col min="721" max="721" width="8.875" style="37" customWidth="1"/>
    <col min="722" max="722" width="5" style="37" customWidth="1"/>
    <col min="723" max="723" width="8.25" style="37" bestFit="1" customWidth="1"/>
    <col min="724" max="724" width="16.125" style="37" customWidth="1"/>
    <col min="725" max="725" width="86" style="37" customWidth="1"/>
    <col min="726" max="726" width="5" style="37" customWidth="1"/>
    <col min="727" max="727" width="11.125" style="37" customWidth="1"/>
    <col min="728" max="728" width="10.375" style="37" customWidth="1"/>
    <col min="729" max="729" width="10.875" style="37" customWidth="1"/>
    <col min="730" max="730" width="7.75" style="37" customWidth="1"/>
    <col min="731" max="731" width="9.875" style="37" customWidth="1"/>
    <col min="732" max="732" width="10.625" style="37" customWidth="1"/>
    <col min="733" max="975" width="6.125" style="37"/>
    <col min="976" max="976" width="5" style="37" customWidth="1"/>
    <col min="977" max="977" width="8.875" style="37" customWidth="1"/>
    <col min="978" max="978" width="5" style="37" customWidth="1"/>
    <col min="979" max="979" width="8.25" style="37" bestFit="1" customWidth="1"/>
    <col min="980" max="980" width="16.125" style="37" customWidth="1"/>
    <col min="981" max="981" width="86" style="37" customWidth="1"/>
    <col min="982" max="982" width="5" style="37" customWidth="1"/>
    <col min="983" max="983" width="11.125" style="37" customWidth="1"/>
    <col min="984" max="984" width="10.375" style="37" customWidth="1"/>
    <col min="985" max="985" width="10.875" style="37" customWidth="1"/>
    <col min="986" max="986" width="7.75" style="37" customWidth="1"/>
    <col min="987" max="987" width="9.875" style="37" customWidth="1"/>
    <col min="988" max="988" width="10.625" style="37" customWidth="1"/>
    <col min="989" max="1231" width="6.125" style="37"/>
    <col min="1232" max="1232" width="5" style="37" customWidth="1"/>
    <col min="1233" max="1233" width="8.875" style="37" customWidth="1"/>
    <col min="1234" max="1234" width="5" style="37" customWidth="1"/>
    <col min="1235" max="1235" width="8.25" style="37" bestFit="1" customWidth="1"/>
    <col min="1236" max="1236" width="16.125" style="37" customWidth="1"/>
    <col min="1237" max="1237" width="86" style="37" customWidth="1"/>
    <col min="1238" max="1238" width="5" style="37" customWidth="1"/>
    <col min="1239" max="1239" width="11.125" style="37" customWidth="1"/>
    <col min="1240" max="1240" width="10.375" style="37" customWidth="1"/>
    <col min="1241" max="1241" width="10.875" style="37" customWidth="1"/>
    <col min="1242" max="1242" width="7.75" style="37" customWidth="1"/>
    <col min="1243" max="1243" width="9.875" style="37" customWidth="1"/>
    <col min="1244" max="1244" width="10.625" style="37" customWidth="1"/>
    <col min="1245" max="1487" width="6.125" style="37"/>
    <col min="1488" max="1488" width="5" style="37" customWidth="1"/>
    <col min="1489" max="1489" width="8.875" style="37" customWidth="1"/>
    <col min="1490" max="1490" width="5" style="37" customWidth="1"/>
    <col min="1491" max="1491" width="8.25" style="37" bestFit="1" customWidth="1"/>
    <col min="1492" max="1492" width="16.125" style="37" customWidth="1"/>
    <col min="1493" max="1493" width="86" style="37" customWidth="1"/>
    <col min="1494" max="1494" width="5" style="37" customWidth="1"/>
    <col min="1495" max="1495" width="11.125" style="37" customWidth="1"/>
    <col min="1496" max="1496" width="10.375" style="37" customWidth="1"/>
    <col min="1497" max="1497" width="10.875" style="37" customWidth="1"/>
    <col min="1498" max="1498" width="7.75" style="37" customWidth="1"/>
    <col min="1499" max="1499" width="9.875" style="37" customWidth="1"/>
    <col min="1500" max="1500" width="10.625" style="37" customWidth="1"/>
    <col min="1501" max="1743" width="6.125" style="37"/>
    <col min="1744" max="1744" width="5" style="37" customWidth="1"/>
    <col min="1745" max="1745" width="8.875" style="37" customWidth="1"/>
    <col min="1746" max="1746" width="5" style="37" customWidth="1"/>
    <col min="1747" max="1747" width="8.25" style="37" bestFit="1" customWidth="1"/>
    <col min="1748" max="1748" width="16.125" style="37" customWidth="1"/>
    <col min="1749" max="1749" width="86" style="37" customWidth="1"/>
    <col min="1750" max="1750" width="5" style="37" customWidth="1"/>
    <col min="1751" max="1751" width="11.125" style="37" customWidth="1"/>
    <col min="1752" max="1752" width="10.375" style="37" customWidth="1"/>
    <col min="1753" max="1753" width="10.875" style="37" customWidth="1"/>
    <col min="1754" max="1754" width="7.75" style="37" customWidth="1"/>
    <col min="1755" max="1755" width="9.875" style="37" customWidth="1"/>
    <col min="1756" max="1756" width="10.625" style="37" customWidth="1"/>
    <col min="1757" max="1999" width="6.125" style="37"/>
    <col min="2000" max="2000" width="5" style="37" customWidth="1"/>
    <col min="2001" max="2001" width="8.875" style="37" customWidth="1"/>
    <col min="2002" max="2002" width="5" style="37" customWidth="1"/>
    <col min="2003" max="2003" width="8.25" style="37" bestFit="1" customWidth="1"/>
    <col min="2004" max="2004" width="16.125" style="37" customWidth="1"/>
    <col min="2005" max="2005" width="86" style="37" customWidth="1"/>
    <col min="2006" max="2006" width="5" style="37" customWidth="1"/>
    <col min="2007" max="2007" width="11.125" style="37" customWidth="1"/>
    <col min="2008" max="2008" width="10.375" style="37" customWidth="1"/>
    <col min="2009" max="2009" width="10.875" style="37" customWidth="1"/>
    <col min="2010" max="2010" width="7.75" style="37" customWidth="1"/>
    <col min="2011" max="2011" width="9.875" style="37" customWidth="1"/>
    <col min="2012" max="2012" width="10.625" style="37" customWidth="1"/>
    <col min="2013" max="2255" width="6.125" style="37"/>
    <col min="2256" max="2256" width="5" style="37" customWidth="1"/>
    <col min="2257" max="2257" width="8.875" style="37" customWidth="1"/>
    <col min="2258" max="2258" width="5" style="37" customWidth="1"/>
    <col min="2259" max="2259" width="8.25" style="37" bestFit="1" customWidth="1"/>
    <col min="2260" max="2260" width="16.125" style="37" customWidth="1"/>
    <col min="2261" max="2261" width="86" style="37" customWidth="1"/>
    <col min="2262" max="2262" width="5" style="37" customWidth="1"/>
    <col min="2263" max="2263" width="11.125" style="37" customWidth="1"/>
    <col min="2264" max="2264" width="10.375" style="37" customWidth="1"/>
    <col min="2265" max="2265" width="10.875" style="37" customWidth="1"/>
    <col min="2266" max="2266" width="7.75" style="37" customWidth="1"/>
    <col min="2267" max="2267" width="9.875" style="37" customWidth="1"/>
    <col min="2268" max="2268" width="10.625" style="37" customWidth="1"/>
    <col min="2269" max="2511" width="6.125" style="37"/>
    <col min="2512" max="2512" width="5" style="37" customWidth="1"/>
    <col min="2513" max="2513" width="8.875" style="37" customWidth="1"/>
    <col min="2514" max="2514" width="5" style="37" customWidth="1"/>
    <col min="2515" max="2515" width="8.25" style="37" bestFit="1" customWidth="1"/>
    <col min="2516" max="2516" width="16.125" style="37" customWidth="1"/>
    <col min="2517" max="2517" width="86" style="37" customWidth="1"/>
    <col min="2518" max="2518" width="5" style="37" customWidth="1"/>
    <col min="2519" max="2519" width="11.125" style="37" customWidth="1"/>
    <col min="2520" max="2520" width="10.375" style="37" customWidth="1"/>
    <col min="2521" max="2521" width="10.875" style="37" customWidth="1"/>
    <col min="2522" max="2522" width="7.75" style="37" customWidth="1"/>
    <col min="2523" max="2523" width="9.875" style="37" customWidth="1"/>
    <col min="2524" max="2524" width="10.625" style="37" customWidth="1"/>
    <col min="2525" max="2767" width="6.125" style="37"/>
    <col min="2768" max="2768" width="5" style="37" customWidth="1"/>
    <col min="2769" max="2769" width="8.875" style="37" customWidth="1"/>
    <col min="2770" max="2770" width="5" style="37" customWidth="1"/>
    <col min="2771" max="2771" width="8.25" style="37" bestFit="1" customWidth="1"/>
    <col min="2772" max="2772" width="16.125" style="37" customWidth="1"/>
    <col min="2773" max="2773" width="86" style="37" customWidth="1"/>
    <col min="2774" max="2774" width="5" style="37" customWidth="1"/>
    <col min="2775" max="2775" width="11.125" style="37" customWidth="1"/>
    <col min="2776" max="2776" width="10.375" style="37" customWidth="1"/>
    <col min="2777" max="2777" width="10.875" style="37" customWidth="1"/>
    <col min="2778" max="2778" width="7.75" style="37" customWidth="1"/>
    <col min="2779" max="2779" width="9.875" style="37" customWidth="1"/>
    <col min="2780" max="2780" width="10.625" style="37" customWidth="1"/>
    <col min="2781" max="3023" width="6.125" style="37"/>
    <col min="3024" max="3024" width="5" style="37" customWidth="1"/>
    <col min="3025" max="3025" width="8.875" style="37" customWidth="1"/>
    <col min="3026" max="3026" width="5" style="37" customWidth="1"/>
    <col min="3027" max="3027" width="8.25" style="37" bestFit="1" customWidth="1"/>
    <col min="3028" max="3028" width="16.125" style="37" customWidth="1"/>
    <col min="3029" max="3029" width="86" style="37" customWidth="1"/>
    <col min="3030" max="3030" width="5" style="37" customWidth="1"/>
    <col min="3031" max="3031" width="11.125" style="37" customWidth="1"/>
    <col min="3032" max="3032" width="10.375" style="37" customWidth="1"/>
    <col min="3033" max="3033" width="10.875" style="37" customWidth="1"/>
    <col min="3034" max="3034" width="7.75" style="37" customWidth="1"/>
    <col min="3035" max="3035" width="9.875" style="37" customWidth="1"/>
    <col min="3036" max="3036" width="10.625" style="37" customWidth="1"/>
    <col min="3037" max="3279" width="6.125" style="37"/>
    <col min="3280" max="3280" width="5" style="37" customWidth="1"/>
    <col min="3281" max="3281" width="8.875" style="37" customWidth="1"/>
    <col min="3282" max="3282" width="5" style="37" customWidth="1"/>
    <col min="3283" max="3283" width="8.25" style="37" bestFit="1" customWidth="1"/>
    <col min="3284" max="3284" width="16.125" style="37" customWidth="1"/>
    <col min="3285" max="3285" width="86" style="37" customWidth="1"/>
    <col min="3286" max="3286" width="5" style="37" customWidth="1"/>
    <col min="3287" max="3287" width="11.125" style="37" customWidth="1"/>
    <col min="3288" max="3288" width="10.375" style="37" customWidth="1"/>
    <col min="3289" max="3289" width="10.875" style="37" customWidth="1"/>
    <col min="3290" max="3290" width="7.75" style="37" customWidth="1"/>
    <col min="3291" max="3291" width="9.875" style="37" customWidth="1"/>
    <col min="3292" max="3292" width="10.625" style="37" customWidth="1"/>
    <col min="3293" max="3535" width="6.125" style="37"/>
    <col min="3536" max="3536" width="5" style="37" customWidth="1"/>
    <col min="3537" max="3537" width="8.875" style="37" customWidth="1"/>
    <col min="3538" max="3538" width="5" style="37" customWidth="1"/>
    <col min="3539" max="3539" width="8.25" style="37" bestFit="1" customWidth="1"/>
    <col min="3540" max="3540" width="16.125" style="37" customWidth="1"/>
    <col min="3541" max="3541" width="86" style="37" customWidth="1"/>
    <col min="3542" max="3542" width="5" style="37" customWidth="1"/>
    <col min="3543" max="3543" width="11.125" style="37" customWidth="1"/>
    <col min="3544" max="3544" width="10.375" style="37" customWidth="1"/>
    <col min="3545" max="3545" width="10.875" style="37" customWidth="1"/>
    <col min="3546" max="3546" width="7.75" style="37" customWidth="1"/>
    <col min="3547" max="3547" width="9.875" style="37" customWidth="1"/>
    <col min="3548" max="3548" width="10.625" style="37" customWidth="1"/>
    <col min="3549" max="3791" width="6.125" style="37"/>
    <col min="3792" max="3792" width="5" style="37" customWidth="1"/>
    <col min="3793" max="3793" width="8.875" style="37" customWidth="1"/>
    <col min="3794" max="3794" width="5" style="37" customWidth="1"/>
    <col min="3795" max="3795" width="8.25" style="37" bestFit="1" customWidth="1"/>
    <col min="3796" max="3796" width="16.125" style="37" customWidth="1"/>
    <col min="3797" max="3797" width="86" style="37" customWidth="1"/>
    <col min="3798" max="3798" width="5" style="37" customWidth="1"/>
    <col min="3799" max="3799" width="11.125" style="37" customWidth="1"/>
    <col min="3800" max="3800" width="10.375" style="37" customWidth="1"/>
    <col min="3801" max="3801" width="10.875" style="37" customWidth="1"/>
    <col min="3802" max="3802" width="7.75" style="37" customWidth="1"/>
    <col min="3803" max="3803" width="9.875" style="37" customWidth="1"/>
    <col min="3804" max="3804" width="10.625" style="37" customWidth="1"/>
    <col min="3805" max="4047" width="6.125" style="37"/>
    <col min="4048" max="4048" width="5" style="37" customWidth="1"/>
    <col min="4049" max="4049" width="8.875" style="37" customWidth="1"/>
    <col min="4050" max="4050" width="5" style="37" customWidth="1"/>
    <col min="4051" max="4051" width="8.25" style="37" bestFit="1" customWidth="1"/>
    <col min="4052" max="4052" width="16.125" style="37" customWidth="1"/>
    <col min="4053" max="4053" width="86" style="37" customWidth="1"/>
    <col min="4054" max="4054" width="5" style="37" customWidth="1"/>
    <col min="4055" max="4055" width="11.125" style="37" customWidth="1"/>
    <col min="4056" max="4056" width="10.375" style="37" customWidth="1"/>
    <col min="4057" max="4057" width="10.875" style="37" customWidth="1"/>
    <col min="4058" max="4058" width="7.75" style="37" customWidth="1"/>
    <col min="4059" max="4059" width="9.875" style="37" customWidth="1"/>
    <col min="4060" max="4060" width="10.625" style="37" customWidth="1"/>
    <col min="4061" max="4303" width="6.125" style="37"/>
    <col min="4304" max="4304" width="5" style="37" customWidth="1"/>
    <col min="4305" max="4305" width="8.875" style="37" customWidth="1"/>
    <col min="4306" max="4306" width="5" style="37" customWidth="1"/>
    <col min="4307" max="4307" width="8.25" style="37" bestFit="1" customWidth="1"/>
    <col min="4308" max="4308" width="16.125" style="37" customWidth="1"/>
    <col min="4309" max="4309" width="86" style="37" customWidth="1"/>
    <col min="4310" max="4310" width="5" style="37" customWidth="1"/>
    <col min="4311" max="4311" width="11.125" style="37" customWidth="1"/>
    <col min="4312" max="4312" width="10.375" style="37" customWidth="1"/>
    <col min="4313" max="4313" width="10.875" style="37" customWidth="1"/>
    <col min="4314" max="4314" width="7.75" style="37" customWidth="1"/>
    <col min="4315" max="4315" width="9.875" style="37" customWidth="1"/>
    <col min="4316" max="4316" width="10.625" style="37" customWidth="1"/>
    <col min="4317" max="4559" width="6.125" style="37"/>
    <col min="4560" max="4560" width="5" style="37" customWidth="1"/>
    <col min="4561" max="4561" width="8.875" style="37" customWidth="1"/>
    <col min="4562" max="4562" width="5" style="37" customWidth="1"/>
    <col min="4563" max="4563" width="8.25" style="37" bestFit="1" customWidth="1"/>
    <col min="4564" max="4564" width="16.125" style="37" customWidth="1"/>
    <col min="4565" max="4565" width="86" style="37" customWidth="1"/>
    <col min="4566" max="4566" width="5" style="37" customWidth="1"/>
    <col min="4567" max="4567" width="11.125" style="37" customWidth="1"/>
    <col min="4568" max="4568" width="10.375" style="37" customWidth="1"/>
    <col min="4569" max="4569" width="10.875" style="37" customWidth="1"/>
    <col min="4570" max="4570" width="7.75" style="37" customWidth="1"/>
    <col min="4571" max="4571" width="9.875" style="37" customWidth="1"/>
    <col min="4572" max="4572" width="10.625" style="37" customWidth="1"/>
    <col min="4573" max="4815" width="6.125" style="37"/>
    <col min="4816" max="4816" width="5" style="37" customWidth="1"/>
    <col min="4817" max="4817" width="8.875" style="37" customWidth="1"/>
    <col min="4818" max="4818" width="5" style="37" customWidth="1"/>
    <col min="4819" max="4819" width="8.25" style="37" bestFit="1" customWidth="1"/>
    <col min="4820" max="4820" width="16.125" style="37" customWidth="1"/>
    <col min="4821" max="4821" width="86" style="37" customWidth="1"/>
    <col min="4822" max="4822" width="5" style="37" customWidth="1"/>
    <col min="4823" max="4823" width="11.125" style="37" customWidth="1"/>
    <col min="4824" max="4824" width="10.375" style="37" customWidth="1"/>
    <col min="4825" max="4825" width="10.875" style="37" customWidth="1"/>
    <col min="4826" max="4826" width="7.75" style="37" customWidth="1"/>
    <col min="4827" max="4827" width="9.875" style="37" customWidth="1"/>
    <col min="4828" max="4828" width="10.625" style="37" customWidth="1"/>
    <col min="4829" max="5071" width="6.125" style="37"/>
    <col min="5072" max="5072" width="5" style="37" customWidth="1"/>
    <col min="5073" max="5073" width="8.875" style="37" customWidth="1"/>
    <col min="5074" max="5074" width="5" style="37" customWidth="1"/>
    <col min="5075" max="5075" width="8.25" style="37" bestFit="1" customWidth="1"/>
    <col min="5076" max="5076" width="16.125" style="37" customWidth="1"/>
    <col min="5077" max="5077" width="86" style="37" customWidth="1"/>
    <col min="5078" max="5078" width="5" style="37" customWidth="1"/>
    <col min="5079" max="5079" width="11.125" style="37" customWidth="1"/>
    <col min="5080" max="5080" width="10.375" style="37" customWidth="1"/>
    <col min="5081" max="5081" width="10.875" style="37" customWidth="1"/>
    <col min="5082" max="5082" width="7.75" style="37" customWidth="1"/>
    <col min="5083" max="5083" width="9.875" style="37" customWidth="1"/>
    <col min="5084" max="5084" width="10.625" style="37" customWidth="1"/>
    <col min="5085" max="5327" width="6.125" style="37"/>
    <col min="5328" max="5328" width="5" style="37" customWidth="1"/>
    <col min="5329" max="5329" width="8.875" style="37" customWidth="1"/>
    <col min="5330" max="5330" width="5" style="37" customWidth="1"/>
    <col min="5331" max="5331" width="8.25" style="37" bestFit="1" customWidth="1"/>
    <col min="5332" max="5332" width="16.125" style="37" customWidth="1"/>
    <col min="5333" max="5333" width="86" style="37" customWidth="1"/>
    <col min="5334" max="5334" width="5" style="37" customWidth="1"/>
    <col min="5335" max="5335" width="11.125" style="37" customWidth="1"/>
    <col min="5336" max="5336" width="10.375" style="37" customWidth="1"/>
    <col min="5337" max="5337" width="10.875" style="37" customWidth="1"/>
    <col min="5338" max="5338" width="7.75" style="37" customWidth="1"/>
    <col min="5339" max="5339" width="9.875" style="37" customWidth="1"/>
    <col min="5340" max="5340" width="10.625" style="37" customWidth="1"/>
    <col min="5341" max="5583" width="6.125" style="37"/>
    <col min="5584" max="5584" width="5" style="37" customWidth="1"/>
    <col min="5585" max="5585" width="8.875" style="37" customWidth="1"/>
    <col min="5586" max="5586" width="5" style="37" customWidth="1"/>
    <col min="5587" max="5587" width="8.25" style="37" bestFit="1" customWidth="1"/>
    <col min="5588" max="5588" width="16.125" style="37" customWidth="1"/>
    <col min="5589" max="5589" width="86" style="37" customWidth="1"/>
    <col min="5590" max="5590" width="5" style="37" customWidth="1"/>
    <col min="5591" max="5591" width="11.125" style="37" customWidth="1"/>
    <col min="5592" max="5592" width="10.375" style="37" customWidth="1"/>
    <col min="5593" max="5593" width="10.875" style="37" customWidth="1"/>
    <col min="5594" max="5594" width="7.75" style="37" customWidth="1"/>
    <col min="5595" max="5595" width="9.875" style="37" customWidth="1"/>
    <col min="5596" max="5596" width="10.625" style="37" customWidth="1"/>
    <col min="5597" max="5839" width="6.125" style="37"/>
    <col min="5840" max="5840" width="5" style="37" customWidth="1"/>
    <col min="5841" max="5841" width="8.875" style="37" customWidth="1"/>
    <col min="5842" max="5842" width="5" style="37" customWidth="1"/>
    <col min="5843" max="5843" width="8.25" style="37" bestFit="1" customWidth="1"/>
    <col min="5844" max="5844" width="16.125" style="37" customWidth="1"/>
    <col min="5845" max="5845" width="86" style="37" customWidth="1"/>
    <col min="5846" max="5846" width="5" style="37" customWidth="1"/>
    <col min="5847" max="5847" width="11.125" style="37" customWidth="1"/>
    <col min="5848" max="5848" width="10.375" style="37" customWidth="1"/>
    <col min="5849" max="5849" width="10.875" style="37" customWidth="1"/>
    <col min="5850" max="5850" width="7.75" style="37" customWidth="1"/>
    <col min="5851" max="5851" width="9.875" style="37" customWidth="1"/>
    <col min="5852" max="5852" width="10.625" style="37" customWidth="1"/>
    <col min="5853" max="6095" width="6.125" style="37"/>
    <col min="6096" max="6096" width="5" style="37" customWidth="1"/>
    <col min="6097" max="6097" width="8.875" style="37" customWidth="1"/>
    <col min="6098" max="6098" width="5" style="37" customWidth="1"/>
    <col min="6099" max="6099" width="8.25" style="37" bestFit="1" customWidth="1"/>
    <col min="6100" max="6100" width="16.125" style="37" customWidth="1"/>
    <col min="6101" max="6101" width="86" style="37" customWidth="1"/>
    <col min="6102" max="6102" width="5" style="37" customWidth="1"/>
    <col min="6103" max="6103" width="11.125" style="37" customWidth="1"/>
    <col min="6104" max="6104" width="10.375" style="37" customWidth="1"/>
    <col min="6105" max="6105" width="10.875" style="37" customWidth="1"/>
    <col min="6106" max="6106" width="7.75" style="37" customWidth="1"/>
    <col min="6107" max="6107" width="9.875" style="37" customWidth="1"/>
    <col min="6108" max="6108" width="10.625" style="37" customWidth="1"/>
    <col min="6109" max="6351" width="6.125" style="37"/>
    <col min="6352" max="6352" width="5" style="37" customWidth="1"/>
    <col min="6353" max="6353" width="8.875" style="37" customWidth="1"/>
    <col min="6354" max="6354" width="5" style="37" customWidth="1"/>
    <col min="6355" max="6355" width="8.25" style="37" bestFit="1" customWidth="1"/>
    <col min="6356" max="6356" width="16.125" style="37" customWidth="1"/>
    <col min="6357" max="6357" width="86" style="37" customWidth="1"/>
    <col min="6358" max="6358" width="5" style="37" customWidth="1"/>
    <col min="6359" max="6359" width="11.125" style="37" customWidth="1"/>
    <col min="6360" max="6360" width="10.375" style="37" customWidth="1"/>
    <col min="6361" max="6361" width="10.875" style="37" customWidth="1"/>
    <col min="6362" max="6362" width="7.75" style="37" customWidth="1"/>
    <col min="6363" max="6363" width="9.875" style="37" customWidth="1"/>
    <col min="6364" max="6364" width="10.625" style="37" customWidth="1"/>
    <col min="6365" max="6607" width="6.125" style="37"/>
    <col min="6608" max="6608" width="5" style="37" customWidth="1"/>
    <col min="6609" max="6609" width="8.875" style="37" customWidth="1"/>
    <col min="6610" max="6610" width="5" style="37" customWidth="1"/>
    <col min="6611" max="6611" width="8.25" style="37" bestFit="1" customWidth="1"/>
    <col min="6612" max="6612" width="16.125" style="37" customWidth="1"/>
    <col min="6613" max="6613" width="86" style="37" customWidth="1"/>
    <col min="6614" max="6614" width="5" style="37" customWidth="1"/>
    <col min="6615" max="6615" width="11.125" style="37" customWidth="1"/>
    <col min="6616" max="6616" width="10.375" style="37" customWidth="1"/>
    <col min="6617" max="6617" width="10.875" style="37" customWidth="1"/>
    <col min="6618" max="6618" width="7.75" style="37" customWidth="1"/>
    <col min="6619" max="6619" width="9.875" style="37" customWidth="1"/>
    <col min="6620" max="6620" width="10.625" style="37" customWidth="1"/>
    <col min="6621" max="6863" width="6.125" style="37"/>
    <col min="6864" max="6864" width="5" style="37" customWidth="1"/>
    <col min="6865" max="6865" width="8.875" style="37" customWidth="1"/>
    <col min="6866" max="6866" width="5" style="37" customWidth="1"/>
    <col min="6867" max="6867" width="8.25" style="37" bestFit="1" customWidth="1"/>
    <col min="6868" max="6868" width="16.125" style="37" customWidth="1"/>
    <col min="6869" max="6869" width="86" style="37" customWidth="1"/>
    <col min="6870" max="6870" width="5" style="37" customWidth="1"/>
    <col min="6871" max="6871" width="11.125" style="37" customWidth="1"/>
    <col min="6872" max="6872" width="10.375" style="37" customWidth="1"/>
    <col min="6873" max="6873" width="10.875" style="37" customWidth="1"/>
    <col min="6874" max="6874" width="7.75" style="37" customWidth="1"/>
    <col min="6875" max="6875" width="9.875" style="37" customWidth="1"/>
    <col min="6876" max="6876" width="10.625" style="37" customWidth="1"/>
    <col min="6877" max="7119" width="6.125" style="37"/>
    <col min="7120" max="7120" width="5" style="37" customWidth="1"/>
    <col min="7121" max="7121" width="8.875" style="37" customWidth="1"/>
    <col min="7122" max="7122" width="5" style="37" customWidth="1"/>
    <col min="7123" max="7123" width="8.25" style="37" bestFit="1" customWidth="1"/>
    <col min="7124" max="7124" width="16.125" style="37" customWidth="1"/>
    <col min="7125" max="7125" width="86" style="37" customWidth="1"/>
    <col min="7126" max="7126" width="5" style="37" customWidth="1"/>
    <col min="7127" max="7127" width="11.125" style="37" customWidth="1"/>
    <col min="7128" max="7128" width="10.375" style="37" customWidth="1"/>
    <col min="7129" max="7129" width="10.875" style="37" customWidth="1"/>
    <col min="7130" max="7130" width="7.75" style="37" customWidth="1"/>
    <col min="7131" max="7131" width="9.875" style="37" customWidth="1"/>
    <col min="7132" max="7132" width="10.625" style="37" customWidth="1"/>
    <col min="7133" max="7375" width="6.125" style="37"/>
    <col min="7376" max="7376" width="5" style="37" customWidth="1"/>
    <col min="7377" max="7377" width="8.875" style="37" customWidth="1"/>
    <col min="7378" max="7378" width="5" style="37" customWidth="1"/>
    <col min="7379" max="7379" width="8.25" style="37" bestFit="1" customWidth="1"/>
    <col min="7380" max="7380" width="16.125" style="37" customWidth="1"/>
    <col min="7381" max="7381" width="86" style="37" customWidth="1"/>
    <col min="7382" max="7382" width="5" style="37" customWidth="1"/>
    <col min="7383" max="7383" width="11.125" style="37" customWidth="1"/>
    <col min="7384" max="7384" width="10.375" style="37" customWidth="1"/>
    <col min="7385" max="7385" width="10.875" style="37" customWidth="1"/>
    <col min="7386" max="7386" width="7.75" style="37" customWidth="1"/>
    <col min="7387" max="7387" width="9.875" style="37" customWidth="1"/>
    <col min="7388" max="7388" width="10.625" style="37" customWidth="1"/>
    <col min="7389" max="7631" width="6.125" style="37"/>
    <col min="7632" max="7632" width="5" style="37" customWidth="1"/>
    <col min="7633" max="7633" width="8.875" style="37" customWidth="1"/>
    <col min="7634" max="7634" width="5" style="37" customWidth="1"/>
    <col min="7635" max="7635" width="8.25" style="37" bestFit="1" customWidth="1"/>
    <col min="7636" max="7636" width="16.125" style="37" customWidth="1"/>
    <col min="7637" max="7637" width="86" style="37" customWidth="1"/>
    <col min="7638" max="7638" width="5" style="37" customWidth="1"/>
    <col min="7639" max="7639" width="11.125" style="37" customWidth="1"/>
    <col min="7640" max="7640" width="10.375" style="37" customWidth="1"/>
    <col min="7641" max="7641" width="10.875" style="37" customWidth="1"/>
    <col min="7642" max="7642" width="7.75" style="37" customWidth="1"/>
    <col min="7643" max="7643" width="9.875" style="37" customWidth="1"/>
    <col min="7644" max="7644" width="10.625" style="37" customWidth="1"/>
    <col min="7645" max="7887" width="6.125" style="37"/>
    <col min="7888" max="7888" width="5" style="37" customWidth="1"/>
    <col min="7889" max="7889" width="8.875" style="37" customWidth="1"/>
    <col min="7890" max="7890" width="5" style="37" customWidth="1"/>
    <col min="7891" max="7891" width="8.25" style="37" bestFit="1" customWidth="1"/>
    <col min="7892" max="7892" width="16.125" style="37" customWidth="1"/>
    <col min="7893" max="7893" width="86" style="37" customWidth="1"/>
    <col min="7894" max="7894" width="5" style="37" customWidth="1"/>
    <col min="7895" max="7895" width="11.125" style="37" customWidth="1"/>
    <col min="7896" max="7896" width="10.375" style="37" customWidth="1"/>
    <col min="7897" max="7897" width="10.875" style="37" customWidth="1"/>
    <col min="7898" max="7898" width="7.75" style="37" customWidth="1"/>
    <col min="7899" max="7899" width="9.875" style="37" customWidth="1"/>
    <col min="7900" max="7900" width="10.625" style="37" customWidth="1"/>
    <col min="7901" max="8143" width="6.125" style="37"/>
    <col min="8144" max="8144" width="5" style="37" customWidth="1"/>
    <col min="8145" max="8145" width="8.875" style="37" customWidth="1"/>
    <col min="8146" max="8146" width="5" style="37" customWidth="1"/>
    <col min="8147" max="8147" width="8.25" style="37" bestFit="1" customWidth="1"/>
    <col min="8148" max="8148" width="16.125" style="37" customWidth="1"/>
    <col min="8149" max="8149" width="86" style="37" customWidth="1"/>
    <col min="8150" max="8150" width="5" style="37" customWidth="1"/>
    <col min="8151" max="8151" width="11.125" style="37" customWidth="1"/>
    <col min="8152" max="8152" width="10.375" style="37" customWidth="1"/>
    <col min="8153" max="8153" width="10.875" style="37" customWidth="1"/>
    <col min="8154" max="8154" width="7.75" style="37" customWidth="1"/>
    <col min="8155" max="8155" width="9.875" style="37" customWidth="1"/>
    <col min="8156" max="8156" width="10.625" style="37" customWidth="1"/>
    <col min="8157" max="8399" width="6.125" style="37"/>
    <col min="8400" max="8400" width="5" style="37" customWidth="1"/>
    <col min="8401" max="8401" width="8.875" style="37" customWidth="1"/>
    <col min="8402" max="8402" width="5" style="37" customWidth="1"/>
    <col min="8403" max="8403" width="8.25" style="37" bestFit="1" customWidth="1"/>
    <col min="8404" max="8404" width="16.125" style="37" customWidth="1"/>
    <col min="8405" max="8405" width="86" style="37" customWidth="1"/>
    <col min="8406" max="8406" width="5" style="37" customWidth="1"/>
    <col min="8407" max="8407" width="11.125" style="37" customWidth="1"/>
    <col min="8408" max="8408" width="10.375" style="37" customWidth="1"/>
    <col min="8409" max="8409" width="10.875" style="37" customWidth="1"/>
    <col min="8410" max="8410" width="7.75" style="37" customWidth="1"/>
    <col min="8411" max="8411" width="9.875" style="37" customWidth="1"/>
    <col min="8412" max="8412" width="10.625" style="37" customWidth="1"/>
    <col min="8413" max="8655" width="6.125" style="37"/>
    <col min="8656" max="8656" width="5" style="37" customWidth="1"/>
    <col min="8657" max="8657" width="8.875" style="37" customWidth="1"/>
    <col min="8658" max="8658" width="5" style="37" customWidth="1"/>
    <col min="8659" max="8659" width="8.25" style="37" bestFit="1" customWidth="1"/>
    <col min="8660" max="8660" width="16.125" style="37" customWidth="1"/>
    <col min="8661" max="8661" width="86" style="37" customWidth="1"/>
    <col min="8662" max="8662" width="5" style="37" customWidth="1"/>
    <col min="8663" max="8663" width="11.125" style="37" customWidth="1"/>
    <col min="8664" max="8664" width="10.375" style="37" customWidth="1"/>
    <col min="8665" max="8665" width="10.875" style="37" customWidth="1"/>
    <col min="8666" max="8666" width="7.75" style="37" customWidth="1"/>
    <col min="8667" max="8667" width="9.875" style="37" customWidth="1"/>
    <col min="8668" max="8668" width="10.625" style="37" customWidth="1"/>
    <col min="8669" max="8911" width="6.125" style="37"/>
    <col min="8912" max="8912" width="5" style="37" customWidth="1"/>
    <col min="8913" max="8913" width="8.875" style="37" customWidth="1"/>
    <col min="8914" max="8914" width="5" style="37" customWidth="1"/>
    <col min="8915" max="8915" width="8.25" style="37" bestFit="1" customWidth="1"/>
    <col min="8916" max="8916" width="16.125" style="37" customWidth="1"/>
    <col min="8917" max="8917" width="86" style="37" customWidth="1"/>
    <col min="8918" max="8918" width="5" style="37" customWidth="1"/>
    <col min="8919" max="8919" width="11.125" style="37" customWidth="1"/>
    <col min="8920" max="8920" width="10.375" style="37" customWidth="1"/>
    <col min="8921" max="8921" width="10.875" style="37" customWidth="1"/>
    <col min="8922" max="8922" width="7.75" style="37" customWidth="1"/>
    <col min="8923" max="8923" width="9.875" style="37" customWidth="1"/>
    <col min="8924" max="8924" width="10.625" style="37" customWidth="1"/>
    <col min="8925" max="9167" width="6.125" style="37"/>
    <col min="9168" max="9168" width="5" style="37" customWidth="1"/>
    <col min="9169" max="9169" width="8.875" style="37" customWidth="1"/>
    <col min="9170" max="9170" width="5" style="37" customWidth="1"/>
    <col min="9171" max="9171" width="8.25" style="37" bestFit="1" customWidth="1"/>
    <col min="9172" max="9172" width="16.125" style="37" customWidth="1"/>
    <col min="9173" max="9173" width="86" style="37" customWidth="1"/>
    <col min="9174" max="9174" width="5" style="37" customWidth="1"/>
    <col min="9175" max="9175" width="11.125" style="37" customWidth="1"/>
    <col min="9176" max="9176" width="10.375" style="37" customWidth="1"/>
    <col min="9177" max="9177" width="10.875" style="37" customWidth="1"/>
    <col min="9178" max="9178" width="7.75" style="37" customWidth="1"/>
    <col min="9179" max="9179" width="9.875" style="37" customWidth="1"/>
    <col min="9180" max="9180" width="10.625" style="37" customWidth="1"/>
    <col min="9181" max="9423" width="6.125" style="37"/>
    <col min="9424" max="9424" width="5" style="37" customWidth="1"/>
    <col min="9425" max="9425" width="8.875" style="37" customWidth="1"/>
    <col min="9426" max="9426" width="5" style="37" customWidth="1"/>
    <col min="9427" max="9427" width="8.25" style="37" bestFit="1" customWidth="1"/>
    <col min="9428" max="9428" width="16.125" style="37" customWidth="1"/>
    <col min="9429" max="9429" width="86" style="37" customWidth="1"/>
    <col min="9430" max="9430" width="5" style="37" customWidth="1"/>
    <col min="9431" max="9431" width="11.125" style="37" customWidth="1"/>
    <col min="9432" max="9432" width="10.375" style="37" customWidth="1"/>
    <col min="9433" max="9433" width="10.875" style="37" customWidth="1"/>
    <col min="9434" max="9434" width="7.75" style="37" customWidth="1"/>
    <col min="9435" max="9435" width="9.875" style="37" customWidth="1"/>
    <col min="9436" max="9436" width="10.625" style="37" customWidth="1"/>
    <col min="9437" max="9679" width="6.125" style="37"/>
    <col min="9680" max="9680" width="5" style="37" customWidth="1"/>
    <col min="9681" max="9681" width="8.875" style="37" customWidth="1"/>
    <col min="9682" max="9682" width="5" style="37" customWidth="1"/>
    <col min="9683" max="9683" width="8.25" style="37" bestFit="1" customWidth="1"/>
    <col min="9684" max="9684" width="16.125" style="37" customWidth="1"/>
    <col min="9685" max="9685" width="86" style="37" customWidth="1"/>
    <col min="9686" max="9686" width="5" style="37" customWidth="1"/>
    <col min="9687" max="9687" width="11.125" style="37" customWidth="1"/>
    <col min="9688" max="9688" width="10.375" style="37" customWidth="1"/>
    <col min="9689" max="9689" width="10.875" style="37" customWidth="1"/>
    <col min="9690" max="9690" width="7.75" style="37" customWidth="1"/>
    <col min="9691" max="9691" width="9.875" style="37" customWidth="1"/>
    <col min="9692" max="9692" width="10.625" style="37" customWidth="1"/>
    <col min="9693" max="9935" width="6.125" style="37"/>
    <col min="9936" max="9936" width="5" style="37" customWidth="1"/>
    <col min="9937" max="9937" width="8.875" style="37" customWidth="1"/>
    <col min="9938" max="9938" width="5" style="37" customWidth="1"/>
    <col min="9939" max="9939" width="8.25" style="37" bestFit="1" customWidth="1"/>
    <col min="9940" max="9940" width="16.125" style="37" customWidth="1"/>
    <col min="9941" max="9941" width="86" style="37" customWidth="1"/>
    <col min="9942" max="9942" width="5" style="37" customWidth="1"/>
    <col min="9943" max="9943" width="11.125" style="37" customWidth="1"/>
    <col min="9944" max="9944" width="10.375" style="37" customWidth="1"/>
    <col min="9945" max="9945" width="10.875" style="37" customWidth="1"/>
    <col min="9946" max="9946" width="7.75" style="37" customWidth="1"/>
    <col min="9947" max="9947" width="9.875" style="37" customWidth="1"/>
    <col min="9948" max="9948" width="10.625" style="37" customWidth="1"/>
    <col min="9949" max="10191" width="6.125" style="37"/>
    <col min="10192" max="10192" width="5" style="37" customWidth="1"/>
    <col min="10193" max="10193" width="8.875" style="37" customWidth="1"/>
    <col min="10194" max="10194" width="5" style="37" customWidth="1"/>
    <col min="10195" max="10195" width="8.25" style="37" bestFit="1" customWidth="1"/>
    <col min="10196" max="10196" width="16.125" style="37" customWidth="1"/>
    <col min="10197" max="10197" width="86" style="37" customWidth="1"/>
    <col min="10198" max="10198" width="5" style="37" customWidth="1"/>
    <col min="10199" max="10199" width="11.125" style="37" customWidth="1"/>
    <col min="10200" max="10200" width="10.375" style="37" customWidth="1"/>
    <col min="10201" max="10201" width="10.875" style="37" customWidth="1"/>
    <col min="10202" max="10202" width="7.75" style="37" customWidth="1"/>
    <col min="10203" max="10203" width="9.875" style="37" customWidth="1"/>
    <col min="10204" max="10204" width="10.625" style="37" customWidth="1"/>
    <col min="10205" max="10447" width="6.125" style="37"/>
    <col min="10448" max="10448" width="5" style="37" customWidth="1"/>
    <col min="10449" max="10449" width="8.875" style="37" customWidth="1"/>
    <col min="10450" max="10450" width="5" style="37" customWidth="1"/>
    <col min="10451" max="10451" width="8.25" style="37" bestFit="1" customWidth="1"/>
    <col min="10452" max="10452" width="16.125" style="37" customWidth="1"/>
    <col min="10453" max="10453" width="86" style="37" customWidth="1"/>
    <col min="10454" max="10454" width="5" style="37" customWidth="1"/>
    <col min="10455" max="10455" width="11.125" style="37" customWidth="1"/>
    <col min="10456" max="10456" width="10.375" style="37" customWidth="1"/>
    <col min="10457" max="10457" width="10.875" style="37" customWidth="1"/>
    <col min="10458" max="10458" width="7.75" style="37" customWidth="1"/>
    <col min="10459" max="10459" width="9.875" style="37" customWidth="1"/>
    <col min="10460" max="10460" width="10.625" style="37" customWidth="1"/>
    <col min="10461" max="10703" width="6.125" style="37"/>
    <col min="10704" max="10704" width="5" style="37" customWidth="1"/>
    <col min="10705" max="10705" width="8.875" style="37" customWidth="1"/>
    <col min="10706" max="10706" width="5" style="37" customWidth="1"/>
    <col min="10707" max="10707" width="8.25" style="37" bestFit="1" customWidth="1"/>
    <col min="10708" max="10708" width="16.125" style="37" customWidth="1"/>
    <col min="10709" max="10709" width="86" style="37" customWidth="1"/>
    <col min="10710" max="10710" width="5" style="37" customWidth="1"/>
    <col min="10711" max="10711" width="11.125" style="37" customWidth="1"/>
    <col min="10712" max="10712" width="10.375" style="37" customWidth="1"/>
    <col min="10713" max="10713" width="10.875" style="37" customWidth="1"/>
    <col min="10714" max="10714" width="7.75" style="37" customWidth="1"/>
    <col min="10715" max="10715" width="9.875" style="37" customWidth="1"/>
    <col min="10716" max="10716" width="10.625" style="37" customWidth="1"/>
    <col min="10717" max="10959" width="6.125" style="37"/>
    <col min="10960" max="10960" width="5" style="37" customWidth="1"/>
    <col min="10961" max="10961" width="8.875" style="37" customWidth="1"/>
    <col min="10962" max="10962" width="5" style="37" customWidth="1"/>
    <col min="10963" max="10963" width="8.25" style="37" bestFit="1" customWidth="1"/>
    <col min="10964" max="10964" width="16.125" style="37" customWidth="1"/>
    <col min="10965" max="10965" width="86" style="37" customWidth="1"/>
    <col min="10966" max="10966" width="5" style="37" customWidth="1"/>
    <col min="10967" max="10967" width="11.125" style="37" customWidth="1"/>
    <col min="10968" max="10968" width="10.375" style="37" customWidth="1"/>
    <col min="10969" max="10969" width="10.875" style="37" customWidth="1"/>
    <col min="10970" max="10970" width="7.75" style="37" customWidth="1"/>
    <col min="10971" max="10971" width="9.875" style="37" customWidth="1"/>
    <col min="10972" max="10972" width="10.625" style="37" customWidth="1"/>
    <col min="10973" max="11215" width="6.125" style="37"/>
    <col min="11216" max="11216" width="5" style="37" customWidth="1"/>
    <col min="11217" max="11217" width="8.875" style="37" customWidth="1"/>
    <col min="11218" max="11218" width="5" style="37" customWidth="1"/>
    <col min="11219" max="11219" width="8.25" style="37" bestFit="1" customWidth="1"/>
    <col min="11220" max="11220" width="16.125" style="37" customWidth="1"/>
    <col min="11221" max="11221" width="86" style="37" customWidth="1"/>
    <col min="11222" max="11222" width="5" style="37" customWidth="1"/>
    <col min="11223" max="11223" width="11.125" style="37" customWidth="1"/>
    <col min="11224" max="11224" width="10.375" style="37" customWidth="1"/>
    <col min="11225" max="11225" width="10.875" style="37" customWidth="1"/>
    <col min="11226" max="11226" width="7.75" style="37" customWidth="1"/>
    <col min="11227" max="11227" width="9.875" style="37" customWidth="1"/>
    <col min="11228" max="11228" width="10.625" style="37" customWidth="1"/>
    <col min="11229" max="11471" width="6.125" style="37"/>
    <col min="11472" max="11472" width="5" style="37" customWidth="1"/>
    <col min="11473" max="11473" width="8.875" style="37" customWidth="1"/>
    <col min="11474" max="11474" width="5" style="37" customWidth="1"/>
    <col min="11475" max="11475" width="8.25" style="37" bestFit="1" customWidth="1"/>
    <col min="11476" max="11476" width="16.125" style="37" customWidth="1"/>
    <col min="11477" max="11477" width="86" style="37" customWidth="1"/>
    <col min="11478" max="11478" width="5" style="37" customWidth="1"/>
    <col min="11479" max="11479" width="11.125" style="37" customWidth="1"/>
    <col min="11480" max="11480" width="10.375" style="37" customWidth="1"/>
    <col min="11481" max="11481" width="10.875" style="37" customWidth="1"/>
    <col min="11482" max="11482" width="7.75" style="37" customWidth="1"/>
    <col min="11483" max="11483" width="9.875" style="37" customWidth="1"/>
    <col min="11484" max="11484" width="10.625" style="37" customWidth="1"/>
    <col min="11485" max="11727" width="6.125" style="37"/>
    <col min="11728" max="11728" width="5" style="37" customWidth="1"/>
    <col min="11729" max="11729" width="8.875" style="37" customWidth="1"/>
    <col min="11730" max="11730" width="5" style="37" customWidth="1"/>
    <col min="11731" max="11731" width="8.25" style="37" bestFit="1" customWidth="1"/>
    <col min="11732" max="11732" width="16.125" style="37" customWidth="1"/>
    <col min="11733" max="11733" width="86" style="37" customWidth="1"/>
    <col min="11734" max="11734" width="5" style="37" customWidth="1"/>
    <col min="11735" max="11735" width="11.125" style="37" customWidth="1"/>
    <col min="11736" max="11736" width="10.375" style="37" customWidth="1"/>
    <col min="11737" max="11737" width="10.875" style="37" customWidth="1"/>
    <col min="11738" max="11738" width="7.75" style="37" customWidth="1"/>
    <col min="11739" max="11739" width="9.875" style="37" customWidth="1"/>
    <col min="11740" max="11740" width="10.625" style="37" customWidth="1"/>
    <col min="11741" max="11983" width="6.125" style="37"/>
    <col min="11984" max="11984" width="5" style="37" customWidth="1"/>
    <col min="11985" max="11985" width="8.875" style="37" customWidth="1"/>
    <col min="11986" max="11986" width="5" style="37" customWidth="1"/>
    <col min="11987" max="11987" width="8.25" style="37" bestFit="1" customWidth="1"/>
    <col min="11988" max="11988" width="16.125" style="37" customWidth="1"/>
    <col min="11989" max="11989" width="86" style="37" customWidth="1"/>
    <col min="11990" max="11990" width="5" style="37" customWidth="1"/>
    <col min="11991" max="11991" width="11.125" style="37" customWidth="1"/>
    <col min="11992" max="11992" width="10.375" style="37" customWidth="1"/>
    <col min="11993" max="11993" width="10.875" style="37" customWidth="1"/>
    <col min="11994" max="11994" width="7.75" style="37" customWidth="1"/>
    <col min="11995" max="11995" width="9.875" style="37" customWidth="1"/>
    <col min="11996" max="11996" width="10.625" style="37" customWidth="1"/>
    <col min="11997" max="12239" width="6.125" style="37"/>
    <col min="12240" max="12240" width="5" style="37" customWidth="1"/>
    <col min="12241" max="12241" width="8.875" style="37" customWidth="1"/>
    <col min="12242" max="12242" width="5" style="37" customWidth="1"/>
    <col min="12243" max="12243" width="8.25" style="37" bestFit="1" customWidth="1"/>
    <col min="12244" max="12244" width="16.125" style="37" customWidth="1"/>
    <col min="12245" max="12245" width="86" style="37" customWidth="1"/>
    <col min="12246" max="12246" width="5" style="37" customWidth="1"/>
    <col min="12247" max="12247" width="11.125" style="37" customWidth="1"/>
    <col min="12248" max="12248" width="10.375" style="37" customWidth="1"/>
    <col min="12249" max="12249" width="10.875" style="37" customWidth="1"/>
    <col min="12250" max="12250" width="7.75" style="37" customWidth="1"/>
    <col min="12251" max="12251" width="9.875" style="37" customWidth="1"/>
    <col min="12252" max="12252" width="10.625" style="37" customWidth="1"/>
    <col min="12253" max="12495" width="6.125" style="37"/>
    <col min="12496" max="12496" width="5" style="37" customWidth="1"/>
    <col min="12497" max="12497" width="8.875" style="37" customWidth="1"/>
    <col min="12498" max="12498" width="5" style="37" customWidth="1"/>
    <col min="12499" max="12499" width="8.25" style="37" bestFit="1" customWidth="1"/>
    <col min="12500" max="12500" width="16.125" style="37" customWidth="1"/>
    <col min="12501" max="12501" width="86" style="37" customWidth="1"/>
    <col min="12502" max="12502" width="5" style="37" customWidth="1"/>
    <col min="12503" max="12503" width="11.125" style="37" customWidth="1"/>
    <col min="12504" max="12504" width="10.375" style="37" customWidth="1"/>
    <col min="12505" max="12505" width="10.875" style="37" customWidth="1"/>
    <col min="12506" max="12506" width="7.75" style="37" customWidth="1"/>
    <col min="12507" max="12507" width="9.875" style="37" customWidth="1"/>
    <col min="12508" max="12508" width="10.625" style="37" customWidth="1"/>
    <col min="12509" max="12751" width="6.125" style="37"/>
    <col min="12752" max="12752" width="5" style="37" customWidth="1"/>
    <col min="12753" max="12753" width="8.875" style="37" customWidth="1"/>
    <col min="12754" max="12754" width="5" style="37" customWidth="1"/>
    <col min="12755" max="12755" width="8.25" style="37" bestFit="1" customWidth="1"/>
    <col min="12756" max="12756" width="16.125" style="37" customWidth="1"/>
    <col min="12757" max="12757" width="86" style="37" customWidth="1"/>
    <col min="12758" max="12758" width="5" style="37" customWidth="1"/>
    <col min="12759" max="12759" width="11.125" style="37" customWidth="1"/>
    <col min="12760" max="12760" width="10.375" style="37" customWidth="1"/>
    <col min="12761" max="12761" width="10.875" style="37" customWidth="1"/>
    <col min="12762" max="12762" width="7.75" style="37" customWidth="1"/>
    <col min="12763" max="12763" width="9.875" style="37" customWidth="1"/>
    <col min="12764" max="12764" width="10.625" style="37" customWidth="1"/>
    <col min="12765" max="13007" width="6.125" style="37"/>
    <col min="13008" max="13008" width="5" style="37" customWidth="1"/>
    <col min="13009" max="13009" width="8.875" style="37" customWidth="1"/>
    <col min="13010" max="13010" width="5" style="37" customWidth="1"/>
    <col min="13011" max="13011" width="8.25" style="37" bestFit="1" customWidth="1"/>
    <col min="13012" max="13012" width="16.125" style="37" customWidth="1"/>
    <col min="13013" max="13013" width="86" style="37" customWidth="1"/>
    <col min="13014" max="13014" width="5" style="37" customWidth="1"/>
    <col min="13015" max="13015" width="11.125" style="37" customWidth="1"/>
    <col min="13016" max="13016" width="10.375" style="37" customWidth="1"/>
    <col min="13017" max="13017" width="10.875" style="37" customWidth="1"/>
    <col min="13018" max="13018" width="7.75" style="37" customWidth="1"/>
    <col min="13019" max="13019" width="9.875" style="37" customWidth="1"/>
    <col min="13020" max="13020" width="10.625" style="37" customWidth="1"/>
    <col min="13021" max="13263" width="6.125" style="37"/>
    <col min="13264" max="13264" width="5" style="37" customWidth="1"/>
    <col min="13265" max="13265" width="8.875" style="37" customWidth="1"/>
    <col min="13266" max="13266" width="5" style="37" customWidth="1"/>
    <col min="13267" max="13267" width="8.25" style="37" bestFit="1" customWidth="1"/>
    <col min="13268" max="13268" width="16.125" style="37" customWidth="1"/>
    <col min="13269" max="13269" width="86" style="37" customWidth="1"/>
    <col min="13270" max="13270" width="5" style="37" customWidth="1"/>
    <col min="13271" max="13271" width="11.125" style="37" customWidth="1"/>
    <col min="13272" max="13272" width="10.375" style="37" customWidth="1"/>
    <col min="13273" max="13273" width="10.875" style="37" customWidth="1"/>
    <col min="13274" max="13274" width="7.75" style="37" customWidth="1"/>
    <col min="13275" max="13275" width="9.875" style="37" customWidth="1"/>
    <col min="13276" max="13276" width="10.625" style="37" customWidth="1"/>
    <col min="13277" max="13519" width="6.125" style="37"/>
    <col min="13520" max="13520" width="5" style="37" customWidth="1"/>
    <col min="13521" max="13521" width="8.875" style="37" customWidth="1"/>
    <col min="13522" max="13522" width="5" style="37" customWidth="1"/>
    <col min="13523" max="13523" width="8.25" style="37" bestFit="1" customWidth="1"/>
    <col min="13524" max="13524" width="16.125" style="37" customWidth="1"/>
    <col min="13525" max="13525" width="86" style="37" customWidth="1"/>
    <col min="13526" max="13526" width="5" style="37" customWidth="1"/>
    <col min="13527" max="13527" width="11.125" style="37" customWidth="1"/>
    <col min="13528" max="13528" width="10.375" style="37" customWidth="1"/>
    <col min="13529" max="13529" width="10.875" style="37" customWidth="1"/>
    <col min="13530" max="13530" width="7.75" style="37" customWidth="1"/>
    <col min="13531" max="13531" width="9.875" style="37" customWidth="1"/>
    <col min="13532" max="13532" width="10.625" style="37" customWidth="1"/>
    <col min="13533" max="13775" width="6.125" style="37"/>
    <col min="13776" max="13776" width="5" style="37" customWidth="1"/>
    <col min="13777" max="13777" width="8.875" style="37" customWidth="1"/>
    <col min="13778" max="13778" width="5" style="37" customWidth="1"/>
    <col min="13779" max="13779" width="8.25" style="37" bestFit="1" customWidth="1"/>
    <col min="13780" max="13780" width="16.125" style="37" customWidth="1"/>
    <col min="13781" max="13781" width="86" style="37" customWidth="1"/>
    <col min="13782" max="13782" width="5" style="37" customWidth="1"/>
    <col min="13783" max="13783" width="11.125" style="37" customWidth="1"/>
    <col min="13784" max="13784" width="10.375" style="37" customWidth="1"/>
    <col min="13785" max="13785" width="10.875" style="37" customWidth="1"/>
    <col min="13786" max="13786" width="7.75" style="37" customWidth="1"/>
    <col min="13787" max="13787" width="9.875" style="37" customWidth="1"/>
    <col min="13788" max="13788" width="10.625" style="37" customWidth="1"/>
    <col min="13789" max="14031" width="6.125" style="37"/>
    <col min="14032" max="14032" width="5" style="37" customWidth="1"/>
    <col min="14033" max="14033" width="8.875" style="37" customWidth="1"/>
    <col min="14034" max="14034" width="5" style="37" customWidth="1"/>
    <col min="14035" max="14035" width="8.25" style="37" bestFit="1" customWidth="1"/>
    <col min="14036" max="14036" width="16.125" style="37" customWidth="1"/>
    <col min="14037" max="14037" width="86" style="37" customWidth="1"/>
    <col min="14038" max="14038" width="5" style="37" customWidth="1"/>
    <col min="14039" max="14039" width="11.125" style="37" customWidth="1"/>
    <col min="14040" max="14040" width="10.375" style="37" customWidth="1"/>
    <col min="14041" max="14041" width="10.875" style="37" customWidth="1"/>
    <col min="14042" max="14042" width="7.75" style="37" customWidth="1"/>
    <col min="14043" max="14043" width="9.875" style="37" customWidth="1"/>
    <col min="14044" max="14044" width="10.625" style="37" customWidth="1"/>
    <col min="14045" max="14287" width="6.125" style="37"/>
    <col min="14288" max="14288" width="5" style="37" customWidth="1"/>
    <col min="14289" max="14289" width="8.875" style="37" customWidth="1"/>
    <col min="14290" max="14290" width="5" style="37" customWidth="1"/>
    <col min="14291" max="14291" width="8.25" style="37" bestFit="1" customWidth="1"/>
    <col min="14292" max="14292" width="16.125" style="37" customWidth="1"/>
    <col min="14293" max="14293" width="86" style="37" customWidth="1"/>
    <col min="14294" max="14294" width="5" style="37" customWidth="1"/>
    <col min="14295" max="14295" width="11.125" style="37" customWidth="1"/>
    <col min="14296" max="14296" width="10.375" style="37" customWidth="1"/>
    <col min="14297" max="14297" width="10.875" style="37" customWidth="1"/>
    <col min="14298" max="14298" width="7.75" style="37" customWidth="1"/>
    <col min="14299" max="14299" width="9.875" style="37" customWidth="1"/>
    <col min="14300" max="14300" width="10.625" style="37" customWidth="1"/>
    <col min="14301" max="14543" width="6.125" style="37"/>
    <col min="14544" max="14544" width="5" style="37" customWidth="1"/>
    <col min="14545" max="14545" width="8.875" style="37" customWidth="1"/>
    <col min="14546" max="14546" width="5" style="37" customWidth="1"/>
    <col min="14547" max="14547" width="8.25" style="37" bestFit="1" customWidth="1"/>
    <col min="14548" max="14548" width="16.125" style="37" customWidth="1"/>
    <col min="14549" max="14549" width="86" style="37" customWidth="1"/>
    <col min="14550" max="14550" width="5" style="37" customWidth="1"/>
    <col min="14551" max="14551" width="11.125" style="37" customWidth="1"/>
    <col min="14552" max="14552" width="10.375" style="37" customWidth="1"/>
    <col min="14553" max="14553" width="10.875" style="37" customWidth="1"/>
    <col min="14554" max="14554" width="7.75" style="37" customWidth="1"/>
    <col min="14555" max="14555" width="9.875" style="37" customWidth="1"/>
    <col min="14556" max="14556" width="10.625" style="37" customWidth="1"/>
    <col min="14557" max="14799" width="6.125" style="37"/>
    <col min="14800" max="14800" width="5" style="37" customWidth="1"/>
    <col min="14801" max="14801" width="8.875" style="37" customWidth="1"/>
    <col min="14802" max="14802" width="5" style="37" customWidth="1"/>
    <col min="14803" max="14803" width="8.25" style="37" bestFit="1" customWidth="1"/>
    <col min="14804" max="14804" width="16.125" style="37" customWidth="1"/>
    <col min="14805" max="14805" width="86" style="37" customWidth="1"/>
    <col min="14806" max="14806" width="5" style="37" customWidth="1"/>
    <col min="14807" max="14807" width="11.125" style="37" customWidth="1"/>
    <col min="14808" max="14808" width="10.375" style="37" customWidth="1"/>
    <col min="14809" max="14809" width="10.875" style="37" customWidth="1"/>
    <col min="14810" max="14810" width="7.75" style="37" customWidth="1"/>
    <col min="14811" max="14811" width="9.875" style="37" customWidth="1"/>
    <col min="14812" max="14812" width="10.625" style="37" customWidth="1"/>
    <col min="14813" max="15055" width="6.125" style="37"/>
    <col min="15056" max="15056" width="5" style="37" customWidth="1"/>
    <col min="15057" max="15057" width="8.875" style="37" customWidth="1"/>
    <col min="15058" max="15058" width="5" style="37" customWidth="1"/>
    <col min="15059" max="15059" width="8.25" style="37" bestFit="1" customWidth="1"/>
    <col min="15060" max="15060" width="16.125" style="37" customWidth="1"/>
    <col min="15061" max="15061" width="86" style="37" customWidth="1"/>
    <col min="15062" max="15062" width="5" style="37" customWidth="1"/>
    <col min="15063" max="15063" width="11.125" style="37" customWidth="1"/>
    <col min="15064" max="15064" width="10.375" style="37" customWidth="1"/>
    <col min="15065" max="15065" width="10.875" style="37" customWidth="1"/>
    <col min="15066" max="15066" width="7.75" style="37" customWidth="1"/>
    <col min="15067" max="15067" width="9.875" style="37" customWidth="1"/>
    <col min="15068" max="15068" width="10.625" style="37" customWidth="1"/>
    <col min="15069" max="15311" width="6.125" style="37"/>
    <col min="15312" max="15312" width="5" style="37" customWidth="1"/>
    <col min="15313" max="15313" width="8.875" style="37" customWidth="1"/>
    <col min="15314" max="15314" width="5" style="37" customWidth="1"/>
    <col min="15315" max="15315" width="8.25" style="37" bestFit="1" customWidth="1"/>
    <col min="15316" max="15316" width="16.125" style="37" customWidth="1"/>
    <col min="15317" max="15317" width="86" style="37" customWidth="1"/>
    <col min="15318" max="15318" width="5" style="37" customWidth="1"/>
    <col min="15319" max="15319" width="11.125" style="37" customWidth="1"/>
    <col min="15320" max="15320" width="10.375" style="37" customWidth="1"/>
    <col min="15321" max="15321" width="10.875" style="37" customWidth="1"/>
    <col min="15322" max="15322" width="7.75" style="37" customWidth="1"/>
    <col min="15323" max="15323" width="9.875" style="37" customWidth="1"/>
    <col min="15324" max="15324" width="10.625" style="37" customWidth="1"/>
    <col min="15325" max="15567" width="6.125" style="37"/>
    <col min="15568" max="15568" width="5" style="37" customWidth="1"/>
    <col min="15569" max="15569" width="8.875" style="37" customWidth="1"/>
    <col min="15570" max="15570" width="5" style="37" customWidth="1"/>
    <col min="15571" max="15571" width="8.25" style="37" bestFit="1" customWidth="1"/>
    <col min="15572" max="15572" width="16.125" style="37" customWidth="1"/>
    <col min="15573" max="15573" width="86" style="37" customWidth="1"/>
    <col min="15574" max="15574" width="5" style="37" customWidth="1"/>
    <col min="15575" max="15575" width="11.125" style="37" customWidth="1"/>
    <col min="15576" max="15576" width="10.375" style="37" customWidth="1"/>
    <col min="15577" max="15577" width="10.875" style="37" customWidth="1"/>
    <col min="15578" max="15578" width="7.75" style="37" customWidth="1"/>
    <col min="15579" max="15579" width="9.875" style="37" customWidth="1"/>
    <col min="15580" max="15580" width="10.625" style="37" customWidth="1"/>
    <col min="15581" max="15823" width="6.125" style="37"/>
    <col min="15824" max="15824" width="5" style="37" customWidth="1"/>
    <col min="15825" max="15825" width="8.875" style="37" customWidth="1"/>
    <col min="15826" max="15826" width="5" style="37" customWidth="1"/>
    <col min="15827" max="15827" width="8.25" style="37" bestFit="1" customWidth="1"/>
    <col min="15828" max="15828" width="16.125" style="37" customWidth="1"/>
    <col min="15829" max="15829" width="86" style="37" customWidth="1"/>
    <col min="15830" max="15830" width="5" style="37" customWidth="1"/>
    <col min="15831" max="15831" width="11.125" style="37" customWidth="1"/>
    <col min="15832" max="15832" width="10.375" style="37" customWidth="1"/>
    <col min="15833" max="15833" width="10.875" style="37" customWidth="1"/>
    <col min="15834" max="15834" width="7.75" style="37" customWidth="1"/>
    <col min="15835" max="15835" width="9.875" style="37" customWidth="1"/>
    <col min="15836" max="15836" width="10.625" style="37" customWidth="1"/>
    <col min="15837" max="16079" width="6.125" style="37"/>
    <col min="16080" max="16080" width="5" style="37" customWidth="1"/>
    <col min="16081" max="16081" width="8.875" style="37" customWidth="1"/>
    <col min="16082" max="16082" width="5" style="37" customWidth="1"/>
    <col min="16083" max="16083" width="8.25" style="37" bestFit="1" customWidth="1"/>
    <col min="16084" max="16084" width="16.125" style="37" customWidth="1"/>
    <col min="16085" max="16085" width="86" style="37" customWidth="1"/>
    <col min="16086" max="16086" width="5" style="37" customWidth="1"/>
    <col min="16087" max="16087" width="11.125" style="37" customWidth="1"/>
    <col min="16088" max="16088" width="10.375" style="37" customWidth="1"/>
    <col min="16089" max="16089" width="10.875" style="37" customWidth="1"/>
    <col min="16090" max="16090" width="7.75" style="37" customWidth="1"/>
    <col min="16091" max="16091" width="9.875" style="37" customWidth="1"/>
    <col min="16092" max="16092" width="10.625" style="37" customWidth="1"/>
    <col min="16093" max="16384" width="6.125" style="37"/>
  </cols>
  <sheetData>
    <row r="1" spans="1:16">
      <c r="A1" s="636" t="s">
        <v>90</v>
      </c>
      <c r="B1" s="636"/>
      <c r="C1" s="636"/>
      <c r="D1" s="636"/>
      <c r="E1" s="636"/>
      <c r="F1" s="636"/>
      <c r="G1" s="636"/>
      <c r="H1" s="636"/>
      <c r="I1" s="636"/>
      <c r="J1" s="636"/>
      <c r="K1" s="636"/>
      <c r="L1" s="636"/>
      <c r="M1" s="636"/>
      <c r="N1" s="636"/>
      <c r="O1" s="636"/>
    </row>
    <row r="2" spans="1:16" ht="31.5" customHeight="1">
      <c r="A2" s="637"/>
      <c r="B2" s="637"/>
      <c r="C2" s="637"/>
      <c r="D2" s="637"/>
      <c r="E2" s="637"/>
      <c r="F2" s="637"/>
      <c r="G2" s="637"/>
      <c r="H2" s="637"/>
      <c r="I2" s="637"/>
      <c r="J2" s="637"/>
      <c r="K2" s="637"/>
      <c r="L2" s="38"/>
      <c r="M2" s="38"/>
      <c r="N2" s="38"/>
      <c r="O2" s="38"/>
    </row>
    <row r="3" spans="1:16" ht="15.75" customHeight="1" thickBot="1">
      <c r="A3" s="38"/>
      <c r="B3" s="38"/>
      <c r="C3" s="38"/>
      <c r="D3" s="38"/>
      <c r="E3" s="38"/>
      <c r="F3" s="38"/>
      <c r="G3" s="38"/>
      <c r="H3" s="417"/>
      <c r="I3" s="38"/>
      <c r="J3" s="38"/>
      <c r="K3" s="38"/>
      <c r="L3" s="638"/>
      <c r="M3" s="638"/>
      <c r="N3" s="638"/>
      <c r="O3" s="638"/>
      <c r="P3" s="38"/>
    </row>
    <row r="4" spans="1:16" s="44" customFormat="1" ht="57" customHeight="1" thickBot="1">
      <c r="A4" s="39" t="s">
        <v>20</v>
      </c>
      <c r="B4" s="40" t="s">
        <v>0</v>
      </c>
      <c r="C4" s="40" t="s">
        <v>1</v>
      </c>
      <c r="D4" s="40" t="s">
        <v>2</v>
      </c>
      <c r="E4" s="40" t="s">
        <v>3</v>
      </c>
      <c r="F4" s="41" t="s">
        <v>21</v>
      </c>
      <c r="G4" s="41" t="s">
        <v>22</v>
      </c>
      <c r="H4" s="405" t="s">
        <v>91</v>
      </c>
      <c r="I4" s="42" t="s">
        <v>92</v>
      </c>
      <c r="J4" s="42" t="s">
        <v>93</v>
      </c>
      <c r="K4" s="40" t="s">
        <v>94</v>
      </c>
      <c r="L4" s="40" t="s">
        <v>95</v>
      </c>
      <c r="M4" s="40" t="s">
        <v>96</v>
      </c>
      <c r="N4" s="40" t="s">
        <v>23</v>
      </c>
      <c r="O4" s="40" t="s">
        <v>5</v>
      </c>
      <c r="P4" s="43" t="s">
        <v>97</v>
      </c>
    </row>
    <row r="5" spans="1:16" s="44" customFormat="1" ht="13.5" thickBot="1">
      <c r="A5" s="45"/>
      <c r="B5" s="46"/>
      <c r="C5" s="46"/>
      <c r="D5" s="46"/>
      <c r="E5" s="46"/>
      <c r="F5" s="47"/>
      <c r="G5" s="47"/>
      <c r="H5" s="418"/>
      <c r="I5" s="48"/>
      <c r="J5" s="48"/>
      <c r="K5" s="46"/>
      <c r="L5" s="46"/>
      <c r="M5" s="46"/>
      <c r="N5" s="46"/>
      <c r="O5" s="46"/>
      <c r="P5" s="46"/>
    </row>
    <row r="6" spans="1:16" s="44" customFormat="1" ht="15.75" thickBot="1">
      <c r="A6" s="49" t="s">
        <v>15</v>
      </c>
      <c r="B6" s="50"/>
      <c r="C6" s="50"/>
      <c r="D6" s="50"/>
      <c r="E6" s="50"/>
      <c r="F6" s="51" t="s">
        <v>98</v>
      </c>
      <c r="G6" s="52" t="s">
        <v>99</v>
      </c>
      <c r="H6" s="52">
        <v>1</v>
      </c>
      <c r="I6" s="54">
        <v>1</v>
      </c>
      <c r="J6" s="54">
        <f>SUM(H6:I6)</f>
        <v>2</v>
      </c>
      <c r="K6" s="55"/>
      <c r="L6" s="56"/>
      <c r="M6" s="56"/>
      <c r="N6" s="56"/>
      <c r="O6" s="56">
        <f>SUM(J6*K6)</f>
        <v>0</v>
      </c>
      <c r="P6" s="57"/>
    </row>
    <row r="7" spans="1:16" s="44" customFormat="1" ht="15">
      <c r="A7" s="58"/>
      <c r="B7" s="58"/>
      <c r="C7" s="58"/>
      <c r="D7" s="58"/>
      <c r="E7" s="58"/>
      <c r="F7" s="59"/>
      <c r="G7" s="58"/>
      <c r="H7" s="419"/>
      <c r="I7" s="60"/>
      <c r="J7" s="60"/>
      <c r="K7" s="61"/>
      <c r="L7" s="61"/>
      <c r="M7" s="62"/>
      <c r="N7" s="63"/>
      <c r="O7" s="63"/>
      <c r="P7" s="63"/>
    </row>
    <row r="8" spans="1:16" s="44" customFormat="1" ht="13.5" thickBot="1">
      <c r="A8" s="64"/>
      <c r="B8" s="65"/>
      <c r="C8" s="65"/>
      <c r="D8" s="65"/>
      <c r="E8" s="65"/>
      <c r="F8" s="66"/>
      <c r="G8" s="66"/>
      <c r="H8" s="404"/>
      <c r="I8" s="67"/>
      <c r="J8" s="67"/>
      <c r="K8" s="65"/>
      <c r="L8" s="65"/>
      <c r="M8" s="65"/>
      <c r="N8" s="65"/>
      <c r="O8" s="65"/>
      <c r="P8" s="65"/>
    </row>
    <row r="9" spans="1:16" ht="15.75" thickBot="1">
      <c r="A9" s="49" t="s">
        <v>16</v>
      </c>
      <c r="B9" s="50"/>
      <c r="C9" s="50"/>
      <c r="D9" s="50"/>
      <c r="E9" s="50"/>
      <c r="F9" s="68" t="s">
        <v>100</v>
      </c>
      <c r="G9" s="50"/>
      <c r="H9" s="420"/>
      <c r="I9" s="69"/>
      <c r="J9" s="69"/>
      <c r="K9" s="70"/>
      <c r="L9" s="56"/>
      <c r="M9" s="56"/>
      <c r="N9" s="56"/>
      <c r="O9" s="56"/>
      <c r="P9" s="57"/>
    </row>
    <row r="10" spans="1:16" ht="315">
      <c r="A10" s="71">
        <v>2.1</v>
      </c>
      <c r="B10" s="71" t="s">
        <v>101</v>
      </c>
      <c r="C10" s="71" t="s">
        <v>102</v>
      </c>
      <c r="D10" s="71" t="s">
        <v>103</v>
      </c>
      <c r="E10" s="71" t="s">
        <v>104</v>
      </c>
      <c r="F10" s="72" t="s">
        <v>206</v>
      </c>
      <c r="G10" s="73" t="s">
        <v>105</v>
      </c>
      <c r="H10" s="73">
        <v>61.999999999999993</v>
      </c>
      <c r="I10" s="31">
        <f>7*3.6</f>
        <v>25.2</v>
      </c>
      <c r="J10" s="31">
        <f>SUM(H10:I10)</f>
        <v>87.199999999999989</v>
      </c>
      <c r="K10" s="74"/>
      <c r="L10" s="75"/>
      <c r="M10" s="75"/>
      <c r="N10" s="75">
        <v>4519</v>
      </c>
      <c r="O10" s="75">
        <f>SUM(J10*N10)</f>
        <v>394056.79999999993</v>
      </c>
      <c r="P10" s="75"/>
    </row>
    <row r="11" spans="1:16" ht="15">
      <c r="A11" s="76"/>
      <c r="B11" s="76"/>
      <c r="C11" s="76"/>
      <c r="D11" s="76"/>
      <c r="E11" s="76"/>
      <c r="F11" s="76"/>
      <c r="G11" s="76"/>
      <c r="H11" s="82"/>
      <c r="I11" s="77"/>
      <c r="J11" s="77"/>
      <c r="K11" s="78"/>
      <c r="L11" s="79"/>
      <c r="M11" s="79"/>
      <c r="N11" s="79"/>
      <c r="O11" s="79"/>
      <c r="P11" s="79"/>
    </row>
    <row r="12" spans="1:16" ht="315">
      <c r="A12" s="80">
        <v>2.2000000000000002</v>
      </c>
      <c r="B12" s="80" t="s">
        <v>101</v>
      </c>
      <c r="C12" s="80" t="s">
        <v>102</v>
      </c>
      <c r="D12" s="80" t="s">
        <v>103</v>
      </c>
      <c r="E12" s="80" t="s">
        <v>106</v>
      </c>
      <c r="F12" s="81" t="s">
        <v>207</v>
      </c>
      <c r="G12" s="82" t="s">
        <v>105</v>
      </c>
      <c r="H12" s="82">
        <v>36.119999999999997</v>
      </c>
      <c r="I12" s="77">
        <v>5</v>
      </c>
      <c r="J12" s="31">
        <f>SUM(H12:I12)</f>
        <v>41.12</v>
      </c>
      <c r="K12" s="78"/>
      <c r="L12" s="79"/>
      <c r="M12" s="79"/>
      <c r="N12" s="75">
        <v>2622</v>
      </c>
      <c r="O12" s="75">
        <f>SUM(J12*N12)</f>
        <v>107816.64</v>
      </c>
      <c r="P12" s="79"/>
    </row>
    <row r="13" spans="1:16" ht="15">
      <c r="A13" s="76"/>
      <c r="B13" s="76"/>
      <c r="C13" s="76"/>
      <c r="D13" s="76"/>
      <c r="E13" s="76"/>
      <c r="F13" s="76"/>
      <c r="G13" s="76"/>
      <c r="H13" s="82"/>
      <c r="I13" s="77"/>
      <c r="J13" s="77"/>
      <c r="K13" s="78"/>
      <c r="L13" s="79"/>
      <c r="M13" s="79"/>
      <c r="N13" s="79"/>
      <c r="O13" s="79"/>
      <c r="P13" s="79"/>
    </row>
    <row r="14" spans="1:16" ht="375">
      <c r="A14" s="80">
        <v>2.2999999999999998</v>
      </c>
      <c r="B14" s="80" t="s">
        <v>107</v>
      </c>
      <c r="C14" s="80" t="s">
        <v>102</v>
      </c>
      <c r="D14" s="80" t="s">
        <v>108</v>
      </c>
      <c r="E14" s="80" t="s">
        <v>109</v>
      </c>
      <c r="F14" s="81" t="s">
        <v>110</v>
      </c>
      <c r="G14" s="82" t="s">
        <v>105</v>
      </c>
      <c r="H14" s="82">
        <v>180.78999999999996</v>
      </c>
      <c r="I14" s="77">
        <f>60</f>
        <v>60</v>
      </c>
      <c r="J14" s="31">
        <f>SUM(H14:I14)</f>
        <v>240.78999999999996</v>
      </c>
      <c r="K14" s="78"/>
      <c r="L14" s="79"/>
      <c r="M14" s="79"/>
      <c r="N14" s="75">
        <v>1200</v>
      </c>
      <c r="O14" s="75">
        <f>SUM(J14*N14)</f>
        <v>288947.99999999994</v>
      </c>
      <c r="P14" s="79"/>
    </row>
    <row r="15" spans="1:16" ht="15">
      <c r="A15" s="76"/>
      <c r="B15" s="76"/>
      <c r="C15" s="76"/>
      <c r="D15" s="76"/>
      <c r="E15" s="76"/>
      <c r="F15" s="76"/>
      <c r="G15" s="76"/>
      <c r="H15" s="82"/>
      <c r="I15" s="77"/>
      <c r="J15" s="77"/>
      <c r="K15" s="78"/>
      <c r="L15" s="79"/>
      <c r="M15" s="79"/>
      <c r="N15" s="79"/>
      <c r="O15" s="79"/>
      <c r="P15" s="79"/>
    </row>
    <row r="16" spans="1:16" ht="375">
      <c r="A16" s="80">
        <v>2.4</v>
      </c>
      <c r="B16" s="80" t="s">
        <v>107</v>
      </c>
      <c r="C16" s="80" t="s">
        <v>102</v>
      </c>
      <c r="D16" s="80" t="s">
        <v>111</v>
      </c>
      <c r="E16" s="80" t="s">
        <v>112</v>
      </c>
      <c r="F16" s="81" t="s">
        <v>110</v>
      </c>
      <c r="G16" s="82" t="s">
        <v>105</v>
      </c>
      <c r="H16" s="82">
        <v>408.29999999999995</v>
      </c>
      <c r="I16" s="77">
        <f>10*3.6</f>
        <v>36</v>
      </c>
      <c r="J16" s="31">
        <f>SUM(H16:I16)</f>
        <v>444.29999999999995</v>
      </c>
      <c r="K16" s="78"/>
      <c r="L16" s="79"/>
      <c r="M16" s="79"/>
      <c r="N16" s="75">
        <v>1165</v>
      </c>
      <c r="O16" s="75">
        <f>SUM(J16*N16)</f>
        <v>517609.49999999994</v>
      </c>
      <c r="P16" s="79"/>
    </row>
    <row r="17" spans="1:16" ht="15">
      <c r="A17" s="80"/>
      <c r="B17" s="80"/>
      <c r="C17" s="80"/>
      <c r="D17" s="80"/>
      <c r="E17" s="80"/>
      <c r="F17" s="81"/>
      <c r="G17" s="82"/>
      <c r="H17" s="82"/>
      <c r="I17" s="77"/>
      <c r="J17" s="77"/>
      <c r="K17" s="78"/>
      <c r="L17" s="79"/>
      <c r="M17" s="79"/>
      <c r="N17" s="79"/>
      <c r="O17" s="79"/>
      <c r="P17" s="79"/>
    </row>
    <row r="18" spans="1:16" ht="165">
      <c r="A18" s="80">
        <v>2.5</v>
      </c>
      <c r="B18" s="80" t="s">
        <v>113</v>
      </c>
      <c r="C18" s="80" t="s">
        <v>102</v>
      </c>
      <c r="D18" s="80" t="s">
        <v>114</v>
      </c>
      <c r="E18" s="80" t="s">
        <v>115</v>
      </c>
      <c r="F18" s="81" t="s">
        <v>116</v>
      </c>
      <c r="G18" s="82" t="s">
        <v>105</v>
      </c>
      <c r="H18" s="82">
        <f>70+21+20</f>
        <v>111</v>
      </c>
      <c r="I18" s="77">
        <f>20</f>
        <v>20</v>
      </c>
      <c r="J18" s="31">
        <f>SUM(H18:I18)</f>
        <v>131</v>
      </c>
      <c r="K18" s="78"/>
      <c r="L18" s="83">
        <f>SUM(H18*K18)</f>
        <v>0</v>
      </c>
      <c r="M18" s="79"/>
      <c r="N18" s="75">
        <v>1914</v>
      </c>
      <c r="O18" s="75">
        <f>SUM(J18*N18)</f>
        <v>250734</v>
      </c>
      <c r="P18" s="79"/>
    </row>
    <row r="19" spans="1:16" ht="15">
      <c r="A19" s="84"/>
      <c r="B19" s="84"/>
      <c r="C19" s="84"/>
      <c r="D19" s="84"/>
      <c r="E19" s="84"/>
      <c r="F19" s="85"/>
      <c r="G19" s="86"/>
      <c r="H19" s="86"/>
      <c r="I19" s="87"/>
      <c r="J19" s="87"/>
      <c r="K19" s="88"/>
      <c r="L19" s="89"/>
      <c r="M19" s="89"/>
      <c r="N19" s="89"/>
      <c r="O19" s="89"/>
      <c r="P19" s="89"/>
    </row>
    <row r="20" spans="1:16" ht="13.5" thickBot="1">
      <c r="A20" s="90"/>
      <c r="B20" s="91"/>
      <c r="C20" s="91"/>
      <c r="D20" s="91"/>
      <c r="E20" s="91"/>
      <c r="F20" s="47"/>
      <c r="G20" s="47"/>
      <c r="H20" s="406"/>
      <c r="I20" s="92"/>
      <c r="J20" s="92"/>
      <c r="K20" s="93"/>
      <c r="L20" s="93"/>
      <c r="M20" s="93"/>
      <c r="N20" s="93"/>
      <c r="O20" s="93"/>
      <c r="P20" s="93"/>
    </row>
    <row r="21" spans="1:16" ht="13.5" thickBot="1">
      <c r="A21" s="39" t="s">
        <v>17</v>
      </c>
      <c r="B21" s="95"/>
      <c r="C21" s="95"/>
      <c r="D21" s="95"/>
      <c r="E21" s="95"/>
      <c r="F21" s="96" t="s">
        <v>24</v>
      </c>
      <c r="G21" s="95"/>
      <c r="H21" s="413"/>
      <c r="I21" s="97"/>
      <c r="J21" s="97"/>
      <c r="K21" s="98"/>
      <c r="L21" s="98"/>
      <c r="M21" s="98"/>
      <c r="N21" s="98"/>
      <c r="O21" s="98"/>
      <c r="P21" s="99"/>
    </row>
    <row r="22" spans="1:16">
      <c r="A22" s="100"/>
      <c r="B22" s="101"/>
      <c r="C22" s="101"/>
      <c r="D22" s="101"/>
      <c r="E22" s="101"/>
      <c r="F22" s="102"/>
      <c r="G22" s="101"/>
      <c r="H22" s="408"/>
      <c r="I22" s="103"/>
      <c r="J22" s="103"/>
      <c r="K22" s="104"/>
      <c r="L22" s="104"/>
      <c r="M22" s="104"/>
      <c r="N22" s="104"/>
      <c r="O22" s="104"/>
      <c r="P22" s="104"/>
    </row>
    <row r="23" spans="1:16" ht="25.5">
      <c r="A23" s="4">
        <v>3.1</v>
      </c>
      <c r="B23" s="19"/>
      <c r="C23" s="19"/>
      <c r="D23" s="12" t="s">
        <v>6</v>
      </c>
      <c r="E23" s="19" t="s">
        <v>26</v>
      </c>
      <c r="F23" s="29" t="s">
        <v>117</v>
      </c>
      <c r="G23" s="19" t="s">
        <v>25</v>
      </c>
      <c r="H23" s="409">
        <v>80</v>
      </c>
      <c r="I23" s="30">
        <f>20</f>
        <v>20</v>
      </c>
      <c r="J23" s="31">
        <f>SUM(H23:I23)</f>
        <v>100</v>
      </c>
      <c r="K23" s="32"/>
      <c r="L23" s="33"/>
      <c r="M23" s="33"/>
      <c r="N23" s="75">
        <v>12006</v>
      </c>
      <c r="O23" s="75">
        <f>SUM(J23*N23)</f>
        <v>1200600</v>
      </c>
      <c r="P23" s="33"/>
    </row>
    <row r="24" spans="1:16" ht="151.5" customHeight="1">
      <c r="A24" s="4"/>
      <c r="B24" s="19"/>
      <c r="C24" s="19"/>
      <c r="D24" s="19"/>
      <c r="E24" s="19"/>
      <c r="F24" s="561" t="s">
        <v>208</v>
      </c>
      <c r="G24" s="19"/>
      <c r="H24" s="409"/>
      <c r="I24" s="30"/>
      <c r="J24" s="30"/>
      <c r="K24" s="32"/>
      <c r="L24" s="33"/>
      <c r="M24" s="33"/>
      <c r="N24" s="33"/>
      <c r="O24" s="33"/>
      <c r="P24" s="33" t="s">
        <v>710</v>
      </c>
    </row>
    <row r="25" spans="1:16">
      <c r="A25" s="4"/>
      <c r="B25" s="19"/>
      <c r="C25" s="19"/>
      <c r="D25" s="19"/>
      <c r="E25" s="19"/>
      <c r="F25" s="13"/>
      <c r="G25" s="19"/>
      <c r="H25" s="409"/>
      <c r="I25" s="30"/>
      <c r="J25" s="30"/>
      <c r="K25" s="32"/>
      <c r="L25" s="33"/>
      <c r="M25" s="33"/>
      <c r="N25" s="33"/>
      <c r="O25" s="33"/>
      <c r="P25" s="33"/>
    </row>
    <row r="26" spans="1:16">
      <c r="A26" s="4"/>
      <c r="B26" s="19"/>
      <c r="C26" s="19"/>
      <c r="D26" s="19"/>
      <c r="E26" s="19"/>
      <c r="F26" s="13"/>
      <c r="G26" s="19"/>
      <c r="H26" s="409"/>
      <c r="I26" s="30"/>
      <c r="J26" s="30"/>
      <c r="K26" s="32"/>
      <c r="L26" s="33"/>
      <c r="M26" s="33"/>
      <c r="N26" s="33"/>
      <c r="O26" s="33"/>
      <c r="P26" s="33"/>
    </row>
    <row r="27" spans="1:16" ht="15">
      <c r="A27" s="105">
        <v>3.2</v>
      </c>
      <c r="B27" s="106" t="s">
        <v>118</v>
      </c>
      <c r="C27" s="107" t="s">
        <v>102</v>
      </c>
      <c r="D27" s="107" t="s">
        <v>119</v>
      </c>
      <c r="E27" s="106" t="s">
        <v>120</v>
      </c>
      <c r="F27" s="108" t="s">
        <v>121</v>
      </c>
      <c r="G27" s="19" t="s">
        <v>25</v>
      </c>
      <c r="H27" s="409">
        <v>25</v>
      </c>
      <c r="I27" s="30">
        <v>0</v>
      </c>
      <c r="J27" s="31">
        <f>SUM(H27:I27)</f>
        <v>25</v>
      </c>
      <c r="K27" s="32"/>
      <c r="L27" s="33"/>
      <c r="M27" s="33"/>
      <c r="N27" s="75">
        <v>3066</v>
      </c>
      <c r="O27" s="75">
        <f>SUM(J27*N27)</f>
        <v>76650</v>
      </c>
      <c r="P27" s="33"/>
    </row>
    <row r="28" spans="1:16" ht="182.25" customHeight="1">
      <c r="A28" s="4"/>
      <c r="B28" s="19"/>
      <c r="C28" s="19"/>
      <c r="D28" s="19"/>
      <c r="E28" s="19"/>
      <c r="F28" s="109" t="s">
        <v>122</v>
      </c>
      <c r="G28" s="19"/>
      <c r="H28" s="409"/>
      <c r="I28" s="30"/>
      <c r="J28" s="30"/>
      <c r="K28" s="32"/>
      <c r="L28" s="33"/>
      <c r="M28" s="33"/>
      <c r="N28" s="33"/>
      <c r="O28" s="33"/>
      <c r="P28" s="33"/>
    </row>
    <row r="29" spans="1:16">
      <c r="A29" s="4"/>
      <c r="B29" s="19"/>
      <c r="C29" s="19"/>
      <c r="D29" s="19"/>
      <c r="E29" s="19"/>
      <c r="F29" s="13"/>
      <c r="G29" s="19"/>
      <c r="H29" s="409"/>
      <c r="I29" s="30"/>
      <c r="J29" s="30"/>
      <c r="K29" s="32"/>
      <c r="L29" s="33"/>
      <c r="M29" s="33"/>
      <c r="N29" s="33"/>
      <c r="O29" s="33"/>
      <c r="P29" s="33"/>
    </row>
    <row r="30" spans="1:16" ht="25.5">
      <c r="A30" s="4">
        <v>3.3</v>
      </c>
      <c r="B30" s="19"/>
      <c r="C30" s="19"/>
      <c r="D30" s="12" t="s">
        <v>27</v>
      </c>
      <c r="E30" s="19" t="s">
        <v>86</v>
      </c>
      <c r="F30" s="29" t="s">
        <v>87</v>
      </c>
      <c r="G30" s="19" t="s">
        <v>25</v>
      </c>
      <c r="H30" s="409">
        <v>40</v>
      </c>
      <c r="I30" s="30">
        <f>(4+2)*3.6</f>
        <v>21.6</v>
      </c>
      <c r="J30" s="31">
        <f>SUM(H30:I30)</f>
        <v>61.6</v>
      </c>
      <c r="K30" s="32"/>
      <c r="L30" s="33"/>
      <c r="M30" s="33"/>
      <c r="N30" s="75">
        <v>8658</v>
      </c>
      <c r="O30" s="75">
        <f>SUM(J30*N30)</f>
        <v>533332.80000000005</v>
      </c>
      <c r="P30" s="33"/>
    </row>
    <row r="31" spans="1:16" ht="102">
      <c r="A31" s="4"/>
      <c r="B31" s="19"/>
      <c r="C31" s="19"/>
      <c r="D31" s="19"/>
      <c r="E31" s="19"/>
      <c r="F31" s="561" t="s">
        <v>209</v>
      </c>
      <c r="G31" s="19"/>
      <c r="H31" s="409"/>
      <c r="I31" s="30"/>
      <c r="J31" s="30"/>
      <c r="K31" s="32"/>
      <c r="L31" s="33"/>
      <c r="M31" s="33"/>
      <c r="N31" s="33"/>
      <c r="O31" s="33"/>
      <c r="P31" s="33" t="s">
        <v>710</v>
      </c>
    </row>
    <row r="32" spans="1:16">
      <c r="A32" s="4"/>
      <c r="B32" s="19"/>
      <c r="C32" s="19"/>
      <c r="D32" s="19"/>
      <c r="E32" s="19"/>
      <c r="F32" s="13"/>
      <c r="G32" s="19"/>
      <c r="H32" s="409"/>
      <c r="I32" s="30"/>
      <c r="J32" s="30"/>
      <c r="K32" s="32"/>
      <c r="L32" s="33"/>
      <c r="M32" s="33"/>
      <c r="N32" s="33"/>
      <c r="O32" s="33"/>
      <c r="P32" s="33"/>
    </row>
    <row r="33" spans="1:16">
      <c r="A33" s="4"/>
      <c r="B33" s="19"/>
      <c r="C33" s="19"/>
      <c r="D33" s="19"/>
      <c r="E33" s="19"/>
      <c r="F33" s="13"/>
      <c r="G33" s="19"/>
      <c r="H33" s="409"/>
      <c r="I33" s="30"/>
      <c r="J33" s="30"/>
      <c r="K33" s="32"/>
      <c r="L33" s="33"/>
      <c r="M33" s="33"/>
      <c r="N33" s="33"/>
      <c r="O33" s="33"/>
      <c r="P33" s="33"/>
    </row>
    <row r="34" spans="1:16" ht="25.5">
      <c r="A34" s="4">
        <v>3.4</v>
      </c>
      <c r="B34" s="19"/>
      <c r="C34" s="19"/>
      <c r="D34" s="12" t="s">
        <v>27</v>
      </c>
      <c r="E34" s="19" t="s">
        <v>86</v>
      </c>
      <c r="F34" s="29" t="s">
        <v>123</v>
      </c>
      <c r="G34" s="19" t="s">
        <v>25</v>
      </c>
      <c r="H34" s="409">
        <v>10</v>
      </c>
      <c r="I34" s="30">
        <f>4.5*3.6</f>
        <v>16.2</v>
      </c>
      <c r="J34" s="31">
        <f>SUM(H34:I34)</f>
        <v>26.2</v>
      </c>
      <c r="K34" s="32"/>
      <c r="L34" s="33"/>
      <c r="M34" s="33"/>
      <c r="N34" s="75">
        <v>50574</v>
      </c>
      <c r="O34" s="75">
        <f>SUM(J34*N34)</f>
        <v>1325038.8</v>
      </c>
      <c r="P34" s="33"/>
    </row>
    <row r="35" spans="1:16" ht="140.25">
      <c r="A35" s="4"/>
      <c r="B35" s="19"/>
      <c r="C35" s="19"/>
      <c r="D35" s="19"/>
      <c r="E35" s="19"/>
      <c r="F35" s="561" t="s">
        <v>210</v>
      </c>
      <c r="G35" s="19"/>
      <c r="H35" s="409"/>
      <c r="I35" s="30"/>
      <c r="J35" s="30"/>
      <c r="K35" s="32"/>
      <c r="L35" s="33"/>
      <c r="M35" s="33"/>
      <c r="N35" s="33"/>
      <c r="O35" s="33"/>
      <c r="P35" s="33" t="s">
        <v>721</v>
      </c>
    </row>
    <row r="36" spans="1:16">
      <c r="A36" s="4"/>
      <c r="B36" s="19"/>
      <c r="C36" s="19"/>
      <c r="D36" s="19"/>
      <c r="E36" s="19"/>
      <c r="F36" s="13"/>
      <c r="G36" s="19"/>
      <c r="H36" s="409"/>
      <c r="I36" s="30"/>
      <c r="J36" s="30"/>
      <c r="K36" s="32"/>
      <c r="L36" s="33"/>
      <c r="M36" s="33"/>
      <c r="N36" s="33"/>
      <c r="O36" s="33"/>
      <c r="P36" s="33"/>
    </row>
    <row r="37" spans="1:16" ht="15">
      <c r="A37" s="4">
        <v>3.5</v>
      </c>
      <c r="B37" s="19"/>
      <c r="C37" s="19"/>
      <c r="D37" s="12" t="s">
        <v>27</v>
      </c>
      <c r="E37" s="19" t="s">
        <v>124</v>
      </c>
      <c r="F37" s="29" t="s">
        <v>125</v>
      </c>
      <c r="G37" s="19" t="s">
        <v>126</v>
      </c>
      <c r="H37" s="409">
        <v>1</v>
      </c>
      <c r="I37" s="30">
        <v>1</v>
      </c>
      <c r="J37" s="31">
        <f>SUM(H37:I37)</f>
        <v>2</v>
      </c>
      <c r="K37" s="32"/>
      <c r="L37" s="33"/>
      <c r="M37" s="33"/>
      <c r="N37" s="75">
        <v>159945</v>
      </c>
      <c r="O37" s="75">
        <f>SUM(J37*N37)</f>
        <v>319890</v>
      </c>
      <c r="P37" s="33"/>
    </row>
    <row r="38" spans="1:16" ht="191.25">
      <c r="A38" s="4"/>
      <c r="B38" s="19"/>
      <c r="C38" s="19"/>
      <c r="D38" s="19"/>
      <c r="E38" s="19"/>
      <c r="F38" s="561" t="s">
        <v>580</v>
      </c>
      <c r="G38" s="19"/>
      <c r="H38" s="409"/>
      <c r="I38" s="30"/>
      <c r="J38" s="30"/>
      <c r="K38" s="32"/>
      <c r="L38" s="33"/>
      <c r="M38" s="33"/>
      <c r="N38" s="33"/>
      <c r="O38" s="33"/>
      <c r="P38" s="33" t="s">
        <v>722</v>
      </c>
    </row>
    <row r="39" spans="1:16">
      <c r="A39" s="4"/>
      <c r="B39" s="19"/>
      <c r="C39" s="19"/>
      <c r="D39" s="19"/>
      <c r="E39" s="19"/>
      <c r="F39" s="561"/>
      <c r="G39" s="19"/>
      <c r="H39" s="409"/>
      <c r="I39" s="30"/>
      <c r="J39" s="30"/>
      <c r="K39" s="32"/>
      <c r="L39" s="33"/>
      <c r="M39" s="33"/>
      <c r="N39" s="33"/>
      <c r="O39" s="33"/>
      <c r="P39" s="33"/>
    </row>
    <row r="40" spans="1:16" ht="15">
      <c r="A40" s="105">
        <v>3.6</v>
      </c>
      <c r="B40" s="106" t="s">
        <v>118</v>
      </c>
      <c r="C40" s="107" t="s">
        <v>102</v>
      </c>
      <c r="D40" s="107" t="s">
        <v>127</v>
      </c>
      <c r="E40" s="106" t="s">
        <v>128</v>
      </c>
      <c r="F40" s="108" t="s">
        <v>129</v>
      </c>
      <c r="G40" s="19" t="s">
        <v>28</v>
      </c>
      <c r="H40" s="409">
        <v>40</v>
      </c>
      <c r="I40" s="30">
        <v>0</v>
      </c>
      <c r="J40" s="31">
        <f>SUM(H40:I40)</f>
        <v>40</v>
      </c>
      <c r="K40" s="32"/>
      <c r="L40" s="33"/>
      <c r="M40" s="33"/>
      <c r="N40" s="75">
        <v>828</v>
      </c>
      <c r="O40" s="75">
        <f>SUM(J40*N40)</f>
        <v>33120</v>
      </c>
      <c r="P40" s="33"/>
    </row>
    <row r="41" spans="1:16" ht="126.75" customHeight="1">
      <c r="A41" s="4"/>
      <c r="B41" s="19"/>
      <c r="C41" s="19"/>
      <c r="D41" s="19"/>
      <c r="E41" s="19"/>
      <c r="F41" s="109" t="s">
        <v>130</v>
      </c>
      <c r="G41" s="19"/>
      <c r="H41" s="409"/>
      <c r="I41" s="30"/>
      <c r="J41" s="30"/>
      <c r="K41" s="32"/>
      <c r="L41" s="33"/>
      <c r="M41" s="33"/>
      <c r="N41" s="33"/>
      <c r="O41" s="33"/>
      <c r="P41" s="33"/>
    </row>
    <row r="42" spans="1:16" ht="13.5" thickBot="1">
      <c r="A42" s="110"/>
      <c r="B42" s="111"/>
      <c r="C42" s="111"/>
      <c r="D42" s="111"/>
      <c r="E42" s="111"/>
      <c r="F42" s="112"/>
      <c r="G42" s="111"/>
      <c r="H42" s="410"/>
      <c r="I42" s="113"/>
      <c r="J42" s="113"/>
      <c r="K42" s="114"/>
      <c r="L42" s="115"/>
      <c r="M42" s="115"/>
      <c r="N42" s="115"/>
      <c r="O42" s="115"/>
      <c r="P42" s="115"/>
    </row>
    <row r="43" spans="1:16" ht="13.5" thickBot="1">
      <c r="A43" s="39" t="s">
        <v>11</v>
      </c>
      <c r="B43" s="117"/>
      <c r="C43" s="117"/>
      <c r="D43" s="117"/>
      <c r="E43" s="117"/>
      <c r="F43" s="96" t="s">
        <v>18</v>
      </c>
      <c r="G43" s="41"/>
      <c r="H43" s="407"/>
      <c r="I43" s="116"/>
      <c r="J43" s="116"/>
      <c r="K43" s="56"/>
      <c r="L43" s="117"/>
      <c r="M43" s="117"/>
      <c r="N43" s="120"/>
      <c r="O43" s="120"/>
      <c r="P43" s="121"/>
    </row>
    <row r="44" spans="1:16">
      <c r="A44" s="100"/>
      <c r="B44" s="122"/>
      <c r="C44" s="122"/>
      <c r="D44" s="122"/>
      <c r="E44" s="122"/>
      <c r="F44" s="102"/>
      <c r="G44" s="101"/>
      <c r="H44" s="408"/>
      <c r="I44" s="103"/>
      <c r="J44" s="103"/>
      <c r="K44" s="104"/>
      <c r="L44" s="122"/>
      <c r="M44" s="122"/>
      <c r="N44" s="122"/>
      <c r="O44" s="122"/>
      <c r="P44" s="122"/>
    </row>
    <row r="45" spans="1:16" ht="15">
      <c r="A45" s="4">
        <v>4.0999999999999996</v>
      </c>
      <c r="B45" s="33"/>
      <c r="C45" s="33"/>
      <c r="D45" s="21" t="s">
        <v>10</v>
      </c>
      <c r="E45" s="34" t="s">
        <v>54</v>
      </c>
      <c r="F45" s="35" t="s">
        <v>88</v>
      </c>
      <c r="G45" s="19" t="s">
        <v>25</v>
      </c>
      <c r="H45" s="409">
        <v>108</v>
      </c>
      <c r="I45" s="30">
        <f>20</f>
        <v>20</v>
      </c>
      <c r="J45" s="31">
        <f>SUM(H45:I45)</f>
        <v>128</v>
      </c>
      <c r="K45" s="32"/>
      <c r="L45" s="33"/>
      <c r="M45" s="33"/>
      <c r="N45" s="75">
        <v>12552</v>
      </c>
      <c r="O45" s="75">
        <f>SUM(J45*N45)</f>
        <v>1606656</v>
      </c>
      <c r="P45" s="33"/>
    </row>
    <row r="46" spans="1:16" ht="180">
      <c r="A46" s="4"/>
      <c r="B46" s="33"/>
      <c r="C46" s="33"/>
      <c r="D46" s="33"/>
      <c r="E46" s="19"/>
      <c r="F46" s="36" t="s">
        <v>89</v>
      </c>
      <c r="G46" s="19"/>
      <c r="H46" s="409"/>
      <c r="I46" s="30"/>
      <c r="J46" s="30"/>
      <c r="K46" s="32"/>
      <c r="L46" s="33"/>
      <c r="M46" s="33"/>
      <c r="N46" s="33"/>
      <c r="O46" s="33"/>
      <c r="P46" s="33"/>
    </row>
    <row r="47" spans="1:16">
      <c r="A47" s="4"/>
      <c r="B47" s="33"/>
      <c r="C47" s="33"/>
      <c r="D47" s="33"/>
      <c r="E47" s="33"/>
      <c r="F47" s="13"/>
      <c r="G47" s="19"/>
      <c r="H47" s="409"/>
      <c r="I47" s="30"/>
      <c r="J47" s="30"/>
      <c r="K47" s="32"/>
      <c r="L47" s="33"/>
      <c r="M47" s="33"/>
      <c r="N47" s="33"/>
      <c r="O47" s="33"/>
      <c r="P47" s="33"/>
    </row>
    <row r="48" spans="1:16">
      <c r="A48" s="4"/>
      <c r="B48" s="33"/>
      <c r="C48" s="33"/>
      <c r="D48" s="33"/>
      <c r="E48" s="33"/>
      <c r="F48" s="13"/>
      <c r="G48" s="19"/>
      <c r="H48" s="409"/>
      <c r="I48" s="30"/>
      <c r="J48" s="30"/>
      <c r="K48" s="32"/>
      <c r="L48" s="33"/>
      <c r="M48" s="33"/>
      <c r="N48" s="33"/>
      <c r="O48" s="33"/>
      <c r="P48" s="33"/>
    </row>
    <row r="49" spans="1:16" ht="25.5">
      <c r="A49" s="4">
        <v>4.2</v>
      </c>
      <c r="B49" s="33"/>
      <c r="C49" s="33"/>
      <c r="D49" s="21" t="s">
        <v>10</v>
      </c>
      <c r="E49" s="34" t="s">
        <v>131</v>
      </c>
      <c r="F49" s="35" t="s">
        <v>132</v>
      </c>
      <c r="G49" s="19" t="s">
        <v>25</v>
      </c>
      <c r="H49" s="409">
        <v>5</v>
      </c>
      <c r="I49" s="30"/>
      <c r="J49" s="31">
        <f>SUM(H49:I49)</f>
        <v>5</v>
      </c>
      <c r="K49" s="32"/>
      <c r="L49" s="33"/>
      <c r="M49" s="33"/>
      <c r="N49" s="75">
        <v>17364</v>
      </c>
      <c r="O49" s="75">
        <f>SUM(J49*N49)</f>
        <v>86820</v>
      </c>
      <c r="P49" s="33"/>
    </row>
    <row r="50" spans="1:16" ht="145.5" customHeight="1">
      <c r="A50" s="4"/>
      <c r="B50" s="33"/>
      <c r="C50" s="33"/>
      <c r="D50" s="33"/>
      <c r="E50" s="19"/>
      <c r="F50" s="561" t="s">
        <v>133</v>
      </c>
      <c r="G50" s="19"/>
      <c r="H50" s="409"/>
      <c r="I50" s="30"/>
      <c r="J50" s="30"/>
      <c r="K50" s="32"/>
      <c r="L50" s="33"/>
      <c r="M50" s="33"/>
      <c r="N50" s="33"/>
      <c r="O50" s="33"/>
      <c r="P50" s="33" t="s">
        <v>711</v>
      </c>
    </row>
    <row r="51" spans="1:16">
      <c r="A51" s="4"/>
      <c r="B51" s="33"/>
      <c r="C51" s="33"/>
      <c r="D51" s="33"/>
      <c r="E51" s="33"/>
      <c r="F51" s="13"/>
      <c r="G51" s="19"/>
      <c r="H51" s="409"/>
      <c r="I51" s="30"/>
      <c r="J51" s="30"/>
      <c r="K51" s="32"/>
      <c r="L51" s="33"/>
      <c r="M51" s="33"/>
      <c r="N51" s="33"/>
      <c r="O51" s="33"/>
      <c r="P51" s="33"/>
    </row>
    <row r="52" spans="1:16">
      <c r="A52" s="4"/>
      <c r="B52" s="33"/>
      <c r="C52" s="33"/>
      <c r="D52" s="33"/>
      <c r="E52" s="33"/>
      <c r="F52" s="13"/>
      <c r="G52" s="19"/>
      <c r="H52" s="409"/>
      <c r="I52" s="30"/>
      <c r="J52" s="30"/>
      <c r="K52" s="32"/>
      <c r="L52" s="33"/>
      <c r="M52" s="33"/>
      <c r="N52" s="33"/>
      <c r="O52" s="33"/>
      <c r="P52" s="33"/>
    </row>
    <row r="53" spans="1:16" ht="30">
      <c r="A53" s="4">
        <v>4.3</v>
      </c>
      <c r="B53" s="33"/>
      <c r="C53" s="33"/>
      <c r="D53" s="36" t="s">
        <v>10</v>
      </c>
      <c r="E53" s="36" t="s">
        <v>134</v>
      </c>
      <c r="F53" s="123" t="s">
        <v>135</v>
      </c>
      <c r="G53" s="124"/>
      <c r="H53" s="409"/>
      <c r="I53" s="30"/>
      <c r="J53" s="30"/>
      <c r="K53" s="32"/>
      <c r="L53" s="33"/>
      <c r="M53" s="33"/>
      <c r="N53" s="33"/>
      <c r="O53" s="33"/>
      <c r="P53" s="33"/>
    </row>
    <row r="54" spans="1:16" ht="156.75" customHeight="1">
      <c r="A54" s="4"/>
      <c r="B54" s="33"/>
      <c r="C54" s="33"/>
      <c r="D54" s="125"/>
      <c r="E54" s="124"/>
      <c r="F54" s="36" t="s">
        <v>136</v>
      </c>
      <c r="G54" s="124"/>
      <c r="H54" s="409"/>
      <c r="I54" s="30"/>
      <c r="J54" s="30"/>
      <c r="K54" s="32"/>
      <c r="L54" s="33"/>
      <c r="M54" s="33"/>
      <c r="N54" s="33"/>
      <c r="O54" s="33"/>
      <c r="P54" s="33"/>
    </row>
    <row r="55" spans="1:16" ht="15">
      <c r="A55" s="4"/>
      <c r="B55" s="33"/>
      <c r="C55" s="33"/>
      <c r="D55" s="125"/>
      <c r="E55" s="124"/>
      <c r="F55" s="36" t="s">
        <v>137</v>
      </c>
      <c r="G55" s="124" t="s">
        <v>28</v>
      </c>
      <c r="H55" s="409">
        <v>15</v>
      </c>
      <c r="I55" s="30">
        <f>17</f>
        <v>17</v>
      </c>
      <c r="J55" s="31">
        <f t="shared" ref="J55:J56" si="0">SUM(H55:I55)</f>
        <v>32</v>
      </c>
      <c r="K55" s="32"/>
      <c r="L55" s="33"/>
      <c r="M55" s="33"/>
      <c r="N55" s="75">
        <v>1224</v>
      </c>
      <c r="O55" s="75">
        <f t="shared" ref="O55:O56" si="1">SUM(J55*N55)</f>
        <v>39168</v>
      </c>
      <c r="P55" s="33"/>
    </row>
    <row r="56" spans="1:16" ht="15">
      <c r="A56" s="4"/>
      <c r="B56" s="33"/>
      <c r="C56" s="33"/>
      <c r="D56" s="125"/>
      <c r="E56" s="124"/>
      <c r="F56" s="36" t="s">
        <v>138</v>
      </c>
      <c r="G56" s="124" t="s">
        <v>28</v>
      </c>
      <c r="H56" s="409">
        <v>30</v>
      </c>
      <c r="I56" s="30">
        <v>0</v>
      </c>
      <c r="J56" s="31">
        <f t="shared" si="0"/>
        <v>30</v>
      </c>
      <c r="K56" s="32"/>
      <c r="L56" s="33"/>
      <c r="M56" s="33"/>
      <c r="N56" s="75">
        <v>1500</v>
      </c>
      <c r="O56" s="75">
        <f t="shared" si="1"/>
        <v>45000</v>
      </c>
      <c r="P56" s="33"/>
    </row>
    <row r="57" spans="1:16" ht="15">
      <c r="A57" s="4"/>
      <c r="B57" s="33"/>
      <c r="C57" s="33"/>
      <c r="D57" s="125"/>
      <c r="E57" s="124"/>
      <c r="F57" s="36"/>
      <c r="G57" s="124"/>
      <c r="H57" s="409"/>
      <c r="I57" s="30"/>
      <c r="J57" s="30"/>
      <c r="K57" s="32"/>
      <c r="L57" s="33"/>
      <c r="M57" s="33"/>
      <c r="N57" s="33"/>
      <c r="O57" s="33"/>
      <c r="P57" s="33"/>
    </row>
    <row r="58" spans="1:16" ht="24.75" customHeight="1">
      <c r="A58" s="4">
        <v>4.4000000000000004</v>
      </c>
      <c r="B58" s="33"/>
      <c r="C58" s="33"/>
      <c r="D58" s="21" t="s">
        <v>10</v>
      </c>
      <c r="E58" s="34" t="s">
        <v>139</v>
      </c>
      <c r="F58" s="16" t="s">
        <v>29</v>
      </c>
      <c r="G58" s="19" t="s">
        <v>25</v>
      </c>
      <c r="H58" s="409">
        <v>167.4</v>
      </c>
      <c r="I58" s="30">
        <f>5*3.7+6</f>
        <v>24.5</v>
      </c>
      <c r="J58" s="31">
        <f>SUM(H58:I58)</f>
        <v>191.9</v>
      </c>
      <c r="K58" s="32"/>
      <c r="L58" s="33"/>
      <c r="M58" s="33"/>
      <c r="N58" s="75">
        <v>774</v>
      </c>
      <c r="O58" s="75">
        <f>SUM(J58*N58)</f>
        <v>148530.6</v>
      </c>
      <c r="P58" s="33"/>
    </row>
    <row r="59" spans="1:16" ht="88.5" customHeight="1">
      <c r="A59" s="4"/>
      <c r="B59" s="33"/>
      <c r="C59" s="33"/>
      <c r="D59" s="33"/>
      <c r="E59" s="33"/>
      <c r="F59" s="561" t="s">
        <v>140</v>
      </c>
      <c r="G59" s="19"/>
      <c r="H59" s="409"/>
      <c r="I59" s="30"/>
      <c r="J59" s="30"/>
      <c r="K59" s="32"/>
      <c r="L59" s="33"/>
      <c r="M59" s="33"/>
      <c r="N59" s="33"/>
      <c r="O59" s="33"/>
      <c r="P59" s="33"/>
    </row>
    <row r="60" spans="1:16" ht="13.5" thickBot="1">
      <c r="A60" s="110"/>
      <c r="B60" s="115"/>
      <c r="C60" s="115"/>
      <c r="D60" s="115"/>
      <c r="E60" s="115"/>
      <c r="F60" s="562"/>
      <c r="G60" s="111"/>
      <c r="H60" s="410"/>
      <c r="I60" s="113"/>
      <c r="J60" s="113"/>
      <c r="K60" s="114"/>
      <c r="L60" s="115"/>
      <c r="M60" s="115"/>
      <c r="N60" s="115"/>
      <c r="O60" s="115"/>
      <c r="P60" s="115"/>
    </row>
    <row r="61" spans="1:16" ht="13.5" thickBot="1">
      <c r="A61" s="39" t="s">
        <v>12</v>
      </c>
      <c r="B61" s="117"/>
      <c r="C61" s="117"/>
      <c r="D61" s="117"/>
      <c r="E61" s="117"/>
      <c r="F61" s="126" t="s">
        <v>19</v>
      </c>
      <c r="G61" s="41"/>
      <c r="H61" s="407"/>
      <c r="I61" s="116"/>
      <c r="J61" s="116"/>
      <c r="K61" s="56"/>
      <c r="L61" s="117"/>
      <c r="M61" s="117"/>
      <c r="N61" s="120"/>
      <c r="O61" s="120"/>
      <c r="P61" s="121"/>
    </row>
    <row r="62" spans="1:16">
      <c r="A62" s="100"/>
      <c r="B62" s="122"/>
      <c r="C62" s="122"/>
      <c r="D62" s="122"/>
      <c r="E62" s="122"/>
      <c r="F62" s="127"/>
      <c r="G62" s="101"/>
      <c r="H62" s="408"/>
      <c r="I62" s="103"/>
      <c r="J62" s="103"/>
      <c r="K62" s="104"/>
      <c r="L62" s="122"/>
      <c r="M62" s="122"/>
      <c r="N62" s="122"/>
      <c r="O62" s="122"/>
      <c r="P62" s="122"/>
    </row>
    <row r="63" spans="1:16" ht="25.5">
      <c r="A63" s="4">
        <v>5.0999999999999996</v>
      </c>
      <c r="B63" s="33"/>
      <c r="C63" s="33"/>
      <c r="D63" s="21" t="s">
        <v>141</v>
      </c>
      <c r="E63" s="34" t="s">
        <v>142</v>
      </c>
      <c r="F63" s="35" t="s">
        <v>143</v>
      </c>
      <c r="G63" s="19" t="s">
        <v>25</v>
      </c>
      <c r="H63" s="409">
        <v>42</v>
      </c>
      <c r="I63" s="30">
        <f>2.1*3.6</f>
        <v>7.5600000000000005</v>
      </c>
      <c r="J63" s="31">
        <f>SUM(H63:I63)</f>
        <v>49.56</v>
      </c>
      <c r="K63" s="32"/>
      <c r="L63" s="33"/>
      <c r="M63" s="33"/>
      <c r="N63" s="75">
        <v>8196</v>
      </c>
      <c r="O63" s="75">
        <f>SUM(J63*N63)</f>
        <v>406193.76</v>
      </c>
      <c r="P63" s="33"/>
    </row>
    <row r="64" spans="1:16" ht="129" customHeight="1">
      <c r="A64" s="4"/>
      <c r="B64" s="33"/>
      <c r="C64" s="33"/>
      <c r="D64" s="33"/>
      <c r="E64" s="33"/>
      <c r="F64" s="561" t="s">
        <v>144</v>
      </c>
      <c r="G64" s="19"/>
      <c r="H64" s="409"/>
      <c r="I64" s="30"/>
      <c r="J64" s="30"/>
      <c r="K64" s="32"/>
      <c r="L64" s="33"/>
      <c r="M64" s="33"/>
      <c r="N64" s="33"/>
      <c r="O64" s="33"/>
      <c r="P64" s="33"/>
    </row>
    <row r="65" spans="1:16">
      <c r="A65" s="4"/>
      <c r="B65" s="33"/>
      <c r="C65" s="33"/>
      <c r="D65" s="33"/>
      <c r="E65" s="33"/>
      <c r="F65" s="13"/>
      <c r="G65" s="19"/>
      <c r="H65" s="409"/>
      <c r="I65" s="30"/>
      <c r="J65" s="30"/>
      <c r="K65" s="32"/>
      <c r="L65" s="33"/>
      <c r="M65" s="33"/>
      <c r="N65" s="33"/>
      <c r="O65" s="33"/>
      <c r="P65" s="33"/>
    </row>
    <row r="66" spans="1:16">
      <c r="A66" s="4"/>
      <c r="B66" s="33"/>
      <c r="C66" s="33"/>
      <c r="D66" s="33"/>
      <c r="E66" s="33"/>
      <c r="F66" s="13"/>
      <c r="G66" s="19"/>
      <c r="H66" s="409"/>
      <c r="I66" s="30"/>
      <c r="J66" s="30"/>
      <c r="K66" s="32"/>
      <c r="L66" s="33"/>
      <c r="M66" s="33"/>
      <c r="N66" s="33"/>
      <c r="O66" s="33"/>
      <c r="P66" s="33"/>
    </row>
    <row r="67" spans="1:16" ht="25.5">
      <c r="A67" s="4">
        <v>5.2</v>
      </c>
      <c r="B67" s="33"/>
      <c r="C67" s="33"/>
      <c r="D67" s="21" t="s">
        <v>141</v>
      </c>
      <c r="E67" s="34" t="s">
        <v>142</v>
      </c>
      <c r="F67" s="35" t="s">
        <v>145</v>
      </c>
      <c r="G67" s="19" t="s">
        <v>25</v>
      </c>
      <c r="H67" s="409">
        <v>30.45</v>
      </c>
      <c r="I67" s="30">
        <f>3*3.6</f>
        <v>10.8</v>
      </c>
      <c r="J67" s="31">
        <f>SUM(H67:I67)</f>
        <v>41.25</v>
      </c>
      <c r="K67" s="32"/>
      <c r="L67" s="33"/>
      <c r="M67" s="33"/>
      <c r="N67" s="75">
        <v>3330</v>
      </c>
      <c r="O67" s="75">
        <f>SUM(J67*N67)</f>
        <v>137362.5</v>
      </c>
      <c r="P67" s="33"/>
    </row>
    <row r="68" spans="1:16" ht="124.5" customHeight="1">
      <c r="A68" s="4"/>
      <c r="B68" s="33"/>
      <c r="C68" s="33"/>
      <c r="D68" s="33"/>
      <c r="E68" s="33"/>
      <c r="F68" s="561" t="s">
        <v>144</v>
      </c>
      <c r="G68" s="19"/>
      <c r="H68" s="409"/>
      <c r="I68" s="30"/>
      <c r="J68" s="30"/>
      <c r="K68" s="32"/>
      <c r="L68" s="33"/>
      <c r="M68" s="33"/>
      <c r="N68" s="33"/>
      <c r="O68" s="33"/>
      <c r="P68" s="33"/>
    </row>
    <row r="69" spans="1:16">
      <c r="A69" s="4"/>
      <c r="B69" s="33"/>
      <c r="C69" s="33"/>
      <c r="D69" s="33"/>
      <c r="E69" s="33"/>
      <c r="F69" s="13"/>
      <c r="G69" s="19"/>
      <c r="H69" s="409"/>
      <c r="I69" s="30"/>
      <c r="J69" s="30"/>
      <c r="K69" s="32"/>
      <c r="L69" s="33"/>
      <c r="M69" s="33"/>
      <c r="N69" s="33"/>
      <c r="O69" s="33"/>
      <c r="P69" s="33"/>
    </row>
    <row r="70" spans="1:16">
      <c r="A70" s="4"/>
      <c r="B70" s="33"/>
      <c r="C70" s="33"/>
      <c r="D70" s="33"/>
      <c r="E70" s="33"/>
      <c r="F70" s="561"/>
      <c r="G70" s="19"/>
      <c r="H70" s="409"/>
      <c r="I70" s="30"/>
      <c r="J70" s="30"/>
      <c r="K70" s="32"/>
      <c r="L70" s="33"/>
      <c r="M70" s="33"/>
      <c r="N70" s="33"/>
      <c r="O70" s="33"/>
      <c r="P70" s="33"/>
    </row>
    <row r="71" spans="1:16">
      <c r="A71" s="4">
        <v>5.3</v>
      </c>
      <c r="B71" s="33"/>
      <c r="C71" s="33"/>
      <c r="D71" s="33" t="s">
        <v>30</v>
      </c>
      <c r="E71" s="33" t="s">
        <v>31</v>
      </c>
      <c r="F71" s="35" t="s">
        <v>84</v>
      </c>
      <c r="G71" s="19"/>
      <c r="H71" s="409"/>
      <c r="I71" s="30"/>
      <c r="J71" s="30"/>
      <c r="K71" s="32"/>
      <c r="L71" s="33"/>
      <c r="M71" s="33"/>
      <c r="N71" s="33"/>
      <c r="O71" s="33"/>
      <c r="P71" s="33"/>
    </row>
    <row r="72" spans="1:16" ht="76.5">
      <c r="A72" s="4"/>
      <c r="B72" s="33"/>
      <c r="C72" s="33"/>
      <c r="D72" s="33"/>
      <c r="E72" s="33"/>
      <c r="F72" s="561" t="s">
        <v>556</v>
      </c>
      <c r="G72" s="19"/>
      <c r="H72" s="409"/>
      <c r="I72" s="30"/>
      <c r="J72" s="30"/>
      <c r="K72" s="32"/>
      <c r="L72" s="33"/>
      <c r="M72" s="33"/>
      <c r="N72" s="33"/>
      <c r="O72" s="33"/>
      <c r="P72" s="33"/>
    </row>
    <row r="73" spans="1:16" ht="15">
      <c r="A73" s="4" t="s">
        <v>147</v>
      </c>
      <c r="B73" s="33"/>
      <c r="C73" s="33"/>
      <c r="D73" s="33"/>
      <c r="E73" s="33"/>
      <c r="F73" s="14" t="s">
        <v>557</v>
      </c>
      <c r="G73" s="19" t="s">
        <v>25</v>
      </c>
      <c r="H73" s="409">
        <v>91</v>
      </c>
      <c r="I73" s="30">
        <f>20</f>
        <v>20</v>
      </c>
      <c r="J73" s="31">
        <f t="shared" ref="J73:J76" si="2">SUM(H73:I73)</f>
        <v>111</v>
      </c>
      <c r="K73" s="18"/>
      <c r="L73" s="33"/>
      <c r="M73" s="33"/>
      <c r="N73" s="75">
        <v>3018</v>
      </c>
      <c r="O73" s="75">
        <f t="shared" ref="O73:O76" si="3">SUM(J73*N73)</f>
        <v>334998</v>
      </c>
      <c r="P73" s="33"/>
    </row>
    <row r="74" spans="1:16" ht="15">
      <c r="A74" s="4" t="s">
        <v>148</v>
      </c>
      <c r="B74" s="33"/>
      <c r="C74" s="33"/>
      <c r="D74" s="33"/>
      <c r="E74" s="33"/>
      <c r="F74" s="14" t="s">
        <v>558</v>
      </c>
      <c r="G74" s="19" t="s">
        <v>25</v>
      </c>
      <c r="H74" s="409">
        <v>5</v>
      </c>
      <c r="I74" s="30">
        <v>5</v>
      </c>
      <c r="J74" s="31">
        <f t="shared" si="2"/>
        <v>10</v>
      </c>
      <c r="K74" s="18"/>
      <c r="L74" s="33"/>
      <c r="M74" s="33"/>
      <c r="N74" s="75">
        <v>3426</v>
      </c>
      <c r="O74" s="75">
        <f t="shared" si="3"/>
        <v>34260</v>
      </c>
      <c r="P74" s="33"/>
    </row>
    <row r="75" spans="1:16" ht="15">
      <c r="A75" s="4" t="s">
        <v>149</v>
      </c>
      <c r="B75" s="33"/>
      <c r="C75" s="33"/>
      <c r="D75" s="33"/>
      <c r="E75" s="33"/>
      <c r="F75" s="14" t="s">
        <v>559</v>
      </c>
      <c r="G75" s="19" t="s">
        <v>25</v>
      </c>
      <c r="H75" s="409">
        <v>5</v>
      </c>
      <c r="I75" s="30">
        <v>5</v>
      </c>
      <c r="J75" s="31">
        <f t="shared" si="2"/>
        <v>10</v>
      </c>
      <c r="K75" s="18"/>
      <c r="L75" s="33"/>
      <c r="M75" s="33"/>
      <c r="N75" s="75">
        <v>3990</v>
      </c>
      <c r="O75" s="75">
        <f t="shared" si="3"/>
        <v>39900</v>
      </c>
      <c r="P75" s="33"/>
    </row>
    <row r="76" spans="1:16" ht="15">
      <c r="A76" s="4" t="s">
        <v>150</v>
      </c>
      <c r="B76" s="33"/>
      <c r="C76" s="33"/>
      <c r="D76" s="33"/>
      <c r="E76" s="33"/>
      <c r="F76" s="14" t="s">
        <v>560</v>
      </c>
      <c r="G76" s="19" t="s">
        <v>25</v>
      </c>
      <c r="H76" s="409">
        <v>5</v>
      </c>
      <c r="I76" s="30">
        <v>5</v>
      </c>
      <c r="J76" s="31">
        <f t="shared" si="2"/>
        <v>10</v>
      </c>
      <c r="K76" s="18"/>
      <c r="L76" s="33"/>
      <c r="M76" s="33"/>
      <c r="N76" s="75">
        <v>2040</v>
      </c>
      <c r="O76" s="75">
        <f t="shared" si="3"/>
        <v>20400</v>
      </c>
      <c r="P76" s="33"/>
    </row>
    <row r="77" spans="1:16">
      <c r="A77" s="4"/>
      <c r="B77" s="33"/>
      <c r="C77" s="33"/>
      <c r="D77" s="33"/>
      <c r="E77" s="33"/>
      <c r="F77" s="13"/>
      <c r="G77" s="19"/>
      <c r="H77" s="409"/>
      <c r="I77" s="30"/>
      <c r="J77" s="30"/>
      <c r="K77" s="32"/>
      <c r="L77" s="33"/>
      <c r="M77" s="33"/>
      <c r="N77" s="33"/>
      <c r="O77" s="33"/>
      <c r="P77" s="33"/>
    </row>
    <row r="78" spans="1:16">
      <c r="A78" s="4"/>
      <c r="B78" s="33"/>
      <c r="C78" s="33"/>
      <c r="D78" s="33"/>
      <c r="E78" s="33"/>
      <c r="F78" s="14"/>
      <c r="G78" s="19"/>
      <c r="H78" s="409"/>
      <c r="I78" s="30"/>
      <c r="J78" s="30"/>
      <c r="K78" s="32"/>
      <c r="L78" s="33"/>
      <c r="M78" s="33"/>
      <c r="N78" s="33"/>
      <c r="O78" s="33"/>
      <c r="P78" s="33"/>
    </row>
    <row r="79" spans="1:16">
      <c r="A79" s="4">
        <v>5.4</v>
      </c>
      <c r="B79" s="33"/>
      <c r="C79" s="33"/>
      <c r="D79" s="33" t="s">
        <v>30</v>
      </c>
      <c r="E79" s="33" t="s">
        <v>31</v>
      </c>
      <c r="F79" s="35" t="s">
        <v>151</v>
      </c>
      <c r="G79" s="19"/>
      <c r="H79" s="409"/>
      <c r="I79" s="30"/>
      <c r="J79" s="30"/>
      <c r="K79" s="32"/>
      <c r="L79" s="33"/>
      <c r="M79" s="33"/>
      <c r="N79" s="33"/>
      <c r="O79" s="33"/>
      <c r="P79" s="33"/>
    </row>
    <row r="80" spans="1:16" ht="63.75">
      <c r="A80" s="4"/>
      <c r="B80" s="33"/>
      <c r="C80" s="33"/>
      <c r="D80" s="33"/>
      <c r="E80" s="33"/>
      <c r="F80" s="561" t="s">
        <v>152</v>
      </c>
      <c r="G80" s="19"/>
      <c r="H80" s="409"/>
      <c r="I80" s="30"/>
      <c r="J80" s="30"/>
      <c r="K80" s="32"/>
      <c r="L80" s="33"/>
      <c r="M80" s="33"/>
      <c r="N80" s="33"/>
      <c r="O80" s="33"/>
      <c r="P80" s="33" t="s">
        <v>712</v>
      </c>
    </row>
    <row r="81" spans="1:16" ht="15">
      <c r="A81" s="4"/>
      <c r="B81" s="33"/>
      <c r="C81" s="33"/>
      <c r="D81" s="33"/>
      <c r="E81" s="33"/>
      <c r="F81" s="14" t="s">
        <v>153</v>
      </c>
      <c r="G81" s="19" t="s">
        <v>25</v>
      </c>
      <c r="H81" s="409">
        <v>49.8</v>
      </c>
      <c r="I81" s="30">
        <f>20</f>
        <v>20</v>
      </c>
      <c r="J81" s="31">
        <f t="shared" ref="J81:J82" si="4">SUM(H81:I81)</f>
        <v>69.8</v>
      </c>
      <c r="K81" s="18"/>
      <c r="L81" s="33"/>
      <c r="M81" s="33"/>
      <c r="N81" s="75">
        <v>2544</v>
      </c>
      <c r="O81" s="75">
        <f t="shared" ref="O81:O82" si="5">SUM(J81*N81)</f>
        <v>177571.19999999998</v>
      </c>
      <c r="P81" s="33"/>
    </row>
    <row r="82" spans="1:16" ht="15">
      <c r="A82" s="4"/>
      <c r="B82" s="33"/>
      <c r="C82" s="33"/>
      <c r="D82" s="33"/>
      <c r="E82" s="33"/>
      <c r="F82" s="14" t="s">
        <v>154</v>
      </c>
      <c r="G82" s="19" t="s">
        <v>25</v>
      </c>
      <c r="H82" s="409">
        <v>5</v>
      </c>
      <c r="I82" s="30">
        <v>5</v>
      </c>
      <c r="J82" s="31">
        <f t="shared" si="4"/>
        <v>10</v>
      </c>
      <c r="K82" s="18"/>
      <c r="L82" s="33"/>
      <c r="M82" s="33"/>
      <c r="N82" s="75">
        <v>2394</v>
      </c>
      <c r="O82" s="75">
        <f t="shared" si="5"/>
        <v>23940</v>
      </c>
      <c r="P82" s="33"/>
    </row>
    <row r="83" spans="1:16">
      <c r="A83" s="4"/>
      <c r="B83" s="33"/>
      <c r="C83" s="33"/>
      <c r="D83" s="33"/>
      <c r="E83" s="33"/>
      <c r="F83" s="13"/>
      <c r="G83" s="19"/>
      <c r="H83" s="409"/>
      <c r="I83" s="30"/>
      <c r="J83" s="30"/>
      <c r="K83" s="32"/>
      <c r="L83" s="33"/>
      <c r="M83" s="33"/>
      <c r="N83" s="33"/>
      <c r="O83" s="33"/>
      <c r="P83" s="33"/>
    </row>
    <row r="84" spans="1:16">
      <c r="A84" s="4"/>
      <c r="B84" s="33"/>
      <c r="C84" s="33"/>
      <c r="D84" s="33"/>
      <c r="E84" s="33"/>
      <c r="F84" s="13"/>
      <c r="G84" s="19"/>
      <c r="H84" s="409"/>
      <c r="I84" s="30"/>
      <c r="J84" s="30"/>
      <c r="K84" s="32"/>
      <c r="L84" s="33"/>
      <c r="M84" s="33"/>
      <c r="N84" s="33"/>
      <c r="O84" s="33"/>
      <c r="P84" s="33"/>
    </row>
    <row r="85" spans="1:16" ht="25.5">
      <c r="A85" s="4">
        <v>5.5</v>
      </c>
      <c r="B85" s="33"/>
      <c r="C85" s="33"/>
      <c r="D85" s="33" t="s">
        <v>155</v>
      </c>
      <c r="E85" s="33" t="s">
        <v>156</v>
      </c>
      <c r="F85" s="128" t="s">
        <v>157</v>
      </c>
      <c r="G85" s="19" t="s">
        <v>7</v>
      </c>
      <c r="H85" s="409">
        <v>49.8</v>
      </c>
      <c r="I85" s="30">
        <v>20</v>
      </c>
      <c r="J85" s="31">
        <f>SUM(H85:I85)</f>
        <v>69.8</v>
      </c>
      <c r="K85" s="18"/>
      <c r="L85" s="33"/>
      <c r="M85" s="33"/>
      <c r="N85" s="75">
        <v>18330</v>
      </c>
      <c r="O85" s="75">
        <f>SUM(J85*N85)</f>
        <v>1279434</v>
      </c>
      <c r="P85" s="33"/>
    </row>
    <row r="86" spans="1:16" ht="120.75" customHeight="1">
      <c r="A86" s="4"/>
      <c r="B86" s="33"/>
      <c r="C86" s="33"/>
      <c r="D86" s="33"/>
      <c r="E86" s="19"/>
      <c r="F86" s="129" t="s">
        <v>158</v>
      </c>
      <c r="G86" s="19"/>
      <c r="H86" s="409"/>
      <c r="I86" s="30"/>
      <c r="J86" s="30"/>
      <c r="K86" s="32"/>
      <c r="L86" s="33"/>
      <c r="M86" s="33"/>
      <c r="N86" s="33"/>
      <c r="O86" s="33"/>
      <c r="P86" s="33" t="s">
        <v>713</v>
      </c>
    </row>
    <row r="87" spans="1:16">
      <c r="A87" s="4"/>
      <c r="B87" s="33"/>
      <c r="C87" s="33"/>
      <c r="D87" s="33"/>
      <c r="E87" s="19"/>
      <c r="F87" s="13"/>
      <c r="G87" s="19"/>
      <c r="H87" s="409"/>
      <c r="I87" s="30"/>
      <c r="J87" s="30"/>
      <c r="K87" s="32"/>
      <c r="L87" s="33"/>
      <c r="M87" s="33"/>
      <c r="N87" s="33"/>
      <c r="O87" s="33"/>
      <c r="P87" s="33"/>
    </row>
    <row r="88" spans="1:16">
      <c r="A88" s="4"/>
      <c r="B88" s="33"/>
      <c r="C88" s="33"/>
      <c r="D88" s="33"/>
      <c r="E88" s="33"/>
      <c r="F88" s="561"/>
      <c r="G88" s="19"/>
      <c r="H88" s="409"/>
      <c r="I88" s="30"/>
      <c r="J88" s="30"/>
      <c r="K88" s="32"/>
      <c r="L88" s="33"/>
      <c r="M88" s="33"/>
      <c r="N88" s="33"/>
      <c r="O88" s="33"/>
      <c r="P88" s="33"/>
    </row>
    <row r="89" spans="1:16" ht="25.5">
      <c r="A89" s="4">
        <v>5.6</v>
      </c>
      <c r="B89" s="33"/>
      <c r="C89" s="33"/>
      <c r="D89" s="33" t="s">
        <v>155</v>
      </c>
      <c r="E89" s="33" t="s">
        <v>156</v>
      </c>
      <c r="F89" s="128" t="s">
        <v>159</v>
      </c>
      <c r="G89" s="19" t="s">
        <v>7</v>
      </c>
      <c r="H89" s="409">
        <v>13</v>
      </c>
      <c r="I89" s="30">
        <v>0</v>
      </c>
      <c r="J89" s="31">
        <f>SUM(H89:I89)</f>
        <v>13</v>
      </c>
      <c r="K89" s="18"/>
      <c r="L89" s="33"/>
      <c r="M89" s="33"/>
      <c r="N89" s="75">
        <v>59220</v>
      </c>
      <c r="O89" s="75">
        <f>SUM(J89*N89)</f>
        <v>769860</v>
      </c>
      <c r="P89" s="33"/>
    </row>
    <row r="90" spans="1:16" ht="140.25">
      <c r="A90" s="4"/>
      <c r="B90" s="33"/>
      <c r="C90" s="33"/>
      <c r="D90" s="33"/>
      <c r="E90" s="33"/>
      <c r="F90" s="13" t="s">
        <v>285</v>
      </c>
      <c r="G90" s="19"/>
      <c r="H90" s="409"/>
      <c r="I90" s="30"/>
      <c r="K90" s="30"/>
      <c r="L90" s="33"/>
      <c r="M90" s="33"/>
      <c r="N90" s="33"/>
      <c r="O90" s="33"/>
      <c r="P90" s="33" t="s">
        <v>714</v>
      </c>
    </row>
    <row r="91" spans="1:16">
      <c r="A91" s="4"/>
      <c r="B91" s="33"/>
      <c r="C91" s="33"/>
      <c r="D91" s="33"/>
      <c r="E91" s="33"/>
      <c r="F91" s="13"/>
      <c r="G91" s="19"/>
      <c r="H91" s="409"/>
      <c r="I91" s="30"/>
      <c r="J91" s="30"/>
      <c r="K91" s="32"/>
      <c r="L91" s="33"/>
      <c r="M91" s="33"/>
      <c r="N91" s="33"/>
      <c r="O91" s="33"/>
      <c r="P91" s="33"/>
    </row>
    <row r="92" spans="1:16">
      <c r="A92" s="4"/>
      <c r="B92" s="33"/>
      <c r="C92" s="33"/>
      <c r="D92" s="33"/>
      <c r="E92" s="33"/>
      <c r="F92" s="13"/>
      <c r="G92" s="19"/>
      <c r="H92" s="409"/>
      <c r="I92" s="30"/>
      <c r="J92" s="30"/>
      <c r="K92" s="32"/>
      <c r="L92" s="33"/>
      <c r="M92" s="33"/>
      <c r="N92" s="33"/>
      <c r="O92" s="33"/>
      <c r="P92" s="33"/>
    </row>
    <row r="93" spans="1:16" ht="15">
      <c r="A93" s="4">
        <v>5.7</v>
      </c>
      <c r="B93" s="33"/>
      <c r="C93" s="33"/>
      <c r="D93" s="33" t="s">
        <v>160</v>
      </c>
      <c r="E93" s="33" t="s">
        <v>161</v>
      </c>
      <c r="F93" s="128" t="s">
        <v>162</v>
      </c>
      <c r="G93" s="19" t="s">
        <v>163</v>
      </c>
      <c r="H93" s="409">
        <f>(1.2*3.5)*6</f>
        <v>25.200000000000003</v>
      </c>
      <c r="I93" s="30">
        <v>0</v>
      </c>
      <c r="J93" s="31">
        <f>SUM(H93:I93)</f>
        <v>25.200000000000003</v>
      </c>
      <c r="K93" s="3"/>
      <c r="L93" s="33"/>
      <c r="M93" s="33"/>
      <c r="N93" s="75">
        <v>16614</v>
      </c>
      <c r="O93" s="75">
        <f>SUM(J93*N93)</f>
        <v>418672.80000000005</v>
      </c>
      <c r="P93" s="33"/>
    </row>
    <row r="94" spans="1:16" ht="114.75">
      <c r="A94" s="130"/>
      <c r="B94" s="33"/>
      <c r="C94" s="33"/>
      <c r="D94" s="12"/>
      <c r="E94" s="21"/>
      <c r="F94" s="13" t="s">
        <v>164</v>
      </c>
      <c r="G94" s="19"/>
      <c r="H94" s="409"/>
      <c r="I94" s="30"/>
      <c r="J94" s="30"/>
      <c r="K94" s="32"/>
      <c r="L94" s="33"/>
      <c r="M94" s="33"/>
      <c r="N94" s="33"/>
      <c r="O94" s="33"/>
      <c r="P94" s="33" t="s">
        <v>715</v>
      </c>
    </row>
    <row r="95" spans="1:16">
      <c r="A95" s="130"/>
      <c r="B95" s="33"/>
      <c r="C95" s="33"/>
      <c r="D95" s="12"/>
      <c r="E95" s="21"/>
      <c r="F95" s="13"/>
      <c r="G95" s="19"/>
      <c r="H95" s="409"/>
      <c r="I95" s="30"/>
      <c r="J95" s="30"/>
      <c r="K95" s="32"/>
      <c r="L95" s="33"/>
      <c r="M95" s="33"/>
      <c r="N95" s="33"/>
      <c r="O95" s="33"/>
      <c r="P95" s="33"/>
    </row>
    <row r="96" spans="1:16">
      <c r="A96" s="130"/>
      <c r="B96" s="33"/>
      <c r="C96" s="33"/>
      <c r="D96" s="12"/>
      <c r="E96" s="21"/>
      <c r="F96" s="13"/>
      <c r="G96" s="19"/>
      <c r="H96" s="409"/>
      <c r="I96" s="30"/>
      <c r="J96" s="30"/>
      <c r="K96" s="32"/>
      <c r="L96" s="33"/>
      <c r="M96" s="33"/>
      <c r="N96" s="33"/>
      <c r="O96" s="33"/>
      <c r="P96" s="33"/>
    </row>
    <row r="97" spans="1:16" ht="15">
      <c r="A97" s="4">
        <v>5.8</v>
      </c>
      <c r="B97" s="33"/>
      <c r="C97" s="33"/>
      <c r="D97" s="33" t="s">
        <v>34</v>
      </c>
      <c r="E97" s="33" t="s">
        <v>36</v>
      </c>
      <c r="F97" s="128" t="s">
        <v>37</v>
      </c>
      <c r="G97" s="19" t="s">
        <v>28</v>
      </c>
      <c r="H97" s="409">
        <f>12+7.2</f>
        <v>19.2</v>
      </c>
      <c r="I97" s="30">
        <v>5</v>
      </c>
      <c r="J97" s="31">
        <f>SUM(H97:I97)</f>
        <v>24.2</v>
      </c>
      <c r="K97" s="3"/>
      <c r="L97" s="33"/>
      <c r="M97" s="33"/>
      <c r="N97" s="75">
        <v>1806</v>
      </c>
      <c r="O97" s="75">
        <f>SUM(J97*N97)</f>
        <v>43705.2</v>
      </c>
      <c r="P97" s="33"/>
    </row>
    <row r="98" spans="1:16" ht="25.5">
      <c r="A98" s="4"/>
      <c r="B98" s="33"/>
      <c r="C98" s="33"/>
      <c r="D98" s="33"/>
      <c r="E98" s="19"/>
      <c r="F98" s="129" t="s">
        <v>49</v>
      </c>
      <c r="G98" s="19"/>
      <c r="H98" s="409"/>
      <c r="I98" s="30"/>
      <c r="J98" s="30"/>
      <c r="K98" s="32"/>
      <c r="L98" s="33"/>
      <c r="M98" s="33"/>
      <c r="N98" s="33"/>
      <c r="O98" s="33"/>
      <c r="P98" s="33"/>
    </row>
    <row r="99" spans="1:16">
      <c r="A99" s="4"/>
      <c r="B99" s="33"/>
      <c r="C99" s="33"/>
      <c r="D99" s="33"/>
      <c r="E99" s="19"/>
      <c r="F99" s="13"/>
      <c r="G99" s="19"/>
      <c r="H99" s="409"/>
      <c r="I99" s="30"/>
      <c r="J99" s="30"/>
      <c r="K99" s="32"/>
      <c r="L99" s="33"/>
      <c r="M99" s="33"/>
      <c r="N99" s="33"/>
      <c r="O99" s="33"/>
      <c r="P99" s="33"/>
    </row>
    <row r="100" spans="1:16">
      <c r="A100" s="4"/>
      <c r="B100" s="33"/>
      <c r="C100" s="33"/>
      <c r="D100" s="33"/>
      <c r="E100" s="19"/>
      <c r="F100" s="13"/>
      <c r="G100" s="19"/>
      <c r="H100" s="409"/>
      <c r="I100" s="30"/>
      <c r="J100" s="30"/>
      <c r="K100" s="32"/>
      <c r="L100" s="33"/>
      <c r="M100" s="33"/>
      <c r="N100" s="33"/>
      <c r="O100" s="33"/>
      <c r="P100" s="33"/>
    </row>
    <row r="101" spans="1:16" ht="15">
      <c r="A101" s="4">
        <v>5.9</v>
      </c>
      <c r="B101" s="33"/>
      <c r="C101" s="33"/>
      <c r="D101" s="33" t="s">
        <v>165</v>
      </c>
      <c r="E101" s="33" t="s">
        <v>166</v>
      </c>
      <c r="F101" s="35" t="s">
        <v>167</v>
      </c>
      <c r="G101" s="19" t="s">
        <v>25</v>
      </c>
      <c r="H101" s="409">
        <f>2.6*3.5</f>
        <v>9.1</v>
      </c>
      <c r="I101" s="30">
        <f>0.5*10</f>
        <v>5</v>
      </c>
      <c r="J101" s="31">
        <f>SUM(H101:I101)</f>
        <v>14.1</v>
      </c>
      <c r="K101" s="32"/>
      <c r="L101" s="33"/>
      <c r="M101" s="33"/>
      <c r="N101" s="75">
        <v>23850</v>
      </c>
      <c r="O101" s="75">
        <f>SUM(J101*N101)</f>
        <v>336285</v>
      </c>
      <c r="P101" s="33"/>
    </row>
    <row r="102" spans="1:16" ht="25.5">
      <c r="A102" s="4"/>
      <c r="B102" s="33"/>
      <c r="C102" s="33"/>
      <c r="D102" s="33"/>
      <c r="E102" s="19"/>
      <c r="F102" s="13" t="s">
        <v>168</v>
      </c>
      <c r="G102" s="19"/>
      <c r="H102" s="409"/>
      <c r="I102" s="30"/>
      <c r="J102" s="30"/>
      <c r="K102" s="32"/>
      <c r="L102" s="33"/>
      <c r="M102" s="33"/>
      <c r="N102" s="33"/>
      <c r="O102" s="33"/>
      <c r="P102" s="33" t="s">
        <v>716</v>
      </c>
    </row>
    <row r="103" spans="1:16">
      <c r="A103" s="4"/>
      <c r="B103" s="33"/>
      <c r="C103" s="33"/>
      <c r="D103" s="33"/>
      <c r="E103" s="19"/>
      <c r="F103" s="13"/>
      <c r="G103" s="19"/>
      <c r="H103" s="409"/>
      <c r="I103" s="30"/>
      <c r="J103" s="30"/>
      <c r="K103" s="32"/>
      <c r="L103" s="33"/>
      <c r="M103" s="33"/>
      <c r="N103" s="33"/>
      <c r="O103" s="33"/>
      <c r="P103" s="33"/>
    </row>
    <row r="104" spans="1:16" ht="25.5">
      <c r="A104" s="130">
        <v>5.0999999999999996</v>
      </c>
      <c r="B104" s="33"/>
      <c r="C104" s="33"/>
      <c r="D104" s="33" t="s">
        <v>169</v>
      </c>
      <c r="E104" s="33" t="s">
        <v>170</v>
      </c>
      <c r="F104" s="35" t="s">
        <v>642</v>
      </c>
      <c r="G104" s="19" t="s">
        <v>25</v>
      </c>
      <c r="H104" s="409">
        <f>10*3.5</f>
        <v>35</v>
      </c>
      <c r="I104" s="30">
        <f>2*3.6</f>
        <v>7.2</v>
      </c>
      <c r="J104" s="31">
        <f>SUM(H104:I104)</f>
        <v>42.2</v>
      </c>
      <c r="K104" s="32"/>
      <c r="L104" s="33"/>
      <c r="M104" s="33"/>
      <c r="N104" s="75">
        <v>11292</v>
      </c>
      <c r="O104" s="75">
        <f>SUM(J104*N104)</f>
        <v>476522.4</v>
      </c>
      <c r="P104" s="33" t="s">
        <v>710</v>
      </c>
    </row>
    <row r="105" spans="1:16" ht="25.5">
      <c r="A105" s="4"/>
      <c r="B105" s="33"/>
      <c r="C105" s="33"/>
      <c r="D105" s="33"/>
      <c r="E105" s="19"/>
      <c r="F105" s="13" t="s">
        <v>171</v>
      </c>
      <c r="G105" s="19"/>
      <c r="H105" s="409"/>
      <c r="I105" s="30"/>
      <c r="J105" s="30"/>
      <c r="K105" s="32"/>
      <c r="L105" s="33"/>
      <c r="M105" s="33"/>
      <c r="N105" s="33"/>
      <c r="O105" s="33"/>
      <c r="P105" s="33"/>
    </row>
    <row r="106" spans="1:16">
      <c r="A106" s="4"/>
      <c r="B106" s="33"/>
      <c r="C106" s="33"/>
      <c r="D106" s="33"/>
      <c r="E106" s="19"/>
      <c r="F106" s="13"/>
      <c r="G106" s="19"/>
      <c r="H106" s="409"/>
      <c r="I106" s="30"/>
      <c r="J106" s="30"/>
      <c r="K106" s="32"/>
      <c r="L106" s="33"/>
      <c r="M106" s="33"/>
      <c r="N106" s="33"/>
      <c r="O106" s="33"/>
      <c r="P106" s="33"/>
    </row>
    <row r="107" spans="1:16" ht="15">
      <c r="A107" s="130">
        <v>5.1100000000000003</v>
      </c>
      <c r="B107" s="33"/>
      <c r="C107" s="33"/>
      <c r="D107" s="33" t="s">
        <v>172</v>
      </c>
      <c r="E107" s="33" t="s">
        <v>173</v>
      </c>
      <c r="F107" s="35" t="s">
        <v>174</v>
      </c>
      <c r="G107" s="19" t="s">
        <v>175</v>
      </c>
      <c r="H107" s="409">
        <v>1</v>
      </c>
      <c r="I107" s="30"/>
      <c r="J107" s="31">
        <f>SUM(H107:I107)</f>
        <v>1</v>
      </c>
      <c r="K107" s="32"/>
      <c r="L107" s="33"/>
      <c r="M107" s="33"/>
      <c r="N107" s="75">
        <v>561876</v>
      </c>
      <c r="O107" s="75">
        <f>SUM(J107*N107)</f>
        <v>561876</v>
      </c>
      <c r="P107" s="33"/>
    </row>
    <row r="108" spans="1:16" ht="38.25">
      <c r="A108" s="4"/>
      <c r="B108" s="33"/>
      <c r="C108" s="33"/>
      <c r="D108" s="33"/>
      <c r="E108" s="19"/>
      <c r="F108" s="13" t="s">
        <v>176</v>
      </c>
      <c r="G108" s="19"/>
      <c r="H108" s="409"/>
      <c r="I108" s="30"/>
      <c r="J108" s="30"/>
      <c r="K108" s="32"/>
      <c r="L108" s="33"/>
      <c r="M108" s="33"/>
      <c r="N108" s="33"/>
      <c r="O108" s="33"/>
      <c r="P108" s="33"/>
    </row>
    <row r="109" spans="1:16">
      <c r="A109" s="4"/>
      <c r="B109" s="33"/>
      <c r="C109" s="33"/>
      <c r="D109" s="33"/>
      <c r="E109" s="19"/>
      <c r="F109" s="13"/>
      <c r="G109" s="19"/>
      <c r="H109" s="409"/>
      <c r="I109" s="30"/>
      <c r="J109" s="30"/>
      <c r="K109" s="32"/>
      <c r="L109" s="33"/>
      <c r="M109" s="33"/>
      <c r="N109" s="33"/>
      <c r="O109" s="33"/>
      <c r="P109" s="33"/>
    </row>
    <row r="110" spans="1:16" ht="15">
      <c r="A110" s="130">
        <v>5.12</v>
      </c>
      <c r="B110" s="33"/>
      <c r="C110" s="33"/>
      <c r="D110" s="33" t="s">
        <v>172</v>
      </c>
      <c r="E110" s="33" t="s">
        <v>173</v>
      </c>
      <c r="F110" s="35" t="s">
        <v>177</v>
      </c>
      <c r="G110" s="19" t="s">
        <v>175</v>
      </c>
      <c r="H110" s="409"/>
      <c r="I110" s="30">
        <v>1</v>
      </c>
      <c r="J110" s="31">
        <f>SUM(H110:I110)</f>
        <v>1</v>
      </c>
      <c r="K110" s="32"/>
      <c r="L110" s="33"/>
      <c r="M110" s="33"/>
      <c r="N110" s="75">
        <v>237990</v>
      </c>
      <c r="O110" s="75">
        <f>SUM(J110*N110)</f>
        <v>237990</v>
      </c>
      <c r="P110" s="33"/>
    </row>
    <row r="111" spans="1:16" ht="38.25">
      <c r="A111" s="4"/>
      <c r="B111" s="33"/>
      <c r="C111" s="33"/>
      <c r="D111" s="33"/>
      <c r="E111" s="19"/>
      <c r="F111" s="13" t="s">
        <v>605</v>
      </c>
      <c r="G111" s="19"/>
      <c r="H111" s="409"/>
      <c r="I111" s="30"/>
      <c r="J111" s="30"/>
      <c r="K111" s="32"/>
      <c r="L111" s="33"/>
      <c r="M111" s="33"/>
      <c r="N111" s="33"/>
      <c r="O111" s="33"/>
      <c r="P111" s="33"/>
    </row>
    <row r="112" spans="1:16">
      <c r="A112" s="4"/>
      <c r="B112" s="33"/>
      <c r="C112" s="33"/>
      <c r="D112" s="33"/>
      <c r="E112" s="19"/>
      <c r="F112" s="13"/>
      <c r="G112" s="19"/>
      <c r="H112" s="409"/>
      <c r="I112" s="30"/>
      <c r="J112" s="30"/>
      <c r="K112" s="32"/>
      <c r="L112" s="33"/>
      <c r="M112" s="33"/>
      <c r="N112" s="33"/>
      <c r="O112" s="33"/>
      <c r="P112" s="33"/>
    </row>
    <row r="113" spans="1:16" ht="25.5">
      <c r="A113" s="130">
        <v>5.13</v>
      </c>
      <c r="B113" s="33"/>
      <c r="C113" s="33"/>
      <c r="D113" s="33" t="s">
        <v>178</v>
      </c>
      <c r="E113" s="33" t="s">
        <v>179</v>
      </c>
      <c r="F113" s="35" t="s">
        <v>180</v>
      </c>
      <c r="G113" s="19" t="s">
        <v>181</v>
      </c>
      <c r="H113" s="409">
        <v>2</v>
      </c>
      <c r="I113" s="30">
        <v>0</v>
      </c>
      <c r="J113" s="31">
        <f>SUM(H113:I113)</f>
        <v>2</v>
      </c>
      <c r="K113" s="18"/>
      <c r="L113" s="33"/>
      <c r="M113" s="33"/>
      <c r="N113" s="75">
        <v>109310</v>
      </c>
      <c r="O113" s="75">
        <f>SUM(J113*N113)</f>
        <v>218620</v>
      </c>
      <c r="P113" s="33"/>
    </row>
    <row r="114" spans="1:16">
      <c r="A114" s="4"/>
      <c r="B114" s="33"/>
      <c r="C114" s="33"/>
      <c r="D114" s="33"/>
      <c r="E114" s="19"/>
      <c r="F114" s="129" t="s">
        <v>182</v>
      </c>
      <c r="G114" s="19"/>
      <c r="H114" s="409"/>
      <c r="I114" s="30"/>
      <c r="J114" s="30"/>
      <c r="K114" s="32"/>
      <c r="L114" s="33"/>
      <c r="M114" s="33"/>
      <c r="N114" s="33"/>
      <c r="O114" s="33"/>
      <c r="P114" s="33"/>
    </row>
    <row r="115" spans="1:16">
      <c r="A115" s="4"/>
      <c r="B115" s="33"/>
      <c r="C115" s="33"/>
      <c r="D115" s="33"/>
      <c r="E115" s="19"/>
      <c r="F115" s="128" t="s">
        <v>183</v>
      </c>
      <c r="G115" s="19"/>
      <c r="H115" s="409"/>
      <c r="I115" s="30"/>
      <c r="J115" s="30"/>
      <c r="K115" s="32"/>
      <c r="L115" s="33"/>
      <c r="M115" s="33"/>
      <c r="N115" s="33"/>
      <c r="O115" s="33"/>
      <c r="P115" s="33"/>
    </row>
    <row r="116" spans="1:16" ht="102">
      <c r="A116" s="4"/>
      <c r="B116" s="33"/>
      <c r="C116" s="33"/>
      <c r="D116" s="33"/>
      <c r="E116" s="19"/>
      <c r="F116" s="129" t="s">
        <v>286</v>
      </c>
      <c r="G116" s="19"/>
      <c r="H116" s="409"/>
      <c r="I116" s="30"/>
      <c r="J116" s="30"/>
      <c r="K116" s="32"/>
      <c r="L116" s="33"/>
      <c r="M116" s="33"/>
      <c r="N116" s="33"/>
      <c r="O116" s="33"/>
      <c r="P116" s="33"/>
    </row>
    <row r="117" spans="1:16">
      <c r="A117" s="4"/>
      <c r="B117" s="33"/>
      <c r="C117" s="33"/>
      <c r="D117" s="33"/>
      <c r="E117" s="33"/>
      <c r="F117" s="128" t="s">
        <v>184</v>
      </c>
      <c r="G117" s="19"/>
      <c r="H117" s="409"/>
      <c r="I117" s="30"/>
      <c r="J117" s="30"/>
      <c r="K117" s="32"/>
      <c r="L117" s="33"/>
      <c r="M117" s="33"/>
      <c r="N117" s="33"/>
      <c r="O117" s="33"/>
      <c r="P117" s="33"/>
    </row>
    <row r="118" spans="1:16" ht="131.25" customHeight="1">
      <c r="A118" s="4"/>
      <c r="B118" s="33"/>
      <c r="C118" s="33"/>
      <c r="D118" s="33"/>
      <c r="E118" s="19"/>
      <c r="F118" s="561" t="s">
        <v>287</v>
      </c>
      <c r="G118" s="19"/>
      <c r="H118" s="409"/>
      <c r="I118" s="30"/>
      <c r="J118" s="30"/>
      <c r="K118" s="32"/>
      <c r="L118" s="33"/>
      <c r="M118" s="33"/>
      <c r="N118" s="33"/>
      <c r="O118" s="33"/>
      <c r="P118" s="33"/>
    </row>
    <row r="119" spans="1:16">
      <c r="A119" s="4"/>
      <c r="B119" s="33"/>
      <c r="C119" s="33"/>
      <c r="D119" s="33"/>
      <c r="E119" s="33"/>
      <c r="F119" s="128" t="s">
        <v>185</v>
      </c>
      <c r="G119" s="19"/>
      <c r="H119" s="409"/>
      <c r="I119" s="30"/>
      <c r="J119" s="30"/>
      <c r="K119" s="32"/>
      <c r="L119" s="33"/>
      <c r="M119" s="33"/>
      <c r="N119" s="33"/>
      <c r="O119" s="33"/>
      <c r="P119" s="33"/>
    </row>
    <row r="120" spans="1:16" ht="63.75">
      <c r="A120" s="4"/>
      <c r="B120" s="33"/>
      <c r="C120" s="33"/>
      <c r="D120" s="33"/>
      <c r="E120" s="19"/>
      <c r="F120" s="129" t="s">
        <v>186</v>
      </c>
      <c r="G120" s="19"/>
      <c r="H120" s="409"/>
      <c r="I120" s="30"/>
      <c r="J120" s="30"/>
      <c r="K120" s="32"/>
      <c r="L120" s="33"/>
      <c r="M120" s="33"/>
      <c r="N120" s="33"/>
      <c r="O120" s="33"/>
      <c r="P120" s="33"/>
    </row>
    <row r="121" spans="1:16">
      <c r="A121" s="4"/>
      <c r="B121" s="33"/>
      <c r="C121" s="33"/>
      <c r="D121" s="33"/>
      <c r="E121" s="33"/>
      <c r="F121" s="131"/>
      <c r="G121" s="19"/>
      <c r="H121" s="409"/>
      <c r="I121" s="30"/>
      <c r="J121" s="30"/>
      <c r="K121" s="32"/>
      <c r="L121" s="33"/>
      <c r="M121" s="33"/>
      <c r="N121" s="33"/>
      <c r="O121" s="33"/>
      <c r="P121" s="33"/>
    </row>
    <row r="122" spans="1:16">
      <c r="A122" s="4"/>
      <c r="B122" s="33"/>
      <c r="C122" s="33"/>
      <c r="D122" s="33"/>
      <c r="E122" s="33"/>
      <c r="F122" s="131"/>
      <c r="G122" s="19"/>
      <c r="H122" s="409"/>
      <c r="I122" s="30"/>
      <c r="J122" s="30"/>
      <c r="K122" s="32"/>
      <c r="L122" s="33"/>
      <c r="M122" s="33"/>
      <c r="N122" s="33"/>
      <c r="O122" s="33"/>
      <c r="P122" s="33"/>
    </row>
    <row r="123" spans="1:16" ht="25.5" customHeight="1">
      <c r="A123" s="130">
        <v>5.14</v>
      </c>
      <c r="B123" s="33"/>
      <c r="C123" s="33"/>
      <c r="D123" s="33" t="s">
        <v>178</v>
      </c>
      <c r="E123" s="21" t="s">
        <v>187</v>
      </c>
      <c r="F123" s="441" t="s">
        <v>188</v>
      </c>
      <c r="G123" s="19" t="s">
        <v>126</v>
      </c>
      <c r="H123" s="409">
        <v>1</v>
      </c>
      <c r="I123" s="30"/>
      <c r="J123" s="31">
        <f>SUM(H123:I123)</f>
        <v>1</v>
      </c>
      <c r="K123" s="19"/>
      <c r="L123" s="33"/>
      <c r="M123" s="33"/>
      <c r="N123" s="75">
        <v>149598</v>
      </c>
      <c r="O123" s="75">
        <f>SUM(J123*N123)</f>
        <v>149598</v>
      </c>
      <c r="P123" s="33"/>
    </row>
    <row r="124" spans="1:16">
      <c r="A124" s="130"/>
      <c r="B124" s="33"/>
      <c r="C124" s="33"/>
      <c r="D124" s="33"/>
      <c r="E124" s="21"/>
      <c r="F124" s="440" t="s">
        <v>189</v>
      </c>
      <c r="G124" s="19"/>
      <c r="H124" s="409"/>
      <c r="I124" s="30"/>
      <c r="J124" s="30"/>
      <c r="K124" s="32"/>
      <c r="L124" s="33"/>
      <c r="M124" s="33"/>
      <c r="N124" s="33"/>
      <c r="O124" s="33"/>
      <c r="P124" s="33"/>
    </row>
    <row r="125" spans="1:16" ht="38.25">
      <c r="A125" s="130"/>
      <c r="B125" s="33"/>
      <c r="C125" s="33"/>
      <c r="D125" s="33"/>
      <c r="E125" s="132"/>
      <c r="F125" s="440" t="s">
        <v>190</v>
      </c>
      <c r="G125" s="19"/>
      <c r="H125" s="409"/>
      <c r="I125" s="30"/>
      <c r="J125" s="30"/>
      <c r="K125" s="32"/>
      <c r="L125" s="33"/>
      <c r="M125" s="33"/>
      <c r="N125" s="33"/>
      <c r="O125" s="33"/>
      <c r="P125" s="33"/>
    </row>
    <row r="126" spans="1:16">
      <c r="A126" s="130"/>
      <c r="B126" s="33"/>
      <c r="C126" s="33"/>
      <c r="D126" s="33"/>
      <c r="E126" s="132"/>
      <c r="F126" s="440" t="s">
        <v>185</v>
      </c>
      <c r="G126" s="19"/>
      <c r="H126" s="409"/>
      <c r="I126" s="30"/>
      <c r="J126" s="30"/>
      <c r="K126" s="32"/>
      <c r="L126" s="33"/>
      <c r="M126" s="33"/>
      <c r="N126" s="33"/>
      <c r="O126" s="33"/>
      <c r="P126" s="33"/>
    </row>
    <row r="127" spans="1:16" ht="73.5" customHeight="1">
      <c r="A127" s="130"/>
      <c r="B127" s="33"/>
      <c r="C127" s="33"/>
      <c r="D127" s="33"/>
      <c r="E127" s="132"/>
      <c r="F127" s="440" t="s">
        <v>191</v>
      </c>
      <c r="G127" s="19"/>
      <c r="H127" s="409"/>
      <c r="I127" s="30"/>
      <c r="J127" s="30"/>
      <c r="K127" s="32"/>
      <c r="L127" s="33"/>
      <c r="M127" s="33"/>
      <c r="N127" s="33"/>
      <c r="O127" s="33"/>
      <c r="P127" s="33"/>
    </row>
    <row r="128" spans="1:16">
      <c r="A128" s="130"/>
      <c r="B128" s="33"/>
      <c r="C128" s="33"/>
      <c r="D128" s="33"/>
      <c r="E128" s="132"/>
      <c r="F128" s="563"/>
      <c r="G128" s="19"/>
      <c r="H128" s="409"/>
      <c r="I128" s="30"/>
      <c r="J128" s="30"/>
      <c r="K128" s="32"/>
      <c r="L128" s="33"/>
      <c r="M128" s="33"/>
      <c r="N128" s="33"/>
      <c r="O128" s="33"/>
      <c r="P128" s="33"/>
    </row>
    <row r="129" spans="1:16">
      <c r="A129" s="133"/>
      <c r="B129" s="115"/>
      <c r="C129" s="115"/>
      <c r="D129" s="115"/>
      <c r="E129" s="134"/>
      <c r="F129" s="564"/>
      <c r="G129" s="111"/>
      <c r="H129" s="410"/>
      <c r="I129" s="113"/>
      <c r="J129" s="113"/>
      <c r="K129" s="114"/>
      <c r="L129" s="115"/>
      <c r="M129" s="115"/>
      <c r="N129" s="115"/>
      <c r="O129" s="115"/>
      <c r="P129" s="115"/>
    </row>
    <row r="130" spans="1:16" ht="15">
      <c r="A130" s="130">
        <v>5.15</v>
      </c>
      <c r="B130" s="115"/>
      <c r="C130" s="115"/>
      <c r="D130" s="5" t="s">
        <v>178</v>
      </c>
      <c r="E130" s="5" t="s">
        <v>179</v>
      </c>
      <c r="F130" s="16" t="s">
        <v>192</v>
      </c>
      <c r="G130" s="1" t="s">
        <v>181</v>
      </c>
      <c r="H130" s="409">
        <v>0</v>
      </c>
      <c r="I130" s="30">
        <v>1</v>
      </c>
      <c r="J130" s="77">
        <f>SUM(H130:I130)</f>
        <v>1</v>
      </c>
      <c r="K130" s="19"/>
      <c r="L130" s="33"/>
      <c r="M130" s="33"/>
      <c r="N130" s="75">
        <v>193494</v>
      </c>
      <c r="O130" s="75">
        <f>SUM(J130*N130)</f>
        <v>193494</v>
      </c>
      <c r="P130" s="115"/>
    </row>
    <row r="131" spans="1:16">
      <c r="A131" s="133"/>
      <c r="B131" s="115"/>
      <c r="C131" s="115"/>
      <c r="D131" s="5"/>
      <c r="E131" s="1"/>
      <c r="F131" s="27" t="s">
        <v>193</v>
      </c>
      <c r="G131" s="1"/>
      <c r="H131" s="410"/>
      <c r="I131" s="113"/>
      <c r="J131" s="113"/>
      <c r="K131" s="114"/>
      <c r="L131" s="115"/>
      <c r="M131" s="115"/>
      <c r="N131" s="115"/>
      <c r="O131" s="115"/>
      <c r="P131" s="115"/>
    </row>
    <row r="132" spans="1:16">
      <c r="A132" s="133"/>
      <c r="B132" s="115"/>
      <c r="C132" s="115"/>
      <c r="D132" s="5"/>
      <c r="E132" s="1"/>
      <c r="F132" s="27" t="s">
        <v>183</v>
      </c>
      <c r="G132" s="1"/>
      <c r="H132" s="410"/>
      <c r="I132" s="113"/>
      <c r="J132" s="113"/>
      <c r="K132" s="114"/>
      <c r="L132" s="115"/>
      <c r="M132" s="115"/>
      <c r="N132" s="115"/>
      <c r="O132" s="115"/>
      <c r="P132" s="115"/>
    </row>
    <row r="133" spans="1:16" ht="102">
      <c r="A133" s="133"/>
      <c r="B133" s="115"/>
      <c r="C133" s="115"/>
      <c r="D133" s="5"/>
      <c r="E133" s="1"/>
      <c r="F133" s="27" t="s">
        <v>288</v>
      </c>
      <c r="G133" s="1"/>
      <c r="H133" s="410"/>
      <c r="I133" s="113"/>
      <c r="J133" s="113"/>
      <c r="K133" s="114"/>
      <c r="L133" s="115"/>
      <c r="M133" s="115"/>
      <c r="N133" s="115"/>
      <c r="O133" s="115"/>
      <c r="P133" s="115"/>
    </row>
    <row r="134" spans="1:16">
      <c r="A134" s="133"/>
      <c r="B134" s="115"/>
      <c r="C134" s="115"/>
      <c r="D134" s="5"/>
      <c r="E134" s="5"/>
      <c r="F134" s="26" t="s">
        <v>184</v>
      </c>
      <c r="G134" s="1"/>
      <c r="H134" s="410"/>
      <c r="I134" s="113"/>
      <c r="J134" s="113"/>
      <c r="K134" s="114"/>
      <c r="L134" s="115"/>
      <c r="M134" s="115"/>
      <c r="N134" s="115"/>
      <c r="O134" s="115"/>
      <c r="P134" s="115"/>
    </row>
    <row r="135" spans="1:16" ht="102" customHeight="1">
      <c r="A135" s="133"/>
      <c r="B135" s="115"/>
      <c r="C135" s="115"/>
      <c r="D135" s="5"/>
      <c r="E135" s="1"/>
      <c r="F135" s="561" t="s">
        <v>289</v>
      </c>
      <c r="G135" s="1"/>
      <c r="H135" s="410"/>
      <c r="I135" s="113"/>
      <c r="J135" s="113"/>
      <c r="K135" s="114"/>
      <c r="L135" s="115"/>
      <c r="M135" s="115"/>
      <c r="N135" s="115"/>
      <c r="O135" s="115"/>
      <c r="P135" s="115"/>
    </row>
    <row r="136" spans="1:16">
      <c r="A136" s="133"/>
      <c r="B136" s="115"/>
      <c r="C136" s="115"/>
      <c r="D136" s="5"/>
      <c r="E136" s="5"/>
      <c r="F136" s="26" t="s">
        <v>185</v>
      </c>
      <c r="G136" s="1"/>
      <c r="H136" s="410"/>
      <c r="I136" s="113"/>
      <c r="J136" s="113"/>
      <c r="K136" s="114"/>
      <c r="L136" s="115"/>
      <c r="M136" s="115"/>
      <c r="N136" s="115"/>
      <c r="O136" s="115"/>
      <c r="P136" s="115"/>
    </row>
    <row r="137" spans="1:16" ht="51">
      <c r="A137" s="133"/>
      <c r="B137" s="115"/>
      <c r="C137" s="115"/>
      <c r="D137" s="5"/>
      <c r="E137" s="1"/>
      <c r="F137" s="27" t="s">
        <v>194</v>
      </c>
      <c r="G137" s="1"/>
      <c r="H137" s="410"/>
      <c r="I137" s="113"/>
      <c r="J137" s="113"/>
      <c r="K137" s="114"/>
      <c r="L137" s="115"/>
      <c r="M137" s="115"/>
      <c r="N137" s="115"/>
      <c r="O137" s="115"/>
      <c r="P137" s="115"/>
    </row>
    <row r="138" spans="1:16" ht="13.5" thickBot="1">
      <c r="A138" s="133"/>
      <c r="B138" s="115"/>
      <c r="C138" s="115"/>
      <c r="D138" s="5"/>
      <c r="E138" s="5"/>
      <c r="F138" s="565"/>
      <c r="G138" s="1"/>
      <c r="H138" s="410"/>
      <c r="I138" s="113"/>
      <c r="J138" s="113"/>
      <c r="K138" s="114"/>
      <c r="L138" s="115"/>
      <c r="M138" s="115"/>
      <c r="N138" s="115"/>
      <c r="O138" s="115"/>
      <c r="P138" s="115"/>
    </row>
    <row r="139" spans="1:16" ht="13.5" thickBot="1">
      <c r="A139" s="135" t="s">
        <v>195</v>
      </c>
      <c r="B139" s="117"/>
      <c r="C139" s="117"/>
      <c r="D139" s="117"/>
      <c r="E139" s="117"/>
      <c r="F139" s="96" t="s">
        <v>42</v>
      </c>
      <c r="G139" s="41"/>
      <c r="H139" s="407"/>
      <c r="I139" s="116"/>
      <c r="J139" s="116"/>
      <c r="K139" s="56"/>
      <c r="L139" s="117"/>
      <c r="M139" s="117"/>
      <c r="N139" s="120"/>
      <c r="O139" s="120"/>
      <c r="P139" s="121"/>
    </row>
    <row r="140" spans="1:16">
      <c r="A140" s="100"/>
      <c r="B140" s="122"/>
      <c r="C140" s="122"/>
      <c r="D140" s="122"/>
      <c r="E140" s="122"/>
      <c r="F140" s="566"/>
      <c r="G140" s="101"/>
      <c r="H140" s="408"/>
      <c r="I140" s="103"/>
      <c r="J140" s="103"/>
      <c r="K140" s="104"/>
      <c r="L140" s="122"/>
      <c r="M140" s="122"/>
      <c r="N140" s="122"/>
      <c r="O140" s="122"/>
      <c r="P140" s="122"/>
    </row>
    <row r="141" spans="1:16" ht="15">
      <c r="A141" s="4">
        <v>6.1</v>
      </c>
      <c r="B141" s="33"/>
      <c r="C141" s="33"/>
      <c r="D141" s="33" t="s">
        <v>13</v>
      </c>
      <c r="E141" s="33" t="s">
        <v>43</v>
      </c>
      <c r="F141" s="567" t="s">
        <v>55</v>
      </c>
      <c r="G141" s="19" t="s">
        <v>7</v>
      </c>
      <c r="H141" s="409">
        <v>10</v>
      </c>
      <c r="I141" s="30">
        <v>10</v>
      </c>
      <c r="J141" s="31">
        <f>SUM(H141:I141)</f>
        <v>20</v>
      </c>
      <c r="K141" s="17"/>
      <c r="L141" s="33"/>
      <c r="M141" s="33"/>
      <c r="N141" s="75">
        <v>3912</v>
      </c>
      <c r="O141" s="75">
        <f>SUM(J141*N141)</f>
        <v>78240</v>
      </c>
      <c r="P141" s="33"/>
    </row>
    <row r="142" spans="1:16" ht="41.25" customHeight="1">
      <c r="A142" s="4"/>
      <c r="B142" s="33"/>
      <c r="C142" s="33"/>
      <c r="D142" s="33"/>
      <c r="E142" s="33"/>
      <c r="F142" s="561" t="s">
        <v>196</v>
      </c>
      <c r="G142" s="19"/>
      <c r="H142" s="409"/>
      <c r="I142" s="30"/>
      <c r="J142" s="30"/>
      <c r="K142" s="32"/>
      <c r="L142" s="33"/>
      <c r="M142" s="33"/>
      <c r="N142" s="33"/>
      <c r="O142" s="33"/>
      <c r="P142" s="33"/>
    </row>
    <row r="143" spans="1:16">
      <c r="A143" s="4"/>
      <c r="B143" s="33"/>
      <c r="C143" s="33"/>
      <c r="D143" s="33"/>
      <c r="E143" s="33"/>
      <c r="F143" s="561"/>
      <c r="G143" s="19"/>
      <c r="H143" s="409"/>
      <c r="I143" s="30"/>
      <c r="J143" s="30"/>
      <c r="K143" s="32"/>
      <c r="L143" s="33"/>
      <c r="M143" s="33"/>
      <c r="N143" s="33"/>
      <c r="O143" s="33"/>
      <c r="P143" s="33"/>
    </row>
    <row r="144" spans="1:16" ht="26.25" customHeight="1">
      <c r="A144" s="4">
        <v>6.2</v>
      </c>
      <c r="B144" s="33"/>
      <c r="C144" s="33"/>
      <c r="D144" s="33" t="s">
        <v>13</v>
      </c>
      <c r="E144" s="33" t="s">
        <v>56</v>
      </c>
      <c r="F144" s="567" t="s">
        <v>197</v>
      </c>
      <c r="G144" s="19" t="s">
        <v>7</v>
      </c>
      <c r="H144" s="409">
        <v>10</v>
      </c>
      <c r="I144" s="30">
        <v>5</v>
      </c>
      <c r="J144" s="31">
        <f>SUM(H144:I144)</f>
        <v>15</v>
      </c>
      <c r="K144" s="17"/>
      <c r="L144" s="33"/>
      <c r="M144" s="33"/>
      <c r="N144" s="75">
        <v>4986</v>
      </c>
      <c r="O144" s="75">
        <f>SUM(J144*N144)</f>
        <v>74790</v>
      </c>
      <c r="P144" s="33"/>
    </row>
    <row r="145" spans="1:16">
      <c r="A145" s="4"/>
      <c r="B145" s="33"/>
      <c r="C145" s="33"/>
      <c r="D145" s="33"/>
      <c r="E145" s="33"/>
      <c r="F145" s="561" t="s">
        <v>80</v>
      </c>
      <c r="G145" s="19"/>
      <c r="H145" s="409"/>
      <c r="I145" s="30"/>
      <c r="J145" s="30"/>
      <c r="K145" s="32"/>
      <c r="L145" s="33"/>
      <c r="M145" s="33"/>
      <c r="N145" s="33"/>
      <c r="O145" s="33"/>
      <c r="P145" s="33"/>
    </row>
    <row r="146" spans="1:16">
      <c r="A146" s="4"/>
      <c r="B146" s="33"/>
      <c r="C146" s="33"/>
      <c r="D146" s="33"/>
      <c r="E146" s="33"/>
      <c r="F146" s="561"/>
      <c r="G146" s="19"/>
      <c r="H146" s="409"/>
      <c r="I146" s="30"/>
      <c r="J146" s="30"/>
      <c r="K146" s="32"/>
      <c r="L146" s="33"/>
      <c r="M146" s="33"/>
      <c r="N146" s="33"/>
      <c r="O146" s="33"/>
      <c r="P146" s="33"/>
    </row>
    <row r="147" spans="1:16" ht="25.5">
      <c r="A147" s="4">
        <v>6.3</v>
      </c>
      <c r="B147" s="33"/>
      <c r="C147" s="33"/>
      <c r="D147" s="33" t="s">
        <v>13</v>
      </c>
      <c r="E147" s="33" t="s">
        <v>198</v>
      </c>
      <c r="F147" s="567" t="s">
        <v>199</v>
      </c>
      <c r="G147" s="19" t="s">
        <v>7</v>
      </c>
      <c r="H147" s="409">
        <f>25</f>
        <v>25</v>
      </c>
      <c r="I147" s="30">
        <v>11</v>
      </c>
      <c r="J147" s="31">
        <f>SUM(H147:I147)</f>
        <v>36</v>
      </c>
      <c r="K147" s="138"/>
      <c r="L147" s="33"/>
      <c r="M147" s="33"/>
      <c r="N147" s="75">
        <v>4980</v>
      </c>
      <c r="O147" s="75">
        <f>SUM(J147*N147)</f>
        <v>179280</v>
      </c>
      <c r="P147" s="33"/>
    </row>
    <row r="148" spans="1:16" ht="76.5">
      <c r="A148" s="4"/>
      <c r="B148" s="33"/>
      <c r="C148" s="33"/>
      <c r="D148" s="33"/>
      <c r="E148" s="33"/>
      <c r="F148" s="561" t="s">
        <v>200</v>
      </c>
      <c r="G148" s="19"/>
      <c r="H148" s="409"/>
      <c r="I148" s="30"/>
      <c r="J148" s="30"/>
      <c r="K148" s="32"/>
      <c r="L148" s="33"/>
      <c r="M148" s="33"/>
      <c r="N148" s="33"/>
      <c r="O148" s="33"/>
      <c r="P148" s="33"/>
    </row>
    <row r="149" spans="1:16">
      <c r="A149" s="110"/>
      <c r="B149" s="115"/>
      <c r="C149" s="115"/>
      <c r="D149" s="115"/>
      <c r="E149" s="115"/>
      <c r="F149" s="562"/>
      <c r="G149" s="111"/>
      <c r="H149" s="410"/>
      <c r="I149" s="113"/>
      <c r="J149" s="113"/>
      <c r="K149" s="114"/>
      <c r="L149" s="115"/>
      <c r="M149" s="115"/>
      <c r="N149" s="115"/>
      <c r="O149" s="115"/>
      <c r="P149" s="115"/>
    </row>
    <row r="150" spans="1:16" ht="15">
      <c r="A150" s="4">
        <v>6.4</v>
      </c>
      <c r="B150" s="115"/>
      <c r="C150" s="115"/>
      <c r="D150" s="125" t="s">
        <v>13</v>
      </c>
      <c r="E150" s="125" t="s">
        <v>43</v>
      </c>
      <c r="F150" s="139" t="s">
        <v>201</v>
      </c>
      <c r="G150" s="124" t="s">
        <v>7</v>
      </c>
      <c r="H150" s="411">
        <f>35*3+45</f>
        <v>150</v>
      </c>
      <c r="I150" s="113">
        <v>10</v>
      </c>
      <c r="J150" s="31">
        <f>SUM(H150:I150)</f>
        <v>160</v>
      </c>
      <c r="K150" s="114"/>
      <c r="L150" s="115"/>
      <c r="M150" s="115"/>
      <c r="N150" s="75">
        <v>492</v>
      </c>
      <c r="O150" s="75">
        <f>SUM(J150*N150)</f>
        <v>78720</v>
      </c>
      <c r="P150" s="115"/>
    </row>
    <row r="151" spans="1:16" ht="75">
      <c r="A151" s="110"/>
      <c r="B151" s="115"/>
      <c r="C151" s="115"/>
      <c r="D151" s="125"/>
      <c r="E151" s="125"/>
      <c r="F151" s="36" t="s">
        <v>45</v>
      </c>
      <c r="G151" s="124"/>
      <c r="H151" s="411"/>
      <c r="I151" s="113"/>
      <c r="J151" s="113"/>
      <c r="K151" s="114"/>
      <c r="L151" s="115"/>
      <c r="M151" s="115"/>
      <c r="N151" s="115"/>
      <c r="O151" s="115"/>
      <c r="P151" s="115"/>
    </row>
    <row r="152" spans="1:16" ht="15">
      <c r="A152" s="110"/>
      <c r="B152" s="115"/>
      <c r="C152" s="115"/>
      <c r="D152" s="125"/>
      <c r="E152" s="125"/>
      <c r="F152" s="36"/>
      <c r="G152" s="124"/>
      <c r="H152" s="411"/>
      <c r="I152" s="113"/>
      <c r="J152" s="113"/>
      <c r="K152" s="114"/>
      <c r="L152" s="115"/>
      <c r="M152" s="115"/>
      <c r="N152" s="115"/>
      <c r="O152" s="115"/>
      <c r="P152" s="115"/>
    </row>
    <row r="153" spans="1:16" ht="15">
      <c r="A153" s="4">
        <v>6.5</v>
      </c>
      <c r="B153" s="115"/>
      <c r="C153" s="115"/>
      <c r="D153" s="125" t="s">
        <v>13</v>
      </c>
      <c r="E153" s="125" t="s">
        <v>46</v>
      </c>
      <c r="F153" s="139" t="s">
        <v>14</v>
      </c>
      <c r="G153" s="124" t="s">
        <v>7</v>
      </c>
      <c r="H153" s="411">
        <f>108+42</f>
        <v>150</v>
      </c>
      <c r="I153" s="113">
        <v>30</v>
      </c>
      <c r="J153" s="31">
        <f>SUM(H153:I153)</f>
        <v>180</v>
      </c>
      <c r="K153" s="114"/>
      <c r="L153" s="115"/>
      <c r="M153" s="115"/>
      <c r="N153" s="75">
        <v>552</v>
      </c>
      <c r="O153" s="75">
        <f>SUM(J153*N153)</f>
        <v>99360</v>
      </c>
      <c r="P153" s="115"/>
    </row>
    <row r="154" spans="1:16" ht="60">
      <c r="A154" s="110"/>
      <c r="B154" s="115"/>
      <c r="C154" s="115"/>
      <c r="D154" s="125"/>
      <c r="E154" s="125"/>
      <c r="F154" s="36" t="s">
        <v>47</v>
      </c>
      <c r="G154" s="124"/>
      <c r="H154" s="411"/>
      <c r="I154" s="113"/>
      <c r="J154" s="113"/>
      <c r="K154" s="114"/>
      <c r="L154" s="115"/>
      <c r="M154" s="115"/>
      <c r="N154" s="115"/>
      <c r="O154" s="115"/>
      <c r="P154" s="115"/>
    </row>
    <row r="155" spans="1:16" ht="15">
      <c r="A155" s="110"/>
      <c r="B155" s="115"/>
      <c r="C155" s="115"/>
      <c r="D155" s="125"/>
      <c r="E155" s="125"/>
      <c r="F155" s="36"/>
      <c r="G155" s="124"/>
      <c r="H155" s="412"/>
      <c r="I155" s="113"/>
      <c r="J155" s="113"/>
      <c r="K155" s="114"/>
      <c r="L155" s="115"/>
      <c r="M155" s="115"/>
      <c r="N155" s="115"/>
      <c r="O155" s="115"/>
      <c r="P155" s="115"/>
    </row>
    <row r="156" spans="1:16" ht="30">
      <c r="A156" s="4">
        <v>6.6</v>
      </c>
      <c r="B156" s="115"/>
      <c r="C156" s="115"/>
      <c r="D156" s="125" t="s">
        <v>13</v>
      </c>
      <c r="E156" s="125" t="s">
        <v>202</v>
      </c>
      <c r="F156" s="139" t="s">
        <v>203</v>
      </c>
      <c r="G156" s="124" t="s">
        <v>7</v>
      </c>
      <c r="H156" s="411">
        <v>50</v>
      </c>
      <c r="I156" s="113">
        <v>10</v>
      </c>
      <c r="J156" s="31">
        <f>SUM(H156:I156)</f>
        <v>60</v>
      </c>
      <c r="K156" s="114"/>
      <c r="L156" s="115"/>
      <c r="M156" s="115"/>
      <c r="N156" s="75">
        <v>552</v>
      </c>
      <c r="O156" s="75">
        <f>SUM(J156*N156)</f>
        <v>33120</v>
      </c>
      <c r="P156" s="115"/>
    </row>
    <row r="157" spans="1:16" ht="45">
      <c r="A157" s="110"/>
      <c r="B157" s="115"/>
      <c r="C157" s="115"/>
      <c r="D157" s="125"/>
      <c r="E157" s="125"/>
      <c r="F157" s="36" t="s">
        <v>204</v>
      </c>
      <c r="G157" s="124"/>
      <c r="H157" s="412"/>
      <c r="I157" s="113"/>
      <c r="J157" s="113"/>
      <c r="K157" s="114"/>
      <c r="L157" s="115"/>
      <c r="M157" s="115"/>
      <c r="N157" s="115"/>
      <c r="O157" s="115"/>
      <c r="P157" s="115"/>
    </row>
    <row r="158" spans="1:16" ht="13.5" thickBot="1">
      <c r="A158" s="110"/>
      <c r="B158" s="115"/>
      <c r="C158" s="115"/>
      <c r="D158" s="115"/>
      <c r="E158" s="115"/>
      <c r="F158" s="568"/>
      <c r="G158" s="111"/>
      <c r="H158" s="410"/>
      <c r="I158" s="113"/>
      <c r="J158" s="113"/>
      <c r="K158" s="114"/>
      <c r="L158" s="114"/>
      <c r="M158" s="114"/>
      <c r="N158" s="114"/>
      <c r="O158" s="114"/>
      <c r="P158" s="114"/>
    </row>
    <row r="159" spans="1:16" ht="13.5" thickBot="1">
      <c r="A159" s="142"/>
      <c r="B159" s="143"/>
      <c r="C159" s="143"/>
      <c r="D159" s="143"/>
      <c r="E159" s="143"/>
      <c r="F159" s="96" t="s">
        <v>205</v>
      </c>
      <c r="G159" s="143"/>
      <c r="H159" s="421"/>
      <c r="I159" s="144"/>
      <c r="J159" s="144"/>
      <c r="K159" s="143"/>
      <c r="L159" s="143"/>
      <c r="M159" s="143"/>
      <c r="N159" s="143"/>
      <c r="O159" s="145">
        <f>SUM(O5:O157)</f>
        <v>13378164</v>
      </c>
      <c r="P159" s="146"/>
    </row>
  </sheetData>
  <mergeCells count="3">
    <mergeCell ref="A1:O1"/>
    <mergeCell ref="A2:K2"/>
    <mergeCell ref="L3:O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9"/>
  <sheetViews>
    <sheetView zoomScaleNormal="100" workbookViewId="0">
      <pane ySplit="4" topLeftCell="A136" activePane="bottomLeft" state="frozen"/>
      <selection pane="bottomLeft" activeCell="A142" sqref="A142:XFD152"/>
    </sheetView>
  </sheetViews>
  <sheetFormatPr defaultColWidth="6.125" defaultRowHeight="12.75"/>
  <cols>
    <col min="1" max="1" width="4.375" style="9" bestFit="1" customWidth="1"/>
    <col min="2" max="2" width="6.25" style="9" hidden="1" customWidth="1"/>
    <col min="3" max="3" width="3.125" style="9" hidden="1" customWidth="1"/>
    <col min="4" max="4" width="7" style="9" bestFit="1" customWidth="1"/>
    <col min="5" max="5" width="11" style="9" customWidth="1"/>
    <col min="6" max="6" width="44.375" style="9" customWidth="1"/>
    <col min="7" max="7" width="4.25" style="9" customWidth="1"/>
    <col min="8" max="8" width="6.375" style="414" bestFit="1" customWidth="1"/>
    <col min="9" max="9" width="9.5" style="9" bestFit="1" customWidth="1"/>
    <col min="10" max="10" width="11.875" style="148" bestFit="1" customWidth="1"/>
    <col min="11" max="203" width="6.125" style="9"/>
    <col min="204" max="204" width="5" style="9" customWidth="1"/>
    <col min="205" max="205" width="8.875" style="9" customWidth="1"/>
    <col min="206" max="206" width="5" style="9" customWidth="1"/>
    <col min="207" max="207" width="8.25" style="9" bestFit="1" customWidth="1"/>
    <col min="208" max="208" width="16.125" style="9" customWidth="1"/>
    <col min="209" max="209" width="86" style="9" customWidth="1"/>
    <col min="210" max="210" width="5" style="9" customWidth="1"/>
    <col min="211" max="211" width="11.125" style="9" customWidth="1"/>
    <col min="212" max="212" width="10.375" style="9" customWidth="1"/>
    <col min="213" max="213" width="10.875" style="9" customWidth="1"/>
    <col min="214" max="214" width="7.75" style="9" customWidth="1"/>
    <col min="215" max="215" width="9.875" style="9" customWidth="1"/>
    <col min="216" max="216" width="10.625" style="9" customWidth="1"/>
    <col min="217" max="459" width="6.125" style="9"/>
    <col min="460" max="460" width="5" style="9" customWidth="1"/>
    <col min="461" max="461" width="8.875" style="9" customWidth="1"/>
    <col min="462" max="462" width="5" style="9" customWidth="1"/>
    <col min="463" max="463" width="8.25" style="9" bestFit="1" customWidth="1"/>
    <col min="464" max="464" width="16.125" style="9" customWidth="1"/>
    <col min="465" max="465" width="86" style="9" customWidth="1"/>
    <col min="466" max="466" width="5" style="9" customWidth="1"/>
    <col min="467" max="467" width="11.125" style="9" customWidth="1"/>
    <col min="468" max="468" width="10.375" style="9" customWidth="1"/>
    <col min="469" max="469" width="10.875" style="9" customWidth="1"/>
    <col min="470" max="470" width="7.75" style="9" customWidth="1"/>
    <col min="471" max="471" width="9.875" style="9" customWidth="1"/>
    <col min="472" max="472" width="10.625" style="9" customWidth="1"/>
    <col min="473" max="715" width="6.125" style="9"/>
    <col min="716" max="716" width="5" style="9" customWidth="1"/>
    <col min="717" max="717" width="8.875" style="9" customWidth="1"/>
    <col min="718" max="718" width="5" style="9" customWidth="1"/>
    <col min="719" max="719" width="8.25" style="9" bestFit="1" customWidth="1"/>
    <col min="720" max="720" width="16.125" style="9" customWidth="1"/>
    <col min="721" max="721" width="86" style="9" customWidth="1"/>
    <col min="722" max="722" width="5" style="9" customWidth="1"/>
    <col min="723" max="723" width="11.125" style="9" customWidth="1"/>
    <col min="724" max="724" width="10.375" style="9" customWidth="1"/>
    <col min="725" max="725" width="10.875" style="9" customWidth="1"/>
    <col min="726" max="726" width="7.75" style="9" customWidth="1"/>
    <col min="727" max="727" width="9.875" style="9" customWidth="1"/>
    <col min="728" max="728" width="10.625" style="9" customWidth="1"/>
    <col min="729" max="971" width="6.125" style="9"/>
    <col min="972" max="972" width="5" style="9" customWidth="1"/>
    <col min="973" max="973" width="8.875" style="9" customWidth="1"/>
    <col min="974" max="974" width="5" style="9" customWidth="1"/>
    <col min="975" max="975" width="8.25" style="9" bestFit="1" customWidth="1"/>
    <col min="976" max="976" width="16.125" style="9" customWidth="1"/>
    <col min="977" max="977" width="86" style="9" customWidth="1"/>
    <col min="978" max="978" width="5" style="9" customWidth="1"/>
    <col min="979" max="979" width="11.125" style="9" customWidth="1"/>
    <col min="980" max="980" width="10.375" style="9" customWidth="1"/>
    <col min="981" max="981" width="10.875" style="9" customWidth="1"/>
    <col min="982" max="982" width="7.75" style="9" customWidth="1"/>
    <col min="983" max="983" width="9.875" style="9" customWidth="1"/>
    <col min="984" max="984" width="10.625" style="9" customWidth="1"/>
    <col min="985" max="1227" width="6.125" style="9"/>
    <col min="1228" max="1228" width="5" style="9" customWidth="1"/>
    <col min="1229" max="1229" width="8.875" style="9" customWidth="1"/>
    <col min="1230" max="1230" width="5" style="9" customWidth="1"/>
    <col min="1231" max="1231" width="8.25" style="9" bestFit="1" customWidth="1"/>
    <col min="1232" max="1232" width="16.125" style="9" customWidth="1"/>
    <col min="1233" max="1233" width="86" style="9" customWidth="1"/>
    <col min="1234" max="1234" width="5" style="9" customWidth="1"/>
    <col min="1235" max="1235" width="11.125" style="9" customWidth="1"/>
    <col min="1236" max="1236" width="10.375" style="9" customWidth="1"/>
    <col min="1237" max="1237" width="10.875" style="9" customWidth="1"/>
    <col min="1238" max="1238" width="7.75" style="9" customWidth="1"/>
    <col min="1239" max="1239" width="9.875" style="9" customWidth="1"/>
    <col min="1240" max="1240" width="10.625" style="9" customWidth="1"/>
    <col min="1241" max="1483" width="6.125" style="9"/>
    <col min="1484" max="1484" width="5" style="9" customWidth="1"/>
    <col min="1485" max="1485" width="8.875" style="9" customWidth="1"/>
    <col min="1486" max="1486" width="5" style="9" customWidth="1"/>
    <col min="1487" max="1487" width="8.25" style="9" bestFit="1" customWidth="1"/>
    <col min="1488" max="1488" width="16.125" style="9" customWidth="1"/>
    <col min="1489" max="1489" width="86" style="9" customWidth="1"/>
    <col min="1490" max="1490" width="5" style="9" customWidth="1"/>
    <col min="1491" max="1491" width="11.125" style="9" customWidth="1"/>
    <col min="1492" max="1492" width="10.375" style="9" customWidth="1"/>
    <col min="1493" max="1493" width="10.875" style="9" customWidth="1"/>
    <col min="1494" max="1494" width="7.75" style="9" customWidth="1"/>
    <col min="1495" max="1495" width="9.875" style="9" customWidth="1"/>
    <col min="1496" max="1496" width="10.625" style="9" customWidth="1"/>
    <col min="1497" max="1739" width="6.125" style="9"/>
    <col min="1740" max="1740" width="5" style="9" customWidth="1"/>
    <col min="1741" max="1741" width="8.875" style="9" customWidth="1"/>
    <col min="1742" max="1742" width="5" style="9" customWidth="1"/>
    <col min="1743" max="1743" width="8.25" style="9" bestFit="1" customWidth="1"/>
    <col min="1744" max="1744" width="16.125" style="9" customWidth="1"/>
    <col min="1745" max="1745" width="86" style="9" customWidth="1"/>
    <col min="1746" max="1746" width="5" style="9" customWidth="1"/>
    <col min="1747" max="1747" width="11.125" style="9" customWidth="1"/>
    <col min="1748" max="1748" width="10.375" style="9" customWidth="1"/>
    <col min="1749" max="1749" width="10.875" style="9" customWidth="1"/>
    <col min="1750" max="1750" width="7.75" style="9" customWidth="1"/>
    <col min="1751" max="1751" width="9.875" style="9" customWidth="1"/>
    <col min="1752" max="1752" width="10.625" style="9" customWidth="1"/>
    <col min="1753" max="1995" width="6.125" style="9"/>
    <col min="1996" max="1996" width="5" style="9" customWidth="1"/>
    <col min="1997" max="1997" width="8.875" style="9" customWidth="1"/>
    <col min="1998" max="1998" width="5" style="9" customWidth="1"/>
    <col min="1999" max="1999" width="8.25" style="9" bestFit="1" customWidth="1"/>
    <col min="2000" max="2000" width="16.125" style="9" customWidth="1"/>
    <col min="2001" max="2001" width="86" style="9" customWidth="1"/>
    <col min="2002" max="2002" width="5" style="9" customWidth="1"/>
    <col min="2003" max="2003" width="11.125" style="9" customWidth="1"/>
    <col min="2004" max="2004" width="10.375" style="9" customWidth="1"/>
    <col min="2005" max="2005" width="10.875" style="9" customWidth="1"/>
    <col min="2006" max="2006" width="7.75" style="9" customWidth="1"/>
    <col min="2007" max="2007" width="9.875" style="9" customWidth="1"/>
    <col min="2008" max="2008" width="10.625" style="9" customWidth="1"/>
    <col min="2009" max="2251" width="6.125" style="9"/>
    <col min="2252" max="2252" width="5" style="9" customWidth="1"/>
    <col min="2253" max="2253" width="8.875" style="9" customWidth="1"/>
    <col min="2254" max="2254" width="5" style="9" customWidth="1"/>
    <col min="2255" max="2255" width="8.25" style="9" bestFit="1" customWidth="1"/>
    <col min="2256" max="2256" width="16.125" style="9" customWidth="1"/>
    <col min="2257" max="2257" width="86" style="9" customWidth="1"/>
    <col min="2258" max="2258" width="5" style="9" customWidth="1"/>
    <col min="2259" max="2259" width="11.125" style="9" customWidth="1"/>
    <col min="2260" max="2260" width="10.375" style="9" customWidth="1"/>
    <col min="2261" max="2261" width="10.875" style="9" customWidth="1"/>
    <col min="2262" max="2262" width="7.75" style="9" customWidth="1"/>
    <col min="2263" max="2263" width="9.875" style="9" customWidth="1"/>
    <col min="2264" max="2264" width="10.625" style="9" customWidth="1"/>
    <col min="2265" max="2507" width="6.125" style="9"/>
    <col min="2508" max="2508" width="5" style="9" customWidth="1"/>
    <col min="2509" max="2509" width="8.875" style="9" customWidth="1"/>
    <col min="2510" max="2510" width="5" style="9" customWidth="1"/>
    <col min="2511" max="2511" width="8.25" style="9" bestFit="1" customWidth="1"/>
    <col min="2512" max="2512" width="16.125" style="9" customWidth="1"/>
    <col min="2513" max="2513" width="86" style="9" customWidth="1"/>
    <col min="2514" max="2514" width="5" style="9" customWidth="1"/>
    <col min="2515" max="2515" width="11.125" style="9" customWidth="1"/>
    <col min="2516" max="2516" width="10.375" style="9" customWidth="1"/>
    <col min="2517" max="2517" width="10.875" style="9" customWidth="1"/>
    <col min="2518" max="2518" width="7.75" style="9" customWidth="1"/>
    <col min="2519" max="2519" width="9.875" style="9" customWidth="1"/>
    <col min="2520" max="2520" width="10.625" style="9" customWidth="1"/>
    <col min="2521" max="2763" width="6.125" style="9"/>
    <col min="2764" max="2764" width="5" style="9" customWidth="1"/>
    <col min="2765" max="2765" width="8.875" style="9" customWidth="1"/>
    <col min="2766" max="2766" width="5" style="9" customWidth="1"/>
    <col min="2767" max="2767" width="8.25" style="9" bestFit="1" customWidth="1"/>
    <col min="2768" max="2768" width="16.125" style="9" customWidth="1"/>
    <col min="2769" max="2769" width="86" style="9" customWidth="1"/>
    <col min="2770" max="2770" width="5" style="9" customWidth="1"/>
    <col min="2771" max="2771" width="11.125" style="9" customWidth="1"/>
    <col min="2772" max="2772" width="10.375" style="9" customWidth="1"/>
    <col min="2773" max="2773" width="10.875" style="9" customWidth="1"/>
    <col min="2774" max="2774" width="7.75" style="9" customWidth="1"/>
    <col min="2775" max="2775" width="9.875" style="9" customWidth="1"/>
    <col min="2776" max="2776" width="10.625" style="9" customWidth="1"/>
    <col min="2777" max="3019" width="6.125" style="9"/>
    <col min="3020" max="3020" width="5" style="9" customWidth="1"/>
    <col min="3021" max="3021" width="8.875" style="9" customWidth="1"/>
    <col min="3022" max="3022" width="5" style="9" customWidth="1"/>
    <col min="3023" max="3023" width="8.25" style="9" bestFit="1" customWidth="1"/>
    <col min="3024" max="3024" width="16.125" style="9" customWidth="1"/>
    <col min="3025" max="3025" width="86" style="9" customWidth="1"/>
    <col min="3026" max="3026" width="5" style="9" customWidth="1"/>
    <col min="3027" max="3027" width="11.125" style="9" customWidth="1"/>
    <col min="3028" max="3028" width="10.375" style="9" customWidth="1"/>
    <col min="3029" max="3029" width="10.875" style="9" customWidth="1"/>
    <col min="3030" max="3030" width="7.75" style="9" customWidth="1"/>
    <col min="3031" max="3031" width="9.875" style="9" customWidth="1"/>
    <col min="3032" max="3032" width="10.625" style="9" customWidth="1"/>
    <col min="3033" max="3275" width="6.125" style="9"/>
    <col min="3276" max="3276" width="5" style="9" customWidth="1"/>
    <col min="3277" max="3277" width="8.875" style="9" customWidth="1"/>
    <col min="3278" max="3278" width="5" style="9" customWidth="1"/>
    <col min="3279" max="3279" width="8.25" style="9" bestFit="1" customWidth="1"/>
    <col min="3280" max="3280" width="16.125" style="9" customWidth="1"/>
    <col min="3281" max="3281" width="86" style="9" customWidth="1"/>
    <col min="3282" max="3282" width="5" style="9" customWidth="1"/>
    <col min="3283" max="3283" width="11.125" style="9" customWidth="1"/>
    <col min="3284" max="3284" width="10.375" style="9" customWidth="1"/>
    <col min="3285" max="3285" width="10.875" style="9" customWidth="1"/>
    <col min="3286" max="3286" width="7.75" style="9" customWidth="1"/>
    <col min="3287" max="3287" width="9.875" style="9" customWidth="1"/>
    <col min="3288" max="3288" width="10.625" style="9" customWidth="1"/>
    <col min="3289" max="3531" width="6.125" style="9"/>
    <col min="3532" max="3532" width="5" style="9" customWidth="1"/>
    <col min="3533" max="3533" width="8.875" style="9" customWidth="1"/>
    <col min="3534" max="3534" width="5" style="9" customWidth="1"/>
    <col min="3535" max="3535" width="8.25" style="9" bestFit="1" customWidth="1"/>
    <col min="3536" max="3536" width="16.125" style="9" customWidth="1"/>
    <col min="3537" max="3537" width="86" style="9" customWidth="1"/>
    <col min="3538" max="3538" width="5" style="9" customWidth="1"/>
    <col min="3539" max="3539" width="11.125" style="9" customWidth="1"/>
    <col min="3540" max="3540" width="10.375" style="9" customWidth="1"/>
    <col min="3541" max="3541" width="10.875" style="9" customWidth="1"/>
    <col min="3542" max="3542" width="7.75" style="9" customWidth="1"/>
    <col min="3543" max="3543" width="9.875" style="9" customWidth="1"/>
    <col min="3544" max="3544" width="10.625" style="9" customWidth="1"/>
    <col min="3545" max="3787" width="6.125" style="9"/>
    <col min="3788" max="3788" width="5" style="9" customWidth="1"/>
    <col min="3789" max="3789" width="8.875" style="9" customWidth="1"/>
    <col min="3790" max="3790" width="5" style="9" customWidth="1"/>
    <col min="3791" max="3791" width="8.25" style="9" bestFit="1" customWidth="1"/>
    <col min="3792" max="3792" width="16.125" style="9" customWidth="1"/>
    <col min="3793" max="3793" width="86" style="9" customWidth="1"/>
    <col min="3794" max="3794" width="5" style="9" customWidth="1"/>
    <col min="3795" max="3795" width="11.125" style="9" customWidth="1"/>
    <col min="3796" max="3796" width="10.375" style="9" customWidth="1"/>
    <col min="3797" max="3797" width="10.875" style="9" customWidth="1"/>
    <col min="3798" max="3798" width="7.75" style="9" customWidth="1"/>
    <col min="3799" max="3799" width="9.875" style="9" customWidth="1"/>
    <col min="3800" max="3800" width="10.625" style="9" customWidth="1"/>
    <col min="3801" max="4043" width="6.125" style="9"/>
    <col min="4044" max="4044" width="5" style="9" customWidth="1"/>
    <col min="4045" max="4045" width="8.875" style="9" customWidth="1"/>
    <col min="4046" max="4046" width="5" style="9" customWidth="1"/>
    <col min="4047" max="4047" width="8.25" style="9" bestFit="1" customWidth="1"/>
    <col min="4048" max="4048" width="16.125" style="9" customWidth="1"/>
    <col min="4049" max="4049" width="86" style="9" customWidth="1"/>
    <col min="4050" max="4050" width="5" style="9" customWidth="1"/>
    <col min="4051" max="4051" width="11.125" style="9" customWidth="1"/>
    <col min="4052" max="4052" width="10.375" style="9" customWidth="1"/>
    <col min="4053" max="4053" width="10.875" style="9" customWidth="1"/>
    <col min="4054" max="4054" width="7.75" style="9" customWidth="1"/>
    <col min="4055" max="4055" width="9.875" style="9" customWidth="1"/>
    <col min="4056" max="4056" width="10.625" style="9" customWidth="1"/>
    <col min="4057" max="4299" width="6.125" style="9"/>
    <col min="4300" max="4300" width="5" style="9" customWidth="1"/>
    <col min="4301" max="4301" width="8.875" style="9" customWidth="1"/>
    <col min="4302" max="4302" width="5" style="9" customWidth="1"/>
    <col min="4303" max="4303" width="8.25" style="9" bestFit="1" customWidth="1"/>
    <col min="4304" max="4304" width="16.125" style="9" customWidth="1"/>
    <col min="4305" max="4305" width="86" style="9" customWidth="1"/>
    <col min="4306" max="4306" width="5" style="9" customWidth="1"/>
    <col min="4307" max="4307" width="11.125" style="9" customWidth="1"/>
    <col min="4308" max="4308" width="10.375" style="9" customWidth="1"/>
    <col min="4309" max="4309" width="10.875" style="9" customWidth="1"/>
    <col min="4310" max="4310" width="7.75" style="9" customWidth="1"/>
    <col min="4311" max="4311" width="9.875" style="9" customWidth="1"/>
    <col min="4312" max="4312" width="10.625" style="9" customWidth="1"/>
    <col min="4313" max="4555" width="6.125" style="9"/>
    <col min="4556" max="4556" width="5" style="9" customWidth="1"/>
    <col min="4557" max="4557" width="8.875" style="9" customWidth="1"/>
    <col min="4558" max="4558" width="5" style="9" customWidth="1"/>
    <col min="4559" max="4559" width="8.25" style="9" bestFit="1" customWidth="1"/>
    <col min="4560" max="4560" width="16.125" style="9" customWidth="1"/>
    <col min="4561" max="4561" width="86" style="9" customWidth="1"/>
    <col min="4562" max="4562" width="5" style="9" customWidth="1"/>
    <col min="4563" max="4563" width="11.125" style="9" customWidth="1"/>
    <col min="4564" max="4564" width="10.375" style="9" customWidth="1"/>
    <col min="4565" max="4565" width="10.875" style="9" customWidth="1"/>
    <col min="4566" max="4566" width="7.75" style="9" customWidth="1"/>
    <col min="4567" max="4567" width="9.875" style="9" customWidth="1"/>
    <col min="4568" max="4568" width="10.625" style="9" customWidth="1"/>
    <col min="4569" max="4811" width="6.125" style="9"/>
    <col min="4812" max="4812" width="5" style="9" customWidth="1"/>
    <col min="4813" max="4813" width="8.875" style="9" customWidth="1"/>
    <col min="4814" max="4814" width="5" style="9" customWidth="1"/>
    <col min="4815" max="4815" width="8.25" style="9" bestFit="1" customWidth="1"/>
    <col min="4816" max="4816" width="16.125" style="9" customWidth="1"/>
    <col min="4817" max="4817" width="86" style="9" customWidth="1"/>
    <col min="4818" max="4818" width="5" style="9" customWidth="1"/>
    <col min="4819" max="4819" width="11.125" style="9" customWidth="1"/>
    <col min="4820" max="4820" width="10.375" style="9" customWidth="1"/>
    <col min="4821" max="4821" width="10.875" style="9" customWidth="1"/>
    <col min="4822" max="4822" width="7.75" style="9" customWidth="1"/>
    <col min="4823" max="4823" width="9.875" style="9" customWidth="1"/>
    <col min="4824" max="4824" width="10.625" style="9" customWidth="1"/>
    <col min="4825" max="5067" width="6.125" style="9"/>
    <col min="5068" max="5068" width="5" style="9" customWidth="1"/>
    <col min="5069" max="5069" width="8.875" style="9" customWidth="1"/>
    <col min="5070" max="5070" width="5" style="9" customWidth="1"/>
    <col min="5071" max="5071" width="8.25" style="9" bestFit="1" customWidth="1"/>
    <col min="5072" max="5072" width="16.125" style="9" customWidth="1"/>
    <col min="5073" max="5073" width="86" style="9" customWidth="1"/>
    <col min="5074" max="5074" width="5" style="9" customWidth="1"/>
    <col min="5075" max="5075" width="11.125" style="9" customWidth="1"/>
    <col min="5076" max="5076" width="10.375" style="9" customWidth="1"/>
    <col min="5077" max="5077" width="10.875" style="9" customWidth="1"/>
    <col min="5078" max="5078" width="7.75" style="9" customWidth="1"/>
    <col min="5079" max="5079" width="9.875" style="9" customWidth="1"/>
    <col min="5080" max="5080" width="10.625" style="9" customWidth="1"/>
    <col min="5081" max="5323" width="6.125" style="9"/>
    <col min="5324" max="5324" width="5" style="9" customWidth="1"/>
    <col min="5325" max="5325" width="8.875" style="9" customWidth="1"/>
    <col min="5326" max="5326" width="5" style="9" customWidth="1"/>
    <col min="5327" max="5327" width="8.25" style="9" bestFit="1" customWidth="1"/>
    <col min="5328" max="5328" width="16.125" style="9" customWidth="1"/>
    <col min="5329" max="5329" width="86" style="9" customWidth="1"/>
    <col min="5330" max="5330" width="5" style="9" customWidth="1"/>
    <col min="5331" max="5331" width="11.125" style="9" customWidth="1"/>
    <col min="5332" max="5332" width="10.375" style="9" customWidth="1"/>
    <col min="5333" max="5333" width="10.875" style="9" customWidth="1"/>
    <col min="5334" max="5334" width="7.75" style="9" customWidth="1"/>
    <col min="5335" max="5335" width="9.875" style="9" customWidth="1"/>
    <col min="5336" max="5336" width="10.625" style="9" customWidth="1"/>
    <col min="5337" max="5579" width="6.125" style="9"/>
    <col min="5580" max="5580" width="5" style="9" customWidth="1"/>
    <col min="5581" max="5581" width="8.875" style="9" customWidth="1"/>
    <col min="5582" max="5582" width="5" style="9" customWidth="1"/>
    <col min="5583" max="5583" width="8.25" style="9" bestFit="1" customWidth="1"/>
    <col min="5584" max="5584" width="16.125" style="9" customWidth="1"/>
    <col min="5585" max="5585" width="86" style="9" customWidth="1"/>
    <col min="5586" max="5586" width="5" style="9" customWidth="1"/>
    <col min="5587" max="5587" width="11.125" style="9" customWidth="1"/>
    <col min="5588" max="5588" width="10.375" style="9" customWidth="1"/>
    <col min="5589" max="5589" width="10.875" style="9" customWidth="1"/>
    <col min="5590" max="5590" width="7.75" style="9" customWidth="1"/>
    <col min="5591" max="5591" width="9.875" style="9" customWidth="1"/>
    <col min="5592" max="5592" width="10.625" style="9" customWidth="1"/>
    <col min="5593" max="5835" width="6.125" style="9"/>
    <col min="5836" max="5836" width="5" style="9" customWidth="1"/>
    <col min="5837" max="5837" width="8.875" style="9" customWidth="1"/>
    <col min="5838" max="5838" width="5" style="9" customWidth="1"/>
    <col min="5839" max="5839" width="8.25" style="9" bestFit="1" customWidth="1"/>
    <col min="5840" max="5840" width="16.125" style="9" customWidth="1"/>
    <col min="5841" max="5841" width="86" style="9" customWidth="1"/>
    <col min="5842" max="5842" width="5" style="9" customWidth="1"/>
    <col min="5843" max="5843" width="11.125" style="9" customWidth="1"/>
    <col min="5844" max="5844" width="10.375" style="9" customWidth="1"/>
    <col min="5845" max="5845" width="10.875" style="9" customWidth="1"/>
    <col min="5846" max="5846" width="7.75" style="9" customWidth="1"/>
    <col min="5847" max="5847" width="9.875" style="9" customWidth="1"/>
    <col min="5848" max="5848" width="10.625" style="9" customWidth="1"/>
    <col min="5849" max="6091" width="6.125" style="9"/>
    <col min="6092" max="6092" width="5" style="9" customWidth="1"/>
    <col min="6093" max="6093" width="8.875" style="9" customWidth="1"/>
    <col min="6094" max="6094" width="5" style="9" customWidth="1"/>
    <col min="6095" max="6095" width="8.25" style="9" bestFit="1" customWidth="1"/>
    <col min="6096" max="6096" width="16.125" style="9" customWidth="1"/>
    <col min="6097" max="6097" width="86" style="9" customWidth="1"/>
    <col min="6098" max="6098" width="5" style="9" customWidth="1"/>
    <col min="6099" max="6099" width="11.125" style="9" customWidth="1"/>
    <col min="6100" max="6100" width="10.375" style="9" customWidth="1"/>
    <col min="6101" max="6101" width="10.875" style="9" customWidth="1"/>
    <col min="6102" max="6102" width="7.75" style="9" customWidth="1"/>
    <col min="6103" max="6103" width="9.875" style="9" customWidth="1"/>
    <col min="6104" max="6104" width="10.625" style="9" customWidth="1"/>
    <col min="6105" max="6347" width="6.125" style="9"/>
    <col min="6348" max="6348" width="5" style="9" customWidth="1"/>
    <col min="6349" max="6349" width="8.875" style="9" customWidth="1"/>
    <col min="6350" max="6350" width="5" style="9" customWidth="1"/>
    <col min="6351" max="6351" width="8.25" style="9" bestFit="1" customWidth="1"/>
    <col min="6352" max="6352" width="16.125" style="9" customWidth="1"/>
    <col min="6353" max="6353" width="86" style="9" customWidth="1"/>
    <col min="6354" max="6354" width="5" style="9" customWidth="1"/>
    <col min="6355" max="6355" width="11.125" style="9" customWidth="1"/>
    <col min="6356" max="6356" width="10.375" style="9" customWidth="1"/>
    <col min="6357" max="6357" width="10.875" style="9" customWidth="1"/>
    <col min="6358" max="6358" width="7.75" style="9" customWidth="1"/>
    <col min="6359" max="6359" width="9.875" style="9" customWidth="1"/>
    <col min="6360" max="6360" width="10.625" style="9" customWidth="1"/>
    <col min="6361" max="6603" width="6.125" style="9"/>
    <col min="6604" max="6604" width="5" style="9" customWidth="1"/>
    <col min="6605" max="6605" width="8.875" style="9" customWidth="1"/>
    <col min="6606" max="6606" width="5" style="9" customWidth="1"/>
    <col min="6607" max="6607" width="8.25" style="9" bestFit="1" customWidth="1"/>
    <col min="6608" max="6608" width="16.125" style="9" customWidth="1"/>
    <col min="6609" max="6609" width="86" style="9" customWidth="1"/>
    <col min="6610" max="6610" width="5" style="9" customWidth="1"/>
    <col min="6611" max="6611" width="11.125" style="9" customWidth="1"/>
    <col min="6612" max="6612" width="10.375" style="9" customWidth="1"/>
    <col min="6613" max="6613" width="10.875" style="9" customWidth="1"/>
    <col min="6614" max="6614" width="7.75" style="9" customWidth="1"/>
    <col min="6615" max="6615" width="9.875" style="9" customWidth="1"/>
    <col min="6616" max="6616" width="10.625" style="9" customWidth="1"/>
    <col min="6617" max="6859" width="6.125" style="9"/>
    <col min="6860" max="6860" width="5" style="9" customWidth="1"/>
    <col min="6861" max="6861" width="8.875" style="9" customWidth="1"/>
    <col min="6862" max="6862" width="5" style="9" customWidth="1"/>
    <col min="6863" max="6863" width="8.25" style="9" bestFit="1" customWidth="1"/>
    <col min="6864" max="6864" width="16.125" style="9" customWidth="1"/>
    <col min="6865" max="6865" width="86" style="9" customWidth="1"/>
    <col min="6866" max="6866" width="5" style="9" customWidth="1"/>
    <col min="6867" max="6867" width="11.125" style="9" customWidth="1"/>
    <col min="6868" max="6868" width="10.375" style="9" customWidth="1"/>
    <col min="6869" max="6869" width="10.875" style="9" customWidth="1"/>
    <col min="6870" max="6870" width="7.75" style="9" customWidth="1"/>
    <col min="6871" max="6871" width="9.875" style="9" customWidth="1"/>
    <col min="6872" max="6872" width="10.625" style="9" customWidth="1"/>
    <col min="6873" max="7115" width="6.125" style="9"/>
    <col min="7116" max="7116" width="5" style="9" customWidth="1"/>
    <col min="7117" max="7117" width="8.875" style="9" customWidth="1"/>
    <col min="7118" max="7118" width="5" style="9" customWidth="1"/>
    <col min="7119" max="7119" width="8.25" style="9" bestFit="1" customWidth="1"/>
    <col min="7120" max="7120" width="16.125" style="9" customWidth="1"/>
    <col min="7121" max="7121" width="86" style="9" customWidth="1"/>
    <col min="7122" max="7122" width="5" style="9" customWidth="1"/>
    <col min="7123" max="7123" width="11.125" style="9" customWidth="1"/>
    <col min="7124" max="7124" width="10.375" style="9" customWidth="1"/>
    <col min="7125" max="7125" width="10.875" style="9" customWidth="1"/>
    <col min="7126" max="7126" width="7.75" style="9" customWidth="1"/>
    <col min="7127" max="7127" width="9.875" style="9" customWidth="1"/>
    <col min="7128" max="7128" width="10.625" style="9" customWidth="1"/>
    <col min="7129" max="7371" width="6.125" style="9"/>
    <col min="7372" max="7372" width="5" style="9" customWidth="1"/>
    <col min="7373" max="7373" width="8.875" style="9" customWidth="1"/>
    <col min="7374" max="7374" width="5" style="9" customWidth="1"/>
    <col min="7375" max="7375" width="8.25" style="9" bestFit="1" customWidth="1"/>
    <col min="7376" max="7376" width="16.125" style="9" customWidth="1"/>
    <col min="7377" max="7377" width="86" style="9" customWidth="1"/>
    <col min="7378" max="7378" width="5" style="9" customWidth="1"/>
    <col min="7379" max="7379" width="11.125" style="9" customWidth="1"/>
    <col min="7380" max="7380" width="10.375" style="9" customWidth="1"/>
    <col min="7381" max="7381" width="10.875" style="9" customWidth="1"/>
    <col min="7382" max="7382" width="7.75" style="9" customWidth="1"/>
    <col min="7383" max="7383" width="9.875" style="9" customWidth="1"/>
    <col min="7384" max="7384" width="10.625" style="9" customWidth="1"/>
    <col min="7385" max="7627" width="6.125" style="9"/>
    <col min="7628" max="7628" width="5" style="9" customWidth="1"/>
    <col min="7629" max="7629" width="8.875" style="9" customWidth="1"/>
    <col min="7630" max="7630" width="5" style="9" customWidth="1"/>
    <col min="7631" max="7631" width="8.25" style="9" bestFit="1" customWidth="1"/>
    <col min="7632" max="7632" width="16.125" style="9" customWidth="1"/>
    <col min="7633" max="7633" width="86" style="9" customWidth="1"/>
    <col min="7634" max="7634" width="5" style="9" customWidth="1"/>
    <col min="7635" max="7635" width="11.125" style="9" customWidth="1"/>
    <col min="7636" max="7636" width="10.375" style="9" customWidth="1"/>
    <col min="7637" max="7637" width="10.875" style="9" customWidth="1"/>
    <col min="7638" max="7638" width="7.75" style="9" customWidth="1"/>
    <col min="7639" max="7639" width="9.875" style="9" customWidth="1"/>
    <col min="7640" max="7640" width="10.625" style="9" customWidth="1"/>
    <col min="7641" max="7883" width="6.125" style="9"/>
    <col min="7884" max="7884" width="5" style="9" customWidth="1"/>
    <col min="7885" max="7885" width="8.875" style="9" customWidth="1"/>
    <col min="7886" max="7886" width="5" style="9" customWidth="1"/>
    <col min="7887" max="7887" width="8.25" style="9" bestFit="1" customWidth="1"/>
    <col min="7888" max="7888" width="16.125" style="9" customWidth="1"/>
    <col min="7889" max="7889" width="86" style="9" customWidth="1"/>
    <col min="7890" max="7890" width="5" style="9" customWidth="1"/>
    <col min="7891" max="7891" width="11.125" style="9" customWidth="1"/>
    <col min="7892" max="7892" width="10.375" style="9" customWidth="1"/>
    <col min="7893" max="7893" width="10.875" style="9" customWidth="1"/>
    <col min="7894" max="7894" width="7.75" style="9" customWidth="1"/>
    <col min="7895" max="7895" width="9.875" style="9" customWidth="1"/>
    <col min="7896" max="7896" width="10.625" style="9" customWidth="1"/>
    <col min="7897" max="8139" width="6.125" style="9"/>
    <col min="8140" max="8140" width="5" style="9" customWidth="1"/>
    <col min="8141" max="8141" width="8.875" style="9" customWidth="1"/>
    <col min="8142" max="8142" width="5" style="9" customWidth="1"/>
    <col min="8143" max="8143" width="8.25" style="9" bestFit="1" customWidth="1"/>
    <col min="8144" max="8144" width="16.125" style="9" customWidth="1"/>
    <col min="8145" max="8145" width="86" style="9" customWidth="1"/>
    <col min="8146" max="8146" width="5" style="9" customWidth="1"/>
    <col min="8147" max="8147" width="11.125" style="9" customWidth="1"/>
    <col min="8148" max="8148" width="10.375" style="9" customWidth="1"/>
    <col min="8149" max="8149" width="10.875" style="9" customWidth="1"/>
    <col min="8150" max="8150" width="7.75" style="9" customWidth="1"/>
    <col min="8151" max="8151" width="9.875" style="9" customWidth="1"/>
    <col min="8152" max="8152" width="10.625" style="9" customWidth="1"/>
    <col min="8153" max="8395" width="6.125" style="9"/>
    <col min="8396" max="8396" width="5" style="9" customWidth="1"/>
    <col min="8397" max="8397" width="8.875" style="9" customWidth="1"/>
    <col min="8398" max="8398" width="5" style="9" customWidth="1"/>
    <col min="8399" max="8399" width="8.25" style="9" bestFit="1" customWidth="1"/>
    <col min="8400" max="8400" width="16.125" style="9" customWidth="1"/>
    <col min="8401" max="8401" width="86" style="9" customWidth="1"/>
    <col min="8402" max="8402" width="5" style="9" customWidth="1"/>
    <col min="8403" max="8403" width="11.125" style="9" customWidth="1"/>
    <col min="8404" max="8404" width="10.375" style="9" customWidth="1"/>
    <col min="8405" max="8405" width="10.875" style="9" customWidth="1"/>
    <col min="8406" max="8406" width="7.75" style="9" customWidth="1"/>
    <col min="8407" max="8407" width="9.875" style="9" customWidth="1"/>
    <col min="8408" max="8408" width="10.625" style="9" customWidth="1"/>
    <col min="8409" max="8651" width="6.125" style="9"/>
    <col min="8652" max="8652" width="5" style="9" customWidth="1"/>
    <col min="8653" max="8653" width="8.875" style="9" customWidth="1"/>
    <col min="8654" max="8654" width="5" style="9" customWidth="1"/>
    <col min="8655" max="8655" width="8.25" style="9" bestFit="1" customWidth="1"/>
    <col min="8656" max="8656" width="16.125" style="9" customWidth="1"/>
    <col min="8657" max="8657" width="86" style="9" customWidth="1"/>
    <col min="8658" max="8658" width="5" style="9" customWidth="1"/>
    <col min="8659" max="8659" width="11.125" style="9" customWidth="1"/>
    <col min="8660" max="8660" width="10.375" style="9" customWidth="1"/>
    <col min="8661" max="8661" width="10.875" style="9" customWidth="1"/>
    <col min="8662" max="8662" width="7.75" style="9" customWidth="1"/>
    <col min="8663" max="8663" width="9.875" style="9" customWidth="1"/>
    <col min="8664" max="8664" width="10.625" style="9" customWidth="1"/>
    <col min="8665" max="8907" width="6.125" style="9"/>
    <col min="8908" max="8908" width="5" style="9" customWidth="1"/>
    <col min="8909" max="8909" width="8.875" style="9" customWidth="1"/>
    <col min="8910" max="8910" width="5" style="9" customWidth="1"/>
    <col min="8911" max="8911" width="8.25" style="9" bestFit="1" customWidth="1"/>
    <col min="8912" max="8912" width="16.125" style="9" customWidth="1"/>
    <col min="8913" max="8913" width="86" style="9" customWidth="1"/>
    <col min="8914" max="8914" width="5" style="9" customWidth="1"/>
    <col min="8915" max="8915" width="11.125" style="9" customWidth="1"/>
    <col min="8916" max="8916" width="10.375" style="9" customWidth="1"/>
    <col min="8917" max="8917" width="10.875" style="9" customWidth="1"/>
    <col min="8918" max="8918" width="7.75" style="9" customWidth="1"/>
    <col min="8919" max="8919" width="9.875" style="9" customWidth="1"/>
    <col min="8920" max="8920" width="10.625" style="9" customWidth="1"/>
    <col min="8921" max="9163" width="6.125" style="9"/>
    <col min="9164" max="9164" width="5" style="9" customWidth="1"/>
    <col min="9165" max="9165" width="8.875" style="9" customWidth="1"/>
    <col min="9166" max="9166" width="5" style="9" customWidth="1"/>
    <col min="9167" max="9167" width="8.25" style="9" bestFit="1" customWidth="1"/>
    <col min="9168" max="9168" width="16.125" style="9" customWidth="1"/>
    <col min="9169" max="9169" width="86" style="9" customWidth="1"/>
    <col min="9170" max="9170" width="5" style="9" customWidth="1"/>
    <col min="9171" max="9171" width="11.125" style="9" customWidth="1"/>
    <col min="9172" max="9172" width="10.375" style="9" customWidth="1"/>
    <col min="9173" max="9173" width="10.875" style="9" customWidth="1"/>
    <col min="9174" max="9174" width="7.75" style="9" customWidth="1"/>
    <col min="9175" max="9175" width="9.875" style="9" customWidth="1"/>
    <col min="9176" max="9176" width="10.625" style="9" customWidth="1"/>
    <col min="9177" max="9419" width="6.125" style="9"/>
    <col min="9420" max="9420" width="5" style="9" customWidth="1"/>
    <col min="9421" max="9421" width="8.875" style="9" customWidth="1"/>
    <col min="9422" max="9422" width="5" style="9" customWidth="1"/>
    <col min="9423" max="9423" width="8.25" style="9" bestFit="1" customWidth="1"/>
    <col min="9424" max="9424" width="16.125" style="9" customWidth="1"/>
    <col min="9425" max="9425" width="86" style="9" customWidth="1"/>
    <col min="9426" max="9426" width="5" style="9" customWidth="1"/>
    <col min="9427" max="9427" width="11.125" style="9" customWidth="1"/>
    <col min="9428" max="9428" width="10.375" style="9" customWidth="1"/>
    <col min="9429" max="9429" width="10.875" style="9" customWidth="1"/>
    <col min="9430" max="9430" width="7.75" style="9" customWidth="1"/>
    <col min="9431" max="9431" width="9.875" style="9" customWidth="1"/>
    <col min="9432" max="9432" width="10.625" style="9" customWidth="1"/>
    <col min="9433" max="9675" width="6.125" style="9"/>
    <col min="9676" max="9676" width="5" style="9" customWidth="1"/>
    <col min="9677" max="9677" width="8.875" style="9" customWidth="1"/>
    <col min="9678" max="9678" width="5" style="9" customWidth="1"/>
    <col min="9679" max="9679" width="8.25" style="9" bestFit="1" customWidth="1"/>
    <col min="9680" max="9680" width="16.125" style="9" customWidth="1"/>
    <col min="9681" max="9681" width="86" style="9" customWidth="1"/>
    <col min="9682" max="9682" width="5" style="9" customWidth="1"/>
    <col min="9683" max="9683" width="11.125" style="9" customWidth="1"/>
    <col min="9684" max="9684" width="10.375" style="9" customWidth="1"/>
    <col min="9685" max="9685" width="10.875" style="9" customWidth="1"/>
    <col min="9686" max="9686" width="7.75" style="9" customWidth="1"/>
    <col min="9687" max="9687" width="9.875" style="9" customWidth="1"/>
    <col min="9688" max="9688" width="10.625" style="9" customWidth="1"/>
    <col min="9689" max="9931" width="6.125" style="9"/>
    <col min="9932" max="9932" width="5" style="9" customWidth="1"/>
    <col min="9933" max="9933" width="8.875" style="9" customWidth="1"/>
    <col min="9934" max="9934" width="5" style="9" customWidth="1"/>
    <col min="9935" max="9935" width="8.25" style="9" bestFit="1" customWidth="1"/>
    <col min="9936" max="9936" width="16.125" style="9" customWidth="1"/>
    <col min="9937" max="9937" width="86" style="9" customWidth="1"/>
    <col min="9938" max="9938" width="5" style="9" customWidth="1"/>
    <col min="9939" max="9939" width="11.125" style="9" customWidth="1"/>
    <col min="9940" max="9940" width="10.375" style="9" customWidth="1"/>
    <col min="9941" max="9941" width="10.875" style="9" customWidth="1"/>
    <col min="9942" max="9942" width="7.75" style="9" customWidth="1"/>
    <col min="9943" max="9943" width="9.875" style="9" customWidth="1"/>
    <col min="9944" max="9944" width="10.625" style="9" customWidth="1"/>
    <col min="9945" max="10187" width="6.125" style="9"/>
    <col min="10188" max="10188" width="5" style="9" customWidth="1"/>
    <col min="10189" max="10189" width="8.875" style="9" customWidth="1"/>
    <col min="10190" max="10190" width="5" style="9" customWidth="1"/>
    <col min="10191" max="10191" width="8.25" style="9" bestFit="1" customWidth="1"/>
    <col min="10192" max="10192" width="16.125" style="9" customWidth="1"/>
    <col min="10193" max="10193" width="86" style="9" customWidth="1"/>
    <col min="10194" max="10194" width="5" style="9" customWidth="1"/>
    <col min="10195" max="10195" width="11.125" style="9" customWidth="1"/>
    <col min="10196" max="10196" width="10.375" style="9" customWidth="1"/>
    <col min="10197" max="10197" width="10.875" style="9" customWidth="1"/>
    <col min="10198" max="10198" width="7.75" style="9" customWidth="1"/>
    <col min="10199" max="10199" width="9.875" style="9" customWidth="1"/>
    <col min="10200" max="10200" width="10.625" style="9" customWidth="1"/>
    <col min="10201" max="10443" width="6.125" style="9"/>
    <col min="10444" max="10444" width="5" style="9" customWidth="1"/>
    <col min="10445" max="10445" width="8.875" style="9" customWidth="1"/>
    <col min="10446" max="10446" width="5" style="9" customWidth="1"/>
    <col min="10447" max="10447" width="8.25" style="9" bestFit="1" customWidth="1"/>
    <col min="10448" max="10448" width="16.125" style="9" customWidth="1"/>
    <col min="10449" max="10449" width="86" style="9" customWidth="1"/>
    <col min="10450" max="10450" width="5" style="9" customWidth="1"/>
    <col min="10451" max="10451" width="11.125" style="9" customWidth="1"/>
    <col min="10452" max="10452" width="10.375" style="9" customWidth="1"/>
    <col min="10453" max="10453" width="10.875" style="9" customWidth="1"/>
    <col min="10454" max="10454" width="7.75" style="9" customWidth="1"/>
    <col min="10455" max="10455" width="9.875" style="9" customWidth="1"/>
    <col min="10456" max="10456" width="10.625" style="9" customWidth="1"/>
    <col min="10457" max="10699" width="6.125" style="9"/>
    <col min="10700" max="10700" width="5" style="9" customWidth="1"/>
    <col min="10701" max="10701" width="8.875" style="9" customWidth="1"/>
    <col min="10702" max="10702" width="5" style="9" customWidth="1"/>
    <col min="10703" max="10703" width="8.25" style="9" bestFit="1" customWidth="1"/>
    <col min="10704" max="10704" width="16.125" style="9" customWidth="1"/>
    <col min="10705" max="10705" width="86" style="9" customWidth="1"/>
    <col min="10706" max="10706" width="5" style="9" customWidth="1"/>
    <col min="10707" max="10707" width="11.125" style="9" customWidth="1"/>
    <col min="10708" max="10708" width="10.375" style="9" customWidth="1"/>
    <col min="10709" max="10709" width="10.875" style="9" customWidth="1"/>
    <col min="10710" max="10710" width="7.75" style="9" customWidth="1"/>
    <col min="10711" max="10711" width="9.875" style="9" customWidth="1"/>
    <col min="10712" max="10712" width="10.625" style="9" customWidth="1"/>
    <col min="10713" max="10955" width="6.125" style="9"/>
    <col min="10956" max="10956" width="5" style="9" customWidth="1"/>
    <col min="10957" max="10957" width="8.875" style="9" customWidth="1"/>
    <col min="10958" max="10958" width="5" style="9" customWidth="1"/>
    <col min="10959" max="10959" width="8.25" style="9" bestFit="1" customWidth="1"/>
    <col min="10960" max="10960" width="16.125" style="9" customWidth="1"/>
    <col min="10961" max="10961" width="86" style="9" customWidth="1"/>
    <col min="10962" max="10962" width="5" style="9" customWidth="1"/>
    <col min="10963" max="10963" width="11.125" style="9" customWidth="1"/>
    <col min="10964" max="10964" width="10.375" style="9" customWidth="1"/>
    <col min="10965" max="10965" width="10.875" style="9" customWidth="1"/>
    <col min="10966" max="10966" width="7.75" style="9" customWidth="1"/>
    <col min="10967" max="10967" width="9.875" style="9" customWidth="1"/>
    <col min="10968" max="10968" width="10.625" style="9" customWidth="1"/>
    <col min="10969" max="11211" width="6.125" style="9"/>
    <col min="11212" max="11212" width="5" style="9" customWidth="1"/>
    <col min="11213" max="11213" width="8.875" style="9" customWidth="1"/>
    <col min="11214" max="11214" width="5" style="9" customWidth="1"/>
    <col min="11215" max="11215" width="8.25" style="9" bestFit="1" customWidth="1"/>
    <col min="11216" max="11216" width="16.125" style="9" customWidth="1"/>
    <col min="11217" max="11217" width="86" style="9" customWidth="1"/>
    <col min="11218" max="11218" width="5" style="9" customWidth="1"/>
    <col min="11219" max="11219" width="11.125" style="9" customWidth="1"/>
    <col min="11220" max="11220" width="10.375" style="9" customWidth="1"/>
    <col min="11221" max="11221" width="10.875" style="9" customWidth="1"/>
    <col min="11222" max="11222" width="7.75" style="9" customWidth="1"/>
    <col min="11223" max="11223" width="9.875" style="9" customWidth="1"/>
    <col min="11224" max="11224" width="10.625" style="9" customWidth="1"/>
    <col min="11225" max="11467" width="6.125" style="9"/>
    <col min="11468" max="11468" width="5" style="9" customWidth="1"/>
    <col min="11469" max="11469" width="8.875" style="9" customWidth="1"/>
    <col min="11470" max="11470" width="5" style="9" customWidth="1"/>
    <col min="11471" max="11471" width="8.25" style="9" bestFit="1" customWidth="1"/>
    <col min="11472" max="11472" width="16.125" style="9" customWidth="1"/>
    <col min="11473" max="11473" width="86" style="9" customWidth="1"/>
    <col min="11474" max="11474" width="5" style="9" customWidth="1"/>
    <col min="11475" max="11475" width="11.125" style="9" customWidth="1"/>
    <col min="11476" max="11476" width="10.375" style="9" customWidth="1"/>
    <col min="11477" max="11477" width="10.875" style="9" customWidth="1"/>
    <col min="11478" max="11478" width="7.75" style="9" customWidth="1"/>
    <col min="11479" max="11479" width="9.875" style="9" customWidth="1"/>
    <col min="11480" max="11480" width="10.625" style="9" customWidth="1"/>
    <col min="11481" max="11723" width="6.125" style="9"/>
    <col min="11724" max="11724" width="5" style="9" customWidth="1"/>
    <col min="11725" max="11725" width="8.875" style="9" customWidth="1"/>
    <col min="11726" max="11726" width="5" style="9" customWidth="1"/>
    <col min="11727" max="11727" width="8.25" style="9" bestFit="1" customWidth="1"/>
    <col min="11728" max="11728" width="16.125" style="9" customWidth="1"/>
    <col min="11729" max="11729" width="86" style="9" customWidth="1"/>
    <col min="11730" max="11730" width="5" style="9" customWidth="1"/>
    <col min="11731" max="11731" width="11.125" style="9" customWidth="1"/>
    <col min="11732" max="11732" width="10.375" style="9" customWidth="1"/>
    <col min="11733" max="11733" width="10.875" style="9" customWidth="1"/>
    <col min="11734" max="11734" width="7.75" style="9" customWidth="1"/>
    <col min="11735" max="11735" width="9.875" style="9" customWidth="1"/>
    <col min="11736" max="11736" width="10.625" style="9" customWidth="1"/>
    <col min="11737" max="11979" width="6.125" style="9"/>
    <col min="11980" max="11980" width="5" style="9" customWidth="1"/>
    <col min="11981" max="11981" width="8.875" style="9" customWidth="1"/>
    <col min="11982" max="11982" width="5" style="9" customWidth="1"/>
    <col min="11983" max="11983" width="8.25" style="9" bestFit="1" customWidth="1"/>
    <col min="11984" max="11984" width="16.125" style="9" customWidth="1"/>
    <col min="11985" max="11985" width="86" style="9" customWidth="1"/>
    <col min="11986" max="11986" width="5" style="9" customWidth="1"/>
    <col min="11987" max="11987" width="11.125" style="9" customWidth="1"/>
    <col min="11988" max="11988" width="10.375" style="9" customWidth="1"/>
    <col min="11989" max="11989" width="10.875" style="9" customWidth="1"/>
    <col min="11990" max="11990" width="7.75" style="9" customWidth="1"/>
    <col min="11991" max="11991" width="9.875" style="9" customWidth="1"/>
    <col min="11992" max="11992" width="10.625" style="9" customWidth="1"/>
    <col min="11993" max="12235" width="6.125" style="9"/>
    <col min="12236" max="12236" width="5" style="9" customWidth="1"/>
    <col min="12237" max="12237" width="8.875" style="9" customWidth="1"/>
    <col min="12238" max="12238" width="5" style="9" customWidth="1"/>
    <col min="12239" max="12239" width="8.25" style="9" bestFit="1" customWidth="1"/>
    <col min="12240" max="12240" width="16.125" style="9" customWidth="1"/>
    <col min="12241" max="12241" width="86" style="9" customWidth="1"/>
    <col min="12242" max="12242" width="5" style="9" customWidth="1"/>
    <col min="12243" max="12243" width="11.125" style="9" customWidth="1"/>
    <col min="12244" max="12244" width="10.375" style="9" customWidth="1"/>
    <col min="12245" max="12245" width="10.875" style="9" customWidth="1"/>
    <col min="12246" max="12246" width="7.75" style="9" customWidth="1"/>
    <col min="12247" max="12247" width="9.875" style="9" customWidth="1"/>
    <col min="12248" max="12248" width="10.625" style="9" customWidth="1"/>
    <col min="12249" max="12491" width="6.125" style="9"/>
    <col min="12492" max="12492" width="5" style="9" customWidth="1"/>
    <col min="12493" max="12493" width="8.875" style="9" customWidth="1"/>
    <col min="12494" max="12494" width="5" style="9" customWidth="1"/>
    <col min="12495" max="12495" width="8.25" style="9" bestFit="1" customWidth="1"/>
    <col min="12496" max="12496" width="16.125" style="9" customWidth="1"/>
    <col min="12497" max="12497" width="86" style="9" customWidth="1"/>
    <col min="12498" max="12498" width="5" style="9" customWidth="1"/>
    <col min="12499" max="12499" width="11.125" style="9" customWidth="1"/>
    <col min="12500" max="12500" width="10.375" style="9" customWidth="1"/>
    <col min="12501" max="12501" width="10.875" style="9" customWidth="1"/>
    <col min="12502" max="12502" width="7.75" style="9" customWidth="1"/>
    <col min="12503" max="12503" width="9.875" style="9" customWidth="1"/>
    <col min="12504" max="12504" width="10.625" style="9" customWidth="1"/>
    <col min="12505" max="12747" width="6.125" style="9"/>
    <col min="12748" max="12748" width="5" style="9" customWidth="1"/>
    <col min="12749" max="12749" width="8.875" style="9" customWidth="1"/>
    <col min="12750" max="12750" width="5" style="9" customWidth="1"/>
    <col min="12751" max="12751" width="8.25" style="9" bestFit="1" customWidth="1"/>
    <col min="12752" max="12752" width="16.125" style="9" customWidth="1"/>
    <col min="12753" max="12753" width="86" style="9" customWidth="1"/>
    <col min="12754" max="12754" width="5" style="9" customWidth="1"/>
    <col min="12755" max="12755" width="11.125" style="9" customWidth="1"/>
    <col min="12756" max="12756" width="10.375" style="9" customWidth="1"/>
    <col min="12757" max="12757" width="10.875" style="9" customWidth="1"/>
    <col min="12758" max="12758" width="7.75" style="9" customWidth="1"/>
    <col min="12759" max="12759" width="9.875" style="9" customWidth="1"/>
    <col min="12760" max="12760" width="10.625" style="9" customWidth="1"/>
    <col min="12761" max="13003" width="6.125" style="9"/>
    <col min="13004" max="13004" width="5" style="9" customWidth="1"/>
    <col min="13005" max="13005" width="8.875" style="9" customWidth="1"/>
    <col min="13006" max="13006" width="5" style="9" customWidth="1"/>
    <col min="13007" max="13007" width="8.25" style="9" bestFit="1" customWidth="1"/>
    <col min="13008" max="13008" width="16.125" style="9" customWidth="1"/>
    <col min="13009" max="13009" width="86" style="9" customWidth="1"/>
    <col min="13010" max="13010" width="5" style="9" customWidth="1"/>
    <col min="13011" max="13011" width="11.125" style="9" customWidth="1"/>
    <col min="13012" max="13012" width="10.375" style="9" customWidth="1"/>
    <col min="13013" max="13013" width="10.875" style="9" customWidth="1"/>
    <col min="13014" max="13014" width="7.75" style="9" customWidth="1"/>
    <col min="13015" max="13015" width="9.875" style="9" customWidth="1"/>
    <col min="13016" max="13016" width="10.625" style="9" customWidth="1"/>
    <col min="13017" max="13259" width="6.125" style="9"/>
    <col min="13260" max="13260" width="5" style="9" customWidth="1"/>
    <col min="13261" max="13261" width="8.875" style="9" customWidth="1"/>
    <col min="13262" max="13262" width="5" style="9" customWidth="1"/>
    <col min="13263" max="13263" width="8.25" style="9" bestFit="1" customWidth="1"/>
    <col min="13264" max="13264" width="16.125" style="9" customWidth="1"/>
    <col min="13265" max="13265" width="86" style="9" customWidth="1"/>
    <col min="13266" max="13266" width="5" style="9" customWidth="1"/>
    <col min="13267" max="13267" width="11.125" style="9" customWidth="1"/>
    <col min="13268" max="13268" width="10.375" style="9" customWidth="1"/>
    <col min="13269" max="13269" width="10.875" style="9" customWidth="1"/>
    <col min="13270" max="13270" width="7.75" style="9" customWidth="1"/>
    <col min="13271" max="13271" width="9.875" style="9" customWidth="1"/>
    <col min="13272" max="13272" width="10.625" style="9" customWidth="1"/>
    <col min="13273" max="13515" width="6.125" style="9"/>
    <col min="13516" max="13516" width="5" style="9" customWidth="1"/>
    <col min="13517" max="13517" width="8.875" style="9" customWidth="1"/>
    <col min="13518" max="13518" width="5" style="9" customWidth="1"/>
    <col min="13519" max="13519" width="8.25" style="9" bestFit="1" customWidth="1"/>
    <col min="13520" max="13520" width="16.125" style="9" customWidth="1"/>
    <col min="13521" max="13521" width="86" style="9" customWidth="1"/>
    <col min="13522" max="13522" width="5" style="9" customWidth="1"/>
    <col min="13523" max="13523" width="11.125" style="9" customWidth="1"/>
    <col min="13524" max="13524" width="10.375" style="9" customWidth="1"/>
    <col min="13525" max="13525" width="10.875" style="9" customWidth="1"/>
    <col min="13526" max="13526" width="7.75" style="9" customWidth="1"/>
    <col min="13527" max="13527" width="9.875" style="9" customWidth="1"/>
    <col min="13528" max="13528" width="10.625" style="9" customWidth="1"/>
    <col min="13529" max="13771" width="6.125" style="9"/>
    <col min="13772" max="13772" width="5" style="9" customWidth="1"/>
    <col min="13773" max="13773" width="8.875" style="9" customWidth="1"/>
    <col min="13774" max="13774" width="5" style="9" customWidth="1"/>
    <col min="13775" max="13775" width="8.25" style="9" bestFit="1" customWidth="1"/>
    <col min="13776" max="13776" width="16.125" style="9" customWidth="1"/>
    <col min="13777" max="13777" width="86" style="9" customWidth="1"/>
    <col min="13778" max="13778" width="5" style="9" customWidth="1"/>
    <col min="13779" max="13779" width="11.125" style="9" customWidth="1"/>
    <col min="13780" max="13780" width="10.375" style="9" customWidth="1"/>
    <col min="13781" max="13781" width="10.875" style="9" customWidth="1"/>
    <col min="13782" max="13782" width="7.75" style="9" customWidth="1"/>
    <col min="13783" max="13783" width="9.875" style="9" customWidth="1"/>
    <col min="13784" max="13784" width="10.625" style="9" customWidth="1"/>
    <col min="13785" max="14027" width="6.125" style="9"/>
    <col min="14028" max="14028" width="5" style="9" customWidth="1"/>
    <col min="14029" max="14029" width="8.875" style="9" customWidth="1"/>
    <col min="14030" max="14030" width="5" style="9" customWidth="1"/>
    <col min="14031" max="14031" width="8.25" style="9" bestFit="1" customWidth="1"/>
    <col min="14032" max="14032" width="16.125" style="9" customWidth="1"/>
    <col min="14033" max="14033" width="86" style="9" customWidth="1"/>
    <col min="14034" max="14034" width="5" style="9" customWidth="1"/>
    <col min="14035" max="14035" width="11.125" style="9" customWidth="1"/>
    <col min="14036" max="14036" width="10.375" style="9" customWidth="1"/>
    <col min="14037" max="14037" width="10.875" style="9" customWidth="1"/>
    <col min="14038" max="14038" width="7.75" style="9" customWidth="1"/>
    <col min="14039" max="14039" width="9.875" style="9" customWidth="1"/>
    <col min="14040" max="14040" width="10.625" style="9" customWidth="1"/>
    <col min="14041" max="14283" width="6.125" style="9"/>
    <col min="14284" max="14284" width="5" style="9" customWidth="1"/>
    <col min="14285" max="14285" width="8.875" style="9" customWidth="1"/>
    <col min="14286" max="14286" width="5" style="9" customWidth="1"/>
    <col min="14287" max="14287" width="8.25" style="9" bestFit="1" customWidth="1"/>
    <col min="14288" max="14288" width="16.125" style="9" customWidth="1"/>
    <col min="14289" max="14289" width="86" style="9" customWidth="1"/>
    <col min="14290" max="14290" width="5" style="9" customWidth="1"/>
    <col min="14291" max="14291" width="11.125" style="9" customWidth="1"/>
    <col min="14292" max="14292" width="10.375" style="9" customWidth="1"/>
    <col min="14293" max="14293" width="10.875" style="9" customWidth="1"/>
    <col min="14294" max="14294" width="7.75" style="9" customWidth="1"/>
    <col min="14295" max="14295" width="9.875" style="9" customWidth="1"/>
    <col min="14296" max="14296" width="10.625" style="9" customWidth="1"/>
    <col min="14297" max="14539" width="6.125" style="9"/>
    <col min="14540" max="14540" width="5" style="9" customWidth="1"/>
    <col min="14541" max="14541" width="8.875" style="9" customWidth="1"/>
    <col min="14542" max="14542" width="5" style="9" customWidth="1"/>
    <col min="14543" max="14543" width="8.25" style="9" bestFit="1" customWidth="1"/>
    <col min="14544" max="14544" width="16.125" style="9" customWidth="1"/>
    <col min="14545" max="14545" width="86" style="9" customWidth="1"/>
    <col min="14546" max="14546" width="5" style="9" customWidth="1"/>
    <col min="14547" max="14547" width="11.125" style="9" customWidth="1"/>
    <col min="14548" max="14548" width="10.375" style="9" customWidth="1"/>
    <col min="14549" max="14549" width="10.875" style="9" customWidth="1"/>
    <col min="14550" max="14550" width="7.75" style="9" customWidth="1"/>
    <col min="14551" max="14551" width="9.875" style="9" customWidth="1"/>
    <col min="14552" max="14552" width="10.625" style="9" customWidth="1"/>
    <col min="14553" max="14795" width="6.125" style="9"/>
    <col min="14796" max="14796" width="5" style="9" customWidth="1"/>
    <col min="14797" max="14797" width="8.875" style="9" customWidth="1"/>
    <col min="14798" max="14798" width="5" style="9" customWidth="1"/>
    <col min="14799" max="14799" width="8.25" style="9" bestFit="1" customWidth="1"/>
    <col min="14800" max="14800" width="16.125" style="9" customWidth="1"/>
    <col min="14801" max="14801" width="86" style="9" customWidth="1"/>
    <col min="14802" max="14802" width="5" style="9" customWidth="1"/>
    <col min="14803" max="14803" width="11.125" style="9" customWidth="1"/>
    <col min="14804" max="14804" width="10.375" style="9" customWidth="1"/>
    <col min="14805" max="14805" width="10.875" style="9" customWidth="1"/>
    <col min="14806" max="14806" width="7.75" style="9" customWidth="1"/>
    <col min="14807" max="14807" width="9.875" style="9" customWidth="1"/>
    <col min="14808" max="14808" width="10.625" style="9" customWidth="1"/>
    <col min="14809" max="15051" width="6.125" style="9"/>
    <col min="15052" max="15052" width="5" style="9" customWidth="1"/>
    <col min="15053" max="15053" width="8.875" style="9" customWidth="1"/>
    <col min="15054" max="15054" width="5" style="9" customWidth="1"/>
    <col min="15055" max="15055" width="8.25" style="9" bestFit="1" customWidth="1"/>
    <col min="15056" max="15056" width="16.125" style="9" customWidth="1"/>
    <col min="15057" max="15057" width="86" style="9" customWidth="1"/>
    <col min="15058" max="15058" width="5" style="9" customWidth="1"/>
    <col min="15059" max="15059" width="11.125" style="9" customWidth="1"/>
    <col min="15060" max="15060" width="10.375" style="9" customWidth="1"/>
    <col min="15061" max="15061" width="10.875" style="9" customWidth="1"/>
    <col min="15062" max="15062" width="7.75" style="9" customWidth="1"/>
    <col min="15063" max="15063" width="9.875" style="9" customWidth="1"/>
    <col min="15064" max="15064" width="10.625" style="9" customWidth="1"/>
    <col min="15065" max="15307" width="6.125" style="9"/>
    <col min="15308" max="15308" width="5" style="9" customWidth="1"/>
    <col min="15309" max="15309" width="8.875" style="9" customWidth="1"/>
    <col min="15310" max="15310" width="5" style="9" customWidth="1"/>
    <col min="15311" max="15311" width="8.25" style="9" bestFit="1" customWidth="1"/>
    <col min="15312" max="15312" width="16.125" style="9" customWidth="1"/>
    <col min="15313" max="15313" width="86" style="9" customWidth="1"/>
    <col min="15314" max="15314" width="5" style="9" customWidth="1"/>
    <col min="15315" max="15315" width="11.125" style="9" customWidth="1"/>
    <col min="15316" max="15316" width="10.375" style="9" customWidth="1"/>
    <col min="15317" max="15317" width="10.875" style="9" customWidth="1"/>
    <col min="15318" max="15318" width="7.75" style="9" customWidth="1"/>
    <col min="15319" max="15319" width="9.875" style="9" customWidth="1"/>
    <col min="15320" max="15320" width="10.625" style="9" customWidth="1"/>
    <col min="15321" max="15563" width="6.125" style="9"/>
    <col min="15564" max="15564" width="5" style="9" customWidth="1"/>
    <col min="15565" max="15565" width="8.875" style="9" customWidth="1"/>
    <col min="15566" max="15566" width="5" style="9" customWidth="1"/>
    <col min="15567" max="15567" width="8.25" style="9" bestFit="1" customWidth="1"/>
    <col min="15568" max="15568" width="16.125" style="9" customWidth="1"/>
    <col min="15569" max="15569" width="86" style="9" customWidth="1"/>
    <col min="15570" max="15570" width="5" style="9" customWidth="1"/>
    <col min="15571" max="15571" width="11.125" style="9" customWidth="1"/>
    <col min="15572" max="15572" width="10.375" style="9" customWidth="1"/>
    <col min="15573" max="15573" width="10.875" style="9" customWidth="1"/>
    <col min="15574" max="15574" width="7.75" style="9" customWidth="1"/>
    <col min="15575" max="15575" width="9.875" style="9" customWidth="1"/>
    <col min="15576" max="15576" width="10.625" style="9" customWidth="1"/>
    <col min="15577" max="15819" width="6.125" style="9"/>
    <col min="15820" max="15820" width="5" style="9" customWidth="1"/>
    <col min="15821" max="15821" width="8.875" style="9" customWidth="1"/>
    <col min="15822" max="15822" width="5" style="9" customWidth="1"/>
    <col min="15823" max="15823" width="8.25" style="9" bestFit="1" customWidth="1"/>
    <col min="15824" max="15824" width="16.125" style="9" customWidth="1"/>
    <col min="15825" max="15825" width="86" style="9" customWidth="1"/>
    <col min="15826" max="15826" width="5" style="9" customWidth="1"/>
    <col min="15827" max="15827" width="11.125" style="9" customWidth="1"/>
    <col min="15828" max="15828" width="10.375" style="9" customWidth="1"/>
    <col min="15829" max="15829" width="10.875" style="9" customWidth="1"/>
    <col min="15830" max="15830" width="7.75" style="9" customWidth="1"/>
    <col min="15831" max="15831" width="9.875" style="9" customWidth="1"/>
    <col min="15832" max="15832" width="10.625" style="9" customWidth="1"/>
    <col min="15833" max="16075" width="6.125" style="9"/>
    <col min="16076" max="16076" width="5" style="9" customWidth="1"/>
    <col min="16077" max="16077" width="8.875" style="9" customWidth="1"/>
    <col min="16078" max="16078" width="5" style="9" customWidth="1"/>
    <col min="16079" max="16079" width="8.25" style="9" bestFit="1" customWidth="1"/>
    <col min="16080" max="16080" width="16.125" style="9" customWidth="1"/>
    <col min="16081" max="16081" width="86" style="9" customWidth="1"/>
    <col min="16082" max="16082" width="5" style="9" customWidth="1"/>
    <col min="16083" max="16083" width="11.125" style="9" customWidth="1"/>
    <col min="16084" max="16084" width="10.375" style="9" customWidth="1"/>
    <col min="16085" max="16085" width="10.875" style="9" customWidth="1"/>
    <col min="16086" max="16086" width="7.75" style="9" customWidth="1"/>
    <col min="16087" max="16087" width="9.875" style="9" customWidth="1"/>
    <col min="16088" max="16088" width="10.625" style="9" customWidth="1"/>
    <col min="16089" max="16384" width="6.125" style="9"/>
  </cols>
  <sheetData>
    <row r="1" spans="1:10">
      <c r="A1" s="636" t="s">
        <v>276</v>
      </c>
      <c r="B1" s="636"/>
      <c r="C1" s="636"/>
      <c r="D1" s="636"/>
      <c r="E1" s="636"/>
      <c r="F1" s="636"/>
      <c r="G1" s="636"/>
      <c r="H1" s="636"/>
    </row>
    <row r="2" spans="1:10">
      <c r="A2" s="637"/>
      <c r="B2" s="637"/>
      <c r="C2" s="637"/>
      <c r="D2" s="637"/>
      <c r="E2" s="637"/>
      <c r="F2" s="637"/>
      <c r="G2" s="637"/>
      <c r="H2" s="637"/>
      <c r="I2" s="38"/>
    </row>
    <row r="3" spans="1:10" ht="15.75" thickBot="1">
      <c r="A3" s="149"/>
      <c r="B3" s="149"/>
      <c r="C3" s="149"/>
      <c r="D3" s="149"/>
      <c r="E3" s="149"/>
      <c r="F3" s="149"/>
      <c r="G3" s="149"/>
      <c r="H3" s="404"/>
      <c r="I3" s="639"/>
      <c r="J3" s="639"/>
    </row>
    <row r="4" spans="1:10" s="7" customFormat="1" ht="51.75" thickBot="1">
      <c r="A4" s="39" t="s">
        <v>20</v>
      </c>
      <c r="B4" s="40" t="s">
        <v>0</v>
      </c>
      <c r="C4" s="40" t="s">
        <v>1</v>
      </c>
      <c r="D4" s="40" t="s">
        <v>2</v>
      </c>
      <c r="E4" s="40" t="s">
        <v>3</v>
      </c>
      <c r="F4" s="41" t="s">
        <v>21</v>
      </c>
      <c r="G4" s="41" t="s">
        <v>22</v>
      </c>
      <c r="H4" s="405" t="s">
        <v>4</v>
      </c>
      <c r="I4" s="40" t="s">
        <v>23</v>
      </c>
      <c r="J4" s="150" t="s">
        <v>5</v>
      </c>
    </row>
    <row r="5" spans="1:10" ht="13.5" thickBot="1">
      <c r="A5" s="90"/>
      <c r="B5" s="91"/>
      <c r="C5" s="91"/>
      <c r="D5" s="91"/>
      <c r="E5" s="91"/>
      <c r="F5" s="47"/>
      <c r="G5" s="47"/>
      <c r="H5" s="406"/>
      <c r="I5" s="151"/>
      <c r="J5" s="119"/>
    </row>
    <row r="6" spans="1:10" ht="13.5" thickBot="1">
      <c r="A6" s="39" t="s">
        <v>15</v>
      </c>
      <c r="B6" s="41"/>
      <c r="C6" s="41"/>
      <c r="D6" s="41"/>
      <c r="E6" s="41"/>
      <c r="F6" s="41" t="s">
        <v>24</v>
      </c>
      <c r="G6" s="41"/>
      <c r="H6" s="407"/>
      <c r="I6" s="152"/>
      <c r="J6" s="118"/>
    </row>
    <row r="7" spans="1:10">
      <c r="A7" s="100"/>
      <c r="B7" s="101"/>
      <c r="C7" s="101"/>
      <c r="D7" s="101"/>
      <c r="E7" s="101"/>
      <c r="F7" s="153"/>
      <c r="G7" s="101"/>
      <c r="H7" s="408"/>
      <c r="I7" s="154"/>
      <c r="J7" s="122"/>
    </row>
    <row r="8" spans="1:10">
      <c r="A8" s="4"/>
      <c r="B8" s="19"/>
      <c r="C8" s="19"/>
      <c r="D8" s="19"/>
      <c r="E8" s="19"/>
      <c r="F8" s="19"/>
      <c r="G8" s="19"/>
      <c r="H8" s="409"/>
      <c r="I8" s="3"/>
      <c r="J8" s="33"/>
    </row>
    <row r="9" spans="1:10" ht="25.5">
      <c r="A9" s="4" t="s">
        <v>211</v>
      </c>
      <c r="B9" s="19"/>
      <c r="C9" s="19"/>
      <c r="D9" s="21" t="s">
        <v>6</v>
      </c>
      <c r="E9" s="19" t="s">
        <v>26</v>
      </c>
      <c r="F9" s="8" t="s">
        <v>212</v>
      </c>
      <c r="G9" s="19" t="s">
        <v>25</v>
      </c>
      <c r="H9" s="569">
        <f>110*1.1</f>
        <v>121.00000000000001</v>
      </c>
      <c r="I9" s="3">
        <v>25055</v>
      </c>
      <c r="J9" s="33">
        <f t="shared" ref="J9:J78" si="0">SUM(H9*I9)</f>
        <v>3031655.0000000005</v>
      </c>
    </row>
    <row r="10" spans="1:10" ht="153">
      <c r="A10" s="4"/>
      <c r="B10" s="19"/>
      <c r="C10" s="19"/>
      <c r="D10" s="19"/>
      <c r="E10" s="19"/>
      <c r="F10" s="440" t="s">
        <v>277</v>
      </c>
      <c r="G10" s="19"/>
      <c r="H10" s="569"/>
      <c r="I10" s="3"/>
      <c r="J10" s="33"/>
    </row>
    <row r="11" spans="1:10">
      <c r="A11" s="4"/>
      <c r="B11" s="19"/>
      <c r="C11" s="19"/>
      <c r="D11" s="19"/>
      <c r="E11" s="19"/>
      <c r="F11" s="440"/>
      <c r="G11" s="19"/>
      <c r="H11" s="569"/>
      <c r="I11" s="3"/>
      <c r="J11" s="33"/>
    </row>
    <row r="12" spans="1:10" ht="25.5">
      <c r="A12" s="4" t="s">
        <v>213</v>
      </c>
      <c r="B12" s="19"/>
      <c r="C12" s="19"/>
      <c r="D12" s="21" t="s">
        <v>6</v>
      </c>
      <c r="E12" s="19" t="s">
        <v>214</v>
      </c>
      <c r="F12" s="567" t="s">
        <v>280</v>
      </c>
      <c r="G12" s="10" t="s">
        <v>7</v>
      </c>
      <c r="H12" s="569">
        <v>20</v>
      </c>
      <c r="I12" s="3">
        <v>3264</v>
      </c>
      <c r="J12" s="33">
        <f t="shared" ref="J12" si="1">SUM(H12*I12)</f>
        <v>65280</v>
      </c>
    </row>
    <row r="13" spans="1:10" ht="228">
      <c r="A13" s="4"/>
      <c r="B13" s="19"/>
      <c r="C13" s="19"/>
      <c r="D13" s="19"/>
      <c r="E13" s="19"/>
      <c r="F13" s="204" t="s">
        <v>279</v>
      </c>
      <c r="G13" s="10"/>
      <c r="H13" s="569"/>
      <c r="I13" s="3"/>
      <c r="J13" s="33"/>
    </row>
    <row r="14" spans="1:10" ht="14.25">
      <c r="A14" s="4"/>
      <c r="B14" s="19"/>
      <c r="C14" s="19"/>
      <c r="D14" s="19"/>
      <c r="E14" s="19"/>
      <c r="F14" s="204"/>
      <c r="G14" s="19"/>
      <c r="H14" s="569"/>
      <c r="I14" s="3"/>
      <c r="J14" s="33"/>
    </row>
    <row r="15" spans="1:10" ht="25.5">
      <c r="A15" s="4" t="s">
        <v>738</v>
      </c>
      <c r="B15" s="19"/>
      <c r="C15" s="19"/>
      <c r="D15" s="21" t="s">
        <v>6</v>
      </c>
      <c r="E15" s="19" t="s">
        <v>26</v>
      </c>
      <c r="F15" s="8" t="s">
        <v>739</v>
      </c>
      <c r="G15" s="19" t="s">
        <v>25</v>
      </c>
      <c r="H15" s="569">
        <v>60</v>
      </c>
      <c r="I15" s="3">
        <v>12948</v>
      </c>
      <c r="J15" s="33">
        <f t="shared" ref="J15" si="2">SUM(H15*I15)</f>
        <v>776880</v>
      </c>
    </row>
    <row r="16" spans="1:10" ht="153">
      <c r="A16" s="4"/>
      <c r="B16" s="19"/>
      <c r="C16" s="19"/>
      <c r="D16" s="19"/>
      <c r="E16" s="19"/>
      <c r="F16" s="440" t="s">
        <v>740</v>
      </c>
      <c r="G16" s="10"/>
      <c r="H16" s="569"/>
      <c r="I16" s="3"/>
      <c r="J16" s="33"/>
    </row>
    <row r="17" spans="1:10">
      <c r="A17" s="4"/>
      <c r="B17" s="19"/>
      <c r="C17" s="19"/>
      <c r="D17" s="19"/>
      <c r="E17" s="19"/>
      <c r="F17" s="19"/>
      <c r="G17" s="19"/>
      <c r="H17" s="569"/>
      <c r="I17" s="3"/>
      <c r="J17" s="33"/>
    </row>
    <row r="18" spans="1:10" ht="25.5">
      <c r="A18" s="155">
        <v>1.2</v>
      </c>
      <c r="B18" s="20"/>
      <c r="C18" s="21" t="s">
        <v>102</v>
      </c>
      <c r="D18" s="21" t="s">
        <v>215</v>
      </c>
      <c r="E18" s="21" t="s">
        <v>216</v>
      </c>
      <c r="F18" s="441" t="s">
        <v>217</v>
      </c>
      <c r="G18" s="21" t="s">
        <v>7</v>
      </c>
      <c r="H18" s="569">
        <v>10</v>
      </c>
      <c r="I18" s="3">
        <v>2298</v>
      </c>
      <c r="J18" s="33">
        <f t="shared" si="0"/>
        <v>22980</v>
      </c>
    </row>
    <row r="19" spans="1:10" ht="76.5">
      <c r="A19" s="20"/>
      <c r="B19" s="20"/>
      <c r="C19" s="20"/>
      <c r="D19" s="20"/>
      <c r="E19" s="20"/>
      <c r="F19" s="440" t="s">
        <v>281</v>
      </c>
      <c r="G19" s="21"/>
      <c r="H19" s="569"/>
      <c r="I19" s="3"/>
      <c r="J19" s="33"/>
    </row>
    <row r="20" spans="1:10">
      <c r="A20" s="20"/>
      <c r="B20" s="20"/>
      <c r="C20" s="20"/>
      <c r="D20" s="20"/>
      <c r="E20" s="20"/>
      <c r="F20" s="440"/>
      <c r="G20" s="21"/>
      <c r="H20" s="569"/>
      <c r="I20" s="3"/>
      <c r="J20" s="33"/>
    </row>
    <row r="21" spans="1:10">
      <c r="A21" s="156">
        <v>1.3</v>
      </c>
      <c r="B21" s="20"/>
      <c r="C21" s="20"/>
      <c r="D21" s="10" t="s">
        <v>215</v>
      </c>
      <c r="E21" s="10" t="s">
        <v>216</v>
      </c>
      <c r="F21" s="567" t="s">
        <v>218</v>
      </c>
      <c r="G21" s="10" t="s">
        <v>7</v>
      </c>
      <c r="H21" s="569">
        <f>(14*3.4)</f>
        <v>47.6</v>
      </c>
      <c r="I21" s="3">
        <v>4686</v>
      </c>
      <c r="J21" s="33">
        <f t="shared" si="0"/>
        <v>223053.6</v>
      </c>
    </row>
    <row r="22" spans="1:10" ht="102">
      <c r="A22" s="20"/>
      <c r="B22" s="20"/>
      <c r="C22" s="20"/>
      <c r="D22" s="157"/>
      <c r="E22" s="157"/>
      <c r="F22" s="561" t="s">
        <v>282</v>
      </c>
      <c r="G22" s="10"/>
      <c r="H22" s="569"/>
      <c r="I22" s="3"/>
      <c r="J22" s="33"/>
    </row>
    <row r="23" spans="1:10">
      <c r="A23" s="20"/>
      <c r="B23" s="20"/>
      <c r="C23" s="20"/>
      <c r="D23" s="157"/>
      <c r="E23" s="157"/>
      <c r="F23" s="561"/>
      <c r="G23" s="10"/>
      <c r="H23" s="569"/>
      <c r="I23" s="3"/>
      <c r="J23" s="33"/>
    </row>
    <row r="24" spans="1:10" ht="25.5">
      <c r="A24" s="20">
        <v>1.4</v>
      </c>
      <c r="B24" s="20"/>
      <c r="C24" s="20"/>
      <c r="D24" s="158" t="s">
        <v>219</v>
      </c>
      <c r="E24" s="158" t="s">
        <v>220</v>
      </c>
      <c r="F24" s="158" t="s">
        <v>221</v>
      </c>
      <c r="G24" s="158" t="s">
        <v>7</v>
      </c>
      <c r="H24" s="570">
        <f>3.4*1.7+13</f>
        <v>18.78</v>
      </c>
      <c r="I24" s="3">
        <v>13590</v>
      </c>
      <c r="J24" s="33">
        <f t="shared" si="0"/>
        <v>255220.2</v>
      </c>
    </row>
    <row r="25" spans="1:10" ht="140.25">
      <c r="A25" s="20"/>
      <c r="B25" s="20"/>
      <c r="C25" s="20"/>
      <c r="D25" s="159"/>
      <c r="E25" s="159"/>
      <c r="F25" s="158" t="s">
        <v>561</v>
      </c>
      <c r="G25" s="159"/>
      <c r="H25" s="570"/>
      <c r="I25" s="3"/>
      <c r="J25" s="33"/>
    </row>
    <row r="26" spans="1:10">
      <c r="A26" s="20"/>
      <c r="B26" s="20"/>
      <c r="C26" s="20"/>
      <c r="D26" s="157"/>
      <c r="E26" s="157"/>
      <c r="F26" s="561"/>
      <c r="G26" s="10"/>
      <c r="H26" s="569"/>
      <c r="I26" s="3"/>
      <c r="J26" s="33"/>
    </row>
    <row r="27" spans="1:10" ht="25.5">
      <c r="A27" s="20">
        <v>1.5</v>
      </c>
      <c r="B27" s="20"/>
      <c r="C27" s="20"/>
      <c r="D27" s="158" t="s">
        <v>219</v>
      </c>
      <c r="E27" s="158" t="s">
        <v>220</v>
      </c>
      <c r="F27" s="158" t="s">
        <v>222</v>
      </c>
      <c r="G27" s="158" t="s">
        <v>8</v>
      </c>
      <c r="H27" s="570">
        <v>7</v>
      </c>
      <c r="I27" s="3">
        <v>6815</v>
      </c>
      <c r="J27" s="33">
        <f t="shared" ref="J27:J30" si="3">SUM(H27*I27)</f>
        <v>47705</v>
      </c>
    </row>
    <row r="28" spans="1:10" ht="140.25">
      <c r="A28" s="20"/>
      <c r="B28" s="20"/>
      <c r="C28" s="20"/>
      <c r="D28" s="159"/>
      <c r="E28" s="159"/>
      <c r="F28" s="158" t="s">
        <v>562</v>
      </c>
      <c r="G28" s="159"/>
      <c r="H28" s="570"/>
      <c r="I28" s="3"/>
      <c r="J28" s="33"/>
    </row>
    <row r="29" spans="1:10">
      <c r="A29" s="20"/>
      <c r="B29" s="20"/>
      <c r="C29" s="20"/>
      <c r="D29" s="157"/>
      <c r="E29" s="157"/>
      <c r="F29" s="561"/>
      <c r="G29" s="10"/>
      <c r="H29" s="569"/>
      <c r="I29" s="3"/>
      <c r="J29" s="33"/>
    </row>
    <row r="30" spans="1:10" ht="25.5">
      <c r="A30" s="20">
        <v>1.6</v>
      </c>
      <c r="B30" s="20"/>
      <c r="C30" s="20"/>
      <c r="D30" s="160" t="s">
        <v>27</v>
      </c>
      <c r="E30" s="19" t="s">
        <v>223</v>
      </c>
      <c r="F30" s="161" t="s">
        <v>224</v>
      </c>
      <c r="G30" s="19" t="s">
        <v>8</v>
      </c>
      <c r="H30" s="162">
        <f>10*1.2</f>
        <v>12</v>
      </c>
      <c r="I30" s="3">
        <v>7370</v>
      </c>
      <c r="J30" s="33">
        <f t="shared" si="3"/>
        <v>88440</v>
      </c>
    </row>
    <row r="31" spans="1:10" ht="140.25">
      <c r="A31" s="20"/>
      <c r="B31" s="20"/>
      <c r="C31" s="20"/>
      <c r="D31" s="19"/>
      <c r="E31" s="19"/>
      <c r="F31" s="163" t="s">
        <v>283</v>
      </c>
      <c r="G31" s="19"/>
      <c r="H31" s="162"/>
      <c r="I31" s="162"/>
      <c r="J31" s="33"/>
    </row>
    <row r="32" spans="1:10">
      <c r="A32" s="20"/>
      <c r="B32" s="20"/>
      <c r="C32" s="20"/>
      <c r="D32" s="19"/>
      <c r="E32" s="19"/>
      <c r="F32" s="163"/>
      <c r="G32" s="19"/>
      <c r="H32" s="162"/>
      <c r="I32" s="162"/>
      <c r="J32" s="33"/>
    </row>
    <row r="33" spans="1:10" ht="25.5">
      <c r="A33" s="20">
        <v>1.7</v>
      </c>
      <c r="B33" s="20"/>
      <c r="C33" s="20"/>
      <c r="D33" s="10" t="s">
        <v>64</v>
      </c>
      <c r="E33" s="19" t="s">
        <v>51</v>
      </c>
      <c r="F33" s="575" t="s">
        <v>51</v>
      </c>
      <c r="G33" s="1" t="s">
        <v>8</v>
      </c>
      <c r="H33" s="571">
        <v>10</v>
      </c>
      <c r="I33" s="3">
        <v>1326</v>
      </c>
      <c r="J33" s="28">
        <f>SUM(H33*I33)</f>
        <v>13260</v>
      </c>
    </row>
    <row r="34" spans="1:10" ht="76.5">
      <c r="A34" s="20"/>
      <c r="B34" s="20"/>
      <c r="C34" s="20"/>
      <c r="D34" s="1"/>
      <c r="E34" s="1"/>
      <c r="F34" s="23" t="s">
        <v>284</v>
      </c>
      <c r="G34" s="1"/>
      <c r="H34" s="571"/>
      <c r="I34" s="2"/>
      <c r="J34" s="5"/>
    </row>
    <row r="35" spans="1:10" ht="13.5" thickBot="1">
      <c r="A35" s="65"/>
      <c r="B35" s="65"/>
      <c r="C35" s="65"/>
      <c r="D35" s="65"/>
      <c r="E35" s="65"/>
      <c r="F35" s="576"/>
      <c r="G35" s="164"/>
      <c r="H35" s="572"/>
      <c r="I35" s="165"/>
      <c r="J35" s="115"/>
    </row>
    <row r="36" spans="1:10" ht="15.75" thickBot="1">
      <c r="A36" s="167" t="s">
        <v>16</v>
      </c>
      <c r="B36" s="168"/>
      <c r="C36" s="168"/>
      <c r="D36" s="168"/>
      <c r="E36" s="168"/>
      <c r="F36" s="169" t="s">
        <v>18</v>
      </c>
      <c r="G36" s="169"/>
      <c r="H36" s="170"/>
      <c r="I36" s="170"/>
      <c r="J36" s="171"/>
    </row>
    <row r="37" spans="1:10" ht="15">
      <c r="A37" s="172"/>
      <c r="B37" s="173"/>
      <c r="C37" s="173"/>
      <c r="D37" s="173"/>
      <c r="E37" s="173"/>
      <c r="F37" s="174"/>
      <c r="G37" s="175"/>
      <c r="H37" s="176"/>
      <c r="I37" s="176"/>
      <c r="J37" s="175"/>
    </row>
    <row r="38" spans="1:10" ht="30">
      <c r="A38" s="177">
        <v>2.1</v>
      </c>
      <c r="B38" s="125"/>
      <c r="C38" s="125"/>
      <c r="D38" s="36" t="s">
        <v>10</v>
      </c>
      <c r="E38" s="36" t="s">
        <v>225</v>
      </c>
      <c r="F38" s="123" t="s">
        <v>88</v>
      </c>
      <c r="G38" s="124" t="s">
        <v>25</v>
      </c>
      <c r="H38" s="140">
        <v>20</v>
      </c>
      <c r="I38" s="3">
        <v>2898</v>
      </c>
      <c r="J38" s="124">
        <f t="shared" ref="J38" si="4">SUM(H38*I38)</f>
        <v>57960</v>
      </c>
    </row>
    <row r="39" spans="1:10" ht="140.25">
      <c r="A39" s="177"/>
      <c r="B39" s="125"/>
      <c r="C39" s="125"/>
      <c r="D39" s="125"/>
      <c r="E39" s="124"/>
      <c r="F39" s="178" t="s">
        <v>226</v>
      </c>
      <c r="G39" s="124"/>
      <c r="H39" s="140"/>
      <c r="I39" s="140"/>
      <c r="J39" s="124"/>
    </row>
    <row r="40" spans="1:10" ht="15">
      <c r="A40" s="179"/>
      <c r="B40" s="180"/>
      <c r="C40" s="180"/>
      <c r="D40" s="180"/>
      <c r="E40" s="181"/>
      <c r="F40" s="182"/>
      <c r="G40" s="181"/>
      <c r="H40" s="183"/>
      <c r="I40" s="183"/>
      <c r="J40" s="184"/>
    </row>
    <row r="41" spans="1:10" ht="15">
      <c r="A41" s="177">
        <v>2.4</v>
      </c>
      <c r="B41" s="125"/>
      <c r="C41" s="125"/>
      <c r="D41" s="36" t="s">
        <v>10</v>
      </c>
      <c r="E41" s="36" t="s">
        <v>227</v>
      </c>
      <c r="F41" s="123" t="s">
        <v>29</v>
      </c>
      <c r="G41" s="124" t="s">
        <v>25</v>
      </c>
      <c r="H41" s="140">
        <v>39</v>
      </c>
      <c r="I41" s="3">
        <v>774</v>
      </c>
      <c r="J41" s="124">
        <f t="shared" ref="J41" si="5">SUM(H41*I41)</f>
        <v>30186</v>
      </c>
    </row>
    <row r="42" spans="1:10" ht="76.5">
      <c r="A42" s="177"/>
      <c r="B42" s="125"/>
      <c r="C42" s="125"/>
      <c r="D42" s="125"/>
      <c r="E42" s="125"/>
      <c r="F42" s="178" t="s">
        <v>140</v>
      </c>
      <c r="G42" s="124"/>
      <c r="H42" s="140"/>
      <c r="I42" s="140"/>
      <c r="J42" s="124"/>
    </row>
    <row r="43" spans="1:10" ht="15.75" thickBot="1">
      <c r="A43" s="185"/>
      <c r="B43" s="186"/>
      <c r="C43" s="186"/>
      <c r="D43" s="186"/>
      <c r="E43" s="187"/>
      <c r="F43" s="188"/>
      <c r="G43" s="187"/>
      <c r="H43" s="141"/>
      <c r="I43" s="141"/>
      <c r="J43" s="187"/>
    </row>
    <row r="44" spans="1:10" ht="15.75" thickBot="1">
      <c r="A44" s="167" t="s">
        <v>17</v>
      </c>
      <c r="B44" s="168"/>
      <c r="C44" s="168"/>
      <c r="D44" s="168"/>
      <c r="E44" s="168"/>
      <c r="F44" s="169" t="s">
        <v>19</v>
      </c>
      <c r="G44" s="169"/>
      <c r="H44" s="170"/>
      <c r="I44" s="170"/>
      <c r="J44" s="171"/>
    </row>
    <row r="45" spans="1:10">
      <c r="A45" s="189"/>
      <c r="B45" s="190"/>
      <c r="C45" s="190"/>
      <c r="D45" s="190"/>
      <c r="E45" s="190"/>
      <c r="F45" s="153"/>
      <c r="G45" s="153"/>
      <c r="H45" s="573"/>
      <c r="I45" s="191"/>
      <c r="J45" s="122"/>
    </row>
    <row r="46" spans="1:10" ht="45">
      <c r="A46" s="177">
        <v>3.1</v>
      </c>
      <c r="B46" s="125"/>
      <c r="C46" s="125"/>
      <c r="D46" s="36" t="s">
        <v>141</v>
      </c>
      <c r="E46" s="36" t="s">
        <v>142</v>
      </c>
      <c r="F46" s="192" t="s">
        <v>228</v>
      </c>
      <c r="G46" s="124" t="s">
        <v>25</v>
      </c>
      <c r="H46" s="140">
        <f>(10*3.6)+39</f>
        <v>75</v>
      </c>
      <c r="I46" s="3">
        <v>4410</v>
      </c>
      <c r="J46" s="124">
        <f t="shared" ref="J46" si="6">SUM(H46*I46)</f>
        <v>330750</v>
      </c>
    </row>
    <row r="47" spans="1:10" ht="99.75">
      <c r="A47" s="177"/>
      <c r="B47" s="125"/>
      <c r="C47" s="125"/>
      <c r="D47" s="125"/>
      <c r="E47" s="125"/>
      <c r="F47" s="193" t="s">
        <v>229</v>
      </c>
      <c r="G47" s="124"/>
      <c r="H47" s="140"/>
      <c r="I47" s="140"/>
      <c r="J47" s="124"/>
    </row>
    <row r="48" spans="1:10">
      <c r="A48" s="189"/>
      <c r="B48" s="190"/>
      <c r="C48" s="190"/>
      <c r="D48" s="190"/>
      <c r="E48" s="190"/>
      <c r="F48" s="153"/>
      <c r="G48" s="153"/>
      <c r="H48" s="573"/>
      <c r="I48" s="191"/>
      <c r="J48" s="122"/>
    </row>
    <row r="49" spans="1:10" ht="25.5">
      <c r="A49" s="11">
        <v>3.2</v>
      </c>
      <c r="B49" s="137"/>
      <c r="C49" s="137"/>
      <c r="D49" s="33" t="s">
        <v>30</v>
      </c>
      <c r="E49" s="33" t="s">
        <v>230</v>
      </c>
      <c r="F49" s="8" t="s">
        <v>231</v>
      </c>
      <c r="G49" s="19" t="s">
        <v>25</v>
      </c>
      <c r="H49" s="569">
        <f>(7*2.1+2+3)+(1.35*3.6*4)</f>
        <v>39.14</v>
      </c>
      <c r="I49" s="3">
        <v>16910</v>
      </c>
      <c r="J49" s="28">
        <f>SUM(H49*I49)</f>
        <v>661857.4</v>
      </c>
    </row>
    <row r="50" spans="1:10" ht="102">
      <c r="A50" s="11"/>
      <c r="B50" s="137"/>
      <c r="C50" s="137"/>
      <c r="D50" s="137"/>
      <c r="E50" s="137"/>
      <c r="F50" s="19" t="s">
        <v>591</v>
      </c>
      <c r="G50" s="8"/>
      <c r="H50" s="574"/>
      <c r="I50" s="194"/>
      <c r="J50" s="33"/>
    </row>
    <row r="51" spans="1:10">
      <c r="A51" s="11"/>
      <c r="B51" s="137"/>
      <c r="C51" s="137"/>
      <c r="D51" s="137"/>
      <c r="E51" s="137"/>
      <c r="F51" s="8"/>
      <c r="G51" s="8"/>
      <c r="H51" s="574"/>
      <c r="I51" s="194"/>
      <c r="J51" s="33"/>
    </row>
    <row r="52" spans="1:10" ht="25.5">
      <c r="A52" s="4">
        <v>3.3</v>
      </c>
      <c r="B52" s="33"/>
      <c r="C52" s="33"/>
      <c r="D52" s="33" t="s">
        <v>232</v>
      </c>
      <c r="E52" s="33" t="s">
        <v>233</v>
      </c>
      <c r="F52" s="161" t="s">
        <v>234</v>
      </c>
      <c r="G52" s="19" t="s">
        <v>25</v>
      </c>
      <c r="H52" s="569">
        <f>2*1.35+5.2*1.35</f>
        <v>9.7200000000000006</v>
      </c>
      <c r="I52" s="3">
        <v>67735</v>
      </c>
      <c r="J52" s="33">
        <f t="shared" si="0"/>
        <v>658384.20000000007</v>
      </c>
    </row>
    <row r="53" spans="1:10" ht="191.25">
      <c r="A53" s="4"/>
      <c r="B53" s="33"/>
      <c r="C53" s="33"/>
      <c r="D53" s="33"/>
      <c r="E53" s="33"/>
      <c r="F53" s="163" t="s">
        <v>898</v>
      </c>
      <c r="G53" s="19"/>
      <c r="H53" s="569"/>
      <c r="I53" s="3"/>
      <c r="J53" s="33"/>
    </row>
    <row r="54" spans="1:10">
      <c r="A54" s="4"/>
      <c r="B54" s="33"/>
      <c r="C54" s="33"/>
      <c r="D54" s="33"/>
      <c r="E54" s="33"/>
      <c r="F54" s="163"/>
      <c r="G54" s="19"/>
      <c r="H54" s="569"/>
      <c r="I54" s="3"/>
      <c r="J54" s="33"/>
    </row>
    <row r="55" spans="1:10" ht="25.5">
      <c r="A55" s="4">
        <v>3.4</v>
      </c>
      <c r="B55" s="33"/>
      <c r="C55" s="33"/>
      <c r="D55" s="33" t="s">
        <v>232</v>
      </c>
      <c r="E55" s="33" t="s">
        <v>233</v>
      </c>
      <c r="F55" s="161" t="s">
        <v>235</v>
      </c>
      <c r="G55" s="19" t="s">
        <v>25</v>
      </c>
      <c r="H55" s="569">
        <f>7*1.35+2+1</f>
        <v>12.450000000000001</v>
      </c>
      <c r="I55" s="3">
        <v>60730</v>
      </c>
      <c r="J55" s="33">
        <f t="shared" ref="J55" si="7">SUM(H55*I55)</f>
        <v>756088.50000000012</v>
      </c>
    </row>
    <row r="56" spans="1:10" ht="191.25">
      <c r="A56" s="4"/>
      <c r="B56" s="33"/>
      <c r="C56" s="33"/>
      <c r="D56" s="33"/>
      <c r="E56" s="33"/>
      <c r="F56" s="163" t="s">
        <v>563</v>
      </c>
      <c r="G56" s="19"/>
      <c r="H56" s="569"/>
      <c r="I56" s="3"/>
      <c r="J56" s="33"/>
    </row>
    <row r="57" spans="1:10">
      <c r="A57" s="4"/>
      <c r="B57" s="33"/>
      <c r="C57" s="33"/>
      <c r="D57" s="33"/>
      <c r="E57" s="33"/>
      <c r="F57" s="163"/>
      <c r="G57" s="19"/>
      <c r="H57" s="569"/>
      <c r="I57" s="3"/>
      <c r="J57" s="33"/>
    </row>
    <row r="58" spans="1:10">
      <c r="A58" s="4">
        <v>3.5</v>
      </c>
      <c r="B58" s="33"/>
      <c r="C58" s="33"/>
      <c r="D58" s="33" t="s">
        <v>232</v>
      </c>
      <c r="E58" s="33" t="s">
        <v>236</v>
      </c>
      <c r="F58" s="161" t="s">
        <v>237</v>
      </c>
      <c r="G58" s="19" t="s">
        <v>28</v>
      </c>
      <c r="H58" s="569">
        <v>3</v>
      </c>
      <c r="I58" s="3">
        <v>18455</v>
      </c>
      <c r="J58" s="33">
        <f t="shared" ref="J58" si="8">SUM(H58*I58)</f>
        <v>55365</v>
      </c>
    </row>
    <row r="59" spans="1:10" ht="38.25">
      <c r="A59" s="4"/>
      <c r="B59" s="33"/>
      <c r="C59" s="33"/>
      <c r="D59" s="33"/>
      <c r="E59" s="33"/>
      <c r="F59" s="561" t="s">
        <v>238</v>
      </c>
      <c r="G59" s="19"/>
      <c r="H59" s="569"/>
      <c r="I59" s="3"/>
      <c r="J59" s="33"/>
    </row>
    <row r="60" spans="1:10">
      <c r="A60" s="4"/>
      <c r="B60" s="33"/>
      <c r="C60" s="33"/>
      <c r="D60" s="33"/>
      <c r="E60" s="33"/>
      <c r="F60" s="163"/>
      <c r="G60" s="19"/>
      <c r="H60" s="569"/>
      <c r="I60" s="3"/>
      <c r="J60" s="33"/>
    </row>
    <row r="61" spans="1:10">
      <c r="A61" s="4"/>
      <c r="B61" s="33"/>
      <c r="C61" s="33"/>
      <c r="D61" s="33"/>
      <c r="E61" s="33"/>
      <c r="F61" s="8"/>
      <c r="G61" s="19"/>
      <c r="H61" s="569"/>
      <c r="I61" s="3"/>
      <c r="J61" s="33"/>
    </row>
    <row r="62" spans="1:10" ht="25.5">
      <c r="A62" s="4">
        <v>3.6</v>
      </c>
      <c r="B62" s="195"/>
      <c r="C62" s="33"/>
      <c r="D62" s="33" t="s">
        <v>172</v>
      </c>
      <c r="E62" s="33" t="s">
        <v>239</v>
      </c>
      <c r="F62" s="441" t="s">
        <v>240</v>
      </c>
      <c r="G62" s="19" t="s">
        <v>175</v>
      </c>
      <c r="H62" s="569">
        <v>1</v>
      </c>
      <c r="I62" s="3">
        <v>1086168</v>
      </c>
      <c r="J62" s="33">
        <f t="shared" si="0"/>
        <v>1086168</v>
      </c>
    </row>
    <row r="63" spans="1:10">
      <c r="A63" s="4"/>
      <c r="B63" s="195"/>
      <c r="C63" s="33"/>
      <c r="D63" s="33"/>
      <c r="E63" s="19"/>
      <c r="F63" s="441" t="s">
        <v>241</v>
      </c>
      <c r="G63" s="19"/>
      <c r="H63" s="569"/>
      <c r="I63" s="3"/>
      <c r="J63" s="33"/>
    </row>
    <row r="64" spans="1:10" ht="216.75">
      <c r="A64" s="4"/>
      <c r="B64" s="195"/>
      <c r="C64" s="33"/>
      <c r="D64" s="33"/>
      <c r="E64" s="19"/>
      <c r="F64" s="196" t="s">
        <v>564</v>
      </c>
      <c r="G64" s="19"/>
      <c r="H64" s="569"/>
      <c r="I64" s="3"/>
      <c r="J64" s="33"/>
    </row>
    <row r="65" spans="1:10">
      <c r="A65" s="4"/>
      <c r="B65" s="195"/>
      <c r="C65" s="33"/>
      <c r="D65" s="33"/>
      <c r="E65" s="19"/>
      <c r="F65" s="19"/>
      <c r="G65" s="19"/>
      <c r="H65" s="569"/>
      <c r="I65" s="3"/>
      <c r="J65" s="33"/>
    </row>
    <row r="66" spans="1:10">
      <c r="A66" s="4">
        <v>3.7</v>
      </c>
      <c r="B66" s="33"/>
      <c r="C66" s="33"/>
      <c r="D66" s="33" t="s">
        <v>172</v>
      </c>
      <c r="E66" s="33" t="s">
        <v>242</v>
      </c>
      <c r="F66" s="441" t="s">
        <v>243</v>
      </c>
      <c r="G66" s="19"/>
      <c r="H66" s="569"/>
      <c r="I66" s="3"/>
      <c r="J66" s="33">
        <f t="shared" si="0"/>
        <v>0</v>
      </c>
    </row>
    <row r="67" spans="1:10">
      <c r="A67" s="130"/>
      <c r="B67" s="33"/>
      <c r="C67" s="33"/>
      <c r="D67" s="33"/>
      <c r="E67" s="33"/>
      <c r="F67" s="441" t="s">
        <v>244</v>
      </c>
      <c r="G67" s="19" t="s">
        <v>126</v>
      </c>
      <c r="H67" s="569">
        <v>1</v>
      </c>
      <c r="I67" s="3">
        <v>101400</v>
      </c>
      <c r="J67" s="33">
        <f t="shared" si="0"/>
        <v>101400</v>
      </c>
    </row>
    <row r="68" spans="1:10" ht="204">
      <c r="A68" s="4"/>
      <c r="B68" s="33"/>
      <c r="C68" s="33"/>
      <c r="D68" s="33"/>
      <c r="E68" s="19"/>
      <c r="F68" s="440" t="s">
        <v>565</v>
      </c>
      <c r="G68" s="19"/>
      <c r="H68" s="569"/>
      <c r="I68" s="3"/>
      <c r="J68" s="33"/>
    </row>
    <row r="69" spans="1:10">
      <c r="A69" s="4"/>
      <c r="B69" s="33"/>
      <c r="C69" s="33"/>
      <c r="D69" s="33"/>
      <c r="E69" s="19"/>
      <c r="F69" s="19"/>
      <c r="G69" s="19"/>
      <c r="H69" s="569"/>
      <c r="I69" s="3"/>
      <c r="J69" s="33">
        <f t="shared" si="0"/>
        <v>0</v>
      </c>
    </row>
    <row r="70" spans="1:10">
      <c r="A70" s="4"/>
      <c r="B70" s="33"/>
      <c r="C70" s="33"/>
      <c r="D70" s="33"/>
      <c r="E70" s="19"/>
      <c r="F70" s="19"/>
      <c r="G70" s="19"/>
      <c r="H70" s="569"/>
      <c r="I70" s="3"/>
      <c r="J70" s="33"/>
    </row>
    <row r="71" spans="1:10">
      <c r="A71" s="4">
        <v>3.8</v>
      </c>
      <c r="B71" s="33"/>
      <c r="C71" s="33"/>
      <c r="D71" s="33" t="s">
        <v>245</v>
      </c>
      <c r="E71" s="33" t="s">
        <v>246</v>
      </c>
      <c r="F71" s="441" t="s">
        <v>247</v>
      </c>
      <c r="G71" s="19" t="s">
        <v>7</v>
      </c>
      <c r="H71" s="569">
        <f>(5*1)</f>
        <v>5</v>
      </c>
      <c r="I71" s="3">
        <v>42948</v>
      </c>
      <c r="J71" s="33">
        <f t="shared" si="0"/>
        <v>214740</v>
      </c>
    </row>
    <row r="72" spans="1:10" ht="51">
      <c r="A72" s="4"/>
      <c r="B72" s="33"/>
      <c r="C72" s="33"/>
      <c r="D72" s="33"/>
      <c r="E72" s="19"/>
      <c r="F72" s="197" t="s">
        <v>248</v>
      </c>
      <c r="G72" s="19"/>
      <c r="H72" s="569"/>
      <c r="I72" s="3"/>
      <c r="J72" s="33"/>
    </row>
    <row r="73" spans="1:10">
      <c r="A73" s="4"/>
      <c r="B73" s="33"/>
      <c r="C73" s="33"/>
      <c r="D73" s="33"/>
      <c r="E73" s="19"/>
      <c r="F73" s="19"/>
      <c r="G73" s="19"/>
      <c r="H73" s="569"/>
      <c r="I73" s="3"/>
      <c r="J73" s="33"/>
    </row>
    <row r="74" spans="1:10">
      <c r="A74" s="4"/>
      <c r="B74" s="33"/>
      <c r="C74" s="33"/>
      <c r="D74" s="33"/>
      <c r="E74" s="19"/>
      <c r="F74" s="19"/>
      <c r="G74" s="19"/>
      <c r="H74" s="569"/>
      <c r="I74" s="3"/>
      <c r="J74" s="33"/>
    </row>
    <row r="75" spans="1:10">
      <c r="A75" s="4">
        <v>3.9</v>
      </c>
      <c r="B75" s="33"/>
      <c r="C75" s="33"/>
      <c r="D75" s="33" t="s">
        <v>172</v>
      </c>
      <c r="E75" s="33" t="s">
        <v>249</v>
      </c>
      <c r="F75" s="161" t="s">
        <v>250</v>
      </c>
      <c r="G75" s="19" t="s">
        <v>126</v>
      </c>
      <c r="H75" s="569">
        <v>3</v>
      </c>
      <c r="I75" s="3">
        <v>16272</v>
      </c>
      <c r="J75" s="33">
        <f t="shared" si="0"/>
        <v>48816</v>
      </c>
    </row>
    <row r="76" spans="1:10" ht="76.5">
      <c r="A76" s="4"/>
      <c r="B76" s="33"/>
      <c r="C76" s="33"/>
      <c r="D76" s="33"/>
      <c r="E76" s="19"/>
      <c r="F76" s="163" t="s">
        <v>251</v>
      </c>
      <c r="G76" s="19"/>
      <c r="H76" s="569"/>
      <c r="I76" s="3"/>
      <c r="J76" s="33"/>
    </row>
    <row r="77" spans="1:10">
      <c r="A77" s="4"/>
      <c r="B77" s="33"/>
      <c r="C77" s="33"/>
      <c r="D77" s="33"/>
      <c r="E77" s="19"/>
      <c r="F77" s="19"/>
      <c r="G77" s="19"/>
      <c r="H77" s="569"/>
      <c r="I77" s="3"/>
      <c r="J77" s="33"/>
    </row>
    <row r="78" spans="1:10">
      <c r="A78" s="130">
        <v>3.1</v>
      </c>
      <c r="B78" s="33"/>
      <c r="C78" s="33"/>
      <c r="D78" s="33" t="s">
        <v>245</v>
      </c>
      <c r="E78" s="33" t="s">
        <v>252</v>
      </c>
      <c r="F78" s="441" t="s">
        <v>253</v>
      </c>
      <c r="G78" s="19" t="s">
        <v>126</v>
      </c>
      <c r="H78" s="569">
        <v>4</v>
      </c>
      <c r="I78" s="3">
        <v>8958</v>
      </c>
      <c r="J78" s="33">
        <f t="shared" si="0"/>
        <v>35832</v>
      </c>
    </row>
    <row r="79" spans="1:10" ht="25.5">
      <c r="A79" s="4"/>
      <c r="B79" s="33"/>
      <c r="C79" s="33"/>
      <c r="D79" s="33"/>
      <c r="E79" s="19"/>
      <c r="F79" s="440" t="s">
        <v>254</v>
      </c>
      <c r="G79" s="19"/>
      <c r="H79" s="569"/>
      <c r="I79" s="3"/>
      <c r="J79" s="33"/>
    </row>
    <row r="80" spans="1:10">
      <c r="A80" s="110"/>
      <c r="B80" s="115"/>
      <c r="C80" s="115"/>
      <c r="D80" s="115"/>
      <c r="E80" s="111"/>
      <c r="F80" s="111"/>
      <c r="G80" s="111"/>
      <c r="H80" s="572"/>
      <c r="I80" s="165"/>
      <c r="J80" s="115"/>
    </row>
    <row r="81" spans="1:10">
      <c r="A81" s="130">
        <v>3.11</v>
      </c>
      <c r="B81" s="33"/>
      <c r="C81" s="33"/>
      <c r="D81" s="33" t="s">
        <v>245</v>
      </c>
      <c r="E81" s="33" t="s">
        <v>255</v>
      </c>
      <c r="F81" s="441" t="s">
        <v>256</v>
      </c>
      <c r="G81" s="19" t="s">
        <v>257</v>
      </c>
      <c r="H81" s="569">
        <v>1</v>
      </c>
      <c r="I81" s="3">
        <v>109490</v>
      </c>
      <c r="J81" s="33">
        <f t="shared" ref="J81" si="9">SUM(H81*I81)</f>
        <v>109490</v>
      </c>
    </row>
    <row r="82" spans="1:10" ht="51">
      <c r="A82" s="4"/>
      <c r="B82" s="33"/>
      <c r="C82" s="33"/>
      <c r="D82" s="33"/>
      <c r="E82" s="19"/>
      <c r="F82" s="440" t="s">
        <v>258</v>
      </c>
      <c r="G82" s="19"/>
      <c r="H82" s="569"/>
      <c r="I82" s="3"/>
      <c r="J82" s="33"/>
    </row>
    <row r="83" spans="1:10">
      <c r="A83" s="4"/>
      <c r="B83" s="33"/>
      <c r="C83" s="33"/>
      <c r="D83" s="33"/>
      <c r="E83" s="19"/>
      <c r="F83" s="19"/>
      <c r="G83" s="19"/>
      <c r="H83" s="569"/>
      <c r="I83" s="3"/>
      <c r="J83" s="33"/>
    </row>
    <row r="84" spans="1:10">
      <c r="A84" s="130">
        <v>3.12</v>
      </c>
      <c r="B84" s="33"/>
      <c r="C84" s="33"/>
      <c r="D84" s="33" t="s">
        <v>245</v>
      </c>
      <c r="E84" s="33" t="s">
        <v>255</v>
      </c>
      <c r="F84" s="441" t="s">
        <v>259</v>
      </c>
      <c r="G84" s="19" t="s">
        <v>257</v>
      </c>
      <c r="H84" s="569">
        <v>1</v>
      </c>
      <c r="I84" s="3">
        <v>107320</v>
      </c>
      <c r="J84" s="33">
        <f t="shared" ref="J84" si="10">SUM(H84*I84)</f>
        <v>107320</v>
      </c>
    </row>
    <row r="85" spans="1:10" ht="51">
      <c r="A85" s="4"/>
      <c r="B85" s="33"/>
      <c r="C85" s="33"/>
      <c r="D85" s="33"/>
      <c r="E85" s="19"/>
      <c r="F85" s="440" t="s">
        <v>260</v>
      </c>
      <c r="G85" s="19"/>
      <c r="H85" s="569"/>
      <c r="I85" s="3"/>
      <c r="J85" s="33"/>
    </row>
    <row r="86" spans="1:10">
      <c r="A86" s="110"/>
      <c r="B86" s="115"/>
      <c r="C86" s="115"/>
      <c r="D86" s="115"/>
      <c r="E86" s="111"/>
      <c r="F86" s="111"/>
      <c r="G86" s="111"/>
      <c r="H86" s="572"/>
      <c r="I86" s="165"/>
      <c r="J86" s="115"/>
    </row>
    <row r="87" spans="1:10">
      <c r="A87" s="110"/>
      <c r="B87" s="115"/>
      <c r="C87" s="115"/>
      <c r="D87" s="115"/>
      <c r="E87" s="111"/>
      <c r="F87" s="111"/>
      <c r="G87" s="111"/>
      <c r="H87" s="572"/>
      <c r="I87" s="165"/>
      <c r="J87" s="115"/>
    </row>
    <row r="88" spans="1:10">
      <c r="A88" s="133">
        <v>3.13</v>
      </c>
      <c r="B88" s="115"/>
      <c r="C88" s="115"/>
      <c r="D88" s="5" t="s">
        <v>178</v>
      </c>
      <c r="E88" s="5" t="s">
        <v>261</v>
      </c>
      <c r="F88" s="16" t="s">
        <v>262</v>
      </c>
      <c r="G88" s="1" t="s">
        <v>181</v>
      </c>
      <c r="H88" s="571">
        <v>1</v>
      </c>
      <c r="I88" s="3">
        <v>137385</v>
      </c>
      <c r="J88" s="33">
        <f t="shared" ref="J88" si="11">SUM(H88*I88)</f>
        <v>137385</v>
      </c>
    </row>
    <row r="89" spans="1:10">
      <c r="A89" s="110"/>
      <c r="B89" s="115"/>
      <c r="C89" s="115"/>
      <c r="D89" s="5"/>
      <c r="E89" s="1"/>
      <c r="F89" s="27" t="s">
        <v>263</v>
      </c>
      <c r="G89" s="1"/>
      <c r="H89" s="571"/>
      <c r="I89" s="2"/>
      <c r="J89" s="115"/>
    </row>
    <row r="90" spans="1:10">
      <c r="A90" s="110"/>
      <c r="B90" s="115"/>
      <c r="C90" s="115"/>
      <c r="D90" s="5"/>
      <c r="E90" s="1"/>
      <c r="F90" s="27" t="s">
        <v>183</v>
      </c>
      <c r="G90" s="1"/>
      <c r="H90" s="571"/>
      <c r="I90" s="2"/>
      <c r="J90" s="115"/>
    </row>
    <row r="91" spans="1:10" ht="102">
      <c r="A91" s="110"/>
      <c r="B91" s="115"/>
      <c r="C91" s="115"/>
      <c r="D91" s="5"/>
      <c r="E91" s="1"/>
      <c r="F91" s="27" t="s">
        <v>592</v>
      </c>
      <c r="G91" s="1"/>
      <c r="H91" s="571"/>
      <c r="I91" s="2"/>
      <c r="J91" s="115"/>
    </row>
    <row r="92" spans="1:10">
      <c r="A92" s="110"/>
      <c r="B92" s="115"/>
      <c r="C92" s="115"/>
      <c r="D92" s="5"/>
      <c r="E92" s="5"/>
      <c r="F92" s="26" t="s">
        <v>184</v>
      </c>
      <c r="G92" s="1"/>
      <c r="H92" s="571"/>
      <c r="I92" s="2"/>
      <c r="J92" s="115"/>
    </row>
    <row r="93" spans="1:10" ht="76.5">
      <c r="A93" s="110"/>
      <c r="B93" s="115"/>
      <c r="C93" s="115"/>
      <c r="D93" s="5"/>
      <c r="E93" s="1"/>
      <c r="F93" s="561" t="s">
        <v>264</v>
      </c>
      <c r="G93" s="1"/>
      <c r="H93" s="571"/>
      <c r="I93" s="2"/>
      <c r="J93" s="115"/>
    </row>
    <row r="94" spans="1:10">
      <c r="A94" s="110"/>
      <c r="B94" s="115"/>
      <c r="C94" s="115"/>
      <c r="D94" s="5"/>
      <c r="E94" s="1"/>
      <c r="F94" s="567" t="s">
        <v>265</v>
      </c>
      <c r="G94" s="1"/>
      <c r="H94" s="571"/>
      <c r="I94" s="2"/>
      <c r="J94" s="115"/>
    </row>
    <row r="95" spans="1:10" ht="25.5">
      <c r="A95" s="110"/>
      <c r="B95" s="115"/>
      <c r="C95" s="115"/>
      <c r="D95" s="5"/>
      <c r="E95" s="1"/>
      <c r="F95" s="561" t="s">
        <v>596</v>
      </c>
      <c r="G95" s="1"/>
      <c r="H95" s="571"/>
      <c r="I95" s="2"/>
      <c r="J95" s="115"/>
    </row>
    <row r="96" spans="1:10">
      <c r="A96" s="110"/>
      <c r="B96" s="115"/>
      <c r="C96" s="115"/>
      <c r="D96" s="5"/>
      <c r="E96" s="5"/>
      <c r="F96" s="26" t="s">
        <v>185</v>
      </c>
      <c r="G96" s="1"/>
      <c r="H96" s="571"/>
      <c r="I96" s="2"/>
      <c r="J96" s="115"/>
    </row>
    <row r="97" spans="1:10" ht="51">
      <c r="A97" s="110"/>
      <c r="B97" s="115"/>
      <c r="C97" s="115"/>
      <c r="D97" s="5"/>
      <c r="E97" s="1"/>
      <c r="F97" s="27" t="s">
        <v>266</v>
      </c>
      <c r="G97" s="1"/>
      <c r="H97" s="571"/>
      <c r="I97" s="2"/>
      <c r="J97" s="115"/>
    </row>
    <row r="98" spans="1:10">
      <c r="A98" s="110"/>
      <c r="B98" s="115"/>
      <c r="C98" s="115"/>
      <c r="D98" s="115"/>
      <c r="E98" s="111"/>
      <c r="F98" s="111"/>
      <c r="G98" s="111"/>
      <c r="H98" s="572"/>
      <c r="I98" s="165"/>
      <c r="J98" s="115"/>
    </row>
    <row r="99" spans="1:10" ht="25.5">
      <c r="A99" s="136">
        <v>3.14</v>
      </c>
      <c r="B99" s="137"/>
      <c r="C99" s="137"/>
      <c r="D99" s="33" t="s">
        <v>30</v>
      </c>
      <c r="E99" s="33" t="s">
        <v>267</v>
      </c>
      <c r="F99" s="8" t="s">
        <v>268</v>
      </c>
      <c r="G99" s="19" t="s">
        <v>28</v>
      </c>
      <c r="H99" s="569">
        <v>10</v>
      </c>
      <c r="I99" s="3">
        <v>5860</v>
      </c>
      <c r="J99" s="28">
        <f>SUM(H99*I99)</f>
        <v>58600</v>
      </c>
    </row>
    <row r="100" spans="1:10" ht="102">
      <c r="A100" s="11"/>
      <c r="B100" s="137"/>
      <c r="C100" s="137"/>
      <c r="D100" s="137"/>
      <c r="E100" s="137"/>
      <c r="F100" s="19" t="s">
        <v>593</v>
      </c>
      <c r="G100" s="8"/>
      <c r="H100" s="574"/>
      <c r="I100" s="194"/>
      <c r="J100" s="33"/>
    </row>
    <row r="101" spans="1:10">
      <c r="A101" s="110"/>
      <c r="B101" s="115"/>
      <c r="C101" s="115"/>
      <c r="D101" s="115"/>
      <c r="E101" s="111"/>
      <c r="F101" s="111"/>
      <c r="G101" s="111"/>
      <c r="H101" s="572"/>
      <c r="I101" s="165"/>
      <c r="J101" s="115"/>
    </row>
    <row r="102" spans="1:10">
      <c r="A102" s="136">
        <v>3.15</v>
      </c>
      <c r="B102" s="137"/>
      <c r="C102" s="137"/>
      <c r="D102" s="33"/>
      <c r="E102" s="33"/>
      <c r="F102" s="16" t="s">
        <v>82</v>
      </c>
      <c r="G102" s="1" t="s">
        <v>8</v>
      </c>
      <c r="H102" s="571">
        <v>22</v>
      </c>
      <c r="I102" s="3">
        <v>48475</v>
      </c>
      <c r="J102" s="13">
        <f>SUM(H102*I102)</f>
        <v>1066450</v>
      </c>
    </row>
    <row r="103" spans="1:10" ht="178.5">
      <c r="A103" s="11"/>
      <c r="B103" s="137"/>
      <c r="C103" s="137"/>
      <c r="D103" s="33"/>
      <c r="E103" s="33"/>
      <c r="F103" s="561" t="s">
        <v>269</v>
      </c>
      <c r="G103" s="19"/>
      <c r="H103" s="569"/>
      <c r="I103" s="3"/>
      <c r="J103" s="28"/>
    </row>
    <row r="104" spans="1:10">
      <c r="A104" s="11"/>
      <c r="B104" s="137"/>
      <c r="C104" s="137"/>
      <c r="D104" s="33"/>
      <c r="E104" s="33"/>
      <c r="F104" s="561"/>
      <c r="G104" s="19"/>
      <c r="H104" s="569"/>
      <c r="I104" s="3"/>
      <c r="J104" s="28"/>
    </row>
    <row r="105" spans="1:10">
      <c r="A105" s="136">
        <v>3.16</v>
      </c>
      <c r="B105" s="137"/>
      <c r="C105" s="137"/>
      <c r="D105" s="33"/>
      <c r="E105" s="33"/>
      <c r="F105" s="16" t="s">
        <v>270</v>
      </c>
      <c r="G105" s="1" t="s">
        <v>271</v>
      </c>
      <c r="H105" s="571">
        <v>10</v>
      </c>
      <c r="I105" s="3">
        <v>22014</v>
      </c>
      <c r="J105" s="13">
        <f>SUM(H105*I105)</f>
        <v>220140</v>
      </c>
    </row>
    <row r="106" spans="1:10" ht="76.5">
      <c r="A106" s="11"/>
      <c r="B106" s="137"/>
      <c r="C106" s="137"/>
      <c r="D106" s="33"/>
      <c r="E106" s="33"/>
      <c r="F106" s="561" t="s">
        <v>594</v>
      </c>
      <c r="G106" s="19"/>
      <c r="H106" s="569"/>
      <c r="I106" s="3"/>
      <c r="J106" s="28"/>
    </row>
    <row r="107" spans="1:10">
      <c r="A107" s="11"/>
      <c r="B107" s="137"/>
      <c r="C107" s="137"/>
      <c r="D107" s="33"/>
      <c r="E107" s="33"/>
      <c r="F107" s="8"/>
      <c r="G107" s="19"/>
      <c r="H107" s="569"/>
      <c r="I107" s="3"/>
      <c r="J107" s="28"/>
    </row>
    <row r="108" spans="1:10">
      <c r="A108" s="136">
        <v>3.17</v>
      </c>
      <c r="B108" s="137"/>
      <c r="C108" s="137"/>
      <c r="D108" s="33"/>
      <c r="E108" s="33"/>
      <c r="F108" s="8" t="s">
        <v>272</v>
      </c>
      <c r="G108" s="1" t="s">
        <v>8</v>
      </c>
      <c r="H108" s="571">
        <v>6</v>
      </c>
      <c r="I108" s="3">
        <v>28620</v>
      </c>
      <c r="J108" s="13">
        <f>SUM(H108*I108)</f>
        <v>171720</v>
      </c>
    </row>
    <row r="109" spans="1:10" ht="76.5">
      <c r="A109" s="11"/>
      <c r="B109" s="137"/>
      <c r="C109" s="137"/>
      <c r="D109" s="33"/>
      <c r="E109" s="33"/>
      <c r="F109" s="19" t="s">
        <v>566</v>
      </c>
      <c r="G109" s="19"/>
      <c r="H109" s="569"/>
      <c r="I109" s="3"/>
      <c r="J109" s="28"/>
    </row>
    <row r="110" spans="1:10">
      <c r="A110" s="11"/>
      <c r="B110" s="137"/>
      <c r="C110" s="137"/>
      <c r="D110" s="33"/>
      <c r="E110" s="33"/>
      <c r="F110" s="8"/>
      <c r="G110" s="19"/>
      <c r="H110" s="569"/>
      <c r="I110" s="3"/>
      <c r="J110" s="28"/>
    </row>
    <row r="111" spans="1:10">
      <c r="A111" s="136">
        <v>3.18</v>
      </c>
      <c r="B111" s="137"/>
      <c r="C111" s="137"/>
      <c r="D111" s="33"/>
      <c r="E111" s="33"/>
      <c r="F111" s="8" t="s">
        <v>273</v>
      </c>
      <c r="G111" s="1" t="s">
        <v>7</v>
      </c>
      <c r="H111" s="571">
        <f>5*3.6</f>
        <v>18</v>
      </c>
      <c r="I111" s="3">
        <v>6935</v>
      </c>
      <c r="J111" s="13">
        <f>SUM(H111*I111)</f>
        <v>124830</v>
      </c>
    </row>
    <row r="112" spans="1:10" ht="76.5">
      <c r="A112" s="64"/>
      <c r="B112" s="149"/>
      <c r="C112" s="149"/>
      <c r="D112" s="115"/>
      <c r="E112" s="115"/>
      <c r="F112" s="561" t="s">
        <v>274</v>
      </c>
      <c r="G112" s="111"/>
      <c r="H112" s="572"/>
      <c r="I112" s="165"/>
      <c r="J112" s="198"/>
    </row>
    <row r="113" spans="1:10">
      <c r="A113" s="110"/>
      <c r="B113" s="115"/>
      <c r="C113" s="115"/>
      <c r="D113" s="115"/>
      <c r="E113" s="111"/>
      <c r="F113" s="562"/>
      <c r="G113" s="111"/>
      <c r="H113" s="572"/>
      <c r="I113" s="165"/>
      <c r="J113" s="115"/>
    </row>
    <row r="114" spans="1:10" ht="25.5">
      <c r="A114" s="136">
        <v>3.19</v>
      </c>
      <c r="B114" s="149"/>
      <c r="C114" s="149"/>
      <c r="D114" s="33" t="s">
        <v>723</v>
      </c>
      <c r="E114" s="33" t="s">
        <v>724</v>
      </c>
      <c r="F114" s="161" t="s">
        <v>725</v>
      </c>
      <c r="G114" s="111"/>
      <c r="H114" s="572"/>
      <c r="I114" s="165"/>
      <c r="J114" s="198"/>
    </row>
    <row r="115" spans="1:10">
      <c r="A115" s="64"/>
      <c r="B115" s="149"/>
      <c r="C115" s="149"/>
      <c r="D115" s="115"/>
      <c r="E115" s="115"/>
      <c r="F115" s="161" t="s">
        <v>726</v>
      </c>
      <c r="G115" s="19"/>
      <c r="H115" s="572"/>
      <c r="I115" s="165"/>
      <c r="J115" s="198"/>
    </row>
    <row r="116" spans="1:10" ht="204">
      <c r="A116" s="64"/>
      <c r="B116" s="149"/>
      <c r="C116" s="149"/>
      <c r="D116" s="115"/>
      <c r="E116" s="115"/>
      <c r="F116" s="163" t="s">
        <v>727</v>
      </c>
      <c r="G116" s="19"/>
      <c r="H116" s="572"/>
      <c r="I116" s="165"/>
      <c r="J116" s="198"/>
    </row>
    <row r="117" spans="1:10">
      <c r="A117" s="64"/>
      <c r="B117" s="149"/>
      <c r="C117" s="149"/>
      <c r="D117" s="115"/>
      <c r="E117" s="115"/>
      <c r="F117" s="161" t="s">
        <v>662</v>
      </c>
      <c r="G117" s="19"/>
      <c r="H117" s="572"/>
      <c r="I117" s="165"/>
      <c r="J117" s="198"/>
    </row>
    <row r="118" spans="1:10" ht="63.75">
      <c r="A118" s="64"/>
      <c r="B118" s="149"/>
      <c r="C118" s="149"/>
      <c r="D118" s="115"/>
      <c r="E118" s="115"/>
      <c r="F118" s="163" t="s">
        <v>728</v>
      </c>
      <c r="G118" s="19"/>
      <c r="H118" s="572"/>
      <c r="I118" s="165"/>
      <c r="J118" s="198"/>
    </row>
    <row r="119" spans="1:10">
      <c r="A119" s="64"/>
      <c r="B119" s="149"/>
      <c r="C119" s="149"/>
      <c r="D119" s="115"/>
      <c r="E119" s="115"/>
      <c r="F119" s="161" t="s">
        <v>729</v>
      </c>
      <c r="G119" s="19"/>
      <c r="H119" s="572"/>
      <c r="I119" s="165"/>
      <c r="J119" s="198"/>
    </row>
    <row r="120" spans="1:10" ht="76.5">
      <c r="A120" s="64"/>
      <c r="B120" s="149"/>
      <c r="C120" s="149"/>
      <c r="D120" s="115"/>
      <c r="E120" s="115"/>
      <c r="F120" s="163" t="s">
        <v>730</v>
      </c>
      <c r="G120" s="19"/>
      <c r="H120" s="572"/>
      <c r="I120" s="165"/>
      <c r="J120" s="198"/>
    </row>
    <row r="121" spans="1:10" ht="25.5">
      <c r="A121" s="64" t="s">
        <v>147</v>
      </c>
      <c r="B121" s="149"/>
      <c r="C121" s="149"/>
      <c r="D121" s="115"/>
      <c r="E121" s="115"/>
      <c r="F121" s="163" t="s">
        <v>731</v>
      </c>
      <c r="G121" s="19" t="s">
        <v>126</v>
      </c>
      <c r="H121" s="572">
        <v>1</v>
      </c>
      <c r="I121" s="3">
        <v>552924</v>
      </c>
      <c r="J121" s="13">
        <f t="shared" ref="J121:J124" si="12">SUM(H121*I121)</f>
        <v>552924</v>
      </c>
    </row>
    <row r="122" spans="1:10" ht="25.5">
      <c r="A122" s="64" t="s">
        <v>148</v>
      </c>
      <c r="B122" s="149"/>
      <c r="C122" s="149"/>
      <c r="D122" s="115"/>
      <c r="E122" s="115"/>
      <c r="F122" s="163" t="s">
        <v>732</v>
      </c>
      <c r="G122" s="19" t="s">
        <v>126</v>
      </c>
      <c r="H122" s="572">
        <v>2</v>
      </c>
      <c r="I122" s="3">
        <v>0</v>
      </c>
      <c r="J122" s="13">
        <f t="shared" si="12"/>
        <v>0</v>
      </c>
    </row>
    <row r="123" spans="1:10">
      <c r="A123" s="64"/>
      <c r="B123" s="149"/>
      <c r="C123" s="149"/>
      <c r="D123" s="115"/>
      <c r="E123" s="115"/>
      <c r="F123" s="427"/>
      <c r="G123" s="111"/>
      <c r="H123" s="572"/>
      <c r="I123" s="165"/>
      <c r="J123" s="112"/>
    </row>
    <row r="124" spans="1:10">
      <c r="A124" s="428">
        <v>3.2</v>
      </c>
      <c r="B124" s="149"/>
      <c r="C124" s="149"/>
      <c r="D124" s="33" t="s">
        <v>733</v>
      </c>
      <c r="E124" s="33" t="s">
        <v>734</v>
      </c>
      <c r="F124" s="161" t="s">
        <v>735</v>
      </c>
      <c r="G124" s="19" t="s">
        <v>175</v>
      </c>
      <c r="H124" s="572">
        <v>12</v>
      </c>
      <c r="I124" s="3">
        <v>0</v>
      </c>
      <c r="J124" s="13">
        <f t="shared" si="12"/>
        <v>0</v>
      </c>
    </row>
    <row r="125" spans="1:10">
      <c r="A125" s="64"/>
      <c r="B125" s="149"/>
      <c r="C125" s="149"/>
      <c r="D125" s="33"/>
      <c r="E125" s="19"/>
      <c r="F125" s="441" t="s">
        <v>736</v>
      </c>
      <c r="G125" s="19"/>
      <c r="H125" s="572"/>
      <c r="I125" s="165"/>
      <c r="J125" s="112"/>
    </row>
    <row r="126" spans="1:10" ht="153">
      <c r="A126" s="64"/>
      <c r="B126" s="149"/>
      <c r="C126" s="149"/>
      <c r="D126" s="33"/>
      <c r="E126" s="19"/>
      <c r="F126" s="440" t="s">
        <v>737</v>
      </c>
      <c r="G126" s="19"/>
      <c r="H126" s="572"/>
      <c r="I126" s="165"/>
      <c r="J126" s="112"/>
    </row>
    <row r="127" spans="1:10" ht="13.5" thickBot="1">
      <c r="A127" s="110"/>
      <c r="B127" s="115"/>
      <c r="C127" s="115"/>
      <c r="D127" s="115"/>
      <c r="E127" s="111"/>
      <c r="F127" s="111"/>
      <c r="G127" s="111"/>
      <c r="H127" s="572"/>
      <c r="I127" s="165"/>
      <c r="J127" s="115"/>
    </row>
    <row r="128" spans="1:10" ht="15.75" thickBot="1">
      <c r="A128" s="199" t="s">
        <v>11</v>
      </c>
      <c r="B128" s="168"/>
      <c r="C128" s="168"/>
      <c r="D128" s="168"/>
      <c r="E128" s="168"/>
      <c r="F128" s="169" t="s">
        <v>42</v>
      </c>
      <c r="G128" s="169"/>
      <c r="H128" s="170"/>
      <c r="I128" s="200"/>
      <c r="J128" s="171"/>
    </row>
    <row r="129" spans="1:10" ht="15">
      <c r="A129" s="201"/>
      <c r="B129" s="173"/>
      <c r="C129" s="173"/>
      <c r="D129" s="173"/>
      <c r="E129" s="173"/>
      <c r="F129" s="174"/>
      <c r="G129" s="175"/>
      <c r="H129" s="176"/>
      <c r="I129" s="202"/>
      <c r="J129" s="175"/>
    </row>
    <row r="130" spans="1:10" ht="15">
      <c r="A130" s="177">
        <v>4.0999999999999996</v>
      </c>
      <c r="B130" s="125"/>
      <c r="C130" s="125"/>
      <c r="D130" s="125" t="s">
        <v>13</v>
      </c>
      <c r="E130" s="125" t="s">
        <v>43</v>
      </c>
      <c r="F130" s="139" t="s">
        <v>201</v>
      </c>
      <c r="G130" s="124" t="s">
        <v>7</v>
      </c>
      <c r="H130" s="140">
        <v>10</v>
      </c>
      <c r="I130" s="3">
        <v>492</v>
      </c>
      <c r="J130" s="124">
        <f t="shared" ref="J130:J136" si="13">SUM(H130*I130)</f>
        <v>4920</v>
      </c>
    </row>
    <row r="131" spans="1:10" ht="75">
      <c r="A131" s="177"/>
      <c r="B131" s="125"/>
      <c r="C131" s="125"/>
      <c r="D131" s="125"/>
      <c r="E131" s="125"/>
      <c r="F131" s="36" t="s">
        <v>45</v>
      </c>
      <c r="G131" s="124"/>
      <c r="H131" s="140"/>
      <c r="I131" s="138"/>
      <c r="J131" s="124"/>
    </row>
    <row r="132" spans="1:10" ht="15">
      <c r="A132" s="177"/>
      <c r="B132" s="125"/>
      <c r="C132" s="125"/>
      <c r="D132" s="125"/>
      <c r="E132" s="125"/>
      <c r="F132" s="36"/>
      <c r="G132" s="124"/>
      <c r="H132" s="140"/>
      <c r="I132" s="138"/>
      <c r="J132" s="124"/>
    </row>
    <row r="133" spans="1:10" ht="15">
      <c r="A133" s="177">
        <v>4.2</v>
      </c>
      <c r="B133" s="125"/>
      <c r="C133" s="125"/>
      <c r="D133" s="125" t="s">
        <v>13</v>
      </c>
      <c r="E133" s="125" t="s">
        <v>46</v>
      </c>
      <c r="F133" s="139" t="s">
        <v>14</v>
      </c>
      <c r="G133" s="124" t="s">
        <v>7</v>
      </c>
      <c r="H133" s="140">
        <v>20</v>
      </c>
      <c r="I133" s="3">
        <v>552</v>
      </c>
      <c r="J133" s="124">
        <f t="shared" si="13"/>
        <v>11040</v>
      </c>
    </row>
    <row r="134" spans="1:10" ht="60">
      <c r="A134" s="177"/>
      <c r="B134" s="125"/>
      <c r="C134" s="125"/>
      <c r="D134" s="125"/>
      <c r="E134" s="125"/>
      <c r="F134" s="36" t="s">
        <v>47</v>
      </c>
      <c r="G134" s="124"/>
      <c r="H134" s="140"/>
      <c r="I134" s="138"/>
      <c r="J134" s="124"/>
    </row>
    <row r="135" spans="1:10" ht="15">
      <c r="A135" s="177"/>
      <c r="B135" s="125"/>
      <c r="C135" s="125"/>
      <c r="D135" s="125"/>
      <c r="E135" s="125"/>
      <c r="F135" s="36"/>
      <c r="G135" s="124"/>
      <c r="H135" s="140"/>
      <c r="I135" s="138"/>
      <c r="J135" s="124"/>
    </row>
    <row r="136" spans="1:10" ht="30">
      <c r="A136" s="177">
        <v>4.3</v>
      </c>
      <c r="B136" s="125"/>
      <c r="C136" s="125"/>
      <c r="D136" s="125" t="s">
        <v>13</v>
      </c>
      <c r="E136" s="125" t="s">
        <v>202</v>
      </c>
      <c r="F136" s="139" t="s">
        <v>203</v>
      </c>
      <c r="G136" s="124" t="s">
        <v>7</v>
      </c>
      <c r="H136" s="140">
        <v>10</v>
      </c>
      <c r="I136" s="3">
        <v>552</v>
      </c>
      <c r="J136" s="124">
        <f t="shared" si="13"/>
        <v>5520</v>
      </c>
    </row>
    <row r="137" spans="1:10" ht="45">
      <c r="A137" s="177"/>
      <c r="B137" s="125"/>
      <c r="C137" s="125"/>
      <c r="D137" s="125"/>
      <c r="E137" s="125"/>
      <c r="F137" s="36" t="s">
        <v>204</v>
      </c>
      <c r="G137" s="124"/>
      <c r="H137" s="411"/>
      <c r="I137" s="138"/>
      <c r="J137" s="124"/>
    </row>
    <row r="138" spans="1:10" ht="15.75" thickBot="1">
      <c r="A138" s="177"/>
      <c r="B138" s="125"/>
      <c r="C138" s="125"/>
      <c r="D138" s="125"/>
      <c r="E138" s="125"/>
      <c r="F138" s="36"/>
      <c r="G138" s="124"/>
      <c r="H138" s="411"/>
      <c r="I138" s="138"/>
      <c r="J138" s="124"/>
    </row>
    <row r="139" spans="1:10" ht="13.5" thickBot="1">
      <c r="A139" s="94"/>
      <c r="B139" s="120"/>
      <c r="C139" s="120"/>
      <c r="D139" s="120"/>
      <c r="E139" s="95"/>
      <c r="F139" s="41" t="s">
        <v>275</v>
      </c>
      <c r="G139" s="95"/>
      <c r="H139" s="413"/>
      <c r="I139" s="166"/>
      <c r="J139" s="603">
        <f>SUM(J8:J137)</f>
        <v>11132359.900000002</v>
      </c>
    </row>
  </sheetData>
  <mergeCells count="3">
    <mergeCell ref="A1:H1"/>
    <mergeCell ref="A2:H2"/>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F667-001E-4D94-BD67-D358A576E201}">
  <dimension ref="A1:K51"/>
  <sheetViews>
    <sheetView zoomScaleNormal="100" workbookViewId="0">
      <pane ySplit="4" topLeftCell="A55" activePane="bottomLeft" state="frozen"/>
      <selection pane="bottomLeft" activeCell="A55" sqref="A55"/>
    </sheetView>
  </sheetViews>
  <sheetFormatPr defaultColWidth="6.125" defaultRowHeight="12.75"/>
  <cols>
    <col min="1" max="1" width="6.75" style="210" customWidth="1"/>
    <col min="2" max="2" width="11.125" style="210" customWidth="1"/>
    <col min="3" max="3" width="5.625" style="210" customWidth="1"/>
    <col min="4" max="4" width="10.75" style="210" customWidth="1"/>
    <col min="5" max="5" width="8.625" style="210" bestFit="1" customWidth="1"/>
    <col min="6" max="6" width="43.125" style="247" customWidth="1"/>
    <col min="7" max="7" width="4.375" style="210" customWidth="1"/>
    <col min="8" max="8" width="7" style="210" customWidth="1"/>
    <col min="9" max="9" width="7.875" style="210" bestFit="1" customWidth="1"/>
    <col min="10" max="10" width="9.25" style="210" bestFit="1" customWidth="1"/>
    <col min="11" max="11" width="11.375" style="246" bestFit="1" customWidth="1"/>
    <col min="12" max="229" width="6.125" style="210"/>
    <col min="230" max="230" width="5" style="210" customWidth="1"/>
    <col min="231" max="231" width="8.875" style="210" customWidth="1"/>
    <col min="232" max="232" width="5" style="210" customWidth="1"/>
    <col min="233" max="233" width="8.25" style="210" bestFit="1" customWidth="1"/>
    <col min="234" max="234" width="16.125" style="210" customWidth="1"/>
    <col min="235" max="235" width="86" style="210" customWidth="1"/>
    <col min="236" max="236" width="5" style="210" customWidth="1"/>
    <col min="237" max="237" width="11.125" style="210" bestFit="1" customWidth="1"/>
    <col min="238" max="238" width="10.375" style="210" customWidth="1"/>
    <col min="239" max="239" width="10.875" style="210" customWidth="1"/>
    <col min="240" max="240" width="7.75" style="210" customWidth="1"/>
    <col min="241" max="241" width="9.875" style="210" customWidth="1"/>
    <col min="242" max="242" width="10.625" style="210" customWidth="1"/>
    <col min="243" max="485" width="6.125" style="210"/>
    <col min="486" max="486" width="5" style="210" customWidth="1"/>
    <col min="487" max="487" width="8.875" style="210" customWidth="1"/>
    <col min="488" max="488" width="5" style="210" customWidth="1"/>
    <col min="489" max="489" width="8.25" style="210" bestFit="1" customWidth="1"/>
    <col min="490" max="490" width="16.125" style="210" customWidth="1"/>
    <col min="491" max="491" width="86" style="210" customWidth="1"/>
    <col min="492" max="492" width="5" style="210" customWidth="1"/>
    <col min="493" max="493" width="11.125" style="210" bestFit="1" customWidth="1"/>
    <col min="494" max="494" width="10.375" style="210" customWidth="1"/>
    <col min="495" max="495" width="10.875" style="210" customWidth="1"/>
    <col min="496" max="496" width="7.75" style="210" customWidth="1"/>
    <col min="497" max="497" width="9.875" style="210" customWidth="1"/>
    <col min="498" max="498" width="10.625" style="210" customWidth="1"/>
    <col min="499" max="741" width="6.125" style="210"/>
    <col min="742" max="742" width="5" style="210" customWidth="1"/>
    <col min="743" max="743" width="8.875" style="210" customWidth="1"/>
    <col min="744" max="744" width="5" style="210" customWidth="1"/>
    <col min="745" max="745" width="8.25" style="210" bestFit="1" customWidth="1"/>
    <col min="746" max="746" width="16.125" style="210" customWidth="1"/>
    <col min="747" max="747" width="86" style="210" customWidth="1"/>
    <col min="748" max="748" width="5" style="210" customWidth="1"/>
    <col min="749" max="749" width="11.125" style="210" bestFit="1" customWidth="1"/>
    <col min="750" max="750" width="10.375" style="210" customWidth="1"/>
    <col min="751" max="751" width="10.875" style="210" customWidth="1"/>
    <col min="752" max="752" width="7.75" style="210" customWidth="1"/>
    <col min="753" max="753" width="9.875" style="210" customWidth="1"/>
    <col min="754" max="754" width="10.625" style="210" customWidth="1"/>
    <col min="755" max="997" width="6.125" style="210"/>
    <col min="998" max="998" width="5" style="210" customWidth="1"/>
    <col min="999" max="999" width="8.875" style="210" customWidth="1"/>
    <col min="1000" max="1000" width="5" style="210" customWidth="1"/>
    <col min="1001" max="1001" width="8.25" style="210" bestFit="1" customWidth="1"/>
    <col min="1002" max="1002" width="16.125" style="210" customWidth="1"/>
    <col min="1003" max="1003" width="86" style="210" customWidth="1"/>
    <col min="1004" max="1004" width="5" style="210" customWidth="1"/>
    <col min="1005" max="1005" width="11.125" style="210" bestFit="1" customWidth="1"/>
    <col min="1006" max="1006" width="10.375" style="210" customWidth="1"/>
    <col min="1007" max="1007" width="10.875" style="210" customWidth="1"/>
    <col min="1008" max="1008" width="7.75" style="210" customWidth="1"/>
    <col min="1009" max="1009" width="9.875" style="210" customWidth="1"/>
    <col min="1010" max="1010" width="10.625" style="210" customWidth="1"/>
    <col min="1011" max="1253" width="6.125" style="210"/>
    <col min="1254" max="1254" width="5" style="210" customWidth="1"/>
    <col min="1255" max="1255" width="8.875" style="210" customWidth="1"/>
    <col min="1256" max="1256" width="5" style="210" customWidth="1"/>
    <col min="1257" max="1257" width="8.25" style="210" bestFit="1" customWidth="1"/>
    <col min="1258" max="1258" width="16.125" style="210" customWidth="1"/>
    <col min="1259" max="1259" width="86" style="210" customWidth="1"/>
    <col min="1260" max="1260" width="5" style="210" customWidth="1"/>
    <col min="1261" max="1261" width="11.125" style="210" bestFit="1" customWidth="1"/>
    <col min="1262" max="1262" width="10.375" style="210" customWidth="1"/>
    <col min="1263" max="1263" width="10.875" style="210" customWidth="1"/>
    <col min="1264" max="1264" width="7.75" style="210" customWidth="1"/>
    <col min="1265" max="1265" width="9.875" style="210" customWidth="1"/>
    <col min="1266" max="1266" width="10.625" style="210" customWidth="1"/>
    <col min="1267" max="1509" width="6.125" style="210"/>
    <col min="1510" max="1510" width="5" style="210" customWidth="1"/>
    <col min="1511" max="1511" width="8.875" style="210" customWidth="1"/>
    <col min="1512" max="1512" width="5" style="210" customWidth="1"/>
    <col min="1513" max="1513" width="8.25" style="210" bestFit="1" customWidth="1"/>
    <col min="1514" max="1514" width="16.125" style="210" customWidth="1"/>
    <col min="1515" max="1515" width="86" style="210" customWidth="1"/>
    <col min="1516" max="1516" width="5" style="210" customWidth="1"/>
    <col min="1517" max="1517" width="11.125" style="210" bestFit="1" customWidth="1"/>
    <col min="1518" max="1518" width="10.375" style="210" customWidth="1"/>
    <col min="1519" max="1519" width="10.875" style="210" customWidth="1"/>
    <col min="1520" max="1520" width="7.75" style="210" customWidth="1"/>
    <col min="1521" max="1521" width="9.875" style="210" customWidth="1"/>
    <col min="1522" max="1522" width="10.625" style="210" customWidth="1"/>
    <col min="1523" max="1765" width="6.125" style="210"/>
    <col min="1766" max="1766" width="5" style="210" customWidth="1"/>
    <col min="1767" max="1767" width="8.875" style="210" customWidth="1"/>
    <col min="1768" max="1768" width="5" style="210" customWidth="1"/>
    <col min="1769" max="1769" width="8.25" style="210" bestFit="1" customWidth="1"/>
    <col min="1770" max="1770" width="16.125" style="210" customWidth="1"/>
    <col min="1771" max="1771" width="86" style="210" customWidth="1"/>
    <col min="1772" max="1772" width="5" style="210" customWidth="1"/>
    <col min="1773" max="1773" width="11.125" style="210" bestFit="1" customWidth="1"/>
    <col min="1774" max="1774" width="10.375" style="210" customWidth="1"/>
    <col min="1775" max="1775" width="10.875" style="210" customWidth="1"/>
    <col min="1776" max="1776" width="7.75" style="210" customWidth="1"/>
    <col min="1777" max="1777" width="9.875" style="210" customWidth="1"/>
    <col min="1778" max="1778" width="10.625" style="210" customWidth="1"/>
    <col min="1779" max="2021" width="6.125" style="210"/>
    <col min="2022" max="2022" width="5" style="210" customWidth="1"/>
    <col min="2023" max="2023" width="8.875" style="210" customWidth="1"/>
    <col min="2024" max="2024" width="5" style="210" customWidth="1"/>
    <col min="2025" max="2025" width="8.25" style="210" bestFit="1" customWidth="1"/>
    <col min="2026" max="2026" width="16.125" style="210" customWidth="1"/>
    <col min="2027" max="2027" width="86" style="210" customWidth="1"/>
    <col min="2028" max="2028" width="5" style="210" customWidth="1"/>
    <col min="2029" max="2029" width="11.125" style="210" bestFit="1" customWidth="1"/>
    <col min="2030" max="2030" width="10.375" style="210" customWidth="1"/>
    <col min="2031" max="2031" width="10.875" style="210" customWidth="1"/>
    <col min="2032" max="2032" width="7.75" style="210" customWidth="1"/>
    <col min="2033" max="2033" width="9.875" style="210" customWidth="1"/>
    <col min="2034" max="2034" width="10.625" style="210" customWidth="1"/>
    <col min="2035" max="2277" width="6.125" style="210"/>
    <col min="2278" max="2278" width="5" style="210" customWidth="1"/>
    <col min="2279" max="2279" width="8.875" style="210" customWidth="1"/>
    <col min="2280" max="2280" width="5" style="210" customWidth="1"/>
    <col min="2281" max="2281" width="8.25" style="210" bestFit="1" customWidth="1"/>
    <col min="2282" max="2282" width="16.125" style="210" customWidth="1"/>
    <col min="2283" max="2283" width="86" style="210" customWidth="1"/>
    <col min="2284" max="2284" width="5" style="210" customWidth="1"/>
    <col min="2285" max="2285" width="11.125" style="210" bestFit="1" customWidth="1"/>
    <col min="2286" max="2286" width="10.375" style="210" customWidth="1"/>
    <col min="2287" max="2287" width="10.875" style="210" customWidth="1"/>
    <col min="2288" max="2288" width="7.75" style="210" customWidth="1"/>
    <col min="2289" max="2289" width="9.875" style="210" customWidth="1"/>
    <col min="2290" max="2290" width="10.625" style="210" customWidth="1"/>
    <col min="2291" max="2533" width="6.125" style="210"/>
    <col min="2534" max="2534" width="5" style="210" customWidth="1"/>
    <col min="2535" max="2535" width="8.875" style="210" customWidth="1"/>
    <col min="2536" max="2536" width="5" style="210" customWidth="1"/>
    <col min="2537" max="2537" width="8.25" style="210" bestFit="1" customWidth="1"/>
    <col min="2538" max="2538" width="16.125" style="210" customWidth="1"/>
    <col min="2539" max="2539" width="86" style="210" customWidth="1"/>
    <col min="2540" max="2540" width="5" style="210" customWidth="1"/>
    <col min="2541" max="2541" width="11.125" style="210" bestFit="1" customWidth="1"/>
    <col min="2542" max="2542" width="10.375" style="210" customWidth="1"/>
    <col min="2543" max="2543" width="10.875" style="210" customWidth="1"/>
    <col min="2544" max="2544" width="7.75" style="210" customWidth="1"/>
    <col min="2545" max="2545" width="9.875" style="210" customWidth="1"/>
    <col min="2546" max="2546" width="10.625" style="210" customWidth="1"/>
    <col min="2547" max="2789" width="6.125" style="210"/>
    <col min="2790" max="2790" width="5" style="210" customWidth="1"/>
    <col min="2791" max="2791" width="8.875" style="210" customWidth="1"/>
    <col min="2792" max="2792" width="5" style="210" customWidth="1"/>
    <col min="2793" max="2793" width="8.25" style="210" bestFit="1" customWidth="1"/>
    <col min="2794" max="2794" width="16.125" style="210" customWidth="1"/>
    <col min="2795" max="2795" width="86" style="210" customWidth="1"/>
    <col min="2796" max="2796" width="5" style="210" customWidth="1"/>
    <col min="2797" max="2797" width="11.125" style="210" bestFit="1" customWidth="1"/>
    <col min="2798" max="2798" width="10.375" style="210" customWidth="1"/>
    <col min="2799" max="2799" width="10.875" style="210" customWidth="1"/>
    <col min="2800" max="2800" width="7.75" style="210" customWidth="1"/>
    <col min="2801" max="2801" width="9.875" style="210" customWidth="1"/>
    <col min="2802" max="2802" width="10.625" style="210" customWidth="1"/>
    <col min="2803" max="3045" width="6.125" style="210"/>
    <col min="3046" max="3046" width="5" style="210" customWidth="1"/>
    <col min="3047" max="3047" width="8.875" style="210" customWidth="1"/>
    <col min="3048" max="3048" width="5" style="210" customWidth="1"/>
    <col min="3049" max="3049" width="8.25" style="210" bestFit="1" customWidth="1"/>
    <col min="3050" max="3050" width="16.125" style="210" customWidth="1"/>
    <col min="3051" max="3051" width="86" style="210" customWidth="1"/>
    <col min="3052" max="3052" width="5" style="210" customWidth="1"/>
    <col min="3053" max="3053" width="11.125" style="210" bestFit="1" customWidth="1"/>
    <col min="3054" max="3054" width="10.375" style="210" customWidth="1"/>
    <col min="3055" max="3055" width="10.875" style="210" customWidth="1"/>
    <col min="3056" max="3056" width="7.75" style="210" customWidth="1"/>
    <col min="3057" max="3057" width="9.875" style="210" customWidth="1"/>
    <col min="3058" max="3058" width="10.625" style="210" customWidth="1"/>
    <col min="3059" max="3301" width="6.125" style="210"/>
    <col min="3302" max="3302" width="5" style="210" customWidth="1"/>
    <col min="3303" max="3303" width="8.875" style="210" customWidth="1"/>
    <col min="3304" max="3304" width="5" style="210" customWidth="1"/>
    <col min="3305" max="3305" width="8.25" style="210" bestFit="1" customWidth="1"/>
    <col min="3306" max="3306" width="16.125" style="210" customWidth="1"/>
    <col min="3307" max="3307" width="86" style="210" customWidth="1"/>
    <col min="3308" max="3308" width="5" style="210" customWidth="1"/>
    <col min="3309" max="3309" width="11.125" style="210" bestFit="1" customWidth="1"/>
    <col min="3310" max="3310" width="10.375" style="210" customWidth="1"/>
    <col min="3311" max="3311" width="10.875" style="210" customWidth="1"/>
    <col min="3312" max="3312" width="7.75" style="210" customWidth="1"/>
    <col min="3313" max="3313" width="9.875" style="210" customWidth="1"/>
    <col min="3314" max="3314" width="10.625" style="210" customWidth="1"/>
    <col min="3315" max="3557" width="6.125" style="210"/>
    <col min="3558" max="3558" width="5" style="210" customWidth="1"/>
    <col min="3559" max="3559" width="8.875" style="210" customWidth="1"/>
    <col min="3560" max="3560" width="5" style="210" customWidth="1"/>
    <col min="3561" max="3561" width="8.25" style="210" bestFit="1" customWidth="1"/>
    <col min="3562" max="3562" width="16.125" style="210" customWidth="1"/>
    <col min="3563" max="3563" width="86" style="210" customWidth="1"/>
    <col min="3564" max="3564" width="5" style="210" customWidth="1"/>
    <col min="3565" max="3565" width="11.125" style="210" bestFit="1" customWidth="1"/>
    <col min="3566" max="3566" width="10.375" style="210" customWidth="1"/>
    <col min="3567" max="3567" width="10.875" style="210" customWidth="1"/>
    <col min="3568" max="3568" width="7.75" style="210" customWidth="1"/>
    <col min="3569" max="3569" width="9.875" style="210" customWidth="1"/>
    <col min="3570" max="3570" width="10.625" style="210" customWidth="1"/>
    <col min="3571" max="3813" width="6.125" style="210"/>
    <col min="3814" max="3814" width="5" style="210" customWidth="1"/>
    <col min="3815" max="3815" width="8.875" style="210" customWidth="1"/>
    <col min="3816" max="3816" width="5" style="210" customWidth="1"/>
    <col min="3817" max="3817" width="8.25" style="210" bestFit="1" customWidth="1"/>
    <col min="3818" max="3818" width="16.125" style="210" customWidth="1"/>
    <col min="3819" max="3819" width="86" style="210" customWidth="1"/>
    <col min="3820" max="3820" width="5" style="210" customWidth="1"/>
    <col min="3821" max="3821" width="11.125" style="210" bestFit="1" customWidth="1"/>
    <col min="3822" max="3822" width="10.375" style="210" customWidth="1"/>
    <col min="3823" max="3823" width="10.875" style="210" customWidth="1"/>
    <col min="3824" max="3824" width="7.75" style="210" customWidth="1"/>
    <col min="3825" max="3825" width="9.875" style="210" customWidth="1"/>
    <col min="3826" max="3826" width="10.625" style="210" customWidth="1"/>
    <col min="3827" max="4069" width="6.125" style="210"/>
    <col min="4070" max="4070" width="5" style="210" customWidth="1"/>
    <col min="4071" max="4071" width="8.875" style="210" customWidth="1"/>
    <col min="4072" max="4072" width="5" style="210" customWidth="1"/>
    <col min="4073" max="4073" width="8.25" style="210" bestFit="1" customWidth="1"/>
    <col min="4074" max="4074" width="16.125" style="210" customWidth="1"/>
    <col min="4075" max="4075" width="86" style="210" customWidth="1"/>
    <col min="4076" max="4076" width="5" style="210" customWidth="1"/>
    <col min="4077" max="4077" width="11.125" style="210" bestFit="1" customWidth="1"/>
    <col min="4078" max="4078" width="10.375" style="210" customWidth="1"/>
    <col min="4079" max="4079" width="10.875" style="210" customWidth="1"/>
    <col min="4080" max="4080" width="7.75" style="210" customWidth="1"/>
    <col min="4081" max="4081" width="9.875" style="210" customWidth="1"/>
    <col min="4082" max="4082" width="10.625" style="210" customWidth="1"/>
    <col min="4083" max="4325" width="6.125" style="210"/>
    <col min="4326" max="4326" width="5" style="210" customWidth="1"/>
    <col min="4327" max="4327" width="8.875" style="210" customWidth="1"/>
    <col min="4328" max="4328" width="5" style="210" customWidth="1"/>
    <col min="4329" max="4329" width="8.25" style="210" bestFit="1" customWidth="1"/>
    <col min="4330" max="4330" width="16.125" style="210" customWidth="1"/>
    <col min="4331" max="4331" width="86" style="210" customWidth="1"/>
    <col min="4332" max="4332" width="5" style="210" customWidth="1"/>
    <col min="4333" max="4333" width="11.125" style="210" bestFit="1" customWidth="1"/>
    <col min="4334" max="4334" width="10.375" style="210" customWidth="1"/>
    <col min="4335" max="4335" width="10.875" style="210" customWidth="1"/>
    <col min="4336" max="4336" width="7.75" style="210" customWidth="1"/>
    <col min="4337" max="4337" width="9.875" style="210" customWidth="1"/>
    <col min="4338" max="4338" width="10.625" style="210" customWidth="1"/>
    <col min="4339" max="4581" width="6.125" style="210"/>
    <col min="4582" max="4582" width="5" style="210" customWidth="1"/>
    <col min="4583" max="4583" width="8.875" style="210" customWidth="1"/>
    <col min="4584" max="4584" width="5" style="210" customWidth="1"/>
    <col min="4585" max="4585" width="8.25" style="210" bestFit="1" customWidth="1"/>
    <col min="4586" max="4586" width="16.125" style="210" customWidth="1"/>
    <col min="4587" max="4587" width="86" style="210" customWidth="1"/>
    <col min="4588" max="4588" width="5" style="210" customWidth="1"/>
    <col min="4589" max="4589" width="11.125" style="210" bestFit="1" customWidth="1"/>
    <col min="4590" max="4590" width="10.375" style="210" customWidth="1"/>
    <col min="4591" max="4591" width="10.875" style="210" customWidth="1"/>
    <col min="4592" max="4592" width="7.75" style="210" customWidth="1"/>
    <col min="4593" max="4593" width="9.875" style="210" customWidth="1"/>
    <col min="4594" max="4594" width="10.625" style="210" customWidth="1"/>
    <col min="4595" max="4837" width="6.125" style="210"/>
    <col min="4838" max="4838" width="5" style="210" customWidth="1"/>
    <col min="4839" max="4839" width="8.875" style="210" customWidth="1"/>
    <col min="4840" max="4840" width="5" style="210" customWidth="1"/>
    <col min="4841" max="4841" width="8.25" style="210" bestFit="1" customWidth="1"/>
    <col min="4842" max="4842" width="16.125" style="210" customWidth="1"/>
    <col min="4843" max="4843" width="86" style="210" customWidth="1"/>
    <col min="4844" max="4844" width="5" style="210" customWidth="1"/>
    <col min="4845" max="4845" width="11.125" style="210" bestFit="1" customWidth="1"/>
    <col min="4846" max="4846" width="10.375" style="210" customWidth="1"/>
    <col min="4847" max="4847" width="10.875" style="210" customWidth="1"/>
    <col min="4848" max="4848" width="7.75" style="210" customWidth="1"/>
    <col min="4849" max="4849" width="9.875" style="210" customWidth="1"/>
    <col min="4850" max="4850" width="10.625" style="210" customWidth="1"/>
    <col min="4851" max="5093" width="6.125" style="210"/>
    <col min="5094" max="5094" width="5" style="210" customWidth="1"/>
    <col min="5095" max="5095" width="8.875" style="210" customWidth="1"/>
    <col min="5096" max="5096" width="5" style="210" customWidth="1"/>
    <col min="5097" max="5097" width="8.25" style="210" bestFit="1" customWidth="1"/>
    <col min="5098" max="5098" width="16.125" style="210" customWidth="1"/>
    <col min="5099" max="5099" width="86" style="210" customWidth="1"/>
    <col min="5100" max="5100" width="5" style="210" customWidth="1"/>
    <col min="5101" max="5101" width="11.125" style="210" bestFit="1" customWidth="1"/>
    <col min="5102" max="5102" width="10.375" style="210" customWidth="1"/>
    <col min="5103" max="5103" width="10.875" style="210" customWidth="1"/>
    <col min="5104" max="5104" width="7.75" style="210" customWidth="1"/>
    <col min="5105" max="5105" width="9.875" style="210" customWidth="1"/>
    <col min="5106" max="5106" width="10.625" style="210" customWidth="1"/>
    <col min="5107" max="5349" width="6.125" style="210"/>
    <col min="5350" max="5350" width="5" style="210" customWidth="1"/>
    <col min="5351" max="5351" width="8.875" style="210" customWidth="1"/>
    <col min="5352" max="5352" width="5" style="210" customWidth="1"/>
    <col min="5353" max="5353" width="8.25" style="210" bestFit="1" customWidth="1"/>
    <col min="5354" max="5354" width="16.125" style="210" customWidth="1"/>
    <col min="5355" max="5355" width="86" style="210" customWidth="1"/>
    <col min="5356" max="5356" width="5" style="210" customWidth="1"/>
    <col min="5357" max="5357" width="11.125" style="210" bestFit="1" customWidth="1"/>
    <col min="5358" max="5358" width="10.375" style="210" customWidth="1"/>
    <col min="5359" max="5359" width="10.875" style="210" customWidth="1"/>
    <col min="5360" max="5360" width="7.75" style="210" customWidth="1"/>
    <col min="5361" max="5361" width="9.875" style="210" customWidth="1"/>
    <col min="5362" max="5362" width="10.625" style="210" customWidth="1"/>
    <col min="5363" max="5605" width="6.125" style="210"/>
    <col min="5606" max="5606" width="5" style="210" customWidth="1"/>
    <col min="5607" max="5607" width="8.875" style="210" customWidth="1"/>
    <col min="5608" max="5608" width="5" style="210" customWidth="1"/>
    <col min="5609" max="5609" width="8.25" style="210" bestFit="1" customWidth="1"/>
    <col min="5610" max="5610" width="16.125" style="210" customWidth="1"/>
    <col min="5611" max="5611" width="86" style="210" customWidth="1"/>
    <col min="5612" max="5612" width="5" style="210" customWidth="1"/>
    <col min="5613" max="5613" width="11.125" style="210" bestFit="1" customWidth="1"/>
    <col min="5614" max="5614" width="10.375" style="210" customWidth="1"/>
    <col min="5615" max="5615" width="10.875" style="210" customWidth="1"/>
    <col min="5616" max="5616" width="7.75" style="210" customWidth="1"/>
    <col min="5617" max="5617" width="9.875" style="210" customWidth="1"/>
    <col min="5618" max="5618" width="10.625" style="210" customWidth="1"/>
    <col min="5619" max="5861" width="6.125" style="210"/>
    <col min="5862" max="5862" width="5" style="210" customWidth="1"/>
    <col min="5863" max="5863" width="8.875" style="210" customWidth="1"/>
    <col min="5864" max="5864" width="5" style="210" customWidth="1"/>
    <col min="5865" max="5865" width="8.25" style="210" bestFit="1" customWidth="1"/>
    <col min="5866" max="5866" width="16.125" style="210" customWidth="1"/>
    <col min="5867" max="5867" width="86" style="210" customWidth="1"/>
    <col min="5868" max="5868" width="5" style="210" customWidth="1"/>
    <col min="5869" max="5869" width="11.125" style="210" bestFit="1" customWidth="1"/>
    <col min="5870" max="5870" width="10.375" style="210" customWidth="1"/>
    <col min="5871" max="5871" width="10.875" style="210" customWidth="1"/>
    <col min="5872" max="5872" width="7.75" style="210" customWidth="1"/>
    <col min="5873" max="5873" width="9.875" style="210" customWidth="1"/>
    <col min="5874" max="5874" width="10.625" style="210" customWidth="1"/>
    <col min="5875" max="6117" width="6.125" style="210"/>
    <col min="6118" max="6118" width="5" style="210" customWidth="1"/>
    <col min="6119" max="6119" width="8.875" style="210" customWidth="1"/>
    <col min="6120" max="6120" width="5" style="210" customWidth="1"/>
    <col min="6121" max="6121" width="8.25" style="210" bestFit="1" customWidth="1"/>
    <col min="6122" max="6122" width="16.125" style="210" customWidth="1"/>
    <col min="6123" max="6123" width="86" style="210" customWidth="1"/>
    <col min="6124" max="6124" width="5" style="210" customWidth="1"/>
    <col min="6125" max="6125" width="11.125" style="210" bestFit="1" customWidth="1"/>
    <col min="6126" max="6126" width="10.375" style="210" customWidth="1"/>
    <col min="6127" max="6127" width="10.875" style="210" customWidth="1"/>
    <col min="6128" max="6128" width="7.75" style="210" customWidth="1"/>
    <col min="6129" max="6129" width="9.875" style="210" customWidth="1"/>
    <col min="6130" max="6130" width="10.625" style="210" customWidth="1"/>
    <col min="6131" max="6373" width="6.125" style="210"/>
    <col min="6374" max="6374" width="5" style="210" customWidth="1"/>
    <col min="6375" max="6375" width="8.875" style="210" customWidth="1"/>
    <col min="6376" max="6376" width="5" style="210" customWidth="1"/>
    <col min="6377" max="6377" width="8.25" style="210" bestFit="1" customWidth="1"/>
    <col min="6378" max="6378" width="16.125" style="210" customWidth="1"/>
    <col min="6379" max="6379" width="86" style="210" customWidth="1"/>
    <col min="6380" max="6380" width="5" style="210" customWidth="1"/>
    <col min="6381" max="6381" width="11.125" style="210" bestFit="1" customWidth="1"/>
    <col min="6382" max="6382" width="10.375" style="210" customWidth="1"/>
    <col min="6383" max="6383" width="10.875" style="210" customWidth="1"/>
    <col min="6384" max="6384" width="7.75" style="210" customWidth="1"/>
    <col min="6385" max="6385" width="9.875" style="210" customWidth="1"/>
    <col min="6386" max="6386" width="10.625" style="210" customWidth="1"/>
    <col min="6387" max="6629" width="6.125" style="210"/>
    <col min="6630" max="6630" width="5" style="210" customWidth="1"/>
    <col min="6631" max="6631" width="8.875" style="210" customWidth="1"/>
    <col min="6632" max="6632" width="5" style="210" customWidth="1"/>
    <col min="6633" max="6633" width="8.25" style="210" bestFit="1" customWidth="1"/>
    <col min="6634" max="6634" width="16.125" style="210" customWidth="1"/>
    <col min="6635" max="6635" width="86" style="210" customWidth="1"/>
    <col min="6636" max="6636" width="5" style="210" customWidth="1"/>
    <col min="6637" max="6637" width="11.125" style="210" bestFit="1" customWidth="1"/>
    <col min="6638" max="6638" width="10.375" style="210" customWidth="1"/>
    <col min="6639" max="6639" width="10.875" style="210" customWidth="1"/>
    <col min="6640" max="6640" width="7.75" style="210" customWidth="1"/>
    <col min="6641" max="6641" width="9.875" style="210" customWidth="1"/>
    <col min="6642" max="6642" width="10.625" style="210" customWidth="1"/>
    <col min="6643" max="6885" width="6.125" style="210"/>
    <col min="6886" max="6886" width="5" style="210" customWidth="1"/>
    <col min="6887" max="6887" width="8.875" style="210" customWidth="1"/>
    <col min="6888" max="6888" width="5" style="210" customWidth="1"/>
    <col min="6889" max="6889" width="8.25" style="210" bestFit="1" customWidth="1"/>
    <col min="6890" max="6890" width="16.125" style="210" customWidth="1"/>
    <col min="6891" max="6891" width="86" style="210" customWidth="1"/>
    <col min="6892" max="6892" width="5" style="210" customWidth="1"/>
    <col min="6893" max="6893" width="11.125" style="210" bestFit="1" customWidth="1"/>
    <col min="6894" max="6894" width="10.375" style="210" customWidth="1"/>
    <col min="6895" max="6895" width="10.875" style="210" customWidth="1"/>
    <col min="6896" max="6896" width="7.75" style="210" customWidth="1"/>
    <col min="6897" max="6897" width="9.875" style="210" customWidth="1"/>
    <col min="6898" max="6898" width="10.625" style="210" customWidth="1"/>
    <col min="6899" max="7141" width="6.125" style="210"/>
    <col min="7142" max="7142" width="5" style="210" customWidth="1"/>
    <col min="7143" max="7143" width="8.875" style="210" customWidth="1"/>
    <col min="7144" max="7144" width="5" style="210" customWidth="1"/>
    <col min="7145" max="7145" width="8.25" style="210" bestFit="1" customWidth="1"/>
    <col min="7146" max="7146" width="16.125" style="210" customWidth="1"/>
    <col min="7147" max="7147" width="86" style="210" customWidth="1"/>
    <col min="7148" max="7148" width="5" style="210" customWidth="1"/>
    <col min="7149" max="7149" width="11.125" style="210" bestFit="1" customWidth="1"/>
    <col min="7150" max="7150" width="10.375" style="210" customWidth="1"/>
    <col min="7151" max="7151" width="10.875" style="210" customWidth="1"/>
    <col min="7152" max="7152" width="7.75" style="210" customWidth="1"/>
    <col min="7153" max="7153" width="9.875" style="210" customWidth="1"/>
    <col min="7154" max="7154" width="10.625" style="210" customWidth="1"/>
    <col min="7155" max="7397" width="6.125" style="210"/>
    <col min="7398" max="7398" width="5" style="210" customWidth="1"/>
    <col min="7399" max="7399" width="8.875" style="210" customWidth="1"/>
    <col min="7400" max="7400" width="5" style="210" customWidth="1"/>
    <col min="7401" max="7401" width="8.25" style="210" bestFit="1" customWidth="1"/>
    <col min="7402" max="7402" width="16.125" style="210" customWidth="1"/>
    <col min="7403" max="7403" width="86" style="210" customWidth="1"/>
    <col min="7404" max="7404" width="5" style="210" customWidth="1"/>
    <col min="7405" max="7405" width="11.125" style="210" bestFit="1" customWidth="1"/>
    <col min="7406" max="7406" width="10.375" style="210" customWidth="1"/>
    <col min="7407" max="7407" width="10.875" style="210" customWidth="1"/>
    <col min="7408" max="7408" width="7.75" style="210" customWidth="1"/>
    <col min="7409" max="7409" width="9.875" style="210" customWidth="1"/>
    <col min="7410" max="7410" width="10.625" style="210" customWidth="1"/>
    <col min="7411" max="7653" width="6.125" style="210"/>
    <col min="7654" max="7654" width="5" style="210" customWidth="1"/>
    <col min="7655" max="7655" width="8.875" style="210" customWidth="1"/>
    <col min="7656" max="7656" width="5" style="210" customWidth="1"/>
    <col min="7657" max="7657" width="8.25" style="210" bestFit="1" customWidth="1"/>
    <col min="7658" max="7658" width="16.125" style="210" customWidth="1"/>
    <col min="7659" max="7659" width="86" style="210" customWidth="1"/>
    <col min="7660" max="7660" width="5" style="210" customWidth="1"/>
    <col min="7661" max="7661" width="11.125" style="210" bestFit="1" customWidth="1"/>
    <col min="7662" max="7662" width="10.375" style="210" customWidth="1"/>
    <col min="7663" max="7663" width="10.875" style="210" customWidth="1"/>
    <col min="7664" max="7664" width="7.75" style="210" customWidth="1"/>
    <col min="7665" max="7665" width="9.875" style="210" customWidth="1"/>
    <col min="7666" max="7666" width="10.625" style="210" customWidth="1"/>
    <col min="7667" max="7909" width="6.125" style="210"/>
    <col min="7910" max="7910" width="5" style="210" customWidth="1"/>
    <col min="7911" max="7911" width="8.875" style="210" customWidth="1"/>
    <col min="7912" max="7912" width="5" style="210" customWidth="1"/>
    <col min="7913" max="7913" width="8.25" style="210" bestFit="1" customWidth="1"/>
    <col min="7914" max="7914" width="16.125" style="210" customWidth="1"/>
    <col min="7915" max="7915" width="86" style="210" customWidth="1"/>
    <col min="7916" max="7916" width="5" style="210" customWidth="1"/>
    <col min="7917" max="7917" width="11.125" style="210" bestFit="1" customWidth="1"/>
    <col min="7918" max="7918" width="10.375" style="210" customWidth="1"/>
    <col min="7919" max="7919" width="10.875" style="210" customWidth="1"/>
    <col min="7920" max="7920" width="7.75" style="210" customWidth="1"/>
    <col min="7921" max="7921" width="9.875" style="210" customWidth="1"/>
    <col min="7922" max="7922" width="10.625" style="210" customWidth="1"/>
    <col min="7923" max="8165" width="6.125" style="210"/>
    <col min="8166" max="8166" width="5" style="210" customWidth="1"/>
    <col min="8167" max="8167" width="8.875" style="210" customWidth="1"/>
    <col min="8168" max="8168" width="5" style="210" customWidth="1"/>
    <col min="8169" max="8169" width="8.25" style="210" bestFit="1" customWidth="1"/>
    <col min="8170" max="8170" width="16.125" style="210" customWidth="1"/>
    <col min="8171" max="8171" width="86" style="210" customWidth="1"/>
    <col min="8172" max="8172" width="5" style="210" customWidth="1"/>
    <col min="8173" max="8173" width="11.125" style="210" bestFit="1" customWidth="1"/>
    <col min="8174" max="8174" width="10.375" style="210" customWidth="1"/>
    <col min="8175" max="8175" width="10.875" style="210" customWidth="1"/>
    <col min="8176" max="8176" width="7.75" style="210" customWidth="1"/>
    <col min="8177" max="8177" width="9.875" style="210" customWidth="1"/>
    <col min="8178" max="8178" width="10.625" style="210" customWidth="1"/>
    <col min="8179" max="8421" width="6.125" style="210"/>
    <col min="8422" max="8422" width="5" style="210" customWidth="1"/>
    <col min="8423" max="8423" width="8.875" style="210" customWidth="1"/>
    <col min="8424" max="8424" width="5" style="210" customWidth="1"/>
    <col min="8425" max="8425" width="8.25" style="210" bestFit="1" customWidth="1"/>
    <col min="8426" max="8426" width="16.125" style="210" customWidth="1"/>
    <col min="8427" max="8427" width="86" style="210" customWidth="1"/>
    <col min="8428" max="8428" width="5" style="210" customWidth="1"/>
    <col min="8429" max="8429" width="11.125" style="210" bestFit="1" customWidth="1"/>
    <col min="8430" max="8430" width="10.375" style="210" customWidth="1"/>
    <col min="8431" max="8431" width="10.875" style="210" customWidth="1"/>
    <col min="8432" max="8432" width="7.75" style="210" customWidth="1"/>
    <col min="8433" max="8433" width="9.875" style="210" customWidth="1"/>
    <col min="8434" max="8434" width="10.625" style="210" customWidth="1"/>
    <col min="8435" max="8677" width="6.125" style="210"/>
    <col min="8678" max="8678" width="5" style="210" customWidth="1"/>
    <col min="8679" max="8679" width="8.875" style="210" customWidth="1"/>
    <col min="8680" max="8680" width="5" style="210" customWidth="1"/>
    <col min="8681" max="8681" width="8.25" style="210" bestFit="1" customWidth="1"/>
    <col min="8682" max="8682" width="16.125" style="210" customWidth="1"/>
    <col min="8683" max="8683" width="86" style="210" customWidth="1"/>
    <col min="8684" max="8684" width="5" style="210" customWidth="1"/>
    <col min="8685" max="8685" width="11.125" style="210" bestFit="1" customWidth="1"/>
    <col min="8686" max="8686" width="10.375" style="210" customWidth="1"/>
    <col min="8687" max="8687" width="10.875" style="210" customWidth="1"/>
    <col min="8688" max="8688" width="7.75" style="210" customWidth="1"/>
    <col min="8689" max="8689" width="9.875" style="210" customWidth="1"/>
    <col min="8690" max="8690" width="10.625" style="210" customWidth="1"/>
    <col min="8691" max="8933" width="6.125" style="210"/>
    <col min="8934" max="8934" width="5" style="210" customWidth="1"/>
    <col min="8935" max="8935" width="8.875" style="210" customWidth="1"/>
    <col min="8936" max="8936" width="5" style="210" customWidth="1"/>
    <col min="8937" max="8937" width="8.25" style="210" bestFit="1" customWidth="1"/>
    <col min="8938" max="8938" width="16.125" style="210" customWidth="1"/>
    <col min="8939" max="8939" width="86" style="210" customWidth="1"/>
    <col min="8940" max="8940" width="5" style="210" customWidth="1"/>
    <col min="8941" max="8941" width="11.125" style="210" bestFit="1" customWidth="1"/>
    <col min="8942" max="8942" width="10.375" style="210" customWidth="1"/>
    <col min="8943" max="8943" width="10.875" style="210" customWidth="1"/>
    <col min="8944" max="8944" width="7.75" style="210" customWidth="1"/>
    <col min="8945" max="8945" width="9.875" style="210" customWidth="1"/>
    <col min="8946" max="8946" width="10.625" style="210" customWidth="1"/>
    <col min="8947" max="9189" width="6.125" style="210"/>
    <col min="9190" max="9190" width="5" style="210" customWidth="1"/>
    <col min="9191" max="9191" width="8.875" style="210" customWidth="1"/>
    <col min="9192" max="9192" width="5" style="210" customWidth="1"/>
    <col min="9193" max="9193" width="8.25" style="210" bestFit="1" customWidth="1"/>
    <col min="9194" max="9194" width="16.125" style="210" customWidth="1"/>
    <col min="9195" max="9195" width="86" style="210" customWidth="1"/>
    <col min="9196" max="9196" width="5" style="210" customWidth="1"/>
    <col min="9197" max="9197" width="11.125" style="210" bestFit="1" customWidth="1"/>
    <col min="9198" max="9198" width="10.375" style="210" customWidth="1"/>
    <col min="9199" max="9199" width="10.875" style="210" customWidth="1"/>
    <col min="9200" max="9200" width="7.75" style="210" customWidth="1"/>
    <col min="9201" max="9201" width="9.875" style="210" customWidth="1"/>
    <col min="9202" max="9202" width="10.625" style="210" customWidth="1"/>
    <col min="9203" max="9445" width="6.125" style="210"/>
    <col min="9446" max="9446" width="5" style="210" customWidth="1"/>
    <col min="9447" max="9447" width="8.875" style="210" customWidth="1"/>
    <col min="9448" max="9448" width="5" style="210" customWidth="1"/>
    <col min="9449" max="9449" width="8.25" style="210" bestFit="1" customWidth="1"/>
    <col min="9450" max="9450" width="16.125" style="210" customWidth="1"/>
    <col min="9451" max="9451" width="86" style="210" customWidth="1"/>
    <col min="9452" max="9452" width="5" style="210" customWidth="1"/>
    <col min="9453" max="9453" width="11.125" style="210" bestFit="1" customWidth="1"/>
    <col min="9454" max="9454" width="10.375" style="210" customWidth="1"/>
    <col min="9455" max="9455" width="10.875" style="210" customWidth="1"/>
    <col min="9456" max="9456" width="7.75" style="210" customWidth="1"/>
    <col min="9457" max="9457" width="9.875" style="210" customWidth="1"/>
    <col min="9458" max="9458" width="10.625" style="210" customWidth="1"/>
    <col min="9459" max="9701" width="6.125" style="210"/>
    <col min="9702" max="9702" width="5" style="210" customWidth="1"/>
    <col min="9703" max="9703" width="8.875" style="210" customWidth="1"/>
    <col min="9704" max="9704" width="5" style="210" customWidth="1"/>
    <col min="9705" max="9705" width="8.25" style="210" bestFit="1" customWidth="1"/>
    <col min="9706" max="9706" width="16.125" style="210" customWidth="1"/>
    <col min="9707" max="9707" width="86" style="210" customWidth="1"/>
    <col min="9708" max="9708" width="5" style="210" customWidth="1"/>
    <col min="9709" max="9709" width="11.125" style="210" bestFit="1" customWidth="1"/>
    <col min="9710" max="9710" width="10.375" style="210" customWidth="1"/>
    <col min="9711" max="9711" width="10.875" style="210" customWidth="1"/>
    <col min="9712" max="9712" width="7.75" style="210" customWidth="1"/>
    <col min="9713" max="9713" width="9.875" style="210" customWidth="1"/>
    <col min="9714" max="9714" width="10.625" style="210" customWidth="1"/>
    <col min="9715" max="9957" width="6.125" style="210"/>
    <col min="9958" max="9958" width="5" style="210" customWidth="1"/>
    <col min="9959" max="9959" width="8.875" style="210" customWidth="1"/>
    <col min="9960" max="9960" width="5" style="210" customWidth="1"/>
    <col min="9961" max="9961" width="8.25" style="210" bestFit="1" customWidth="1"/>
    <col min="9962" max="9962" width="16.125" style="210" customWidth="1"/>
    <col min="9963" max="9963" width="86" style="210" customWidth="1"/>
    <col min="9964" max="9964" width="5" style="210" customWidth="1"/>
    <col min="9965" max="9965" width="11.125" style="210" bestFit="1" customWidth="1"/>
    <col min="9966" max="9966" width="10.375" style="210" customWidth="1"/>
    <col min="9967" max="9967" width="10.875" style="210" customWidth="1"/>
    <col min="9968" max="9968" width="7.75" style="210" customWidth="1"/>
    <col min="9969" max="9969" width="9.875" style="210" customWidth="1"/>
    <col min="9970" max="9970" width="10.625" style="210" customWidth="1"/>
    <col min="9971" max="10213" width="6.125" style="210"/>
    <col min="10214" max="10214" width="5" style="210" customWidth="1"/>
    <col min="10215" max="10215" width="8.875" style="210" customWidth="1"/>
    <col min="10216" max="10216" width="5" style="210" customWidth="1"/>
    <col min="10217" max="10217" width="8.25" style="210" bestFit="1" customWidth="1"/>
    <col min="10218" max="10218" width="16.125" style="210" customWidth="1"/>
    <col min="10219" max="10219" width="86" style="210" customWidth="1"/>
    <col min="10220" max="10220" width="5" style="210" customWidth="1"/>
    <col min="10221" max="10221" width="11.125" style="210" bestFit="1" customWidth="1"/>
    <col min="10222" max="10222" width="10.375" style="210" customWidth="1"/>
    <col min="10223" max="10223" width="10.875" style="210" customWidth="1"/>
    <col min="10224" max="10224" width="7.75" style="210" customWidth="1"/>
    <col min="10225" max="10225" width="9.875" style="210" customWidth="1"/>
    <col min="10226" max="10226" width="10.625" style="210" customWidth="1"/>
    <col min="10227" max="10469" width="6.125" style="210"/>
    <col min="10470" max="10470" width="5" style="210" customWidth="1"/>
    <col min="10471" max="10471" width="8.875" style="210" customWidth="1"/>
    <col min="10472" max="10472" width="5" style="210" customWidth="1"/>
    <col min="10473" max="10473" width="8.25" style="210" bestFit="1" customWidth="1"/>
    <col min="10474" max="10474" width="16.125" style="210" customWidth="1"/>
    <col min="10475" max="10475" width="86" style="210" customWidth="1"/>
    <col min="10476" max="10476" width="5" style="210" customWidth="1"/>
    <col min="10477" max="10477" width="11.125" style="210" bestFit="1" customWidth="1"/>
    <col min="10478" max="10478" width="10.375" style="210" customWidth="1"/>
    <col min="10479" max="10479" width="10.875" style="210" customWidth="1"/>
    <col min="10480" max="10480" width="7.75" style="210" customWidth="1"/>
    <col min="10481" max="10481" width="9.875" style="210" customWidth="1"/>
    <col min="10482" max="10482" width="10.625" style="210" customWidth="1"/>
    <col min="10483" max="10725" width="6.125" style="210"/>
    <col min="10726" max="10726" width="5" style="210" customWidth="1"/>
    <col min="10727" max="10727" width="8.875" style="210" customWidth="1"/>
    <col min="10728" max="10728" width="5" style="210" customWidth="1"/>
    <col min="10729" max="10729" width="8.25" style="210" bestFit="1" customWidth="1"/>
    <col min="10730" max="10730" width="16.125" style="210" customWidth="1"/>
    <col min="10731" max="10731" width="86" style="210" customWidth="1"/>
    <col min="10732" max="10732" width="5" style="210" customWidth="1"/>
    <col min="10733" max="10733" width="11.125" style="210" bestFit="1" customWidth="1"/>
    <col min="10734" max="10734" width="10.375" style="210" customWidth="1"/>
    <col min="10735" max="10735" width="10.875" style="210" customWidth="1"/>
    <col min="10736" max="10736" width="7.75" style="210" customWidth="1"/>
    <col min="10737" max="10737" width="9.875" style="210" customWidth="1"/>
    <col min="10738" max="10738" width="10.625" style="210" customWidth="1"/>
    <col min="10739" max="10981" width="6.125" style="210"/>
    <col min="10982" max="10982" width="5" style="210" customWidth="1"/>
    <col min="10983" max="10983" width="8.875" style="210" customWidth="1"/>
    <col min="10984" max="10984" width="5" style="210" customWidth="1"/>
    <col min="10985" max="10985" width="8.25" style="210" bestFit="1" customWidth="1"/>
    <col min="10986" max="10986" width="16.125" style="210" customWidth="1"/>
    <col min="10987" max="10987" width="86" style="210" customWidth="1"/>
    <col min="10988" max="10988" width="5" style="210" customWidth="1"/>
    <col min="10989" max="10989" width="11.125" style="210" bestFit="1" customWidth="1"/>
    <col min="10990" max="10990" width="10.375" style="210" customWidth="1"/>
    <col min="10991" max="10991" width="10.875" style="210" customWidth="1"/>
    <col min="10992" max="10992" width="7.75" style="210" customWidth="1"/>
    <col min="10993" max="10993" width="9.875" style="210" customWidth="1"/>
    <col min="10994" max="10994" width="10.625" style="210" customWidth="1"/>
    <col min="10995" max="11237" width="6.125" style="210"/>
    <col min="11238" max="11238" width="5" style="210" customWidth="1"/>
    <col min="11239" max="11239" width="8.875" style="210" customWidth="1"/>
    <col min="11240" max="11240" width="5" style="210" customWidth="1"/>
    <col min="11241" max="11241" width="8.25" style="210" bestFit="1" customWidth="1"/>
    <col min="11242" max="11242" width="16.125" style="210" customWidth="1"/>
    <col min="11243" max="11243" width="86" style="210" customWidth="1"/>
    <col min="11244" max="11244" width="5" style="210" customWidth="1"/>
    <col min="11245" max="11245" width="11.125" style="210" bestFit="1" customWidth="1"/>
    <col min="11246" max="11246" width="10.375" style="210" customWidth="1"/>
    <col min="11247" max="11247" width="10.875" style="210" customWidth="1"/>
    <col min="11248" max="11248" width="7.75" style="210" customWidth="1"/>
    <col min="11249" max="11249" width="9.875" style="210" customWidth="1"/>
    <col min="11250" max="11250" width="10.625" style="210" customWidth="1"/>
    <col min="11251" max="11493" width="6.125" style="210"/>
    <col min="11494" max="11494" width="5" style="210" customWidth="1"/>
    <col min="11495" max="11495" width="8.875" style="210" customWidth="1"/>
    <col min="11496" max="11496" width="5" style="210" customWidth="1"/>
    <col min="11497" max="11497" width="8.25" style="210" bestFit="1" customWidth="1"/>
    <col min="11498" max="11498" width="16.125" style="210" customWidth="1"/>
    <col min="11499" max="11499" width="86" style="210" customWidth="1"/>
    <col min="11500" max="11500" width="5" style="210" customWidth="1"/>
    <col min="11501" max="11501" width="11.125" style="210" bestFit="1" customWidth="1"/>
    <col min="11502" max="11502" width="10.375" style="210" customWidth="1"/>
    <col min="11503" max="11503" width="10.875" style="210" customWidth="1"/>
    <col min="11504" max="11504" width="7.75" style="210" customWidth="1"/>
    <col min="11505" max="11505" width="9.875" style="210" customWidth="1"/>
    <col min="11506" max="11506" width="10.625" style="210" customWidth="1"/>
    <col min="11507" max="11749" width="6.125" style="210"/>
    <col min="11750" max="11750" width="5" style="210" customWidth="1"/>
    <col min="11751" max="11751" width="8.875" style="210" customWidth="1"/>
    <col min="11752" max="11752" width="5" style="210" customWidth="1"/>
    <col min="11753" max="11753" width="8.25" style="210" bestFit="1" customWidth="1"/>
    <col min="11754" max="11754" width="16.125" style="210" customWidth="1"/>
    <col min="11755" max="11755" width="86" style="210" customWidth="1"/>
    <col min="11756" max="11756" width="5" style="210" customWidth="1"/>
    <col min="11757" max="11757" width="11.125" style="210" bestFit="1" customWidth="1"/>
    <col min="11758" max="11758" width="10.375" style="210" customWidth="1"/>
    <col min="11759" max="11759" width="10.875" style="210" customWidth="1"/>
    <col min="11760" max="11760" width="7.75" style="210" customWidth="1"/>
    <col min="11761" max="11761" width="9.875" style="210" customWidth="1"/>
    <col min="11762" max="11762" width="10.625" style="210" customWidth="1"/>
    <col min="11763" max="12005" width="6.125" style="210"/>
    <col min="12006" max="12006" width="5" style="210" customWidth="1"/>
    <col min="12007" max="12007" width="8.875" style="210" customWidth="1"/>
    <col min="12008" max="12008" width="5" style="210" customWidth="1"/>
    <col min="12009" max="12009" width="8.25" style="210" bestFit="1" customWidth="1"/>
    <col min="12010" max="12010" width="16.125" style="210" customWidth="1"/>
    <col min="12011" max="12011" width="86" style="210" customWidth="1"/>
    <col min="12012" max="12012" width="5" style="210" customWidth="1"/>
    <col min="12013" max="12013" width="11.125" style="210" bestFit="1" customWidth="1"/>
    <col min="12014" max="12014" width="10.375" style="210" customWidth="1"/>
    <col min="12015" max="12015" width="10.875" style="210" customWidth="1"/>
    <col min="12016" max="12016" width="7.75" style="210" customWidth="1"/>
    <col min="12017" max="12017" width="9.875" style="210" customWidth="1"/>
    <col min="12018" max="12018" width="10.625" style="210" customWidth="1"/>
    <col min="12019" max="12261" width="6.125" style="210"/>
    <col min="12262" max="12262" width="5" style="210" customWidth="1"/>
    <col min="12263" max="12263" width="8.875" style="210" customWidth="1"/>
    <col min="12264" max="12264" width="5" style="210" customWidth="1"/>
    <col min="12265" max="12265" width="8.25" style="210" bestFit="1" customWidth="1"/>
    <col min="12266" max="12266" width="16.125" style="210" customWidth="1"/>
    <col min="12267" max="12267" width="86" style="210" customWidth="1"/>
    <col min="12268" max="12268" width="5" style="210" customWidth="1"/>
    <col min="12269" max="12269" width="11.125" style="210" bestFit="1" customWidth="1"/>
    <col min="12270" max="12270" width="10.375" style="210" customWidth="1"/>
    <col min="12271" max="12271" width="10.875" style="210" customWidth="1"/>
    <col min="12272" max="12272" width="7.75" style="210" customWidth="1"/>
    <col min="12273" max="12273" width="9.875" style="210" customWidth="1"/>
    <col min="12274" max="12274" width="10.625" style="210" customWidth="1"/>
    <col min="12275" max="12517" width="6.125" style="210"/>
    <col min="12518" max="12518" width="5" style="210" customWidth="1"/>
    <col min="12519" max="12519" width="8.875" style="210" customWidth="1"/>
    <col min="12520" max="12520" width="5" style="210" customWidth="1"/>
    <col min="12521" max="12521" width="8.25" style="210" bestFit="1" customWidth="1"/>
    <col min="12522" max="12522" width="16.125" style="210" customWidth="1"/>
    <col min="12523" max="12523" width="86" style="210" customWidth="1"/>
    <col min="12524" max="12524" width="5" style="210" customWidth="1"/>
    <col min="12525" max="12525" width="11.125" style="210" bestFit="1" customWidth="1"/>
    <col min="12526" max="12526" width="10.375" style="210" customWidth="1"/>
    <col min="12527" max="12527" width="10.875" style="210" customWidth="1"/>
    <col min="12528" max="12528" width="7.75" style="210" customWidth="1"/>
    <col min="12529" max="12529" width="9.875" style="210" customWidth="1"/>
    <col min="12530" max="12530" width="10.625" style="210" customWidth="1"/>
    <col min="12531" max="12773" width="6.125" style="210"/>
    <col min="12774" max="12774" width="5" style="210" customWidth="1"/>
    <col min="12775" max="12775" width="8.875" style="210" customWidth="1"/>
    <col min="12776" max="12776" width="5" style="210" customWidth="1"/>
    <col min="12777" max="12777" width="8.25" style="210" bestFit="1" customWidth="1"/>
    <col min="12778" max="12778" width="16.125" style="210" customWidth="1"/>
    <col min="12779" max="12779" width="86" style="210" customWidth="1"/>
    <col min="12780" max="12780" width="5" style="210" customWidth="1"/>
    <col min="12781" max="12781" width="11.125" style="210" bestFit="1" customWidth="1"/>
    <col min="12782" max="12782" width="10.375" style="210" customWidth="1"/>
    <col min="12783" max="12783" width="10.875" style="210" customWidth="1"/>
    <col min="12784" max="12784" width="7.75" style="210" customWidth="1"/>
    <col min="12785" max="12785" width="9.875" style="210" customWidth="1"/>
    <col min="12786" max="12786" width="10.625" style="210" customWidth="1"/>
    <col min="12787" max="13029" width="6.125" style="210"/>
    <col min="13030" max="13030" width="5" style="210" customWidth="1"/>
    <col min="13031" max="13031" width="8.875" style="210" customWidth="1"/>
    <col min="13032" max="13032" width="5" style="210" customWidth="1"/>
    <col min="13033" max="13033" width="8.25" style="210" bestFit="1" customWidth="1"/>
    <col min="13034" max="13034" width="16.125" style="210" customWidth="1"/>
    <col min="13035" max="13035" width="86" style="210" customWidth="1"/>
    <col min="13036" max="13036" width="5" style="210" customWidth="1"/>
    <col min="13037" max="13037" width="11.125" style="210" bestFit="1" customWidth="1"/>
    <col min="13038" max="13038" width="10.375" style="210" customWidth="1"/>
    <col min="13039" max="13039" width="10.875" style="210" customWidth="1"/>
    <col min="13040" max="13040" width="7.75" style="210" customWidth="1"/>
    <col min="13041" max="13041" width="9.875" style="210" customWidth="1"/>
    <col min="13042" max="13042" width="10.625" style="210" customWidth="1"/>
    <col min="13043" max="13285" width="6.125" style="210"/>
    <col min="13286" max="13286" width="5" style="210" customWidth="1"/>
    <col min="13287" max="13287" width="8.875" style="210" customWidth="1"/>
    <col min="13288" max="13288" width="5" style="210" customWidth="1"/>
    <col min="13289" max="13289" width="8.25" style="210" bestFit="1" customWidth="1"/>
    <col min="13290" max="13290" width="16.125" style="210" customWidth="1"/>
    <col min="13291" max="13291" width="86" style="210" customWidth="1"/>
    <col min="13292" max="13292" width="5" style="210" customWidth="1"/>
    <col min="13293" max="13293" width="11.125" style="210" bestFit="1" customWidth="1"/>
    <col min="13294" max="13294" width="10.375" style="210" customWidth="1"/>
    <col min="13295" max="13295" width="10.875" style="210" customWidth="1"/>
    <col min="13296" max="13296" width="7.75" style="210" customWidth="1"/>
    <col min="13297" max="13297" width="9.875" style="210" customWidth="1"/>
    <col min="13298" max="13298" width="10.625" style="210" customWidth="1"/>
    <col min="13299" max="13541" width="6.125" style="210"/>
    <col min="13542" max="13542" width="5" style="210" customWidth="1"/>
    <col min="13543" max="13543" width="8.875" style="210" customWidth="1"/>
    <col min="13544" max="13544" width="5" style="210" customWidth="1"/>
    <col min="13545" max="13545" width="8.25" style="210" bestFit="1" customWidth="1"/>
    <col min="13546" max="13546" width="16.125" style="210" customWidth="1"/>
    <col min="13547" max="13547" width="86" style="210" customWidth="1"/>
    <col min="13548" max="13548" width="5" style="210" customWidth="1"/>
    <col min="13549" max="13549" width="11.125" style="210" bestFit="1" customWidth="1"/>
    <col min="13550" max="13550" width="10.375" style="210" customWidth="1"/>
    <col min="13551" max="13551" width="10.875" style="210" customWidth="1"/>
    <col min="13552" max="13552" width="7.75" style="210" customWidth="1"/>
    <col min="13553" max="13553" width="9.875" style="210" customWidth="1"/>
    <col min="13554" max="13554" width="10.625" style="210" customWidth="1"/>
    <col min="13555" max="13797" width="6.125" style="210"/>
    <col min="13798" max="13798" width="5" style="210" customWidth="1"/>
    <col min="13799" max="13799" width="8.875" style="210" customWidth="1"/>
    <col min="13800" max="13800" width="5" style="210" customWidth="1"/>
    <col min="13801" max="13801" width="8.25" style="210" bestFit="1" customWidth="1"/>
    <col min="13802" max="13802" width="16.125" style="210" customWidth="1"/>
    <col min="13803" max="13803" width="86" style="210" customWidth="1"/>
    <col min="13804" max="13804" width="5" style="210" customWidth="1"/>
    <col min="13805" max="13805" width="11.125" style="210" bestFit="1" customWidth="1"/>
    <col min="13806" max="13806" width="10.375" style="210" customWidth="1"/>
    <col min="13807" max="13807" width="10.875" style="210" customWidth="1"/>
    <col min="13808" max="13808" width="7.75" style="210" customWidth="1"/>
    <col min="13809" max="13809" width="9.875" style="210" customWidth="1"/>
    <col min="13810" max="13810" width="10.625" style="210" customWidth="1"/>
    <col min="13811" max="14053" width="6.125" style="210"/>
    <col min="14054" max="14054" width="5" style="210" customWidth="1"/>
    <col min="14055" max="14055" width="8.875" style="210" customWidth="1"/>
    <col min="14056" max="14056" width="5" style="210" customWidth="1"/>
    <col min="14057" max="14057" width="8.25" style="210" bestFit="1" customWidth="1"/>
    <col min="14058" max="14058" width="16.125" style="210" customWidth="1"/>
    <col min="14059" max="14059" width="86" style="210" customWidth="1"/>
    <col min="14060" max="14060" width="5" style="210" customWidth="1"/>
    <col min="14061" max="14061" width="11.125" style="210" bestFit="1" customWidth="1"/>
    <col min="14062" max="14062" width="10.375" style="210" customWidth="1"/>
    <col min="14063" max="14063" width="10.875" style="210" customWidth="1"/>
    <col min="14064" max="14064" width="7.75" style="210" customWidth="1"/>
    <col min="14065" max="14065" width="9.875" style="210" customWidth="1"/>
    <col min="14066" max="14066" width="10.625" style="210" customWidth="1"/>
    <col min="14067" max="14309" width="6.125" style="210"/>
    <col min="14310" max="14310" width="5" style="210" customWidth="1"/>
    <col min="14311" max="14311" width="8.875" style="210" customWidth="1"/>
    <col min="14312" max="14312" width="5" style="210" customWidth="1"/>
    <col min="14313" max="14313" width="8.25" style="210" bestFit="1" customWidth="1"/>
    <col min="14314" max="14314" width="16.125" style="210" customWidth="1"/>
    <col min="14315" max="14315" width="86" style="210" customWidth="1"/>
    <col min="14316" max="14316" width="5" style="210" customWidth="1"/>
    <col min="14317" max="14317" width="11.125" style="210" bestFit="1" customWidth="1"/>
    <col min="14318" max="14318" width="10.375" style="210" customWidth="1"/>
    <col min="14319" max="14319" width="10.875" style="210" customWidth="1"/>
    <col min="14320" max="14320" width="7.75" style="210" customWidth="1"/>
    <col min="14321" max="14321" width="9.875" style="210" customWidth="1"/>
    <col min="14322" max="14322" width="10.625" style="210" customWidth="1"/>
    <col min="14323" max="14565" width="6.125" style="210"/>
    <col min="14566" max="14566" width="5" style="210" customWidth="1"/>
    <col min="14567" max="14567" width="8.875" style="210" customWidth="1"/>
    <col min="14568" max="14568" width="5" style="210" customWidth="1"/>
    <col min="14569" max="14569" width="8.25" style="210" bestFit="1" customWidth="1"/>
    <col min="14570" max="14570" width="16.125" style="210" customWidth="1"/>
    <col min="14571" max="14571" width="86" style="210" customWidth="1"/>
    <col min="14572" max="14572" width="5" style="210" customWidth="1"/>
    <col min="14573" max="14573" width="11.125" style="210" bestFit="1" customWidth="1"/>
    <col min="14574" max="14574" width="10.375" style="210" customWidth="1"/>
    <col min="14575" max="14575" width="10.875" style="210" customWidth="1"/>
    <col min="14576" max="14576" width="7.75" style="210" customWidth="1"/>
    <col min="14577" max="14577" width="9.875" style="210" customWidth="1"/>
    <col min="14578" max="14578" width="10.625" style="210" customWidth="1"/>
    <col min="14579" max="14821" width="6.125" style="210"/>
    <col min="14822" max="14822" width="5" style="210" customWidth="1"/>
    <col min="14823" max="14823" width="8.875" style="210" customWidth="1"/>
    <col min="14824" max="14824" width="5" style="210" customWidth="1"/>
    <col min="14825" max="14825" width="8.25" style="210" bestFit="1" customWidth="1"/>
    <col min="14826" max="14826" width="16.125" style="210" customWidth="1"/>
    <col min="14827" max="14827" width="86" style="210" customWidth="1"/>
    <col min="14828" max="14828" width="5" style="210" customWidth="1"/>
    <col min="14829" max="14829" width="11.125" style="210" bestFit="1" customWidth="1"/>
    <col min="14830" max="14830" width="10.375" style="210" customWidth="1"/>
    <col min="14831" max="14831" width="10.875" style="210" customWidth="1"/>
    <col min="14832" max="14832" width="7.75" style="210" customWidth="1"/>
    <col min="14833" max="14833" width="9.875" style="210" customWidth="1"/>
    <col min="14834" max="14834" width="10.625" style="210" customWidth="1"/>
    <col min="14835" max="15077" width="6.125" style="210"/>
    <col min="15078" max="15078" width="5" style="210" customWidth="1"/>
    <col min="15079" max="15079" width="8.875" style="210" customWidth="1"/>
    <col min="15080" max="15080" width="5" style="210" customWidth="1"/>
    <col min="15081" max="15081" width="8.25" style="210" bestFit="1" customWidth="1"/>
    <col min="15082" max="15082" width="16.125" style="210" customWidth="1"/>
    <col min="15083" max="15083" width="86" style="210" customWidth="1"/>
    <col min="15084" max="15084" width="5" style="210" customWidth="1"/>
    <col min="15085" max="15085" width="11.125" style="210" bestFit="1" customWidth="1"/>
    <col min="15086" max="15086" width="10.375" style="210" customWidth="1"/>
    <col min="15087" max="15087" width="10.875" style="210" customWidth="1"/>
    <col min="15088" max="15088" width="7.75" style="210" customWidth="1"/>
    <col min="15089" max="15089" width="9.875" style="210" customWidth="1"/>
    <col min="15090" max="15090" width="10.625" style="210" customWidth="1"/>
    <col min="15091" max="15333" width="6.125" style="210"/>
    <col min="15334" max="15334" width="5" style="210" customWidth="1"/>
    <col min="15335" max="15335" width="8.875" style="210" customWidth="1"/>
    <col min="15336" max="15336" width="5" style="210" customWidth="1"/>
    <col min="15337" max="15337" width="8.25" style="210" bestFit="1" customWidth="1"/>
    <col min="15338" max="15338" width="16.125" style="210" customWidth="1"/>
    <col min="15339" max="15339" width="86" style="210" customWidth="1"/>
    <col min="15340" max="15340" width="5" style="210" customWidth="1"/>
    <col min="15341" max="15341" width="11.125" style="210" bestFit="1" customWidth="1"/>
    <col min="15342" max="15342" width="10.375" style="210" customWidth="1"/>
    <col min="15343" max="15343" width="10.875" style="210" customWidth="1"/>
    <col min="15344" max="15344" width="7.75" style="210" customWidth="1"/>
    <col min="15345" max="15345" width="9.875" style="210" customWidth="1"/>
    <col min="15346" max="15346" width="10.625" style="210" customWidth="1"/>
    <col min="15347" max="15589" width="6.125" style="210"/>
    <col min="15590" max="15590" width="5" style="210" customWidth="1"/>
    <col min="15591" max="15591" width="8.875" style="210" customWidth="1"/>
    <col min="15592" max="15592" width="5" style="210" customWidth="1"/>
    <col min="15593" max="15593" width="8.25" style="210" bestFit="1" customWidth="1"/>
    <col min="15594" max="15594" width="16.125" style="210" customWidth="1"/>
    <col min="15595" max="15595" width="86" style="210" customWidth="1"/>
    <col min="15596" max="15596" width="5" style="210" customWidth="1"/>
    <col min="15597" max="15597" width="11.125" style="210" bestFit="1" customWidth="1"/>
    <col min="15598" max="15598" width="10.375" style="210" customWidth="1"/>
    <col min="15599" max="15599" width="10.875" style="210" customWidth="1"/>
    <col min="15600" max="15600" width="7.75" style="210" customWidth="1"/>
    <col min="15601" max="15601" width="9.875" style="210" customWidth="1"/>
    <col min="15602" max="15602" width="10.625" style="210" customWidth="1"/>
    <col min="15603" max="15845" width="6.125" style="210"/>
    <col min="15846" max="15846" width="5" style="210" customWidth="1"/>
    <col min="15847" max="15847" width="8.875" style="210" customWidth="1"/>
    <col min="15848" max="15848" width="5" style="210" customWidth="1"/>
    <col min="15849" max="15849" width="8.25" style="210" bestFit="1" customWidth="1"/>
    <col min="15850" max="15850" width="16.125" style="210" customWidth="1"/>
    <col min="15851" max="15851" width="86" style="210" customWidth="1"/>
    <col min="15852" max="15852" width="5" style="210" customWidth="1"/>
    <col min="15853" max="15853" width="11.125" style="210" bestFit="1" customWidth="1"/>
    <col min="15854" max="15854" width="10.375" style="210" customWidth="1"/>
    <col min="15855" max="15855" width="10.875" style="210" customWidth="1"/>
    <col min="15856" max="15856" width="7.75" style="210" customWidth="1"/>
    <col min="15857" max="15857" width="9.875" style="210" customWidth="1"/>
    <col min="15858" max="15858" width="10.625" style="210" customWidth="1"/>
    <col min="15859" max="16101" width="6.125" style="210"/>
    <col min="16102" max="16102" width="5" style="210" customWidth="1"/>
    <col min="16103" max="16103" width="8.875" style="210" customWidth="1"/>
    <col min="16104" max="16104" width="5" style="210" customWidth="1"/>
    <col min="16105" max="16105" width="8.25" style="210" bestFit="1" customWidth="1"/>
    <col min="16106" max="16106" width="16.125" style="210" customWidth="1"/>
    <col min="16107" max="16107" width="86" style="210" customWidth="1"/>
    <col min="16108" max="16108" width="5" style="210" customWidth="1"/>
    <col min="16109" max="16109" width="11.125" style="210" bestFit="1" customWidth="1"/>
    <col min="16110" max="16110" width="10.375" style="210" customWidth="1"/>
    <col min="16111" max="16111" width="10.875" style="210" customWidth="1"/>
    <col min="16112" max="16112" width="7.75" style="210" customWidth="1"/>
    <col min="16113" max="16113" width="9.875" style="210" customWidth="1"/>
    <col min="16114" max="16114" width="10.625" style="210" customWidth="1"/>
    <col min="16115" max="16384" width="6.125" style="210"/>
  </cols>
  <sheetData>
    <row r="1" spans="1:11">
      <c r="A1" s="205"/>
      <c r="B1" s="429"/>
      <c r="C1" s="429"/>
      <c r="D1" s="429"/>
      <c r="E1" s="429"/>
      <c r="F1" s="430" t="s">
        <v>543</v>
      </c>
      <c r="G1" s="429"/>
      <c r="H1" s="429"/>
      <c r="I1" s="429"/>
      <c r="J1" s="429"/>
      <c r="K1" s="208"/>
    </row>
    <row r="2" spans="1:11">
      <c r="A2" s="205"/>
      <c r="B2" s="205"/>
      <c r="C2" s="205"/>
      <c r="D2" s="205"/>
      <c r="E2" s="205"/>
      <c r="F2" s="211"/>
      <c r="G2" s="205"/>
      <c r="H2" s="205"/>
      <c r="I2" s="205"/>
      <c r="J2" s="205"/>
      <c r="K2" s="208"/>
    </row>
    <row r="3" spans="1:11" ht="26.25" customHeight="1">
      <c r="A3" s="205"/>
      <c r="B3" s="205"/>
      <c r="C3" s="205"/>
      <c r="D3" s="205"/>
      <c r="E3" s="205"/>
      <c r="F3" s="211"/>
      <c r="G3" s="205"/>
      <c r="H3" s="205"/>
      <c r="I3" s="205"/>
      <c r="J3" s="640"/>
      <c r="K3" s="640"/>
    </row>
    <row r="4" spans="1:11" s="217" customFormat="1" ht="51">
      <c r="A4" s="212" t="s">
        <v>20</v>
      </c>
      <c r="B4" s="431" t="s">
        <v>0</v>
      </c>
      <c r="C4" s="431" t="s">
        <v>1</v>
      </c>
      <c r="D4" s="431" t="s">
        <v>2</v>
      </c>
      <c r="E4" s="431" t="s">
        <v>3</v>
      </c>
      <c r="F4" s="214" t="s">
        <v>291</v>
      </c>
      <c r="G4" s="215" t="s">
        <v>22</v>
      </c>
      <c r="H4" s="431" t="s">
        <v>741</v>
      </c>
      <c r="I4" s="431" t="s">
        <v>294</v>
      </c>
      <c r="J4" s="431" t="s">
        <v>23</v>
      </c>
      <c r="K4" s="216" t="s">
        <v>5</v>
      </c>
    </row>
    <row r="5" spans="1:11">
      <c r="A5" s="218"/>
      <c r="B5" s="205"/>
      <c r="C5" s="205"/>
      <c r="D5" s="205"/>
      <c r="E5" s="205"/>
      <c r="F5" s="214"/>
      <c r="G5" s="215"/>
      <c r="H5" s="432"/>
      <c r="I5" s="432"/>
      <c r="J5" s="433"/>
      <c r="K5" s="208"/>
    </row>
    <row r="6" spans="1:11" ht="25.5">
      <c r="A6" s="218">
        <v>1.1000000000000001</v>
      </c>
      <c r="B6" s="205"/>
      <c r="C6" s="205"/>
      <c r="D6" s="429" t="s">
        <v>6</v>
      </c>
      <c r="E6" s="205" t="s">
        <v>742</v>
      </c>
      <c r="F6" s="214" t="s">
        <v>899</v>
      </c>
      <c r="G6" s="205" t="s">
        <v>25</v>
      </c>
      <c r="H6" s="434">
        <v>110</v>
      </c>
      <c r="I6" s="434">
        <f>SUM(H6:H6)</f>
        <v>110</v>
      </c>
      <c r="J6" s="434">
        <v>16440</v>
      </c>
      <c r="K6" s="208">
        <f>SUM(I6*J6)</f>
        <v>1808400</v>
      </c>
    </row>
    <row r="7" spans="1:11" ht="408.75" customHeight="1" thickBot="1">
      <c r="A7" s="218"/>
      <c r="B7" s="205"/>
      <c r="C7" s="205"/>
      <c r="D7" s="205"/>
      <c r="E7" s="205"/>
      <c r="F7" s="435" t="s">
        <v>743</v>
      </c>
      <c r="G7" s="205"/>
      <c r="H7" s="434"/>
      <c r="I7" s="434"/>
      <c r="J7" s="434"/>
      <c r="K7" s="208"/>
    </row>
    <row r="8" spans="1:11">
      <c r="A8" s="218"/>
      <c r="B8" s="205"/>
      <c r="C8" s="205"/>
      <c r="D8" s="205"/>
      <c r="E8" s="205"/>
      <c r="F8" s="211"/>
      <c r="G8" s="205"/>
      <c r="H8" s="434"/>
      <c r="I8" s="434"/>
      <c r="J8" s="434"/>
      <c r="K8" s="208"/>
    </row>
    <row r="9" spans="1:11">
      <c r="A9" s="212"/>
      <c r="B9" s="215"/>
      <c r="C9" s="215"/>
      <c r="D9" s="215"/>
      <c r="E9" s="215"/>
      <c r="F9" s="214" t="s">
        <v>300</v>
      </c>
      <c r="G9" s="215"/>
      <c r="H9" s="432"/>
      <c r="I9" s="432"/>
      <c r="J9" s="432"/>
      <c r="K9" s="216"/>
    </row>
    <row r="10" spans="1:11">
      <c r="A10" s="218"/>
      <c r="B10" s="205"/>
      <c r="C10" s="205"/>
      <c r="D10" s="205"/>
      <c r="E10" s="205"/>
      <c r="F10" s="214"/>
      <c r="G10" s="205"/>
      <c r="H10" s="434"/>
      <c r="I10" s="434"/>
      <c r="J10" s="434"/>
      <c r="K10" s="208"/>
    </row>
    <row r="11" spans="1:11" ht="25.5">
      <c r="A11" s="218">
        <v>1.2</v>
      </c>
      <c r="B11" s="205"/>
      <c r="C11" s="205"/>
      <c r="D11" s="429" t="s">
        <v>301</v>
      </c>
      <c r="E11" s="205" t="s">
        <v>302</v>
      </c>
      <c r="F11" s="214" t="s">
        <v>744</v>
      </c>
      <c r="G11" s="205" t="s">
        <v>126</v>
      </c>
      <c r="H11" s="434">
        <v>1</v>
      </c>
      <c r="I11" s="434">
        <f>SUM(H11:H11)</f>
        <v>1</v>
      </c>
      <c r="J11" s="434">
        <v>1417540</v>
      </c>
      <c r="K11" s="208">
        <f t="shared" ref="K11:K21" si="0">SUM(I11*J11)</f>
        <v>1417540</v>
      </c>
    </row>
    <row r="12" spans="1:11" ht="25.5">
      <c r="A12" s="218"/>
      <c r="B12" s="231"/>
      <c r="C12" s="231"/>
      <c r="D12" s="231"/>
      <c r="E12" s="205"/>
      <c r="F12" s="430" t="s">
        <v>745</v>
      </c>
      <c r="G12" s="205"/>
      <c r="H12" s="434"/>
      <c r="I12" s="434"/>
      <c r="J12" s="434"/>
      <c r="K12" s="208"/>
    </row>
    <row r="13" spans="1:11">
      <c r="A13" s="218"/>
      <c r="B13" s="231"/>
      <c r="C13" s="231"/>
      <c r="D13" s="231"/>
      <c r="E13" s="205"/>
      <c r="F13" s="430" t="s">
        <v>305</v>
      </c>
      <c r="G13" s="205"/>
      <c r="H13" s="434"/>
      <c r="I13" s="434"/>
      <c r="J13" s="434"/>
      <c r="K13" s="208"/>
    </row>
    <row r="14" spans="1:11" ht="140.25">
      <c r="A14" s="218"/>
      <c r="B14" s="231"/>
      <c r="C14" s="231"/>
      <c r="D14" s="231"/>
      <c r="E14" s="205"/>
      <c r="F14" s="436" t="s">
        <v>746</v>
      </c>
      <c r="G14" s="205"/>
      <c r="H14" s="434"/>
      <c r="I14" s="434"/>
      <c r="J14" s="434"/>
      <c r="K14" s="208"/>
    </row>
    <row r="15" spans="1:11">
      <c r="A15" s="218"/>
      <c r="B15" s="231"/>
      <c r="C15" s="231"/>
      <c r="D15" s="231"/>
      <c r="E15" s="205"/>
      <c r="F15" s="430" t="s">
        <v>306</v>
      </c>
      <c r="G15" s="205"/>
      <c r="H15" s="434"/>
      <c r="I15" s="434"/>
      <c r="J15" s="434"/>
      <c r="K15" s="208"/>
    </row>
    <row r="16" spans="1:11" ht="102">
      <c r="A16" s="218"/>
      <c r="B16" s="231"/>
      <c r="C16" s="231"/>
      <c r="D16" s="231"/>
      <c r="E16" s="205"/>
      <c r="F16" s="436" t="s">
        <v>747</v>
      </c>
      <c r="G16" s="205"/>
      <c r="H16" s="434"/>
      <c r="I16" s="434"/>
      <c r="J16" s="434"/>
      <c r="K16" s="208"/>
    </row>
    <row r="17" spans="1:11">
      <c r="A17" s="218"/>
      <c r="B17" s="231"/>
      <c r="C17" s="231"/>
      <c r="D17" s="231"/>
      <c r="E17" s="205"/>
      <c r="F17" s="430" t="s">
        <v>307</v>
      </c>
      <c r="G17" s="205"/>
      <c r="H17" s="434"/>
      <c r="I17" s="434"/>
      <c r="J17" s="434"/>
      <c r="K17" s="208"/>
    </row>
    <row r="18" spans="1:11" ht="102">
      <c r="A18" s="218"/>
      <c r="B18" s="231"/>
      <c r="C18" s="231"/>
      <c r="D18" s="231"/>
      <c r="E18" s="205"/>
      <c r="F18" s="436" t="s">
        <v>748</v>
      </c>
      <c r="G18" s="205"/>
      <c r="H18" s="434"/>
      <c r="I18" s="434"/>
      <c r="J18" s="434"/>
      <c r="K18" s="208"/>
    </row>
    <row r="19" spans="1:11">
      <c r="A19" s="218"/>
      <c r="B19" s="231"/>
      <c r="C19" s="231"/>
      <c r="D19" s="231"/>
      <c r="E19" s="205"/>
      <c r="F19" s="211"/>
      <c r="G19" s="205"/>
      <c r="H19" s="434"/>
      <c r="I19" s="434"/>
      <c r="J19" s="434"/>
      <c r="K19" s="208"/>
    </row>
    <row r="20" spans="1:11" ht="25.5">
      <c r="A20" s="218">
        <v>1.3</v>
      </c>
      <c r="B20" s="205"/>
      <c r="C20" s="205"/>
      <c r="D20" s="429" t="s">
        <v>301</v>
      </c>
      <c r="E20" s="205" t="s">
        <v>308</v>
      </c>
      <c r="F20" s="430" t="s">
        <v>749</v>
      </c>
      <c r="G20" s="205"/>
      <c r="H20" s="434"/>
      <c r="I20" s="434"/>
      <c r="J20" s="434"/>
      <c r="K20" s="208"/>
    </row>
    <row r="21" spans="1:11">
      <c r="A21" s="218"/>
      <c r="B21" s="231"/>
      <c r="C21" s="231"/>
      <c r="D21" s="231"/>
      <c r="E21" s="205"/>
      <c r="F21" s="430" t="s">
        <v>750</v>
      </c>
      <c r="G21" s="205" t="s">
        <v>126</v>
      </c>
      <c r="H21" s="434">
        <v>1</v>
      </c>
      <c r="I21" s="434">
        <f>SUM(H21:H21)</f>
        <v>1</v>
      </c>
      <c r="J21" s="434">
        <v>469780</v>
      </c>
      <c r="K21" s="208">
        <f t="shared" si="0"/>
        <v>469780</v>
      </c>
    </row>
    <row r="22" spans="1:11" s="235" customFormat="1" ht="114.75">
      <c r="A22" s="232"/>
      <c r="B22" s="233"/>
      <c r="C22" s="233"/>
      <c r="D22" s="233"/>
      <c r="E22" s="209"/>
      <c r="F22" s="436" t="s">
        <v>751</v>
      </c>
      <c r="G22" s="209"/>
      <c r="H22" s="437"/>
      <c r="I22" s="437"/>
      <c r="J22" s="437"/>
      <c r="K22" s="208"/>
    </row>
    <row r="23" spans="1:11">
      <c r="A23" s="218"/>
      <c r="B23" s="205"/>
      <c r="C23" s="205"/>
      <c r="D23" s="205"/>
      <c r="E23" s="205"/>
      <c r="F23" s="211"/>
      <c r="G23" s="205"/>
      <c r="H23" s="434"/>
      <c r="I23" s="434"/>
      <c r="J23" s="434"/>
      <c r="K23" s="208"/>
    </row>
    <row r="24" spans="1:11">
      <c r="A24" s="212" t="s">
        <v>16</v>
      </c>
      <c r="B24" s="236"/>
      <c r="C24" s="236"/>
      <c r="D24" s="236"/>
      <c r="E24" s="236"/>
      <c r="F24" s="214" t="s">
        <v>19</v>
      </c>
      <c r="G24" s="215"/>
      <c r="H24" s="432"/>
      <c r="I24" s="432"/>
      <c r="J24" s="432"/>
      <c r="K24" s="208"/>
    </row>
    <row r="25" spans="1:11">
      <c r="A25" s="218"/>
      <c r="B25" s="231"/>
      <c r="C25" s="231"/>
      <c r="D25" s="231"/>
      <c r="E25" s="231"/>
      <c r="F25" s="214"/>
      <c r="G25" s="205"/>
      <c r="H25" s="434"/>
      <c r="I25" s="434"/>
      <c r="J25" s="434"/>
      <c r="K25" s="208"/>
    </row>
    <row r="26" spans="1:11" ht="25.5">
      <c r="A26" s="218">
        <v>2.1</v>
      </c>
      <c r="B26" s="231"/>
      <c r="C26" s="231"/>
      <c r="D26" s="33" t="s">
        <v>232</v>
      </c>
      <c r="E26" s="231" t="s">
        <v>316</v>
      </c>
      <c r="F26" s="240" t="s">
        <v>752</v>
      </c>
      <c r="G26" s="205" t="s">
        <v>8</v>
      </c>
      <c r="H26" s="434">
        <v>15</v>
      </c>
      <c r="I26" s="434">
        <f>SUM(H26:H26)</f>
        <v>15</v>
      </c>
      <c r="J26" s="434">
        <v>59830</v>
      </c>
      <c r="K26" s="208">
        <f t="shared" ref="K26" si="1">SUM(I26*J26)</f>
        <v>897450</v>
      </c>
    </row>
    <row r="27" spans="1:11" ht="153" customHeight="1">
      <c r="A27" s="241"/>
      <c r="B27" s="231"/>
      <c r="C27" s="231"/>
      <c r="D27" s="231"/>
      <c r="E27" s="231"/>
      <c r="F27" s="242" t="s">
        <v>753</v>
      </c>
      <c r="G27" s="205"/>
      <c r="H27" s="434"/>
      <c r="I27" s="434"/>
      <c r="J27" s="434"/>
      <c r="K27" s="208"/>
    </row>
    <row r="28" spans="1:11">
      <c r="A28" s="218"/>
      <c r="B28" s="231"/>
      <c r="C28" s="231"/>
      <c r="D28" s="231"/>
      <c r="E28" s="231"/>
      <c r="F28" s="438"/>
      <c r="G28" s="205"/>
      <c r="H28" s="434"/>
      <c r="I28" s="434"/>
      <c r="J28" s="434"/>
      <c r="K28" s="208"/>
    </row>
    <row r="29" spans="1:11" ht="25.5">
      <c r="A29" s="218">
        <v>2.2000000000000002</v>
      </c>
      <c r="B29" s="231"/>
      <c r="C29" s="231"/>
      <c r="D29" s="33" t="s">
        <v>232</v>
      </c>
      <c r="E29" s="231" t="s">
        <v>316</v>
      </c>
      <c r="F29" s="240" t="s">
        <v>754</v>
      </c>
      <c r="G29" s="205" t="s">
        <v>8</v>
      </c>
      <c r="H29" s="434">
        <v>10</v>
      </c>
      <c r="I29" s="434">
        <f>SUM(H29:H29)</f>
        <v>10</v>
      </c>
      <c r="J29" s="434">
        <v>77405</v>
      </c>
      <c r="K29" s="208">
        <f t="shared" ref="K29" si="2">SUM(I29*J29)</f>
        <v>774050</v>
      </c>
    </row>
    <row r="30" spans="1:11" ht="165.75">
      <c r="A30" s="241"/>
      <c r="B30" s="231"/>
      <c r="C30" s="231"/>
      <c r="D30" s="231"/>
      <c r="E30" s="231"/>
      <c r="F30" s="242" t="s">
        <v>755</v>
      </c>
      <c r="G30" s="205"/>
      <c r="H30" s="434"/>
      <c r="I30" s="434"/>
      <c r="J30" s="434"/>
      <c r="K30" s="208"/>
    </row>
    <row r="31" spans="1:11">
      <c r="A31" s="218"/>
      <c r="B31" s="231"/>
      <c r="C31" s="231"/>
      <c r="D31" s="231"/>
      <c r="E31" s="231"/>
      <c r="F31" s="438"/>
      <c r="G31" s="205"/>
      <c r="H31" s="434"/>
      <c r="I31" s="434"/>
      <c r="J31" s="434"/>
      <c r="K31" s="208"/>
    </row>
    <row r="32" spans="1:11" ht="25.5">
      <c r="A32" s="218">
        <v>2.2999999999999998</v>
      </c>
      <c r="B32" s="231"/>
      <c r="C32" s="231"/>
      <c r="D32" s="33" t="s">
        <v>232</v>
      </c>
      <c r="E32" s="231" t="s">
        <v>316</v>
      </c>
      <c r="F32" s="240" t="s">
        <v>756</v>
      </c>
      <c r="G32" s="205" t="s">
        <v>8</v>
      </c>
      <c r="H32" s="434">
        <v>4</v>
      </c>
      <c r="I32" s="434">
        <f>SUM(H32:H32)</f>
        <v>4</v>
      </c>
      <c r="J32" s="434">
        <v>64700</v>
      </c>
      <c r="K32" s="208">
        <f t="shared" ref="K32" si="3">SUM(I32*J32)</f>
        <v>258800</v>
      </c>
    </row>
    <row r="33" spans="1:11" ht="140.25">
      <c r="A33" s="241"/>
      <c r="B33" s="231"/>
      <c r="C33" s="231"/>
      <c r="D33" s="231"/>
      <c r="E33" s="231"/>
      <c r="F33" s="242" t="s">
        <v>757</v>
      </c>
      <c r="G33" s="205"/>
      <c r="H33" s="434"/>
      <c r="I33" s="434"/>
      <c r="J33" s="434"/>
      <c r="K33" s="208"/>
    </row>
    <row r="34" spans="1:11">
      <c r="A34" s="218"/>
      <c r="B34" s="231"/>
      <c r="C34" s="231"/>
      <c r="D34" s="231"/>
      <c r="E34" s="231"/>
      <c r="F34" s="238"/>
      <c r="G34" s="205"/>
      <c r="H34" s="434"/>
      <c r="I34" s="434"/>
      <c r="J34" s="439"/>
      <c r="K34" s="208"/>
    </row>
    <row r="35" spans="1:11">
      <c r="A35" s="218">
        <v>2.4</v>
      </c>
      <c r="B35" s="231"/>
      <c r="C35" s="231"/>
      <c r="D35" s="231" t="s">
        <v>315</v>
      </c>
      <c r="E35" s="231" t="s">
        <v>321</v>
      </c>
      <c r="F35" s="430" t="s">
        <v>322</v>
      </c>
      <c r="G35" s="205" t="s">
        <v>8</v>
      </c>
      <c r="H35" s="434">
        <v>12</v>
      </c>
      <c r="I35" s="434">
        <f>SUM(H35:H35)</f>
        <v>12</v>
      </c>
      <c r="J35" s="434">
        <v>29360</v>
      </c>
      <c r="K35" s="208">
        <f t="shared" ref="K35" si="4">SUM(I35*J35)</f>
        <v>352320</v>
      </c>
    </row>
    <row r="36" spans="1:11" ht="63.75">
      <c r="A36" s="218"/>
      <c r="B36" s="231"/>
      <c r="C36" s="231"/>
      <c r="D36" s="231"/>
      <c r="E36" s="205"/>
      <c r="F36" s="438" t="s">
        <v>323</v>
      </c>
      <c r="G36" s="205"/>
      <c r="H36" s="434"/>
      <c r="I36" s="434">
        <f>SUM(H36:H36)</f>
        <v>0</v>
      </c>
      <c r="J36" s="434"/>
      <c r="K36" s="208"/>
    </row>
    <row r="37" spans="1:11">
      <c r="A37" s="218"/>
      <c r="B37" s="231"/>
      <c r="C37" s="231"/>
      <c r="D37" s="231"/>
      <c r="E37" s="231"/>
      <c r="F37" s="238"/>
      <c r="G37" s="205"/>
      <c r="H37" s="434"/>
      <c r="I37" s="434"/>
      <c r="J37" s="434"/>
      <c r="K37" s="208"/>
    </row>
    <row r="38" spans="1:11" ht="30">
      <c r="A38" s="218">
        <v>2.5</v>
      </c>
      <c r="B38" s="231"/>
      <c r="C38" s="266"/>
      <c r="D38" s="266" t="s">
        <v>758</v>
      </c>
      <c r="E38" s="266" t="s">
        <v>759</v>
      </c>
      <c r="F38" s="402" t="s">
        <v>662</v>
      </c>
      <c r="G38" s="205" t="s">
        <v>8</v>
      </c>
      <c r="H38" s="434">
        <v>15</v>
      </c>
      <c r="I38" s="434">
        <f>SUM(H38:H38)</f>
        <v>15</v>
      </c>
      <c r="J38" s="434">
        <v>50255</v>
      </c>
      <c r="K38" s="208">
        <f t="shared" ref="K38" si="5">SUM(I38*J38)</f>
        <v>753825</v>
      </c>
    </row>
    <row r="39" spans="1:11" ht="135">
      <c r="A39" s="218"/>
      <c r="B39" s="231"/>
      <c r="C39" s="231"/>
      <c r="D39" s="231"/>
      <c r="E39" s="231"/>
      <c r="F39" s="395" t="s">
        <v>760</v>
      </c>
      <c r="G39" s="205"/>
      <c r="H39" s="434"/>
      <c r="I39" s="434"/>
      <c r="J39" s="434"/>
      <c r="K39" s="208"/>
    </row>
    <row r="40" spans="1:11">
      <c r="A40" s="218"/>
      <c r="B40" s="231"/>
      <c r="C40" s="231"/>
      <c r="D40" s="231"/>
      <c r="E40" s="231"/>
      <c r="F40" s="438"/>
      <c r="G40" s="205"/>
      <c r="H40" s="434"/>
      <c r="I40" s="434"/>
      <c r="J40" s="434"/>
      <c r="K40" s="208"/>
    </row>
    <row r="41" spans="1:11" ht="25.5">
      <c r="A41" s="218">
        <v>2.6</v>
      </c>
      <c r="B41" s="231"/>
      <c r="C41" s="231"/>
      <c r="D41" s="440" t="s">
        <v>301</v>
      </c>
      <c r="E41" s="19" t="s">
        <v>761</v>
      </c>
      <c r="F41" s="8" t="s">
        <v>762</v>
      </c>
      <c r="G41" s="205" t="s">
        <v>8</v>
      </c>
      <c r="H41" s="434">
        <v>1</v>
      </c>
      <c r="I41" s="434">
        <f>SUM(H41:H41)</f>
        <v>1</v>
      </c>
      <c r="J41" s="434">
        <v>4122822</v>
      </c>
      <c r="K41" s="208">
        <f t="shared" ref="K41" si="6">SUM(I41*J41)</f>
        <v>4122822</v>
      </c>
    </row>
    <row r="42" spans="1:11">
      <c r="A42" s="218"/>
      <c r="B42" s="236"/>
      <c r="C42" s="236"/>
      <c r="D42" s="231"/>
      <c r="E42" s="231"/>
      <c r="F42" s="441" t="s">
        <v>763</v>
      </c>
      <c r="G42" s="205"/>
      <c r="H42" s="434"/>
      <c r="I42" s="434"/>
      <c r="J42" s="434"/>
      <c r="K42" s="208"/>
    </row>
    <row r="43" spans="1:11">
      <c r="A43" s="212"/>
      <c r="B43" s="236"/>
      <c r="C43" s="236"/>
      <c r="D43" s="236"/>
      <c r="E43" s="236"/>
      <c r="F43" s="441" t="s">
        <v>764</v>
      </c>
      <c r="G43" s="215"/>
      <c r="H43" s="432"/>
      <c r="I43" s="432"/>
      <c r="J43" s="432"/>
      <c r="K43" s="208"/>
    </row>
    <row r="44" spans="1:11" ht="102">
      <c r="A44" s="218"/>
      <c r="B44" s="231"/>
      <c r="C44" s="231"/>
      <c r="D44" s="231"/>
      <c r="E44" s="231"/>
      <c r="F44" s="440" t="s">
        <v>765</v>
      </c>
      <c r="G44" s="205"/>
      <c r="H44" s="434"/>
      <c r="I44" s="434"/>
      <c r="J44" s="434"/>
      <c r="K44" s="208"/>
    </row>
    <row r="45" spans="1:11">
      <c r="A45" s="218"/>
      <c r="B45" s="236"/>
      <c r="C45" s="236"/>
      <c r="D45" s="231"/>
      <c r="E45" s="231"/>
      <c r="F45" s="441" t="s">
        <v>766</v>
      </c>
      <c r="G45" s="205"/>
      <c r="H45" s="434"/>
      <c r="I45" s="434"/>
      <c r="J45" s="434"/>
      <c r="K45" s="208"/>
    </row>
    <row r="46" spans="1:11" ht="63.75">
      <c r="A46" s="212"/>
      <c r="B46" s="236"/>
      <c r="C46" s="236"/>
      <c r="D46" s="236"/>
      <c r="E46" s="236"/>
      <c r="F46" s="440" t="s">
        <v>767</v>
      </c>
      <c r="G46" s="215"/>
      <c r="H46" s="432"/>
      <c r="I46" s="432"/>
      <c r="J46" s="432"/>
      <c r="K46" s="208"/>
    </row>
    <row r="47" spans="1:11">
      <c r="A47" s="218"/>
      <c r="B47" s="231"/>
      <c r="C47" s="231"/>
      <c r="D47" s="231"/>
      <c r="E47" s="231"/>
      <c r="F47" s="441" t="s">
        <v>768</v>
      </c>
      <c r="G47" s="205"/>
      <c r="H47" s="434"/>
      <c r="I47" s="434"/>
      <c r="J47" s="434"/>
      <c r="K47" s="208"/>
    </row>
    <row r="48" spans="1:11" ht="38.25">
      <c r="A48" s="218"/>
      <c r="B48" s="231"/>
      <c r="C48" s="231"/>
      <c r="D48" s="231"/>
      <c r="E48" s="231"/>
      <c r="F48" s="440" t="s">
        <v>769</v>
      </c>
      <c r="G48" s="205"/>
      <c r="H48" s="434"/>
      <c r="I48" s="434"/>
      <c r="J48" s="434"/>
      <c r="K48" s="208"/>
    </row>
    <row r="49" spans="1:11">
      <c r="A49" s="218"/>
      <c r="B49" s="231"/>
      <c r="C49" s="231"/>
      <c r="D49" s="231"/>
      <c r="E49" s="231"/>
      <c r="F49" s="438"/>
      <c r="G49" s="205"/>
      <c r="H49" s="434"/>
      <c r="I49" s="434"/>
      <c r="J49" s="442"/>
      <c r="K49" s="208"/>
    </row>
    <row r="50" spans="1:11">
      <c r="A50" s="218"/>
      <c r="B50" s="231"/>
      <c r="C50" s="231"/>
      <c r="D50" s="231"/>
      <c r="E50" s="231"/>
      <c r="F50" s="211"/>
      <c r="G50" s="205"/>
      <c r="H50" s="434"/>
      <c r="I50" s="434"/>
      <c r="J50" s="442"/>
      <c r="K50" s="208"/>
    </row>
    <row r="51" spans="1:11" ht="24.75" customHeight="1">
      <c r="A51" s="212"/>
      <c r="B51" s="236"/>
      <c r="C51" s="236"/>
      <c r="D51" s="236"/>
      <c r="E51" s="236"/>
      <c r="F51" s="214" t="s">
        <v>770</v>
      </c>
      <c r="G51" s="215"/>
      <c r="H51" s="432"/>
      <c r="I51" s="432"/>
      <c r="J51" s="432"/>
      <c r="K51" s="216">
        <f>SUM(K6:K50)</f>
        <v>10854987</v>
      </c>
    </row>
  </sheetData>
  <mergeCells count="1">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3"/>
  <sheetViews>
    <sheetView zoomScaleNormal="100" workbookViewId="0">
      <pane ySplit="4" topLeftCell="A90" activePane="bottomLeft" state="frozen"/>
      <selection pane="bottomLeft" activeCell="A90" sqref="A90"/>
    </sheetView>
  </sheetViews>
  <sheetFormatPr defaultColWidth="6.125" defaultRowHeight="12.75"/>
  <cols>
    <col min="1" max="1" width="6.75" style="210" customWidth="1"/>
    <col min="2" max="2" width="8.375" style="210" customWidth="1"/>
    <col min="3" max="3" width="3.125" style="210" bestFit="1" customWidth="1"/>
    <col min="4" max="4" width="7.375" style="210" bestFit="1" customWidth="1"/>
    <col min="5" max="5" width="8.875" style="210" customWidth="1"/>
    <col min="6" max="6" width="43.125" style="247" customWidth="1"/>
    <col min="7" max="7" width="4.375" style="210" customWidth="1"/>
    <col min="8" max="8" width="7" style="210" customWidth="1"/>
    <col min="9" max="9" width="5.875" style="210" customWidth="1"/>
    <col min="10" max="10" width="7.875" style="210" bestFit="1" customWidth="1"/>
    <col min="11" max="11" width="9.25" style="210" bestFit="1" customWidth="1"/>
    <col min="12" max="12" width="11.375" style="246" bestFit="1" customWidth="1"/>
    <col min="13" max="233" width="6.125" style="210"/>
    <col min="234" max="234" width="5" style="210" customWidth="1"/>
    <col min="235" max="235" width="8.875" style="210" customWidth="1"/>
    <col min="236" max="236" width="5" style="210" customWidth="1"/>
    <col min="237" max="237" width="8.25" style="210" bestFit="1" customWidth="1"/>
    <col min="238" max="238" width="16.125" style="210" customWidth="1"/>
    <col min="239" max="239" width="86" style="210" customWidth="1"/>
    <col min="240" max="240" width="5" style="210" customWidth="1"/>
    <col min="241" max="241" width="11.125" style="210" bestFit="1" customWidth="1"/>
    <col min="242" max="242" width="10.375" style="210" customWidth="1"/>
    <col min="243" max="243" width="10.875" style="210" customWidth="1"/>
    <col min="244" max="244" width="7.75" style="210" customWidth="1"/>
    <col min="245" max="245" width="9.875" style="210" customWidth="1"/>
    <col min="246" max="246" width="10.625" style="210" customWidth="1"/>
    <col min="247" max="489" width="6.125" style="210"/>
    <col min="490" max="490" width="5" style="210" customWidth="1"/>
    <col min="491" max="491" width="8.875" style="210" customWidth="1"/>
    <col min="492" max="492" width="5" style="210" customWidth="1"/>
    <col min="493" max="493" width="8.25" style="210" bestFit="1" customWidth="1"/>
    <col min="494" max="494" width="16.125" style="210" customWidth="1"/>
    <col min="495" max="495" width="86" style="210" customWidth="1"/>
    <col min="496" max="496" width="5" style="210" customWidth="1"/>
    <col min="497" max="497" width="11.125" style="210" bestFit="1" customWidth="1"/>
    <col min="498" max="498" width="10.375" style="210" customWidth="1"/>
    <col min="499" max="499" width="10.875" style="210" customWidth="1"/>
    <col min="500" max="500" width="7.75" style="210" customWidth="1"/>
    <col min="501" max="501" width="9.875" style="210" customWidth="1"/>
    <col min="502" max="502" width="10.625" style="210" customWidth="1"/>
    <col min="503" max="745" width="6.125" style="210"/>
    <col min="746" max="746" width="5" style="210" customWidth="1"/>
    <col min="747" max="747" width="8.875" style="210" customWidth="1"/>
    <col min="748" max="748" width="5" style="210" customWidth="1"/>
    <col min="749" max="749" width="8.25" style="210" bestFit="1" customWidth="1"/>
    <col min="750" max="750" width="16.125" style="210" customWidth="1"/>
    <col min="751" max="751" width="86" style="210" customWidth="1"/>
    <col min="752" max="752" width="5" style="210" customWidth="1"/>
    <col min="753" max="753" width="11.125" style="210" bestFit="1" customWidth="1"/>
    <col min="754" max="754" width="10.375" style="210" customWidth="1"/>
    <col min="755" max="755" width="10.875" style="210" customWidth="1"/>
    <col min="756" max="756" width="7.75" style="210" customWidth="1"/>
    <col min="757" max="757" width="9.875" style="210" customWidth="1"/>
    <col min="758" max="758" width="10.625" style="210" customWidth="1"/>
    <col min="759" max="1001" width="6.125" style="210"/>
    <col min="1002" max="1002" width="5" style="210" customWidth="1"/>
    <col min="1003" max="1003" width="8.875" style="210" customWidth="1"/>
    <col min="1004" max="1004" width="5" style="210" customWidth="1"/>
    <col min="1005" max="1005" width="8.25" style="210" bestFit="1" customWidth="1"/>
    <col min="1006" max="1006" width="16.125" style="210" customWidth="1"/>
    <col min="1007" max="1007" width="86" style="210" customWidth="1"/>
    <col min="1008" max="1008" width="5" style="210" customWidth="1"/>
    <col min="1009" max="1009" width="11.125" style="210" bestFit="1" customWidth="1"/>
    <col min="1010" max="1010" width="10.375" style="210" customWidth="1"/>
    <col min="1011" max="1011" width="10.875" style="210" customWidth="1"/>
    <col min="1012" max="1012" width="7.75" style="210" customWidth="1"/>
    <col min="1013" max="1013" width="9.875" style="210" customWidth="1"/>
    <col min="1014" max="1014" width="10.625" style="210" customWidth="1"/>
    <col min="1015" max="1257" width="6.125" style="210"/>
    <col min="1258" max="1258" width="5" style="210" customWidth="1"/>
    <col min="1259" max="1259" width="8.875" style="210" customWidth="1"/>
    <col min="1260" max="1260" width="5" style="210" customWidth="1"/>
    <col min="1261" max="1261" width="8.25" style="210" bestFit="1" customWidth="1"/>
    <col min="1262" max="1262" width="16.125" style="210" customWidth="1"/>
    <col min="1263" max="1263" width="86" style="210" customWidth="1"/>
    <col min="1264" max="1264" width="5" style="210" customWidth="1"/>
    <col min="1265" max="1265" width="11.125" style="210" bestFit="1" customWidth="1"/>
    <col min="1266" max="1266" width="10.375" style="210" customWidth="1"/>
    <col min="1267" max="1267" width="10.875" style="210" customWidth="1"/>
    <col min="1268" max="1268" width="7.75" style="210" customWidth="1"/>
    <col min="1269" max="1269" width="9.875" style="210" customWidth="1"/>
    <col min="1270" max="1270" width="10.625" style="210" customWidth="1"/>
    <col min="1271" max="1513" width="6.125" style="210"/>
    <col min="1514" max="1514" width="5" style="210" customWidth="1"/>
    <col min="1515" max="1515" width="8.875" style="210" customWidth="1"/>
    <col min="1516" max="1516" width="5" style="210" customWidth="1"/>
    <col min="1517" max="1517" width="8.25" style="210" bestFit="1" customWidth="1"/>
    <col min="1518" max="1518" width="16.125" style="210" customWidth="1"/>
    <col min="1519" max="1519" width="86" style="210" customWidth="1"/>
    <col min="1520" max="1520" width="5" style="210" customWidth="1"/>
    <col min="1521" max="1521" width="11.125" style="210" bestFit="1" customWidth="1"/>
    <col min="1522" max="1522" width="10.375" style="210" customWidth="1"/>
    <col min="1523" max="1523" width="10.875" style="210" customWidth="1"/>
    <col min="1524" max="1524" width="7.75" style="210" customWidth="1"/>
    <col min="1525" max="1525" width="9.875" style="210" customWidth="1"/>
    <col min="1526" max="1526" width="10.625" style="210" customWidth="1"/>
    <col min="1527" max="1769" width="6.125" style="210"/>
    <col min="1770" max="1770" width="5" style="210" customWidth="1"/>
    <col min="1771" max="1771" width="8.875" style="210" customWidth="1"/>
    <col min="1772" max="1772" width="5" style="210" customWidth="1"/>
    <col min="1773" max="1773" width="8.25" style="210" bestFit="1" customWidth="1"/>
    <col min="1774" max="1774" width="16.125" style="210" customWidth="1"/>
    <col min="1775" max="1775" width="86" style="210" customWidth="1"/>
    <col min="1776" max="1776" width="5" style="210" customWidth="1"/>
    <col min="1777" max="1777" width="11.125" style="210" bestFit="1" customWidth="1"/>
    <col min="1778" max="1778" width="10.375" style="210" customWidth="1"/>
    <col min="1779" max="1779" width="10.875" style="210" customWidth="1"/>
    <col min="1780" max="1780" width="7.75" style="210" customWidth="1"/>
    <col min="1781" max="1781" width="9.875" style="210" customWidth="1"/>
    <col min="1782" max="1782" width="10.625" style="210" customWidth="1"/>
    <col min="1783" max="2025" width="6.125" style="210"/>
    <col min="2026" max="2026" width="5" style="210" customWidth="1"/>
    <col min="2027" max="2027" width="8.875" style="210" customWidth="1"/>
    <col min="2028" max="2028" width="5" style="210" customWidth="1"/>
    <col min="2029" max="2029" width="8.25" style="210" bestFit="1" customWidth="1"/>
    <col min="2030" max="2030" width="16.125" style="210" customWidth="1"/>
    <col min="2031" max="2031" width="86" style="210" customWidth="1"/>
    <col min="2032" max="2032" width="5" style="210" customWidth="1"/>
    <col min="2033" max="2033" width="11.125" style="210" bestFit="1" customWidth="1"/>
    <col min="2034" max="2034" width="10.375" style="210" customWidth="1"/>
    <col min="2035" max="2035" width="10.875" style="210" customWidth="1"/>
    <col min="2036" max="2036" width="7.75" style="210" customWidth="1"/>
    <col min="2037" max="2037" width="9.875" style="210" customWidth="1"/>
    <col min="2038" max="2038" width="10.625" style="210" customWidth="1"/>
    <col min="2039" max="2281" width="6.125" style="210"/>
    <col min="2282" max="2282" width="5" style="210" customWidth="1"/>
    <col min="2283" max="2283" width="8.875" style="210" customWidth="1"/>
    <col min="2284" max="2284" width="5" style="210" customWidth="1"/>
    <col min="2285" max="2285" width="8.25" style="210" bestFit="1" customWidth="1"/>
    <col min="2286" max="2286" width="16.125" style="210" customWidth="1"/>
    <col min="2287" max="2287" width="86" style="210" customWidth="1"/>
    <col min="2288" max="2288" width="5" style="210" customWidth="1"/>
    <col min="2289" max="2289" width="11.125" style="210" bestFit="1" customWidth="1"/>
    <col min="2290" max="2290" width="10.375" style="210" customWidth="1"/>
    <col min="2291" max="2291" width="10.875" style="210" customWidth="1"/>
    <col min="2292" max="2292" width="7.75" style="210" customWidth="1"/>
    <col min="2293" max="2293" width="9.875" style="210" customWidth="1"/>
    <col min="2294" max="2294" width="10.625" style="210" customWidth="1"/>
    <col min="2295" max="2537" width="6.125" style="210"/>
    <col min="2538" max="2538" width="5" style="210" customWidth="1"/>
    <col min="2539" max="2539" width="8.875" style="210" customWidth="1"/>
    <col min="2540" max="2540" width="5" style="210" customWidth="1"/>
    <col min="2541" max="2541" width="8.25" style="210" bestFit="1" customWidth="1"/>
    <col min="2542" max="2542" width="16.125" style="210" customWidth="1"/>
    <col min="2543" max="2543" width="86" style="210" customWidth="1"/>
    <col min="2544" max="2544" width="5" style="210" customWidth="1"/>
    <col min="2545" max="2545" width="11.125" style="210" bestFit="1" customWidth="1"/>
    <col min="2546" max="2546" width="10.375" style="210" customWidth="1"/>
    <col min="2547" max="2547" width="10.875" style="210" customWidth="1"/>
    <col min="2548" max="2548" width="7.75" style="210" customWidth="1"/>
    <col min="2549" max="2549" width="9.875" style="210" customWidth="1"/>
    <col min="2550" max="2550" width="10.625" style="210" customWidth="1"/>
    <col min="2551" max="2793" width="6.125" style="210"/>
    <col min="2794" max="2794" width="5" style="210" customWidth="1"/>
    <col min="2795" max="2795" width="8.875" style="210" customWidth="1"/>
    <col min="2796" max="2796" width="5" style="210" customWidth="1"/>
    <col min="2797" max="2797" width="8.25" style="210" bestFit="1" customWidth="1"/>
    <col min="2798" max="2798" width="16.125" style="210" customWidth="1"/>
    <col min="2799" max="2799" width="86" style="210" customWidth="1"/>
    <col min="2800" max="2800" width="5" style="210" customWidth="1"/>
    <col min="2801" max="2801" width="11.125" style="210" bestFit="1" customWidth="1"/>
    <col min="2802" max="2802" width="10.375" style="210" customWidth="1"/>
    <col min="2803" max="2803" width="10.875" style="210" customWidth="1"/>
    <col min="2804" max="2804" width="7.75" style="210" customWidth="1"/>
    <col min="2805" max="2805" width="9.875" style="210" customWidth="1"/>
    <col min="2806" max="2806" width="10.625" style="210" customWidth="1"/>
    <col min="2807" max="3049" width="6.125" style="210"/>
    <col min="3050" max="3050" width="5" style="210" customWidth="1"/>
    <col min="3051" max="3051" width="8.875" style="210" customWidth="1"/>
    <col min="3052" max="3052" width="5" style="210" customWidth="1"/>
    <col min="3053" max="3053" width="8.25" style="210" bestFit="1" customWidth="1"/>
    <col min="3054" max="3054" width="16.125" style="210" customWidth="1"/>
    <col min="3055" max="3055" width="86" style="210" customWidth="1"/>
    <col min="3056" max="3056" width="5" style="210" customWidth="1"/>
    <col min="3057" max="3057" width="11.125" style="210" bestFit="1" customWidth="1"/>
    <col min="3058" max="3058" width="10.375" style="210" customWidth="1"/>
    <col min="3059" max="3059" width="10.875" style="210" customWidth="1"/>
    <col min="3060" max="3060" width="7.75" style="210" customWidth="1"/>
    <col min="3061" max="3061" width="9.875" style="210" customWidth="1"/>
    <col min="3062" max="3062" width="10.625" style="210" customWidth="1"/>
    <col min="3063" max="3305" width="6.125" style="210"/>
    <col min="3306" max="3306" width="5" style="210" customWidth="1"/>
    <col min="3307" max="3307" width="8.875" style="210" customWidth="1"/>
    <col min="3308" max="3308" width="5" style="210" customWidth="1"/>
    <col min="3309" max="3309" width="8.25" style="210" bestFit="1" customWidth="1"/>
    <col min="3310" max="3310" width="16.125" style="210" customWidth="1"/>
    <col min="3311" max="3311" width="86" style="210" customWidth="1"/>
    <col min="3312" max="3312" width="5" style="210" customWidth="1"/>
    <col min="3313" max="3313" width="11.125" style="210" bestFit="1" customWidth="1"/>
    <col min="3314" max="3314" width="10.375" style="210" customWidth="1"/>
    <col min="3315" max="3315" width="10.875" style="210" customWidth="1"/>
    <col min="3316" max="3316" width="7.75" style="210" customWidth="1"/>
    <col min="3317" max="3317" width="9.875" style="210" customWidth="1"/>
    <col min="3318" max="3318" width="10.625" style="210" customWidth="1"/>
    <col min="3319" max="3561" width="6.125" style="210"/>
    <col min="3562" max="3562" width="5" style="210" customWidth="1"/>
    <col min="3563" max="3563" width="8.875" style="210" customWidth="1"/>
    <col min="3564" max="3564" width="5" style="210" customWidth="1"/>
    <col min="3565" max="3565" width="8.25" style="210" bestFit="1" customWidth="1"/>
    <col min="3566" max="3566" width="16.125" style="210" customWidth="1"/>
    <col min="3567" max="3567" width="86" style="210" customWidth="1"/>
    <col min="3568" max="3568" width="5" style="210" customWidth="1"/>
    <col min="3569" max="3569" width="11.125" style="210" bestFit="1" customWidth="1"/>
    <col min="3570" max="3570" width="10.375" style="210" customWidth="1"/>
    <col min="3571" max="3571" width="10.875" style="210" customWidth="1"/>
    <col min="3572" max="3572" width="7.75" style="210" customWidth="1"/>
    <col min="3573" max="3573" width="9.875" style="210" customWidth="1"/>
    <col min="3574" max="3574" width="10.625" style="210" customWidth="1"/>
    <col min="3575" max="3817" width="6.125" style="210"/>
    <col min="3818" max="3818" width="5" style="210" customWidth="1"/>
    <col min="3819" max="3819" width="8.875" style="210" customWidth="1"/>
    <col min="3820" max="3820" width="5" style="210" customWidth="1"/>
    <col min="3821" max="3821" width="8.25" style="210" bestFit="1" customWidth="1"/>
    <col min="3822" max="3822" width="16.125" style="210" customWidth="1"/>
    <col min="3823" max="3823" width="86" style="210" customWidth="1"/>
    <col min="3824" max="3824" width="5" style="210" customWidth="1"/>
    <col min="3825" max="3825" width="11.125" style="210" bestFit="1" customWidth="1"/>
    <col min="3826" max="3826" width="10.375" style="210" customWidth="1"/>
    <col min="3827" max="3827" width="10.875" style="210" customWidth="1"/>
    <col min="3828" max="3828" width="7.75" style="210" customWidth="1"/>
    <col min="3829" max="3829" width="9.875" style="210" customWidth="1"/>
    <col min="3830" max="3830" width="10.625" style="210" customWidth="1"/>
    <col min="3831" max="4073" width="6.125" style="210"/>
    <col min="4074" max="4074" width="5" style="210" customWidth="1"/>
    <col min="4075" max="4075" width="8.875" style="210" customWidth="1"/>
    <col min="4076" max="4076" width="5" style="210" customWidth="1"/>
    <col min="4077" max="4077" width="8.25" style="210" bestFit="1" customWidth="1"/>
    <col min="4078" max="4078" width="16.125" style="210" customWidth="1"/>
    <col min="4079" max="4079" width="86" style="210" customWidth="1"/>
    <col min="4080" max="4080" width="5" style="210" customWidth="1"/>
    <col min="4081" max="4081" width="11.125" style="210" bestFit="1" customWidth="1"/>
    <col min="4082" max="4082" width="10.375" style="210" customWidth="1"/>
    <col min="4083" max="4083" width="10.875" style="210" customWidth="1"/>
    <col min="4084" max="4084" width="7.75" style="210" customWidth="1"/>
    <col min="4085" max="4085" width="9.875" style="210" customWidth="1"/>
    <col min="4086" max="4086" width="10.625" style="210" customWidth="1"/>
    <col min="4087" max="4329" width="6.125" style="210"/>
    <col min="4330" max="4330" width="5" style="210" customWidth="1"/>
    <col min="4331" max="4331" width="8.875" style="210" customWidth="1"/>
    <col min="4332" max="4332" width="5" style="210" customWidth="1"/>
    <col min="4333" max="4333" width="8.25" style="210" bestFit="1" customWidth="1"/>
    <col min="4334" max="4334" width="16.125" style="210" customWidth="1"/>
    <col min="4335" max="4335" width="86" style="210" customWidth="1"/>
    <col min="4336" max="4336" width="5" style="210" customWidth="1"/>
    <col min="4337" max="4337" width="11.125" style="210" bestFit="1" customWidth="1"/>
    <col min="4338" max="4338" width="10.375" style="210" customWidth="1"/>
    <col min="4339" max="4339" width="10.875" style="210" customWidth="1"/>
    <col min="4340" max="4340" width="7.75" style="210" customWidth="1"/>
    <col min="4341" max="4341" width="9.875" style="210" customWidth="1"/>
    <col min="4342" max="4342" width="10.625" style="210" customWidth="1"/>
    <col min="4343" max="4585" width="6.125" style="210"/>
    <col min="4586" max="4586" width="5" style="210" customWidth="1"/>
    <col min="4587" max="4587" width="8.875" style="210" customWidth="1"/>
    <col min="4588" max="4588" width="5" style="210" customWidth="1"/>
    <col min="4589" max="4589" width="8.25" style="210" bestFit="1" customWidth="1"/>
    <col min="4590" max="4590" width="16.125" style="210" customWidth="1"/>
    <col min="4591" max="4591" width="86" style="210" customWidth="1"/>
    <col min="4592" max="4592" width="5" style="210" customWidth="1"/>
    <col min="4593" max="4593" width="11.125" style="210" bestFit="1" customWidth="1"/>
    <col min="4594" max="4594" width="10.375" style="210" customWidth="1"/>
    <col min="4595" max="4595" width="10.875" style="210" customWidth="1"/>
    <col min="4596" max="4596" width="7.75" style="210" customWidth="1"/>
    <col min="4597" max="4597" width="9.875" style="210" customWidth="1"/>
    <col min="4598" max="4598" width="10.625" style="210" customWidth="1"/>
    <col min="4599" max="4841" width="6.125" style="210"/>
    <col min="4842" max="4842" width="5" style="210" customWidth="1"/>
    <col min="4843" max="4843" width="8.875" style="210" customWidth="1"/>
    <col min="4844" max="4844" width="5" style="210" customWidth="1"/>
    <col min="4845" max="4845" width="8.25" style="210" bestFit="1" customWidth="1"/>
    <col min="4846" max="4846" width="16.125" style="210" customWidth="1"/>
    <col min="4847" max="4847" width="86" style="210" customWidth="1"/>
    <col min="4848" max="4848" width="5" style="210" customWidth="1"/>
    <col min="4849" max="4849" width="11.125" style="210" bestFit="1" customWidth="1"/>
    <col min="4850" max="4850" width="10.375" style="210" customWidth="1"/>
    <col min="4851" max="4851" width="10.875" style="210" customWidth="1"/>
    <col min="4852" max="4852" width="7.75" style="210" customWidth="1"/>
    <col min="4853" max="4853" width="9.875" style="210" customWidth="1"/>
    <col min="4854" max="4854" width="10.625" style="210" customWidth="1"/>
    <col min="4855" max="5097" width="6.125" style="210"/>
    <col min="5098" max="5098" width="5" style="210" customWidth="1"/>
    <col min="5099" max="5099" width="8.875" style="210" customWidth="1"/>
    <col min="5100" max="5100" width="5" style="210" customWidth="1"/>
    <col min="5101" max="5101" width="8.25" style="210" bestFit="1" customWidth="1"/>
    <col min="5102" max="5102" width="16.125" style="210" customWidth="1"/>
    <col min="5103" max="5103" width="86" style="210" customWidth="1"/>
    <col min="5104" max="5104" width="5" style="210" customWidth="1"/>
    <col min="5105" max="5105" width="11.125" style="210" bestFit="1" customWidth="1"/>
    <col min="5106" max="5106" width="10.375" style="210" customWidth="1"/>
    <col min="5107" max="5107" width="10.875" style="210" customWidth="1"/>
    <col min="5108" max="5108" width="7.75" style="210" customWidth="1"/>
    <col min="5109" max="5109" width="9.875" style="210" customWidth="1"/>
    <col min="5110" max="5110" width="10.625" style="210" customWidth="1"/>
    <col min="5111" max="5353" width="6.125" style="210"/>
    <col min="5354" max="5354" width="5" style="210" customWidth="1"/>
    <col min="5355" max="5355" width="8.875" style="210" customWidth="1"/>
    <col min="5356" max="5356" width="5" style="210" customWidth="1"/>
    <col min="5357" max="5357" width="8.25" style="210" bestFit="1" customWidth="1"/>
    <col min="5358" max="5358" width="16.125" style="210" customWidth="1"/>
    <col min="5359" max="5359" width="86" style="210" customWidth="1"/>
    <col min="5360" max="5360" width="5" style="210" customWidth="1"/>
    <col min="5361" max="5361" width="11.125" style="210" bestFit="1" customWidth="1"/>
    <col min="5362" max="5362" width="10.375" style="210" customWidth="1"/>
    <col min="5363" max="5363" width="10.875" style="210" customWidth="1"/>
    <col min="5364" max="5364" width="7.75" style="210" customWidth="1"/>
    <col min="5365" max="5365" width="9.875" style="210" customWidth="1"/>
    <col min="5366" max="5366" width="10.625" style="210" customWidth="1"/>
    <col min="5367" max="5609" width="6.125" style="210"/>
    <col min="5610" max="5610" width="5" style="210" customWidth="1"/>
    <col min="5611" max="5611" width="8.875" style="210" customWidth="1"/>
    <col min="5612" max="5612" width="5" style="210" customWidth="1"/>
    <col min="5613" max="5613" width="8.25" style="210" bestFit="1" customWidth="1"/>
    <col min="5614" max="5614" width="16.125" style="210" customWidth="1"/>
    <col min="5615" max="5615" width="86" style="210" customWidth="1"/>
    <col min="5616" max="5616" width="5" style="210" customWidth="1"/>
    <col min="5617" max="5617" width="11.125" style="210" bestFit="1" customWidth="1"/>
    <col min="5618" max="5618" width="10.375" style="210" customWidth="1"/>
    <col min="5619" max="5619" width="10.875" style="210" customWidth="1"/>
    <col min="5620" max="5620" width="7.75" style="210" customWidth="1"/>
    <col min="5621" max="5621" width="9.875" style="210" customWidth="1"/>
    <col min="5622" max="5622" width="10.625" style="210" customWidth="1"/>
    <col min="5623" max="5865" width="6.125" style="210"/>
    <col min="5866" max="5866" width="5" style="210" customWidth="1"/>
    <col min="5867" max="5867" width="8.875" style="210" customWidth="1"/>
    <col min="5868" max="5868" width="5" style="210" customWidth="1"/>
    <col min="5869" max="5869" width="8.25" style="210" bestFit="1" customWidth="1"/>
    <col min="5870" max="5870" width="16.125" style="210" customWidth="1"/>
    <col min="5871" max="5871" width="86" style="210" customWidth="1"/>
    <col min="5872" max="5872" width="5" style="210" customWidth="1"/>
    <col min="5873" max="5873" width="11.125" style="210" bestFit="1" customWidth="1"/>
    <col min="5874" max="5874" width="10.375" style="210" customWidth="1"/>
    <col min="5875" max="5875" width="10.875" style="210" customWidth="1"/>
    <col min="5876" max="5876" width="7.75" style="210" customWidth="1"/>
    <col min="5877" max="5877" width="9.875" style="210" customWidth="1"/>
    <col min="5878" max="5878" width="10.625" style="210" customWidth="1"/>
    <col min="5879" max="6121" width="6.125" style="210"/>
    <col min="6122" max="6122" width="5" style="210" customWidth="1"/>
    <col min="6123" max="6123" width="8.875" style="210" customWidth="1"/>
    <col min="6124" max="6124" width="5" style="210" customWidth="1"/>
    <col min="6125" max="6125" width="8.25" style="210" bestFit="1" customWidth="1"/>
    <col min="6126" max="6126" width="16.125" style="210" customWidth="1"/>
    <col min="6127" max="6127" width="86" style="210" customWidth="1"/>
    <col min="6128" max="6128" width="5" style="210" customWidth="1"/>
    <col min="6129" max="6129" width="11.125" style="210" bestFit="1" customWidth="1"/>
    <col min="6130" max="6130" width="10.375" style="210" customWidth="1"/>
    <col min="6131" max="6131" width="10.875" style="210" customWidth="1"/>
    <col min="6132" max="6132" width="7.75" style="210" customWidth="1"/>
    <col min="6133" max="6133" width="9.875" style="210" customWidth="1"/>
    <col min="6134" max="6134" width="10.625" style="210" customWidth="1"/>
    <col min="6135" max="6377" width="6.125" style="210"/>
    <col min="6378" max="6378" width="5" style="210" customWidth="1"/>
    <col min="6379" max="6379" width="8.875" style="210" customWidth="1"/>
    <col min="6380" max="6380" width="5" style="210" customWidth="1"/>
    <col min="6381" max="6381" width="8.25" style="210" bestFit="1" customWidth="1"/>
    <col min="6382" max="6382" width="16.125" style="210" customWidth="1"/>
    <col min="6383" max="6383" width="86" style="210" customWidth="1"/>
    <col min="6384" max="6384" width="5" style="210" customWidth="1"/>
    <col min="6385" max="6385" width="11.125" style="210" bestFit="1" customWidth="1"/>
    <col min="6386" max="6386" width="10.375" style="210" customWidth="1"/>
    <col min="6387" max="6387" width="10.875" style="210" customWidth="1"/>
    <col min="6388" max="6388" width="7.75" style="210" customWidth="1"/>
    <col min="6389" max="6389" width="9.875" style="210" customWidth="1"/>
    <col min="6390" max="6390" width="10.625" style="210" customWidth="1"/>
    <col min="6391" max="6633" width="6.125" style="210"/>
    <col min="6634" max="6634" width="5" style="210" customWidth="1"/>
    <col min="6635" max="6635" width="8.875" style="210" customWidth="1"/>
    <col min="6636" max="6636" width="5" style="210" customWidth="1"/>
    <col min="6637" max="6637" width="8.25" style="210" bestFit="1" customWidth="1"/>
    <col min="6638" max="6638" width="16.125" style="210" customWidth="1"/>
    <col min="6639" max="6639" width="86" style="210" customWidth="1"/>
    <col min="6640" max="6640" width="5" style="210" customWidth="1"/>
    <col min="6641" max="6641" width="11.125" style="210" bestFit="1" customWidth="1"/>
    <col min="6642" max="6642" width="10.375" style="210" customWidth="1"/>
    <col min="6643" max="6643" width="10.875" style="210" customWidth="1"/>
    <col min="6644" max="6644" width="7.75" style="210" customWidth="1"/>
    <col min="6645" max="6645" width="9.875" style="210" customWidth="1"/>
    <col min="6646" max="6646" width="10.625" style="210" customWidth="1"/>
    <col min="6647" max="6889" width="6.125" style="210"/>
    <col min="6890" max="6890" width="5" style="210" customWidth="1"/>
    <col min="6891" max="6891" width="8.875" style="210" customWidth="1"/>
    <col min="6892" max="6892" width="5" style="210" customWidth="1"/>
    <col min="6893" max="6893" width="8.25" style="210" bestFit="1" customWidth="1"/>
    <col min="6894" max="6894" width="16.125" style="210" customWidth="1"/>
    <col min="6895" max="6895" width="86" style="210" customWidth="1"/>
    <col min="6896" max="6896" width="5" style="210" customWidth="1"/>
    <col min="6897" max="6897" width="11.125" style="210" bestFit="1" customWidth="1"/>
    <col min="6898" max="6898" width="10.375" style="210" customWidth="1"/>
    <col min="6899" max="6899" width="10.875" style="210" customWidth="1"/>
    <col min="6900" max="6900" width="7.75" style="210" customWidth="1"/>
    <col min="6901" max="6901" width="9.875" style="210" customWidth="1"/>
    <col min="6902" max="6902" width="10.625" style="210" customWidth="1"/>
    <col min="6903" max="7145" width="6.125" style="210"/>
    <col min="7146" max="7146" width="5" style="210" customWidth="1"/>
    <col min="7147" max="7147" width="8.875" style="210" customWidth="1"/>
    <col min="7148" max="7148" width="5" style="210" customWidth="1"/>
    <col min="7149" max="7149" width="8.25" style="210" bestFit="1" customWidth="1"/>
    <col min="7150" max="7150" width="16.125" style="210" customWidth="1"/>
    <col min="7151" max="7151" width="86" style="210" customWidth="1"/>
    <col min="7152" max="7152" width="5" style="210" customWidth="1"/>
    <col min="7153" max="7153" width="11.125" style="210" bestFit="1" customWidth="1"/>
    <col min="7154" max="7154" width="10.375" style="210" customWidth="1"/>
    <col min="7155" max="7155" width="10.875" style="210" customWidth="1"/>
    <col min="7156" max="7156" width="7.75" style="210" customWidth="1"/>
    <col min="7157" max="7157" width="9.875" style="210" customWidth="1"/>
    <col min="7158" max="7158" width="10.625" style="210" customWidth="1"/>
    <col min="7159" max="7401" width="6.125" style="210"/>
    <col min="7402" max="7402" width="5" style="210" customWidth="1"/>
    <col min="7403" max="7403" width="8.875" style="210" customWidth="1"/>
    <col min="7404" max="7404" width="5" style="210" customWidth="1"/>
    <col min="7405" max="7405" width="8.25" style="210" bestFit="1" customWidth="1"/>
    <col min="7406" max="7406" width="16.125" style="210" customWidth="1"/>
    <col min="7407" max="7407" width="86" style="210" customWidth="1"/>
    <col min="7408" max="7408" width="5" style="210" customWidth="1"/>
    <col min="7409" max="7409" width="11.125" style="210" bestFit="1" customWidth="1"/>
    <col min="7410" max="7410" width="10.375" style="210" customWidth="1"/>
    <col min="7411" max="7411" width="10.875" style="210" customWidth="1"/>
    <col min="7412" max="7412" width="7.75" style="210" customWidth="1"/>
    <col min="7413" max="7413" width="9.875" style="210" customWidth="1"/>
    <col min="7414" max="7414" width="10.625" style="210" customWidth="1"/>
    <col min="7415" max="7657" width="6.125" style="210"/>
    <col min="7658" max="7658" width="5" style="210" customWidth="1"/>
    <col min="7659" max="7659" width="8.875" style="210" customWidth="1"/>
    <col min="7660" max="7660" width="5" style="210" customWidth="1"/>
    <col min="7661" max="7661" width="8.25" style="210" bestFit="1" customWidth="1"/>
    <col min="7662" max="7662" width="16.125" style="210" customWidth="1"/>
    <col min="7663" max="7663" width="86" style="210" customWidth="1"/>
    <col min="7664" max="7664" width="5" style="210" customWidth="1"/>
    <col min="7665" max="7665" width="11.125" style="210" bestFit="1" customWidth="1"/>
    <col min="7666" max="7666" width="10.375" style="210" customWidth="1"/>
    <col min="7667" max="7667" width="10.875" style="210" customWidth="1"/>
    <col min="7668" max="7668" width="7.75" style="210" customWidth="1"/>
    <col min="7669" max="7669" width="9.875" style="210" customWidth="1"/>
    <col min="7670" max="7670" width="10.625" style="210" customWidth="1"/>
    <col min="7671" max="7913" width="6.125" style="210"/>
    <col min="7914" max="7914" width="5" style="210" customWidth="1"/>
    <col min="7915" max="7915" width="8.875" style="210" customWidth="1"/>
    <col min="7916" max="7916" width="5" style="210" customWidth="1"/>
    <col min="7917" max="7917" width="8.25" style="210" bestFit="1" customWidth="1"/>
    <col min="7918" max="7918" width="16.125" style="210" customWidth="1"/>
    <col min="7919" max="7919" width="86" style="210" customWidth="1"/>
    <col min="7920" max="7920" width="5" style="210" customWidth="1"/>
    <col min="7921" max="7921" width="11.125" style="210" bestFit="1" customWidth="1"/>
    <col min="7922" max="7922" width="10.375" style="210" customWidth="1"/>
    <col min="7923" max="7923" width="10.875" style="210" customWidth="1"/>
    <col min="7924" max="7924" width="7.75" style="210" customWidth="1"/>
    <col min="7925" max="7925" width="9.875" style="210" customWidth="1"/>
    <col min="7926" max="7926" width="10.625" style="210" customWidth="1"/>
    <col min="7927" max="8169" width="6.125" style="210"/>
    <col min="8170" max="8170" width="5" style="210" customWidth="1"/>
    <col min="8171" max="8171" width="8.875" style="210" customWidth="1"/>
    <col min="8172" max="8172" width="5" style="210" customWidth="1"/>
    <col min="8173" max="8173" width="8.25" style="210" bestFit="1" customWidth="1"/>
    <col min="8174" max="8174" width="16.125" style="210" customWidth="1"/>
    <col min="8175" max="8175" width="86" style="210" customWidth="1"/>
    <col min="8176" max="8176" width="5" style="210" customWidth="1"/>
    <col min="8177" max="8177" width="11.125" style="210" bestFit="1" customWidth="1"/>
    <col min="8178" max="8178" width="10.375" style="210" customWidth="1"/>
    <col min="8179" max="8179" width="10.875" style="210" customWidth="1"/>
    <col min="8180" max="8180" width="7.75" style="210" customWidth="1"/>
    <col min="8181" max="8181" width="9.875" style="210" customWidth="1"/>
    <col min="8182" max="8182" width="10.625" style="210" customWidth="1"/>
    <col min="8183" max="8425" width="6.125" style="210"/>
    <col min="8426" max="8426" width="5" style="210" customWidth="1"/>
    <col min="8427" max="8427" width="8.875" style="210" customWidth="1"/>
    <col min="8428" max="8428" width="5" style="210" customWidth="1"/>
    <col min="8429" max="8429" width="8.25" style="210" bestFit="1" customWidth="1"/>
    <col min="8430" max="8430" width="16.125" style="210" customWidth="1"/>
    <col min="8431" max="8431" width="86" style="210" customWidth="1"/>
    <col min="8432" max="8432" width="5" style="210" customWidth="1"/>
    <col min="8433" max="8433" width="11.125" style="210" bestFit="1" customWidth="1"/>
    <col min="8434" max="8434" width="10.375" style="210" customWidth="1"/>
    <col min="8435" max="8435" width="10.875" style="210" customWidth="1"/>
    <col min="8436" max="8436" width="7.75" style="210" customWidth="1"/>
    <col min="8437" max="8437" width="9.875" style="210" customWidth="1"/>
    <col min="8438" max="8438" width="10.625" style="210" customWidth="1"/>
    <col min="8439" max="8681" width="6.125" style="210"/>
    <col min="8682" max="8682" width="5" style="210" customWidth="1"/>
    <col min="8683" max="8683" width="8.875" style="210" customWidth="1"/>
    <col min="8684" max="8684" width="5" style="210" customWidth="1"/>
    <col min="8685" max="8685" width="8.25" style="210" bestFit="1" customWidth="1"/>
    <col min="8686" max="8686" width="16.125" style="210" customWidth="1"/>
    <col min="8687" max="8687" width="86" style="210" customWidth="1"/>
    <col min="8688" max="8688" width="5" style="210" customWidth="1"/>
    <col min="8689" max="8689" width="11.125" style="210" bestFit="1" customWidth="1"/>
    <col min="8690" max="8690" width="10.375" style="210" customWidth="1"/>
    <col min="8691" max="8691" width="10.875" style="210" customWidth="1"/>
    <col min="8692" max="8692" width="7.75" style="210" customWidth="1"/>
    <col min="8693" max="8693" width="9.875" style="210" customWidth="1"/>
    <col min="8694" max="8694" width="10.625" style="210" customWidth="1"/>
    <col min="8695" max="8937" width="6.125" style="210"/>
    <col min="8938" max="8938" width="5" style="210" customWidth="1"/>
    <col min="8939" max="8939" width="8.875" style="210" customWidth="1"/>
    <col min="8940" max="8940" width="5" style="210" customWidth="1"/>
    <col min="8941" max="8941" width="8.25" style="210" bestFit="1" customWidth="1"/>
    <col min="8942" max="8942" width="16.125" style="210" customWidth="1"/>
    <col min="8943" max="8943" width="86" style="210" customWidth="1"/>
    <col min="8944" max="8944" width="5" style="210" customWidth="1"/>
    <col min="8945" max="8945" width="11.125" style="210" bestFit="1" customWidth="1"/>
    <col min="8946" max="8946" width="10.375" style="210" customWidth="1"/>
    <col min="8947" max="8947" width="10.875" style="210" customWidth="1"/>
    <col min="8948" max="8948" width="7.75" style="210" customWidth="1"/>
    <col min="8949" max="8949" width="9.875" style="210" customWidth="1"/>
    <col min="8950" max="8950" width="10.625" style="210" customWidth="1"/>
    <col min="8951" max="9193" width="6.125" style="210"/>
    <col min="9194" max="9194" width="5" style="210" customWidth="1"/>
    <col min="9195" max="9195" width="8.875" style="210" customWidth="1"/>
    <col min="9196" max="9196" width="5" style="210" customWidth="1"/>
    <col min="9197" max="9197" width="8.25" style="210" bestFit="1" customWidth="1"/>
    <col min="9198" max="9198" width="16.125" style="210" customWidth="1"/>
    <col min="9199" max="9199" width="86" style="210" customWidth="1"/>
    <col min="9200" max="9200" width="5" style="210" customWidth="1"/>
    <col min="9201" max="9201" width="11.125" style="210" bestFit="1" customWidth="1"/>
    <col min="9202" max="9202" width="10.375" style="210" customWidth="1"/>
    <col min="9203" max="9203" width="10.875" style="210" customWidth="1"/>
    <col min="9204" max="9204" width="7.75" style="210" customWidth="1"/>
    <col min="9205" max="9205" width="9.875" style="210" customWidth="1"/>
    <col min="9206" max="9206" width="10.625" style="210" customWidth="1"/>
    <col min="9207" max="9449" width="6.125" style="210"/>
    <col min="9450" max="9450" width="5" style="210" customWidth="1"/>
    <col min="9451" max="9451" width="8.875" style="210" customWidth="1"/>
    <col min="9452" max="9452" width="5" style="210" customWidth="1"/>
    <col min="9453" max="9453" width="8.25" style="210" bestFit="1" customWidth="1"/>
    <col min="9454" max="9454" width="16.125" style="210" customWidth="1"/>
    <col min="9455" max="9455" width="86" style="210" customWidth="1"/>
    <col min="9456" max="9456" width="5" style="210" customWidth="1"/>
    <col min="9457" max="9457" width="11.125" style="210" bestFit="1" customWidth="1"/>
    <col min="9458" max="9458" width="10.375" style="210" customWidth="1"/>
    <col min="9459" max="9459" width="10.875" style="210" customWidth="1"/>
    <col min="9460" max="9460" width="7.75" style="210" customWidth="1"/>
    <col min="9461" max="9461" width="9.875" style="210" customWidth="1"/>
    <col min="9462" max="9462" width="10.625" style="210" customWidth="1"/>
    <col min="9463" max="9705" width="6.125" style="210"/>
    <col min="9706" max="9706" width="5" style="210" customWidth="1"/>
    <col min="9707" max="9707" width="8.875" style="210" customWidth="1"/>
    <col min="9708" max="9708" width="5" style="210" customWidth="1"/>
    <col min="9709" max="9709" width="8.25" style="210" bestFit="1" customWidth="1"/>
    <col min="9710" max="9710" width="16.125" style="210" customWidth="1"/>
    <col min="9711" max="9711" width="86" style="210" customWidth="1"/>
    <col min="9712" max="9712" width="5" style="210" customWidth="1"/>
    <col min="9713" max="9713" width="11.125" style="210" bestFit="1" customWidth="1"/>
    <col min="9714" max="9714" width="10.375" style="210" customWidth="1"/>
    <col min="9715" max="9715" width="10.875" style="210" customWidth="1"/>
    <col min="9716" max="9716" width="7.75" style="210" customWidth="1"/>
    <col min="9717" max="9717" width="9.875" style="210" customWidth="1"/>
    <col min="9718" max="9718" width="10.625" style="210" customWidth="1"/>
    <col min="9719" max="9961" width="6.125" style="210"/>
    <col min="9962" max="9962" width="5" style="210" customWidth="1"/>
    <col min="9963" max="9963" width="8.875" style="210" customWidth="1"/>
    <col min="9964" max="9964" width="5" style="210" customWidth="1"/>
    <col min="9965" max="9965" width="8.25" style="210" bestFit="1" customWidth="1"/>
    <col min="9966" max="9966" width="16.125" style="210" customWidth="1"/>
    <col min="9967" max="9967" width="86" style="210" customWidth="1"/>
    <col min="9968" max="9968" width="5" style="210" customWidth="1"/>
    <col min="9969" max="9969" width="11.125" style="210" bestFit="1" customWidth="1"/>
    <col min="9970" max="9970" width="10.375" style="210" customWidth="1"/>
    <col min="9971" max="9971" width="10.875" style="210" customWidth="1"/>
    <col min="9972" max="9972" width="7.75" style="210" customWidth="1"/>
    <col min="9973" max="9973" width="9.875" style="210" customWidth="1"/>
    <col min="9974" max="9974" width="10.625" style="210" customWidth="1"/>
    <col min="9975" max="10217" width="6.125" style="210"/>
    <col min="10218" max="10218" width="5" style="210" customWidth="1"/>
    <col min="10219" max="10219" width="8.875" style="210" customWidth="1"/>
    <col min="10220" max="10220" width="5" style="210" customWidth="1"/>
    <col min="10221" max="10221" width="8.25" style="210" bestFit="1" customWidth="1"/>
    <col min="10222" max="10222" width="16.125" style="210" customWidth="1"/>
    <col min="10223" max="10223" width="86" style="210" customWidth="1"/>
    <col min="10224" max="10224" width="5" style="210" customWidth="1"/>
    <col min="10225" max="10225" width="11.125" style="210" bestFit="1" customWidth="1"/>
    <col min="10226" max="10226" width="10.375" style="210" customWidth="1"/>
    <col min="10227" max="10227" width="10.875" style="210" customWidth="1"/>
    <col min="10228" max="10228" width="7.75" style="210" customWidth="1"/>
    <col min="10229" max="10229" width="9.875" style="210" customWidth="1"/>
    <col min="10230" max="10230" width="10.625" style="210" customWidth="1"/>
    <col min="10231" max="10473" width="6.125" style="210"/>
    <col min="10474" max="10474" width="5" style="210" customWidth="1"/>
    <col min="10475" max="10475" width="8.875" style="210" customWidth="1"/>
    <col min="10476" max="10476" width="5" style="210" customWidth="1"/>
    <col min="10477" max="10477" width="8.25" style="210" bestFit="1" customWidth="1"/>
    <col min="10478" max="10478" width="16.125" style="210" customWidth="1"/>
    <col min="10479" max="10479" width="86" style="210" customWidth="1"/>
    <col min="10480" max="10480" width="5" style="210" customWidth="1"/>
    <col min="10481" max="10481" width="11.125" style="210" bestFit="1" customWidth="1"/>
    <col min="10482" max="10482" width="10.375" style="210" customWidth="1"/>
    <col min="10483" max="10483" width="10.875" style="210" customWidth="1"/>
    <col min="10484" max="10484" width="7.75" style="210" customWidth="1"/>
    <col min="10485" max="10485" width="9.875" style="210" customWidth="1"/>
    <col min="10486" max="10486" width="10.625" style="210" customWidth="1"/>
    <col min="10487" max="10729" width="6.125" style="210"/>
    <col min="10730" max="10730" width="5" style="210" customWidth="1"/>
    <col min="10731" max="10731" width="8.875" style="210" customWidth="1"/>
    <col min="10732" max="10732" width="5" style="210" customWidth="1"/>
    <col min="10733" max="10733" width="8.25" style="210" bestFit="1" customWidth="1"/>
    <col min="10734" max="10734" width="16.125" style="210" customWidth="1"/>
    <col min="10735" max="10735" width="86" style="210" customWidth="1"/>
    <col min="10736" max="10736" width="5" style="210" customWidth="1"/>
    <col min="10737" max="10737" width="11.125" style="210" bestFit="1" customWidth="1"/>
    <col min="10738" max="10738" width="10.375" style="210" customWidth="1"/>
    <col min="10739" max="10739" width="10.875" style="210" customWidth="1"/>
    <col min="10740" max="10740" width="7.75" style="210" customWidth="1"/>
    <col min="10741" max="10741" width="9.875" style="210" customWidth="1"/>
    <col min="10742" max="10742" width="10.625" style="210" customWidth="1"/>
    <col min="10743" max="10985" width="6.125" style="210"/>
    <col min="10986" max="10986" width="5" style="210" customWidth="1"/>
    <col min="10987" max="10987" width="8.875" style="210" customWidth="1"/>
    <col min="10988" max="10988" width="5" style="210" customWidth="1"/>
    <col min="10989" max="10989" width="8.25" style="210" bestFit="1" customWidth="1"/>
    <col min="10990" max="10990" width="16.125" style="210" customWidth="1"/>
    <col min="10991" max="10991" width="86" style="210" customWidth="1"/>
    <col min="10992" max="10992" width="5" style="210" customWidth="1"/>
    <col min="10993" max="10993" width="11.125" style="210" bestFit="1" customWidth="1"/>
    <col min="10994" max="10994" width="10.375" style="210" customWidth="1"/>
    <col min="10995" max="10995" width="10.875" style="210" customWidth="1"/>
    <col min="10996" max="10996" width="7.75" style="210" customWidth="1"/>
    <col min="10997" max="10997" width="9.875" style="210" customWidth="1"/>
    <col min="10998" max="10998" width="10.625" style="210" customWidth="1"/>
    <col min="10999" max="11241" width="6.125" style="210"/>
    <col min="11242" max="11242" width="5" style="210" customWidth="1"/>
    <col min="11243" max="11243" width="8.875" style="210" customWidth="1"/>
    <col min="11244" max="11244" width="5" style="210" customWidth="1"/>
    <col min="11245" max="11245" width="8.25" style="210" bestFit="1" customWidth="1"/>
    <col min="11246" max="11246" width="16.125" style="210" customWidth="1"/>
    <col min="11247" max="11247" width="86" style="210" customWidth="1"/>
    <col min="11248" max="11248" width="5" style="210" customWidth="1"/>
    <col min="11249" max="11249" width="11.125" style="210" bestFit="1" customWidth="1"/>
    <col min="11250" max="11250" width="10.375" style="210" customWidth="1"/>
    <col min="11251" max="11251" width="10.875" style="210" customWidth="1"/>
    <col min="11252" max="11252" width="7.75" style="210" customWidth="1"/>
    <col min="11253" max="11253" width="9.875" style="210" customWidth="1"/>
    <col min="11254" max="11254" width="10.625" style="210" customWidth="1"/>
    <col min="11255" max="11497" width="6.125" style="210"/>
    <col min="11498" max="11498" width="5" style="210" customWidth="1"/>
    <col min="11499" max="11499" width="8.875" style="210" customWidth="1"/>
    <col min="11500" max="11500" width="5" style="210" customWidth="1"/>
    <col min="11501" max="11501" width="8.25" style="210" bestFit="1" customWidth="1"/>
    <col min="11502" max="11502" width="16.125" style="210" customWidth="1"/>
    <col min="11503" max="11503" width="86" style="210" customWidth="1"/>
    <col min="11504" max="11504" width="5" style="210" customWidth="1"/>
    <col min="11505" max="11505" width="11.125" style="210" bestFit="1" customWidth="1"/>
    <col min="11506" max="11506" width="10.375" style="210" customWidth="1"/>
    <col min="11507" max="11507" width="10.875" style="210" customWidth="1"/>
    <col min="11508" max="11508" width="7.75" style="210" customWidth="1"/>
    <col min="11509" max="11509" width="9.875" style="210" customWidth="1"/>
    <col min="11510" max="11510" width="10.625" style="210" customWidth="1"/>
    <col min="11511" max="11753" width="6.125" style="210"/>
    <col min="11754" max="11754" width="5" style="210" customWidth="1"/>
    <col min="11755" max="11755" width="8.875" style="210" customWidth="1"/>
    <col min="11756" max="11756" width="5" style="210" customWidth="1"/>
    <col min="11757" max="11757" width="8.25" style="210" bestFit="1" customWidth="1"/>
    <col min="11758" max="11758" width="16.125" style="210" customWidth="1"/>
    <col min="11759" max="11759" width="86" style="210" customWidth="1"/>
    <col min="11760" max="11760" width="5" style="210" customWidth="1"/>
    <col min="11761" max="11761" width="11.125" style="210" bestFit="1" customWidth="1"/>
    <col min="11762" max="11762" width="10.375" style="210" customWidth="1"/>
    <col min="11763" max="11763" width="10.875" style="210" customWidth="1"/>
    <col min="11764" max="11764" width="7.75" style="210" customWidth="1"/>
    <col min="11765" max="11765" width="9.875" style="210" customWidth="1"/>
    <col min="11766" max="11766" width="10.625" style="210" customWidth="1"/>
    <col min="11767" max="12009" width="6.125" style="210"/>
    <col min="12010" max="12010" width="5" style="210" customWidth="1"/>
    <col min="12011" max="12011" width="8.875" style="210" customWidth="1"/>
    <col min="12012" max="12012" width="5" style="210" customWidth="1"/>
    <col min="12013" max="12013" width="8.25" style="210" bestFit="1" customWidth="1"/>
    <col min="12014" max="12014" width="16.125" style="210" customWidth="1"/>
    <col min="12015" max="12015" width="86" style="210" customWidth="1"/>
    <col min="12016" max="12016" width="5" style="210" customWidth="1"/>
    <col min="12017" max="12017" width="11.125" style="210" bestFit="1" customWidth="1"/>
    <col min="12018" max="12018" width="10.375" style="210" customWidth="1"/>
    <col min="12019" max="12019" width="10.875" style="210" customWidth="1"/>
    <col min="12020" max="12020" width="7.75" style="210" customWidth="1"/>
    <col min="12021" max="12021" width="9.875" style="210" customWidth="1"/>
    <col min="12022" max="12022" width="10.625" style="210" customWidth="1"/>
    <col min="12023" max="12265" width="6.125" style="210"/>
    <col min="12266" max="12266" width="5" style="210" customWidth="1"/>
    <col min="12267" max="12267" width="8.875" style="210" customWidth="1"/>
    <col min="12268" max="12268" width="5" style="210" customWidth="1"/>
    <col min="12269" max="12269" width="8.25" style="210" bestFit="1" customWidth="1"/>
    <col min="12270" max="12270" width="16.125" style="210" customWidth="1"/>
    <col min="12271" max="12271" width="86" style="210" customWidth="1"/>
    <col min="12272" max="12272" width="5" style="210" customWidth="1"/>
    <col min="12273" max="12273" width="11.125" style="210" bestFit="1" customWidth="1"/>
    <col min="12274" max="12274" width="10.375" style="210" customWidth="1"/>
    <col min="12275" max="12275" width="10.875" style="210" customWidth="1"/>
    <col min="12276" max="12276" width="7.75" style="210" customWidth="1"/>
    <col min="12277" max="12277" width="9.875" style="210" customWidth="1"/>
    <col min="12278" max="12278" width="10.625" style="210" customWidth="1"/>
    <col min="12279" max="12521" width="6.125" style="210"/>
    <col min="12522" max="12522" width="5" style="210" customWidth="1"/>
    <col min="12523" max="12523" width="8.875" style="210" customWidth="1"/>
    <col min="12524" max="12524" width="5" style="210" customWidth="1"/>
    <col min="12525" max="12525" width="8.25" style="210" bestFit="1" customWidth="1"/>
    <col min="12526" max="12526" width="16.125" style="210" customWidth="1"/>
    <col min="12527" max="12527" width="86" style="210" customWidth="1"/>
    <col min="12528" max="12528" width="5" style="210" customWidth="1"/>
    <col min="12529" max="12529" width="11.125" style="210" bestFit="1" customWidth="1"/>
    <col min="12530" max="12530" width="10.375" style="210" customWidth="1"/>
    <col min="12531" max="12531" width="10.875" style="210" customWidth="1"/>
    <col min="12532" max="12532" width="7.75" style="210" customWidth="1"/>
    <col min="12533" max="12533" width="9.875" style="210" customWidth="1"/>
    <col min="12534" max="12534" width="10.625" style="210" customWidth="1"/>
    <col min="12535" max="12777" width="6.125" style="210"/>
    <col min="12778" max="12778" width="5" style="210" customWidth="1"/>
    <col min="12779" max="12779" width="8.875" style="210" customWidth="1"/>
    <col min="12780" max="12780" width="5" style="210" customWidth="1"/>
    <col min="12781" max="12781" width="8.25" style="210" bestFit="1" customWidth="1"/>
    <col min="12782" max="12782" width="16.125" style="210" customWidth="1"/>
    <col min="12783" max="12783" width="86" style="210" customWidth="1"/>
    <col min="12784" max="12784" width="5" style="210" customWidth="1"/>
    <col min="12785" max="12785" width="11.125" style="210" bestFit="1" customWidth="1"/>
    <col min="12786" max="12786" width="10.375" style="210" customWidth="1"/>
    <col min="12787" max="12787" width="10.875" style="210" customWidth="1"/>
    <col min="12788" max="12788" width="7.75" style="210" customWidth="1"/>
    <col min="12789" max="12789" width="9.875" style="210" customWidth="1"/>
    <col min="12790" max="12790" width="10.625" style="210" customWidth="1"/>
    <col min="12791" max="13033" width="6.125" style="210"/>
    <col min="13034" max="13034" width="5" style="210" customWidth="1"/>
    <col min="13035" max="13035" width="8.875" style="210" customWidth="1"/>
    <col min="13036" max="13036" width="5" style="210" customWidth="1"/>
    <col min="13037" max="13037" width="8.25" style="210" bestFit="1" customWidth="1"/>
    <col min="13038" max="13038" width="16.125" style="210" customWidth="1"/>
    <col min="13039" max="13039" width="86" style="210" customWidth="1"/>
    <col min="13040" max="13040" width="5" style="210" customWidth="1"/>
    <col min="13041" max="13041" width="11.125" style="210" bestFit="1" customWidth="1"/>
    <col min="13042" max="13042" width="10.375" style="210" customWidth="1"/>
    <col min="13043" max="13043" width="10.875" style="210" customWidth="1"/>
    <col min="13044" max="13044" width="7.75" style="210" customWidth="1"/>
    <col min="13045" max="13045" width="9.875" style="210" customWidth="1"/>
    <col min="13046" max="13046" width="10.625" style="210" customWidth="1"/>
    <col min="13047" max="13289" width="6.125" style="210"/>
    <col min="13290" max="13290" width="5" style="210" customWidth="1"/>
    <col min="13291" max="13291" width="8.875" style="210" customWidth="1"/>
    <col min="13292" max="13292" width="5" style="210" customWidth="1"/>
    <col min="13293" max="13293" width="8.25" style="210" bestFit="1" customWidth="1"/>
    <col min="13294" max="13294" width="16.125" style="210" customWidth="1"/>
    <col min="13295" max="13295" width="86" style="210" customWidth="1"/>
    <col min="13296" max="13296" width="5" style="210" customWidth="1"/>
    <col min="13297" max="13297" width="11.125" style="210" bestFit="1" customWidth="1"/>
    <col min="13298" max="13298" width="10.375" style="210" customWidth="1"/>
    <col min="13299" max="13299" width="10.875" style="210" customWidth="1"/>
    <col min="13300" max="13300" width="7.75" style="210" customWidth="1"/>
    <col min="13301" max="13301" width="9.875" style="210" customWidth="1"/>
    <col min="13302" max="13302" width="10.625" style="210" customWidth="1"/>
    <col min="13303" max="13545" width="6.125" style="210"/>
    <col min="13546" max="13546" width="5" style="210" customWidth="1"/>
    <col min="13547" max="13547" width="8.875" style="210" customWidth="1"/>
    <col min="13548" max="13548" width="5" style="210" customWidth="1"/>
    <col min="13549" max="13549" width="8.25" style="210" bestFit="1" customWidth="1"/>
    <col min="13550" max="13550" width="16.125" style="210" customWidth="1"/>
    <col min="13551" max="13551" width="86" style="210" customWidth="1"/>
    <col min="13552" max="13552" width="5" style="210" customWidth="1"/>
    <col min="13553" max="13553" width="11.125" style="210" bestFit="1" customWidth="1"/>
    <col min="13554" max="13554" width="10.375" style="210" customWidth="1"/>
    <col min="13555" max="13555" width="10.875" style="210" customWidth="1"/>
    <col min="13556" max="13556" width="7.75" style="210" customWidth="1"/>
    <col min="13557" max="13557" width="9.875" style="210" customWidth="1"/>
    <col min="13558" max="13558" width="10.625" style="210" customWidth="1"/>
    <col min="13559" max="13801" width="6.125" style="210"/>
    <col min="13802" max="13802" width="5" style="210" customWidth="1"/>
    <col min="13803" max="13803" width="8.875" style="210" customWidth="1"/>
    <col min="13804" max="13804" width="5" style="210" customWidth="1"/>
    <col min="13805" max="13805" width="8.25" style="210" bestFit="1" customWidth="1"/>
    <col min="13806" max="13806" width="16.125" style="210" customWidth="1"/>
    <col min="13807" max="13807" width="86" style="210" customWidth="1"/>
    <col min="13808" max="13808" width="5" style="210" customWidth="1"/>
    <col min="13809" max="13809" width="11.125" style="210" bestFit="1" customWidth="1"/>
    <col min="13810" max="13810" width="10.375" style="210" customWidth="1"/>
    <col min="13811" max="13811" width="10.875" style="210" customWidth="1"/>
    <col min="13812" max="13812" width="7.75" style="210" customWidth="1"/>
    <col min="13813" max="13813" width="9.875" style="210" customWidth="1"/>
    <col min="13814" max="13814" width="10.625" style="210" customWidth="1"/>
    <col min="13815" max="14057" width="6.125" style="210"/>
    <col min="14058" max="14058" width="5" style="210" customWidth="1"/>
    <col min="14059" max="14059" width="8.875" style="210" customWidth="1"/>
    <col min="14060" max="14060" width="5" style="210" customWidth="1"/>
    <col min="14061" max="14061" width="8.25" style="210" bestFit="1" customWidth="1"/>
    <col min="14062" max="14062" width="16.125" style="210" customWidth="1"/>
    <col min="14063" max="14063" width="86" style="210" customWidth="1"/>
    <col min="14064" max="14064" width="5" style="210" customWidth="1"/>
    <col min="14065" max="14065" width="11.125" style="210" bestFit="1" customWidth="1"/>
    <col min="14066" max="14066" width="10.375" style="210" customWidth="1"/>
    <col min="14067" max="14067" width="10.875" style="210" customWidth="1"/>
    <col min="14068" max="14068" width="7.75" style="210" customWidth="1"/>
    <col min="14069" max="14069" width="9.875" style="210" customWidth="1"/>
    <col min="14070" max="14070" width="10.625" style="210" customWidth="1"/>
    <col min="14071" max="14313" width="6.125" style="210"/>
    <col min="14314" max="14314" width="5" style="210" customWidth="1"/>
    <col min="14315" max="14315" width="8.875" style="210" customWidth="1"/>
    <col min="14316" max="14316" width="5" style="210" customWidth="1"/>
    <col min="14317" max="14317" width="8.25" style="210" bestFit="1" customWidth="1"/>
    <col min="14318" max="14318" width="16.125" style="210" customWidth="1"/>
    <col min="14319" max="14319" width="86" style="210" customWidth="1"/>
    <col min="14320" max="14320" width="5" style="210" customWidth="1"/>
    <col min="14321" max="14321" width="11.125" style="210" bestFit="1" customWidth="1"/>
    <col min="14322" max="14322" width="10.375" style="210" customWidth="1"/>
    <col min="14323" max="14323" width="10.875" style="210" customWidth="1"/>
    <col min="14324" max="14324" width="7.75" style="210" customWidth="1"/>
    <col min="14325" max="14325" width="9.875" style="210" customWidth="1"/>
    <col min="14326" max="14326" width="10.625" style="210" customWidth="1"/>
    <col min="14327" max="14569" width="6.125" style="210"/>
    <col min="14570" max="14570" width="5" style="210" customWidth="1"/>
    <col min="14571" max="14571" width="8.875" style="210" customWidth="1"/>
    <col min="14572" max="14572" width="5" style="210" customWidth="1"/>
    <col min="14573" max="14573" width="8.25" style="210" bestFit="1" customWidth="1"/>
    <col min="14574" max="14574" width="16.125" style="210" customWidth="1"/>
    <col min="14575" max="14575" width="86" style="210" customWidth="1"/>
    <col min="14576" max="14576" width="5" style="210" customWidth="1"/>
    <col min="14577" max="14577" width="11.125" style="210" bestFit="1" customWidth="1"/>
    <col min="14578" max="14578" width="10.375" style="210" customWidth="1"/>
    <col min="14579" max="14579" width="10.875" style="210" customWidth="1"/>
    <col min="14580" max="14580" width="7.75" style="210" customWidth="1"/>
    <col min="14581" max="14581" width="9.875" style="210" customWidth="1"/>
    <col min="14582" max="14582" width="10.625" style="210" customWidth="1"/>
    <col min="14583" max="14825" width="6.125" style="210"/>
    <col min="14826" max="14826" width="5" style="210" customWidth="1"/>
    <col min="14827" max="14827" width="8.875" style="210" customWidth="1"/>
    <col min="14828" max="14828" width="5" style="210" customWidth="1"/>
    <col min="14829" max="14829" width="8.25" style="210" bestFit="1" customWidth="1"/>
    <col min="14830" max="14830" width="16.125" style="210" customWidth="1"/>
    <col min="14831" max="14831" width="86" style="210" customWidth="1"/>
    <col min="14832" max="14832" width="5" style="210" customWidth="1"/>
    <col min="14833" max="14833" width="11.125" style="210" bestFit="1" customWidth="1"/>
    <col min="14834" max="14834" width="10.375" style="210" customWidth="1"/>
    <col min="14835" max="14835" width="10.875" style="210" customWidth="1"/>
    <col min="14836" max="14836" width="7.75" style="210" customWidth="1"/>
    <col min="14837" max="14837" width="9.875" style="210" customWidth="1"/>
    <col min="14838" max="14838" width="10.625" style="210" customWidth="1"/>
    <col min="14839" max="15081" width="6.125" style="210"/>
    <col min="15082" max="15082" width="5" style="210" customWidth="1"/>
    <col min="15083" max="15083" width="8.875" style="210" customWidth="1"/>
    <col min="15084" max="15084" width="5" style="210" customWidth="1"/>
    <col min="15085" max="15085" width="8.25" style="210" bestFit="1" customWidth="1"/>
    <col min="15086" max="15086" width="16.125" style="210" customWidth="1"/>
    <col min="15087" max="15087" width="86" style="210" customWidth="1"/>
    <col min="15088" max="15088" width="5" style="210" customWidth="1"/>
    <col min="15089" max="15089" width="11.125" style="210" bestFit="1" customWidth="1"/>
    <col min="15090" max="15090" width="10.375" style="210" customWidth="1"/>
    <col min="15091" max="15091" width="10.875" style="210" customWidth="1"/>
    <col min="15092" max="15092" width="7.75" style="210" customWidth="1"/>
    <col min="15093" max="15093" width="9.875" style="210" customWidth="1"/>
    <col min="15094" max="15094" width="10.625" style="210" customWidth="1"/>
    <col min="15095" max="15337" width="6.125" style="210"/>
    <col min="15338" max="15338" width="5" style="210" customWidth="1"/>
    <col min="15339" max="15339" width="8.875" style="210" customWidth="1"/>
    <col min="15340" max="15340" width="5" style="210" customWidth="1"/>
    <col min="15341" max="15341" width="8.25" style="210" bestFit="1" customWidth="1"/>
    <col min="15342" max="15342" width="16.125" style="210" customWidth="1"/>
    <col min="15343" max="15343" width="86" style="210" customWidth="1"/>
    <col min="15344" max="15344" width="5" style="210" customWidth="1"/>
    <col min="15345" max="15345" width="11.125" style="210" bestFit="1" customWidth="1"/>
    <col min="15346" max="15346" width="10.375" style="210" customWidth="1"/>
    <col min="15347" max="15347" width="10.875" style="210" customWidth="1"/>
    <col min="15348" max="15348" width="7.75" style="210" customWidth="1"/>
    <col min="15349" max="15349" width="9.875" style="210" customWidth="1"/>
    <col min="15350" max="15350" width="10.625" style="210" customWidth="1"/>
    <col min="15351" max="15593" width="6.125" style="210"/>
    <col min="15594" max="15594" width="5" style="210" customWidth="1"/>
    <col min="15595" max="15595" width="8.875" style="210" customWidth="1"/>
    <col min="15596" max="15596" width="5" style="210" customWidth="1"/>
    <col min="15597" max="15597" width="8.25" style="210" bestFit="1" customWidth="1"/>
    <col min="15598" max="15598" width="16.125" style="210" customWidth="1"/>
    <col min="15599" max="15599" width="86" style="210" customWidth="1"/>
    <col min="15600" max="15600" width="5" style="210" customWidth="1"/>
    <col min="15601" max="15601" width="11.125" style="210" bestFit="1" customWidth="1"/>
    <col min="15602" max="15602" width="10.375" style="210" customWidth="1"/>
    <col min="15603" max="15603" width="10.875" style="210" customWidth="1"/>
    <col min="15604" max="15604" width="7.75" style="210" customWidth="1"/>
    <col min="15605" max="15605" width="9.875" style="210" customWidth="1"/>
    <col min="15606" max="15606" width="10.625" style="210" customWidth="1"/>
    <col min="15607" max="15849" width="6.125" style="210"/>
    <col min="15850" max="15850" width="5" style="210" customWidth="1"/>
    <col min="15851" max="15851" width="8.875" style="210" customWidth="1"/>
    <col min="15852" max="15852" width="5" style="210" customWidth="1"/>
    <col min="15853" max="15853" width="8.25" style="210" bestFit="1" customWidth="1"/>
    <col min="15854" max="15854" width="16.125" style="210" customWidth="1"/>
    <col min="15855" max="15855" width="86" style="210" customWidth="1"/>
    <col min="15856" max="15856" width="5" style="210" customWidth="1"/>
    <col min="15857" max="15857" width="11.125" style="210" bestFit="1" customWidth="1"/>
    <col min="15858" max="15858" width="10.375" style="210" customWidth="1"/>
    <col min="15859" max="15859" width="10.875" style="210" customWidth="1"/>
    <col min="15860" max="15860" width="7.75" style="210" customWidth="1"/>
    <col min="15861" max="15861" width="9.875" style="210" customWidth="1"/>
    <col min="15862" max="15862" width="10.625" style="210" customWidth="1"/>
    <col min="15863" max="16105" width="6.125" style="210"/>
    <col min="16106" max="16106" width="5" style="210" customWidth="1"/>
    <col min="16107" max="16107" width="8.875" style="210" customWidth="1"/>
    <col min="16108" max="16108" width="5" style="210" customWidth="1"/>
    <col min="16109" max="16109" width="8.25" style="210" bestFit="1" customWidth="1"/>
    <col min="16110" max="16110" width="16.125" style="210" customWidth="1"/>
    <col min="16111" max="16111" width="86" style="210" customWidth="1"/>
    <col min="16112" max="16112" width="5" style="210" customWidth="1"/>
    <col min="16113" max="16113" width="11.125" style="210" bestFit="1" customWidth="1"/>
    <col min="16114" max="16114" width="10.375" style="210" customWidth="1"/>
    <col min="16115" max="16115" width="10.875" style="210" customWidth="1"/>
    <col min="16116" max="16116" width="7.75" style="210" customWidth="1"/>
    <col min="16117" max="16117" width="9.875" style="210" customWidth="1"/>
    <col min="16118" max="16118" width="10.625" style="210" customWidth="1"/>
    <col min="16119" max="16384" width="6.125" style="210"/>
  </cols>
  <sheetData>
    <row r="1" spans="1:12">
      <c r="A1" s="205"/>
      <c r="B1" s="206"/>
      <c r="C1" s="206"/>
      <c r="D1" s="206"/>
      <c r="E1" s="206"/>
      <c r="F1" s="207" t="s">
        <v>290</v>
      </c>
      <c r="G1" s="206"/>
      <c r="H1" s="206"/>
      <c r="I1" s="206"/>
      <c r="J1" s="206"/>
      <c r="K1" s="206"/>
      <c r="L1" s="208"/>
    </row>
    <row r="2" spans="1:12">
      <c r="A2" s="205"/>
      <c r="B2" s="205"/>
      <c r="C2" s="205"/>
      <c r="D2" s="205"/>
      <c r="E2" s="205"/>
      <c r="F2" s="211"/>
      <c r="G2" s="205"/>
      <c r="H2" s="205"/>
      <c r="I2" s="205"/>
      <c r="J2" s="205"/>
      <c r="K2" s="205"/>
      <c r="L2" s="208"/>
    </row>
    <row r="3" spans="1:12" ht="26.25" customHeight="1">
      <c r="A3" s="205"/>
      <c r="B3" s="205"/>
      <c r="C3" s="205"/>
      <c r="D3" s="205"/>
      <c r="E3" s="205"/>
      <c r="F3" s="211"/>
      <c r="G3" s="205"/>
      <c r="H3" s="205"/>
      <c r="I3" s="205"/>
      <c r="J3" s="205"/>
      <c r="K3" s="640"/>
      <c r="L3" s="640"/>
    </row>
    <row r="4" spans="1:12" s="217" customFormat="1" ht="76.5">
      <c r="A4" s="212" t="s">
        <v>20</v>
      </c>
      <c r="B4" s="213" t="s">
        <v>0</v>
      </c>
      <c r="C4" s="213" t="s">
        <v>1</v>
      </c>
      <c r="D4" s="213" t="s">
        <v>2</v>
      </c>
      <c r="E4" s="213" t="s">
        <v>3</v>
      </c>
      <c r="F4" s="214" t="s">
        <v>291</v>
      </c>
      <c r="G4" s="215" t="s">
        <v>22</v>
      </c>
      <c r="H4" s="213" t="s">
        <v>292</v>
      </c>
      <c r="I4" s="213" t="s">
        <v>293</v>
      </c>
      <c r="J4" s="213" t="s">
        <v>294</v>
      </c>
      <c r="K4" s="213" t="s">
        <v>23</v>
      </c>
      <c r="L4" s="216" t="s">
        <v>5</v>
      </c>
    </row>
    <row r="5" spans="1:12">
      <c r="A5" s="218"/>
      <c r="B5" s="205"/>
      <c r="C5" s="205"/>
      <c r="D5" s="205"/>
      <c r="E5" s="205"/>
      <c r="F5" s="214"/>
      <c r="G5" s="215"/>
      <c r="H5" s="219"/>
      <c r="I5" s="219"/>
      <c r="J5" s="219"/>
      <c r="K5" s="220"/>
      <c r="L5" s="208"/>
    </row>
    <row r="6" spans="1:12" ht="25.5">
      <c r="A6" s="218">
        <v>1.1000000000000001</v>
      </c>
      <c r="B6" s="205"/>
      <c r="C6" s="205"/>
      <c r="D6" s="206" t="s">
        <v>6</v>
      </c>
      <c r="E6" s="205" t="s">
        <v>26</v>
      </c>
      <c r="F6" s="214" t="s">
        <v>295</v>
      </c>
      <c r="G6" s="205" t="s">
        <v>25</v>
      </c>
      <c r="H6" s="221">
        <v>40</v>
      </c>
      <c r="I6" s="221">
        <v>0</v>
      </c>
      <c r="J6" s="221">
        <f>SUM(H6:I6)</f>
        <v>40</v>
      </c>
      <c r="K6" s="221">
        <v>13386</v>
      </c>
      <c r="L6" s="208">
        <f>SUM(J6*K6)</f>
        <v>535440</v>
      </c>
    </row>
    <row r="7" spans="1:12" ht="155.25" customHeight="1">
      <c r="A7" s="218"/>
      <c r="B7" s="205"/>
      <c r="C7" s="205"/>
      <c r="D7" s="205"/>
      <c r="E7" s="205"/>
      <c r="F7" s="222" t="s">
        <v>334</v>
      </c>
      <c r="G7" s="205"/>
      <c r="H7" s="221"/>
      <c r="I7" s="221"/>
      <c r="J7" s="221"/>
      <c r="K7" s="221"/>
      <c r="L7" s="208"/>
    </row>
    <row r="8" spans="1:12">
      <c r="A8" s="218"/>
      <c r="B8" s="205"/>
      <c r="C8" s="205"/>
      <c r="D8" s="205"/>
      <c r="E8" s="205"/>
      <c r="F8" s="203"/>
      <c r="G8" s="205"/>
      <c r="H8" s="221"/>
      <c r="I8" s="221"/>
      <c r="J8" s="221"/>
      <c r="K8" s="221"/>
      <c r="L8" s="208"/>
    </row>
    <row r="9" spans="1:12" ht="25.5">
      <c r="A9" s="218">
        <v>1.2</v>
      </c>
      <c r="B9" s="205"/>
      <c r="C9" s="205"/>
      <c r="D9" s="206" t="s">
        <v>6</v>
      </c>
      <c r="E9" s="205" t="s">
        <v>26</v>
      </c>
      <c r="F9" s="214" t="s">
        <v>296</v>
      </c>
      <c r="G9" s="205" t="s">
        <v>25</v>
      </c>
      <c r="H9" s="221">
        <f>200-33</f>
        <v>167</v>
      </c>
      <c r="I9" s="221">
        <v>85</v>
      </c>
      <c r="J9" s="221">
        <f>SUM(H9:I9)</f>
        <v>252</v>
      </c>
      <c r="K9" s="221">
        <v>13386</v>
      </c>
      <c r="L9" s="208">
        <f t="shared" ref="L9:L66" si="0">SUM(J9*K9)</f>
        <v>3373272</v>
      </c>
    </row>
    <row r="10" spans="1:12" ht="159" customHeight="1">
      <c r="A10" s="218"/>
      <c r="B10" s="205"/>
      <c r="C10" s="205"/>
      <c r="D10" s="205"/>
      <c r="E10" s="205"/>
      <c r="F10" s="222" t="s">
        <v>340</v>
      </c>
      <c r="G10" s="205"/>
      <c r="H10" s="221"/>
      <c r="I10" s="221"/>
      <c r="J10" s="221"/>
      <c r="K10" s="221"/>
      <c r="L10" s="208"/>
    </row>
    <row r="11" spans="1:12">
      <c r="A11" s="218"/>
      <c r="B11" s="205"/>
      <c r="C11" s="205"/>
      <c r="D11" s="205"/>
      <c r="E11" s="205"/>
      <c r="F11" s="203"/>
      <c r="G11" s="205"/>
      <c r="H11" s="221"/>
      <c r="I11" s="221"/>
      <c r="J11" s="221"/>
      <c r="K11" s="221"/>
      <c r="L11" s="208"/>
    </row>
    <row r="12" spans="1:12" ht="25.5">
      <c r="A12" s="218">
        <v>1.3</v>
      </c>
      <c r="B12" s="205"/>
      <c r="C12" s="205"/>
      <c r="D12" s="206" t="s">
        <v>6</v>
      </c>
      <c r="E12" s="205" t="s">
        <v>214</v>
      </c>
      <c r="F12" s="207" t="s">
        <v>297</v>
      </c>
      <c r="G12" s="223" t="s">
        <v>7</v>
      </c>
      <c r="H12" s="221">
        <v>30</v>
      </c>
      <c r="I12" s="221">
        <v>0</v>
      </c>
      <c r="J12" s="221">
        <f>SUM(H12:I12)</f>
        <v>30</v>
      </c>
      <c r="K12" s="221">
        <v>4032</v>
      </c>
      <c r="L12" s="208">
        <f t="shared" si="0"/>
        <v>120960</v>
      </c>
    </row>
    <row r="13" spans="1:12" ht="155.25" customHeight="1">
      <c r="A13" s="218"/>
      <c r="B13" s="205"/>
      <c r="C13" s="205"/>
      <c r="D13" s="205"/>
      <c r="E13" s="205"/>
      <c r="F13" s="203" t="s">
        <v>278</v>
      </c>
      <c r="G13" s="223"/>
      <c r="H13" s="221"/>
      <c r="I13" s="221"/>
      <c r="J13" s="221"/>
      <c r="K13" s="221"/>
      <c r="L13" s="208"/>
    </row>
    <row r="14" spans="1:12">
      <c r="A14" s="218"/>
      <c r="B14" s="205"/>
      <c r="C14" s="205"/>
      <c r="D14" s="205"/>
      <c r="E14" s="205"/>
      <c r="F14" s="211"/>
      <c r="G14" s="205"/>
      <c r="H14" s="221"/>
      <c r="I14" s="221"/>
      <c r="J14" s="221"/>
      <c r="K14" s="221"/>
      <c r="L14" s="208"/>
    </row>
    <row r="15" spans="1:12" ht="25.5">
      <c r="A15" s="224">
        <v>1.4</v>
      </c>
      <c r="B15" s="213"/>
      <c r="C15" s="206" t="s">
        <v>102</v>
      </c>
      <c r="D15" s="206" t="s">
        <v>215</v>
      </c>
      <c r="E15" s="206" t="s">
        <v>216</v>
      </c>
      <c r="F15" s="207" t="s">
        <v>298</v>
      </c>
      <c r="G15" s="206" t="s">
        <v>7</v>
      </c>
      <c r="H15" s="221">
        <f>(3*3.6)+(25*3.6)</f>
        <v>100.8</v>
      </c>
      <c r="I15" s="221">
        <v>0</v>
      </c>
      <c r="J15" s="221">
        <f>SUM(H15:I15)</f>
        <v>100.8</v>
      </c>
      <c r="K15" s="221">
        <v>2298</v>
      </c>
      <c r="L15" s="208">
        <f t="shared" si="0"/>
        <v>231638.39999999999</v>
      </c>
    </row>
    <row r="16" spans="1:12" ht="69.599999999999994" customHeight="1">
      <c r="A16" s="213"/>
      <c r="B16" s="213"/>
      <c r="C16" s="213"/>
      <c r="D16" s="213"/>
      <c r="E16" s="213"/>
      <c r="F16" s="222" t="s">
        <v>341</v>
      </c>
      <c r="G16" s="206"/>
      <c r="H16" s="221"/>
      <c r="I16" s="221"/>
      <c r="J16" s="221"/>
      <c r="K16" s="221"/>
      <c r="L16" s="208"/>
    </row>
    <row r="17" spans="1:12">
      <c r="A17" s="213"/>
      <c r="B17" s="213"/>
      <c r="C17" s="213"/>
      <c r="D17" s="213"/>
      <c r="E17" s="213"/>
      <c r="F17" s="203"/>
      <c r="G17" s="206"/>
      <c r="H17" s="221"/>
      <c r="I17" s="221"/>
      <c r="J17" s="221"/>
      <c r="K17" s="221"/>
      <c r="L17" s="208"/>
    </row>
    <row r="18" spans="1:12">
      <c r="A18" s="224">
        <v>1.5</v>
      </c>
      <c r="B18" s="213"/>
      <c r="C18" s="213"/>
      <c r="D18" s="223" t="s">
        <v>215</v>
      </c>
      <c r="E18" s="223" t="s">
        <v>216</v>
      </c>
      <c r="F18" s="207" t="s">
        <v>299</v>
      </c>
      <c r="G18" s="223" t="s">
        <v>7</v>
      </c>
      <c r="H18" s="221">
        <v>12</v>
      </c>
      <c r="I18" s="221">
        <v>0</v>
      </c>
      <c r="J18" s="221">
        <f>SUM(H18:I18)</f>
        <v>12</v>
      </c>
      <c r="K18" s="221">
        <v>3430</v>
      </c>
      <c r="L18" s="208">
        <f t="shared" si="0"/>
        <v>41160</v>
      </c>
    </row>
    <row r="19" spans="1:12" ht="73.900000000000006" customHeight="1">
      <c r="A19" s="213"/>
      <c r="B19" s="213"/>
      <c r="C19" s="213"/>
      <c r="D19" s="225"/>
      <c r="E19" s="225"/>
      <c r="F19" s="222" t="s">
        <v>342</v>
      </c>
      <c r="G19" s="223"/>
      <c r="H19" s="221"/>
      <c r="I19" s="221"/>
      <c r="J19" s="221"/>
      <c r="K19" s="221"/>
      <c r="L19" s="208"/>
    </row>
    <row r="20" spans="1:12">
      <c r="A20" s="213"/>
      <c r="B20" s="213"/>
      <c r="C20" s="213"/>
      <c r="D20" s="225"/>
      <c r="E20" s="225"/>
      <c r="F20" s="203"/>
      <c r="G20" s="223"/>
      <c r="H20" s="221"/>
      <c r="I20" s="221"/>
      <c r="J20" s="221"/>
      <c r="K20" s="221"/>
      <c r="L20" s="208"/>
    </row>
    <row r="21" spans="1:12" ht="38.25">
      <c r="A21" s="206">
        <v>1.6</v>
      </c>
      <c r="B21" s="213"/>
      <c r="C21" s="213"/>
      <c r="D21" s="226" t="s">
        <v>219</v>
      </c>
      <c r="E21" s="226" t="s">
        <v>220</v>
      </c>
      <c r="F21" s="227" t="s">
        <v>221</v>
      </c>
      <c r="G21" s="226" t="s">
        <v>7</v>
      </c>
      <c r="H21" s="228">
        <v>1</v>
      </c>
      <c r="I21" s="228">
        <v>6</v>
      </c>
      <c r="J21" s="221">
        <f>SUM(H21:I21)</f>
        <v>7</v>
      </c>
      <c r="K21" s="221">
        <v>10278</v>
      </c>
      <c r="L21" s="208">
        <f t="shared" si="0"/>
        <v>71946</v>
      </c>
    </row>
    <row r="22" spans="1:12" ht="150" customHeight="1">
      <c r="A22" s="213"/>
      <c r="B22" s="213"/>
      <c r="C22" s="213"/>
      <c r="D22" s="229"/>
      <c r="E22" s="229"/>
      <c r="F22" s="230" t="s">
        <v>567</v>
      </c>
      <c r="G22" s="229"/>
      <c r="H22" s="228"/>
      <c r="I22" s="228"/>
      <c r="J22" s="228"/>
      <c r="K22" s="221"/>
      <c r="L22" s="208"/>
    </row>
    <row r="23" spans="1:12">
      <c r="A23" s="218"/>
      <c r="B23" s="205"/>
      <c r="C23" s="205"/>
      <c r="D23" s="205"/>
      <c r="E23" s="205"/>
      <c r="F23" s="211"/>
      <c r="G23" s="205"/>
      <c r="H23" s="221"/>
      <c r="I23" s="221"/>
      <c r="J23" s="221"/>
      <c r="K23" s="221"/>
      <c r="L23" s="208"/>
    </row>
    <row r="24" spans="1:12">
      <c r="A24" s="212"/>
      <c r="B24" s="215"/>
      <c r="C24" s="215"/>
      <c r="D24" s="215"/>
      <c r="E24" s="215"/>
      <c r="F24" s="214" t="s">
        <v>300</v>
      </c>
      <c r="G24" s="215"/>
      <c r="H24" s="219"/>
      <c r="I24" s="219"/>
      <c r="J24" s="219"/>
      <c r="K24" s="219"/>
      <c r="L24" s="216"/>
    </row>
    <row r="25" spans="1:12">
      <c r="A25" s="218"/>
      <c r="B25" s="205"/>
      <c r="C25" s="205"/>
      <c r="D25" s="205"/>
      <c r="E25" s="205"/>
      <c r="F25" s="214"/>
      <c r="G25" s="205"/>
      <c r="H25" s="221"/>
      <c r="I25" s="221"/>
      <c r="J25" s="221"/>
      <c r="K25" s="221"/>
      <c r="L25" s="208"/>
    </row>
    <row r="26" spans="1:12" ht="25.5">
      <c r="A26" s="218">
        <v>1.7</v>
      </c>
      <c r="B26" s="205"/>
      <c r="C26" s="205"/>
      <c r="D26" s="206" t="s">
        <v>301</v>
      </c>
      <c r="E26" s="205" t="s">
        <v>302</v>
      </c>
      <c r="F26" s="214" t="s">
        <v>303</v>
      </c>
      <c r="G26" s="205" t="s">
        <v>126</v>
      </c>
      <c r="H26" s="221">
        <v>1</v>
      </c>
      <c r="I26" s="221">
        <v>0</v>
      </c>
      <c r="J26" s="221">
        <f>SUM(H26:I26)</f>
        <v>1</v>
      </c>
      <c r="K26" s="221">
        <v>2256215</v>
      </c>
      <c r="L26" s="208">
        <f t="shared" si="0"/>
        <v>2256215</v>
      </c>
    </row>
    <row r="27" spans="1:12" ht="25.5">
      <c r="A27" s="218"/>
      <c r="B27" s="231"/>
      <c r="C27" s="231"/>
      <c r="D27" s="231"/>
      <c r="E27" s="205"/>
      <c r="F27" s="207" t="s">
        <v>304</v>
      </c>
      <c r="G27" s="205"/>
      <c r="H27" s="221"/>
      <c r="I27" s="221"/>
      <c r="J27" s="221"/>
      <c r="K27" s="221"/>
      <c r="L27" s="208"/>
    </row>
    <row r="28" spans="1:12">
      <c r="A28" s="218"/>
      <c r="B28" s="231"/>
      <c r="C28" s="231"/>
      <c r="D28" s="231"/>
      <c r="E28" s="205"/>
      <c r="F28" s="207" t="s">
        <v>305</v>
      </c>
      <c r="G28" s="205"/>
      <c r="H28" s="221"/>
      <c r="I28" s="221"/>
      <c r="J28" s="221"/>
      <c r="K28" s="221"/>
      <c r="L28" s="208"/>
    </row>
    <row r="29" spans="1:12" ht="204">
      <c r="A29" s="218"/>
      <c r="B29" s="231"/>
      <c r="C29" s="231"/>
      <c r="D29" s="231"/>
      <c r="E29" s="205"/>
      <c r="F29" s="222" t="s">
        <v>568</v>
      </c>
      <c r="G29" s="205"/>
      <c r="H29" s="221"/>
      <c r="I29" s="221"/>
      <c r="J29" s="221"/>
      <c r="K29" s="221"/>
      <c r="L29" s="208"/>
    </row>
    <row r="30" spans="1:12">
      <c r="A30" s="218"/>
      <c r="B30" s="231"/>
      <c r="C30" s="231"/>
      <c r="D30" s="231"/>
      <c r="E30" s="205"/>
      <c r="F30" s="207" t="s">
        <v>306</v>
      </c>
      <c r="G30" s="205"/>
      <c r="H30" s="221"/>
      <c r="I30" s="221"/>
      <c r="J30" s="221"/>
      <c r="K30" s="221"/>
      <c r="L30" s="208"/>
    </row>
    <row r="31" spans="1:12" ht="105.6" customHeight="1">
      <c r="A31" s="218"/>
      <c r="B31" s="231"/>
      <c r="C31" s="231"/>
      <c r="D31" s="231"/>
      <c r="E31" s="205"/>
      <c r="F31" s="222" t="s">
        <v>569</v>
      </c>
      <c r="G31" s="205"/>
      <c r="H31" s="221"/>
      <c r="I31" s="221"/>
      <c r="J31" s="221"/>
      <c r="K31" s="221"/>
      <c r="L31" s="208"/>
    </row>
    <row r="32" spans="1:12">
      <c r="A32" s="218"/>
      <c r="B32" s="231"/>
      <c r="C32" s="231"/>
      <c r="D32" s="231"/>
      <c r="E32" s="205"/>
      <c r="F32" s="207" t="s">
        <v>307</v>
      </c>
      <c r="G32" s="205"/>
      <c r="H32" s="221"/>
      <c r="I32" s="221"/>
      <c r="J32" s="221"/>
      <c r="K32" s="221"/>
      <c r="L32" s="208"/>
    </row>
    <row r="33" spans="1:12" ht="153">
      <c r="A33" s="218"/>
      <c r="B33" s="231"/>
      <c r="C33" s="231"/>
      <c r="D33" s="231"/>
      <c r="E33" s="205"/>
      <c r="F33" s="222" t="s">
        <v>570</v>
      </c>
      <c r="G33" s="205"/>
      <c r="H33" s="221"/>
      <c r="I33" s="221"/>
      <c r="J33" s="221"/>
      <c r="K33" s="221"/>
      <c r="L33" s="208"/>
    </row>
    <row r="34" spans="1:12">
      <c r="A34" s="218"/>
      <c r="B34" s="231"/>
      <c r="C34" s="231"/>
      <c r="D34" s="231"/>
      <c r="E34" s="205"/>
      <c r="F34" s="211"/>
      <c r="G34" s="205"/>
      <c r="H34" s="221"/>
      <c r="I34" s="221"/>
      <c r="J34" s="221"/>
      <c r="K34" s="221"/>
      <c r="L34" s="208"/>
    </row>
    <row r="35" spans="1:12" ht="25.5">
      <c r="A35" s="218">
        <v>1.8</v>
      </c>
      <c r="B35" s="205"/>
      <c r="C35" s="205"/>
      <c r="D35" s="206" t="s">
        <v>301</v>
      </c>
      <c r="E35" s="205" t="s">
        <v>308</v>
      </c>
      <c r="F35" s="207" t="s">
        <v>309</v>
      </c>
      <c r="G35" s="205"/>
      <c r="H35" s="221"/>
      <c r="I35" s="221"/>
      <c r="J35" s="221"/>
      <c r="K35" s="221"/>
      <c r="L35" s="208"/>
    </row>
    <row r="36" spans="1:12">
      <c r="A36" s="218"/>
      <c r="B36" s="231"/>
      <c r="C36" s="231"/>
      <c r="D36" s="231"/>
      <c r="E36" s="205"/>
      <c r="F36" s="207" t="s">
        <v>310</v>
      </c>
      <c r="G36" s="205" t="s">
        <v>126</v>
      </c>
      <c r="H36" s="221">
        <v>1</v>
      </c>
      <c r="I36" s="221">
        <v>0</v>
      </c>
      <c r="J36" s="221">
        <f>SUM(H36:I36)</f>
        <v>1</v>
      </c>
      <c r="K36" s="221">
        <v>386735</v>
      </c>
      <c r="L36" s="208">
        <f t="shared" si="0"/>
        <v>386735</v>
      </c>
    </row>
    <row r="37" spans="1:12" s="235" customFormat="1" ht="249" customHeight="1">
      <c r="A37" s="232"/>
      <c r="B37" s="233"/>
      <c r="C37" s="233"/>
      <c r="D37" s="233"/>
      <c r="E37" s="209"/>
      <c r="F37" s="222" t="s">
        <v>571</v>
      </c>
      <c r="G37" s="209"/>
      <c r="H37" s="234"/>
      <c r="I37" s="234"/>
      <c r="J37" s="234"/>
      <c r="K37" s="234"/>
      <c r="L37" s="208"/>
    </row>
    <row r="38" spans="1:12">
      <c r="A38" s="218"/>
      <c r="B38" s="205"/>
      <c r="C38" s="205"/>
      <c r="D38" s="205"/>
      <c r="E38" s="205"/>
      <c r="F38" s="211"/>
      <c r="G38" s="205"/>
      <c r="H38" s="221"/>
      <c r="I38" s="221"/>
      <c r="J38" s="221"/>
      <c r="K38" s="221"/>
      <c r="L38" s="208"/>
    </row>
    <row r="39" spans="1:12">
      <c r="A39" s="212" t="s">
        <v>16</v>
      </c>
      <c r="B39" s="236"/>
      <c r="C39" s="236"/>
      <c r="D39" s="236"/>
      <c r="E39" s="236"/>
      <c r="F39" s="214" t="s">
        <v>19</v>
      </c>
      <c r="G39" s="215"/>
      <c r="H39" s="219"/>
      <c r="I39" s="219"/>
      <c r="J39" s="219"/>
      <c r="K39" s="219"/>
      <c r="L39" s="208"/>
    </row>
    <row r="40" spans="1:12">
      <c r="A40" s="218"/>
      <c r="B40" s="231"/>
      <c r="C40" s="231"/>
      <c r="D40" s="231"/>
      <c r="E40" s="231"/>
      <c r="F40" s="214"/>
      <c r="G40" s="205"/>
      <c r="H40" s="221"/>
      <c r="I40" s="221"/>
      <c r="J40" s="221"/>
      <c r="K40" s="221"/>
      <c r="L40" s="208"/>
    </row>
    <row r="41" spans="1:12" ht="38.25">
      <c r="A41" s="218">
        <v>2.1</v>
      </c>
      <c r="B41" s="231"/>
      <c r="C41" s="231"/>
      <c r="D41" s="206" t="s">
        <v>141</v>
      </c>
      <c r="E41" s="206" t="s">
        <v>142</v>
      </c>
      <c r="F41" s="214" t="s">
        <v>335</v>
      </c>
      <c r="G41" s="205" t="s">
        <v>25</v>
      </c>
      <c r="H41" s="221">
        <f>10*4</f>
        <v>40</v>
      </c>
      <c r="I41" s="221"/>
      <c r="J41" s="221">
        <f>SUM(H41:I41)</f>
        <v>40</v>
      </c>
      <c r="K41" s="221">
        <v>4410</v>
      </c>
      <c r="L41" s="208">
        <f t="shared" si="0"/>
        <v>176400</v>
      </c>
    </row>
    <row r="42" spans="1:12" ht="89.45" customHeight="1">
      <c r="A42" s="218"/>
      <c r="B42" s="231"/>
      <c r="C42" s="231"/>
      <c r="D42" s="231"/>
      <c r="E42" s="231"/>
      <c r="F42" s="222" t="s">
        <v>336</v>
      </c>
      <c r="G42" s="205"/>
      <c r="H42" s="221"/>
      <c r="I42" s="221"/>
      <c r="J42" s="221"/>
      <c r="K42" s="221"/>
      <c r="L42" s="208"/>
    </row>
    <row r="43" spans="1:12">
      <c r="A43" s="218"/>
      <c r="B43" s="231"/>
      <c r="C43" s="231"/>
      <c r="D43" s="231"/>
      <c r="E43" s="231"/>
      <c r="F43" s="203" t="s">
        <v>311</v>
      </c>
      <c r="G43" s="205"/>
      <c r="H43" s="221"/>
      <c r="I43" s="221"/>
      <c r="J43" s="221"/>
      <c r="K43" s="221"/>
      <c r="L43" s="208"/>
    </row>
    <row r="44" spans="1:12">
      <c r="A44" s="218"/>
      <c r="B44" s="231"/>
      <c r="C44" s="231"/>
      <c r="D44" s="231"/>
      <c r="E44" s="231"/>
      <c r="F44" s="203"/>
      <c r="G44" s="205"/>
      <c r="H44" s="221"/>
      <c r="I44" s="221"/>
      <c r="J44" s="221"/>
      <c r="K44" s="221"/>
      <c r="L44" s="208"/>
    </row>
    <row r="45" spans="1:12" ht="25.5">
      <c r="A45" s="218">
        <v>2.2000000000000002</v>
      </c>
      <c r="B45" s="231"/>
      <c r="C45" s="231"/>
      <c r="D45" s="231" t="s">
        <v>30</v>
      </c>
      <c r="E45" s="231" t="s">
        <v>337</v>
      </c>
      <c r="F45" s="214" t="s">
        <v>146</v>
      </c>
      <c r="G45" s="205"/>
      <c r="H45" s="221"/>
      <c r="I45" s="221"/>
      <c r="J45" s="221"/>
      <c r="K45" s="237"/>
      <c r="L45" s="208"/>
    </row>
    <row r="46" spans="1:12" ht="108" customHeight="1">
      <c r="A46" s="218"/>
      <c r="B46" s="231"/>
      <c r="C46" s="231"/>
      <c r="D46" s="231"/>
      <c r="E46" s="231"/>
      <c r="F46" s="203" t="s">
        <v>549</v>
      </c>
      <c r="G46" s="205"/>
      <c r="H46" s="221"/>
      <c r="I46" s="221"/>
      <c r="J46" s="221"/>
      <c r="K46" s="221"/>
      <c r="L46" s="208"/>
    </row>
    <row r="47" spans="1:12">
      <c r="A47" s="218" t="s">
        <v>147</v>
      </c>
      <c r="B47" s="231"/>
      <c r="C47" s="231"/>
      <c r="D47" s="231"/>
      <c r="E47" s="231"/>
      <c r="F47" s="238" t="s">
        <v>550</v>
      </c>
      <c r="G47" s="205" t="s">
        <v>25</v>
      </c>
      <c r="H47" s="221">
        <f>13*4.5+40</f>
        <v>98.5</v>
      </c>
      <c r="I47" s="221">
        <v>15</v>
      </c>
      <c r="J47" s="221">
        <f t="shared" ref="J47:J50" si="1">SUM(H47:I47)</f>
        <v>113.5</v>
      </c>
      <c r="K47" s="221">
        <v>3018</v>
      </c>
      <c r="L47" s="208">
        <f t="shared" si="0"/>
        <v>342543</v>
      </c>
    </row>
    <row r="48" spans="1:12">
      <c r="A48" s="218" t="s">
        <v>148</v>
      </c>
      <c r="B48" s="231"/>
      <c r="C48" s="231"/>
      <c r="D48" s="231"/>
      <c r="E48" s="231"/>
      <c r="F48" s="238" t="s">
        <v>572</v>
      </c>
      <c r="G48" s="205" t="s">
        <v>25</v>
      </c>
      <c r="H48" s="221">
        <v>5</v>
      </c>
      <c r="I48" s="221">
        <v>5</v>
      </c>
      <c r="J48" s="221">
        <f t="shared" si="1"/>
        <v>10</v>
      </c>
      <c r="K48" s="221">
        <v>3426</v>
      </c>
      <c r="L48" s="208">
        <f t="shared" si="0"/>
        <v>34260</v>
      </c>
    </row>
    <row r="49" spans="1:12">
      <c r="A49" s="218" t="s">
        <v>149</v>
      </c>
      <c r="B49" s="231"/>
      <c r="C49" s="231"/>
      <c r="D49" s="231"/>
      <c r="E49" s="231"/>
      <c r="F49" s="238" t="s">
        <v>573</v>
      </c>
      <c r="G49" s="205" t="s">
        <v>25</v>
      </c>
      <c r="H49" s="221">
        <v>5</v>
      </c>
      <c r="I49" s="221">
        <v>5</v>
      </c>
      <c r="J49" s="221">
        <f t="shared" si="1"/>
        <v>10</v>
      </c>
      <c r="K49" s="221">
        <v>3990</v>
      </c>
      <c r="L49" s="208">
        <f t="shared" si="0"/>
        <v>39900</v>
      </c>
    </row>
    <row r="50" spans="1:12">
      <c r="A50" s="218" t="s">
        <v>150</v>
      </c>
      <c r="B50" s="231"/>
      <c r="C50" s="231"/>
      <c r="D50" s="231"/>
      <c r="E50" s="231"/>
      <c r="F50" s="238" t="s">
        <v>574</v>
      </c>
      <c r="G50" s="205" t="s">
        <v>25</v>
      </c>
      <c r="H50" s="221">
        <v>5</v>
      </c>
      <c r="I50" s="221">
        <v>5</v>
      </c>
      <c r="J50" s="221">
        <f t="shared" si="1"/>
        <v>10</v>
      </c>
      <c r="K50" s="221">
        <v>2040</v>
      </c>
      <c r="L50" s="208">
        <f t="shared" si="0"/>
        <v>20400</v>
      </c>
    </row>
    <row r="51" spans="1:12">
      <c r="A51" s="218"/>
      <c r="B51" s="231"/>
      <c r="C51" s="231"/>
      <c r="D51" s="231"/>
      <c r="E51" s="231"/>
      <c r="F51" s="203"/>
      <c r="G51" s="205"/>
      <c r="H51" s="221"/>
      <c r="I51" s="221"/>
      <c r="J51" s="221"/>
      <c r="K51" s="221"/>
      <c r="L51" s="208"/>
    </row>
    <row r="52" spans="1:12">
      <c r="A52" s="218"/>
      <c r="B52" s="231"/>
      <c r="C52" s="231"/>
      <c r="D52" s="231"/>
      <c r="E52" s="231"/>
      <c r="F52" s="238"/>
      <c r="G52" s="205"/>
      <c r="H52" s="221"/>
      <c r="I52" s="221"/>
      <c r="J52" s="221"/>
      <c r="K52" s="221"/>
      <c r="L52" s="208"/>
    </row>
    <row r="53" spans="1:12" ht="25.5">
      <c r="A53" s="218">
        <v>2.2999999999999998</v>
      </c>
      <c r="B53" s="231"/>
      <c r="C53" s="231"/>
      <c r="D53" s="231" t="s">
        <v>30</v>
      </c>
      <c r="E53" s="231" t="s">
        <v>312</v>
      </c>
      <c r="F53" s="214" t="s">
        <v>313</v>
      </c>
      <c r="G53" s="205" t="s">
        <v>25</v>
      </c>
      <c r="H53" s="221">
        <f>31+(1.5*3.6*4)</f>
        <v>52.6</v>
      </c>
      <c r="I53" s="221">
        <v>1</v>
      </c>
      <c r="J53" s="221">
        <f t="shared" ref="J53" si="2">SUM(H53:I53)</f>
        <v>53.6</v>
      </c>
      <c r="K53" s="221">
        <v>9600</v>
      </c>
      <c r="L53" s="208">
        <f t="shared" si="0"/>
        <v>514560</v>
      </c>
    </row>
    <row r="54" spans="1:12" ht="89.25">
      <c r="A54" s="218"/>
      <c r="B54" s="231"/>
      <c r="C54" s="231"/>
      <c r="D54" s="231"/>
      <c r="E54" s="231"/>
      <c r="F54" s="203" t="s">
        <v>597</v>
      </c>
      <c r="G54" s="205"/>
      <c r="H54" s="221"/>
      <c r="I54" s="221"/>
      <c r="J54" s="221"/>
      <c r="K54" s="221"/>
      <c r="L54" s="208"/>
    </row>
    <row r="55" spans="1:12">
      <c r="A55" s="218"/>
      <c r="B55" s="231"/>
      <c r="C55" s="231"/>
      <c r="D55" s="231"/>
      <c r="E55" s="231"/>
      <c r="F55" s="203" t="s">
        <v>314</v>
      </c>
      <c r="G55" s="205"/>
      <c r="H55" s="221"/>
      <c r="I55" s="221"/>
      <c r="J55" s="221"/>
      <c r="K55" s="221"/>
      <c r="L55" s="208"/>
    </row>
    <row r="56" spans="1:12">
      <c r="A56" s="218"/>
      <c r="B56" s="231"/>
      <c r="C56" s="231"/>
      <c r="D56" s="231"/>
      <c r="E56" s="231"/>
      <c r="F56" s="203"/>
      <c r="G56" s="205"/>
      <c r="H56" s="221"/>
      <c r="I56" s="221"/>
      <c r="J56" s="221"/>
      <c r="K56" s="221"/>
      <c r="L56" s="208"/>
    </row>
    <row r="57" spans="1:12" ht="25.5">
      <c r="A57" s="218">
        <v>2.4</v>
      </c>
      <c r="B57" s="236"/>
      <c r="C57" s="236"/>
      <c r="D57" s="231" t="s">
        <v>30</v>
      </c>
      <c r="E57" s="231" t="s">
        <v>267</v>
      </c>
      <c r="F57" s="214" t="s">
        <v>268</v>
      </c>
      <c r="G57" s="205" t="s">
        <v>28</v>
      </c>
      <c r="H57" s="221">
        <v>10</v>
      </c>
      <c r="I57" s="221">
        <v>0</v>
      </c>
      <c r="J57" s="221">
        <f>SUM(H57:I57)</f>
        <v>10</v>
      </c>
      <c r="K57" s="221">
        <v>5860</v>
      </c>
      <c r="L57" s="208">
        <f t="shared" si="0"/>
        <v>58600</v>
      </c>
    </row>
    <row r="58" spans="1:12" ht="138.75" customHeight="1">
      <c r="A58" s="212"/>
      <c r="B58" s="236"/>
      <c r="C58" s="236"/>
      <c r="D58" s="236"/>
      <c r="E58" s="236"/>
      <c r="F58" s="211" t="s">
        <v>598</v>
      </c>
      <c r="G58" s="215"/>
      <c r="H58" s="219"/>
      <c r="I58" s="219"/>
      <c r="J58" s="219"/>
      <c r="K58" s="219"/>
      <c r="L58" s="208"/>
    </row>
    <row r="59" spans="1:12">
      <c r="A59" s="218"/>
      <c r="B59" s="231"/>
      <c r="C59" s="231"/>
      <c r="D59" s="231"/>
      <c r="E59" s="231"/>
      <c r="F59" s="203"/>
      <c r="G59" s="205"/>
      <c r="H59" s="221"/>
      <c r="I59" s="221"/>
      <c r="J59" s="221"/>
      <c r="K59" s="221"/>
      <c r="L59" s="208"/>
    </row>
    <row r="60" spans="1:12" ht="38.25">
      <c r="A60" s="218">
        <v>2.5</v>
      </c>
      <c r="B60" s="236"/>
      <c r="C60" s="236"/>
      <c r="D60" s="231" t="s">
        <v>30</v>
      </c>
      <c r="E60" s="231" t="s">
        <v>230</v>
      </c>
      <c r="F60" s="214" t="s">
        <v>231</v>
      </c>
      <c r="G60" s="205" t="s">
        <v>25</v>
      </c>
      <c r="H60" s="221">
        <f>30+(1.35*3.6*4)</f>
        <v>49.44</v>
      </c>
      <c r="I60" s="221">
        <v>0</v>
      </c>
      <c r="J60" s="221">
        <f>SUM(H60:I60)</f>
        <v>49.44</v>
      </c>
      <c r="K60" s="221">
        <v>28755</v>
      </c>
      <c r="L60" s="208">
        <f t="shared" si="0"/>
        <v>1421647.2</v>
      </c>
    </row>
    <row r="61" spans="1:12" ht="134.25" customHeight="1">
      <c r="A61" s="212"/>
      <c r="B61" s="236"/>
      <c r="C61" s="236"/>
      <c r="D61" s="236"/>
      <c r="E61" s="236"/>
      <c r="F61" s="211" t="s">
        <v>599</v>
      </c>
      <c r="G61" s="215"/>
      <c r="H61" s="219"/>
      <c r="I61" s="219"/>
      <c r="J61" s="219"/>
      <c r="K61" s="219"/>
      <c r="L61" s="208"/>
    </row>
    <row r="62" spans="1:12">
      <c r="A62" s="218"/>
      <c r="B62" s="231"/>
      <c r="C62" s="231"/>
      <c r="D62" s="231"/>
      <c r="E62" s="231"/>
      <c r="F62" s="203"/>
      <c r="G62" s="205"/>
      <c r="H62" s="221"/>
      <c r="I62" s="221"/>
      <c r="J62" s="221"/>
      <c r="K62" s="221"/>
      <c r="L62" s="208"/>
    </row>
    <row r="63" spans="1:12" ht="25.5">
      <c r="A63" s="218">
        <v>2.6</v>
      </c>
      <c r="B63" s="231"/>
      <c r="C63" s="231"/>
      <c r="D63" s="231" t="s">
        <v>315</v>
      </c>
      <c r="E63" s="231" t="s">
        <v>316</v>
      </c>
      <c r="F63" s="240" t="s">
        <v>317</v>
      </c>
      <c r="G63" s="205" t="s">
        <v>8</v>
      </c>
      <c r="H63" s="221">
        <f>11+11</f>
        <v>22</v>
      </c>
      <c r="I63" s="221">
        <v>11</v>
      </c>
      <c r="J63" s="221">
        <f t="shared" ref="J63:J100" si="3">SUM(H63:I63)</f>
        <v>33</v>
      </c>
      <c r="K63" s="221">
        <v>67735</v>
      </c>
      <c r="L63" s="208">
        <f t="shared" si="0"/>
        <v>2235255</v>
      </c>
    </row>
    <row r="64" spans="1:12" ht="135" customHeight="1">
      <c r="A64" s="241"/>
      <c r="B64" s="231"/>
      <c r="C64" s="231"/>
      <c r="D64" s="231"/>
      <c r="E64" s="231"/>
      <c r="F64" s="242" t="s">
        <v>600</v>
      </c>
      <c r="G64" s="205"/>
      <c r="H64" s="221"/>
      <c r="I64" s="221"/>
      <c r="J64" s="221"/>
      <c r="K64" s="221"/>
      <c r="L64" s="208"/>
    </row>
    <row r="65" spans="1:12">
      <c r="A65" s="218"/>
      <c r="B65" s="231"/>
      <c r="C65" s="231"/>
      <c r="D65" s="231"/>
      <c r="E65" s="231"/>
      <c r="F65" s="211"/>
      <c r="G65" s="205"/>
      <c r="H65" s="221"/>
      <c r="I65" s="221"/>
      <c r="J65" s="221">
        <f t="shared" si="3"/>
        <v>0</v>
      </c>
      <c r="K65" s="221"/>
      <c r="L65" s="208"/>
    </row>
    <row r="66" spans="1:12" ht="25.5">
      <c r="A66" s="218">
        <v>2.7</v>
      </c>
      <c r="B66" s="231"/>
      <c r="C66" s="231"/>
      <c r="D66" s="231" t="s">
        <v>318</v>
      </c>
      <c r="E66" s="231" t="s">
        <v>338</v>
      </c>
      <c r="F66" s="240" t="s">
        <v>319</v>
      </c>
      <c r="G66" s="205" t="s">
        <v>126</v>
      </c>
      <c r="H66" s="221">
        <v>6</v>
      </c>
      <c r="I66" s="221">
        <v>0</v>
      </c>
      <c r="J66" s="221">
        <f t="shared" si="3"/>
        <v>6</v>
      </c>
      <c r="K66" s="221">
        <v>97690</v>
      </c>
      <c r="L66" s="208">
        <f t="shared" si="0"/>
        <v>586140</v>
      </c>
    </row>
    <row r="67" spans="1:12" ht="51">
      <c r="A67" s="205"/>
      <c r="B67" s="205"/>
      <c r="C67" s="205"/>
      <c r="D67" s="205"/>
      <c r="E67" s="205"/>
      <c r="F67" s="211" t="s">
        <v>601</v>
      </c>
      <c r="G67" s="205"/>
      <c r="H67" s="205"/>
      <c r="I67" s="205"/>
      <c r="J67" s="221">
        <f t="shared" si="3"/>
        <v>0</v>
      </c>
      <c r="K67" s="205"/>
      <c r="L67" s="208"/>
    </row>
    <row r="68" spans="1:12">
      <c r="A68" s="218"/>
      <c r="B68" s="231"/>
      <c r="C68" s="231"/>
      <c r="D68" s="231"/>
      <c r="E68" s="205"/>
      <c r="F68" s="211"/>
      <c r="G68" s="205"/>
      <c r="H68" s="221"/>
      <c r="I68" s="221"/>
      <c r="J68" s="221">
        <f t="shared" si="3"/>
        <v>0</v>
      </c>
      <c r="K68" s="221"/>
      <c r="L68" s="208"/>
    </row>
    <row r="69" spans="1:12">
      <c r="A69" s="218">
        <v>2.8</v>
      </c>
      <c r="B69" s="231"/>
      <c r="C69" s="231"/>
      <c r="D69" s="231" t="s">
        <v>34</v>
      </c>
      <c r="E69" s="231" t="s">
        <v>36</v>
      </c>
      <c r="F69" s="240" t="s">
        <v>320</v>
      </c>
      <c r="G69" s="205" t="s">
        <v>8</v>
      </c>
      <c r="H69" s="221">
        <v>12</v>
      </c>
      <c r="I69" s="221">
        <v>5</v>
      </c>
      <c r="J69" s="221">
        <f t="shared" si="3"/>
        <v>17</v>
      </c>
      <c r="K69" s="221">
        <v>1806</v>
      </c>
      <c r="L69" s="208">
        <f t="shared" ref="L69:L100" si="4">SUM(J69*K69)</f>
        <v>30702</v>
      </c>
    </row>
    <row r="70" spans="1:12" ht="33" customHeight="1">
      <c r="A70" s="218"/>
      <c r="B70" s="231"/>
      <c r="C70" s="231"/>
      <c r="D70" s="231"/>
      <c r="E70" s="205"/>
      <c r="F70" s="242" t="s">
        <v>49</v>
      </c>
      <c r="G70" s="205"/>
      <c r="H70" s="221"/>
      <c r="I70" s="221"/>
      <c r="J70" s="221">
        <f t="shared" si="3"/>
        <v>0</v>
      </c>
      <c r="K70" s="221"/>
      <c r="L70" s="208"/>
    </row>
    <row r="71" spans="1:12">
      <c r="A71" s="218"/>
      <c r="B71" s="231"/>
      <c r="C71" s="231"/>
      <c r="D71" s="231"/>
      <c r="E71" s="205"/>
      <c r="F71" s="211"/>
      <c r="G71" s="205"/>
      <c r="H71" s="221"/>
      <c r="I71" s="221"/>
      <c r="J71" s="221">
        <f t="shared" si="3"/>
        <v>0</v>
      </c>
      <c r="K71" s="221"/>
      <c r="L71" s="208"/>
    </row>
    <row r="72" spans="1:12">
      <c r="A72" s="218">
        <v>2.9</v>
      </c>
      <c r="B72" s="231"/>
      <c r="C72" s="231"/>
      <c r="D72" s="231" t="s">
        <v>315</v>
      </c>
      <c r="E72" s="231" t="s">
        <v>321</v>
      </c>
      <c r="F72" s="207" t="s">
        <v>322</v>
      </c>
      <c r="G72" s="205" t="s">
        <v>8</v>
      </c>
      <c r="H72" s="221">
        <v>12</v>
      </c>
      <c r="I72" s="221">
        <v>5</v>
      </c>
      <c r="J72" s="221">
        <f t="shared" si="3"/>
        <v>17</v>
      </c>
      <c r="K72" s="221">
        <v>9114</v>
      </c>
      <c r="L72" s="208">
        <f t="shared" si="4"/>
        <v>154938</v>
      </c>
    </row>
    <row r="73" spans="1:12" ht="63.75">
      <c r="A73" s="218"/>
      <c r="B73" s="231"/>
      <c r="C73" s="231"/>
      <c r="D73" s="231"/>
      <c r="E73" s="205"/>
      <c r="F73" s="203" t="s">
        <v>323</v>
      </c>
      <c r="G73" s="205"/>
      <c r="H73" s="221"/>
      <c r="I73" s="221"/>
      <c r="J73" s="221">
        <f t="shared" si="3"/>
        <v>0</v>
      </c>
      <c r="K73" s="221"/>
      <c r="L73" s="208"/>
    </row>
    <row r="74" spans="1:12">
      <c r="A74" s="218"/>
      <c r="B74" s="231"/>
      <c r="C74" s="231"/>
      <c r="D74" s="231"/>
      <c r="E74" s="205"/>
      <c r="F74" s="203"/>
      <c r="G74" s="205"/>
      <c r="H74" s="221"/>
      <c r="I74" s="221"/>
      <c r="J74" s="221">
        <f t="shared" si="3"/>
        <v>0</v>
      </c>
      <c r="K74" s="221"/>
      <c r="L74" s="208"/>
    </row>
    <row r="75" spans="1:12">
      <c r="A75" s="241">
        <v>2.1</v>
      </c>
      <c r="B75" s="231"/>
      <c r="C75" s="231"/>
      <c r="D75" s="231" t="s">
        <v>172</v>
      </c>
      <c r="E75" s="231" t="s">
        <v>249</v>
      </c>
      <c r="F75" s="240" t="s">
        <v>250</v>
      </c>
      <c r="G75" s="205" t="s">
        <v>126</v>
      </c>
      <c r="H75" s="221">
        <v>4</v>
      </c>
      <c r="I75" s="221">
        <v>0</v>
      </c>
      <c r="J75" s="221">
        <f t="shared" si="3"/>
        <v>4</v>
      </c>
      <c r="K75" s="221">
        <v>16272</v>
      </c>
      <c r="L75" s="208">
        <f t="shared" si="4"/>
        <v>65088</v>
      </c>
    </row>
    <row r="76" spans="1:12" ht="99.75" customHeight="1">
      <c r="A76" s="218"/>
      <c r="B76" s="231"/>
      <c r="C76" s="231"/>
      <c r="D76" s="231"/>
      <c r="E76" s="205"/>
      <c r="F76" s="242" t="s">
        <v>251</v>
      </c>
      <c r="G76" s="205"/>
      <c r="H76" s="221"/>
      <c r="I76" s="221"/>
      <c r="J76" s="221">
        <f t="shared" si="3"/>
        <v>0</v>
      </c>
      <c r="K76" s="221"/>
      <c r="L76" s="208"/>
    </row>
    <row r="77" spans="1:12">
      <c r="A77" s="218"/>
      <c r="B77" s="231"/>
      <c r="C77" s="231"/>
      <c r="D77" s="231"/>
      <c r="E77" s="205"/>
      <c r="F77" s="211"/>
      <c r="G77" s="205"/>
      <c r="H77" s="221"/>
      <c r="I77" s="221"/>
      <c r="J77" s="221">
        <f t="shared" si="3"/>
        <v>0</v>
      </c>
      <c r="K77" s="221"/>
      <c r="L77" s="208"/>
    </row>
    <row r="78" spans="1:12">
      <c r="A78" s="241">
        <v>2.11</v>
      </c>
      <c r="B78" s="236"/>
      <c r="C78" s="236"/>
      <c r="D78" s="231"/>
      <c r="E78" s="231"/>
      <c r="F78" s="214" t="s">
        <v>273</v>
      </c>
      <c r="G78" s="243" t="s">
        <v>7</v>
      </c>
      <c r="H78" s="239">
        <f>25+(2.5*8)</f>
        <v>45</v>
      </c>
      <c r="I78" s="239">
        <v>15</v>
      </c>
      <c r="J78" s="221">
        <f t="shared" si="3"/>
        <v>60</v>
      </c>
      <c r="K78" s="221">
        <v>6935</v>
      </c>
      <c r="L78" s="208">
        <f t="shared" si="4"/>
        <v>416100</v>
      </c>
    </row>
    <row r="79" spans="1:12" ht="76.5">
      <c r="A79" s="212"/>
      <c r="B79" s="236"/>
      <c r="C79" s="236"/>
      <c r="D79" s="231"/>
      <c r="E79" s="231"/>
      <c r="F79" s="203" t="s">
        <v>274</v>
      </c>
      <c r="G79" s="205"/>
      <c r="H79" s="221"/>
      <c r="I79" s="221"/>
      <c r="J79" s="221">
        <f t="shared" si="3"/>
        <v>0</v>
      </c>
      <c r="K79" s="221"/>
      <c r="L79" s="208"/>
    </row>
    <row r="80" spans="1:12">
      <c r="A80" s="205"/>
      <c r="B80" s="205"/>
      <c r="C80" s="205"/>
      <c r="D80" s="205"/>
      <c r="E80" s="205"/>
      <c r="F80" s="211"/>
      <c r="G80" s="205"/>
      <c r="H80" s="205"/>
      <c r="I80" s="205"/>
      <c r="J80" s="221">
        <f t="shared" si="3"/>
        <v>0</v>
      </c>
      <c r="K80" s="205"/>
      <c r="L80" s="208"/>
    </row>
    <row r="81" spans="1:12" ht="25.5">
      <c r="A81" s="241">
        <v>2.12</v>
      </c>
      <c r="B81" s="231"/>
      <c r="C81" s="231"/>
      <c r="D81" s="231" t="s">
        <v>172</v>
      </c>
      <c r="E81" s="231" t="s">
        <v>324</v>
      </c>
      <c r="F81" s="214" t="s">
        <v>325</v>
      </c>
      <c r="G81" s="205" t="s">
        <v>126</v>
      </c>
      <c r="H81" s="221">
        <v>1</v>
      </c>
      <c r="I81" s="221">
        <v>0</v>
      </c>
      <c r="J81" s="221">
        <f t="shared" si="3"/>
        <v>1</v>
      </c>
      <c r="K81" s="221">
        <v>45145</v>
      </c>
      <c r="L81" s="208">
        <f t="shared" si="4"/>
        <v>45145</v>
      </c>
    </row>
    <row r="82" spans="1:12" ht="140.25">
      <c r="A82" s="218"/>
      <c r="B82" s="231"/>
      <c r="C82" s="231"/>
      <c r="D82" s="231"/>
      <c r="E82" s="231"/>
      <c r="F82" s="203" t="s">
        <v>575</v>
      </c>
      <c r="G82" s="205"/>
      <c r="H82" s="221"/>
      <c r="I82" s="221"/>
      <c r="J82" s="221">
        <f t="shared" si="3"/>
        <v>0</v>
      </c>
      <c r="K82" s="221"/>
      <c r="L82" s="208"/>
    </row>
    <row r="83" spans="1:12">
      <c r="A83" s="241"/>
      <c r="B83" s="231"/>
      <c r="C83" s="231"/>
      <c r="D83" s="231"/>
      <c r="E83" s="231"/>
      <c r="F83" s="242"/>
      <c r="G83" s="205"/>
      <c r="H83" s="221"/>
      <c r="I83" s="221"/>
      <c r="J83" s="221">
        <f t="shared" si="3"/>
        <v>0</v>
      </c>
      <c r="K83" s="221"/>
      <c r="L83" s="208"/>
    </row>
    <row r="84" spans="1:12" ht="25.5">
      <c r="A84" s="241">
        <v>2.13</v>
      </c>
      <c r="B84" s="231"/>
      <c r="C84" s="231"/>
      <c r="D84" s="244" t="s">
        <v>178</v>
      </c>
      <c r="E84" s="244" t="s">
        <v>261</v>
      </c>
      <c r="F84" s="214" t="s">
        <v>262</v>
      </c>
      <c r="G84" s="243" t="s">
        <v>181</v>
      </c>
      <c r="H84" s="239">
        <v>1</v>
      </c>
      <c r="I84" s="239">
        <v>0</v>
      </c>
      <c r="J84" s="221">
        <f t="shared" si="3"/>
        <v>1</v>
      </c>
      <c r="K84" s="221">
        <v>119766</v>
      </c>
      <c r="L84" s="208">
        <f t="shared" si="4"/>
        <v>119766</v>
      </c>
    </row>
    <row r="85" spans="1:12">
      <c r="A85" s="218"/>
      <c r="B85" s="231"/>
      <c r="C85" s="231"/>
      <c r="D85" s="244"/>
      <c r="E85" s="243"/>
      <c r="F85" s="242" t="s">
        <v>326</v>
      </c>
      <c r="G85" s="243"/>
      <c r="H85" s="239"/>
      <c r="I85" s="239"/>
      <c r="J85" s="221">
        <f t="shared" si="3"/>
        <v>0</v>
      </c>
      <c r="K85" s="239"/>
      <c r="L85" s="208"/>
    </row>
    <row r="86" spans="1:12">
      <c r="A86" s="218"/>
      <c r="B86" s="231"/>
      <c r="C86" s="231"/>
      <c r="D86" s="244"/>
      <c r="E86" s="243"/>
      <c r="F86" s="242" t="s">
        <v>183</v>
      </c>
      <c r="G86" s="243"/>
      <c r="H86" s="239"/>
      <c r="I86" s="239"/>
      <c r="J86" s="221">
        <f t="shared" si="3"/>
        <v>0</v>
      </c>
      <c r="K86" s="239"/>
      <c r="L86" s="208"/>
    </row>
    <row r="87" spans="1:12" ht="143.25" customHeight="1">
      <c r="A87" s="218"/>
      <c r="B87" s="231"/>
      <c r="C87" s="231"/>
      <c r="D87" s="244"/>
      <c r="E87" s="243"/>
      <c r="F87" s="242" t="s">
        <v>602</v>
      </c>
      <c r="G87" s="243"/>
      <c r="H87" s="239"/>
      <c r="I87" s="239"/>
      <c r="J87" s="221">
        <f t="shared" si="3"/>
        <v>0</v>
      </c>
      <c r="K87" s="239"/>
      <c r="L87" s="208"/>
    </row>
    <row r="88" spans="1:12">
      <c r="A88" s="218"/>
      <c r="B88" s="231"/>
      <c r="C88" s="231"/>
      <c r="D88" s="244"/>
      <c r="E88" s="244"/>
      <c r="F88" s="240" t="s">
        <v>184</v>
      </c>
      <c r="G88" s="243"/>
      <c r="H88" s="239"/>
      <c r="I88" s="239"/>
      <c r="J88" s="221">
        <f t="shared" si="3"/>
        <v>0</v>
      </c>
      <c r="K88" s="239"/>
      <c r="L88" s="208"/>
    </row>
    <row r="89" spans="1:12" ht="128.25" customHeight="1">
      <c r="A89" s="218"/>
      <c r="B89" s="231"/>
      <c r="C89" s="231"/>
      <c r="D89" s="244"/>
      <c r="E89" s="243"/>
      <c r="F89" s="203" t="s">
        <v>603</v>
      </c>
      <c r="G89" s="243"/>
      <c r="H89" s="239"/>
      <c r="I89" s="239"/>
      <c r="J89" s="221">
        <f t="shared" si="3"/>
        <v>0</v>
      </c>
      <c r="K89" s="239"/>
      <c r="L89" s="208"/>
    </row>
    <row r="90" spans="1:12">
      <c r="A90" s="218"/>
      <c r="B90" s="231"/>
      <c r="C90" s="231"/>
      <c r="D90" s="244"/>
      <c r="E90" s="243"/>
      <c r="F90" s="207" t="s">
        <v>265</v>
      </c>
      <c r="G90" s="243"/>
      <c r="H90" s="239"/>
      <c r="I90" s="239"/>
      <c r="J90" s="221">
        <f t="shared" si="3"/>
        <v>0</v>
      </c>
      <c r="K90" s="239"/>
      <c r="L90" s="208"/>
    </row>
    <row r="91" spans="1:12" ht="33" customHeight="1">
      <c r="A91" s="218"/>
      <c r="B91" s="231"/>
      <c r="C91" s="231"/>
      <c r="D91" s="244"/>
      <c r="E91" s="243"/>
      <c r="F91" s="203" t="s">
        <v>604</v>
      </c>
      <c r="G91" s="243"/>
      <c r="H91" s="239"/>
      <c r="I91" s="239"/>
      <c r="J91" s="221">
        <f t="shared" si="3"/>
        <v>0</v>
      </c>
      <c r="K91" s="239"/>
      <c r="L91" s="208"/>
    </row>
    <row r="92" spans="1:12">
      <c r="A92" s="218"/>
      <c r="B92" s="231"/>
      <c r="C92" s="231"/>
      <c r="D92" s="244"/>
      <c r="E92" s="244"/>
      <c r="F92" s="240" t="s">
        <v>185</v>
      </c>
      <c r="G92" s="243"/>
      <c r="H92" s="239"/>
      <c r="I92" s="239"/>
      <c r="J92" s="221">
        <f t="shared" si="3"/>
        <v>0</v>
      </c>
      <c r="K92" s="239"/>
      <c r="L92" s="208"/>
    </row>
    <row r="93" spans="1:12" ht="81.75" customHeight="1">
      <c r="A93" s="218"/>
      <c r="B93" s="231"/>
      <c r="C93" s="231"/>
      <c r="D93" s="244"/>
      <c r="E93" s="243"/>
      <c r="F93" s="242" t="s">
        <v>327</v>
      </c>
      <c r="G93" s="243"/>
      <c r="H93" s="239"/>
      <c r="I93" s="239"/>
      <c r="J93" s="221">
        <f t="shared" si="3"/>
        <v>0</v>
      </c>
      <c r="K93" s="239"/>
      <c r="L93" s="208"/>
    </row>
    <row r="94" spans="1:12">
      <c r="A94" s="218"/>
      <c r="B94" s="231"/>
      <c r="C94" s="231"/>
      <c r="D94" s="231"/>
      <c r="E94" s="231"/>
      <c r="F94" s="211"/>
      <c r="G94" s="205"/>
      <c r="H94" s="221"/>
      <c r="I94" s="221"/>
      <c r="J94" s="221">
        <f t="shared" si="3"/>
        <v>0</v>
      </c>
      <c r="K94" s="237"/>
      <c r="L94" s="208"/>
    </row>
    <row r="95" spans="1:12">
      <c r="A95" s="245" t="s">
        <v>17</v>
      </c>
      <c r="B95" s="236"/>
      <c r="C95" s="236"/>
      <c r="D95" s="236"/>
      <c r="E95" s="236"/>
      <c r="F95" s="214" t="s">
        <v>42</v>
      </c>
      <c r="G95" s="215"/>
      <c r="H95" s="219"/>
      <c r="I95" s="219"/>
      <c r="J95" s="219">
        <f t="shared" si="3"/>
        <v>0</v>
      </c>
      <c r="K95" s="220"/>
      <c r="L95" s="216"/>
    </row>
    <row r="96" spans="1:12">
      <c r="A96" s="241"/>
      <c r="B96" s="231"/>
      <c r="C96" s="231"/>
      <c r="D96" s="231"/>
      <c r="E96" s="231"/>
      <c r="F96" s="214"/>
      <c r="G96" s="205"/>
      <c r="H96" s="221"/>
      <c r="I96" s="221"/>
      <c r="J96" s="221">
        <f t="shared" si="3"/>
        <v>0</v>
      </c>
      <c r="K96" s="237"/>
      <c r="L96" s="208"/>
    </row>
    <row r="97" spans="1:12">
      <c r="A97" s="218">
        <v>3.1</v>
      </c>
      <c r="B97" s="231"/>
      <c r="C97" s="231"/>
      <c r="D97" s="231" t="s">
        <v>13</v>
      </c>
      <c r="E97" s="231" t="s">
        <v>43</v>
      </c>
      <c r="F97" s="207" t="s">
        <v>201</v>
      </c>
      <c r="G97" s="205" t="s">
        <v>7</v>
      </c>
      <c r="H97" s="221">
        <v>21</v>
      </c>
      <c r="I97" s="221">
        <v>5</v>
      </c>
      <c r="J97" s="221">
        <f t="shared" si="3"/>
        <v>26</v>
      </c>
      <c r="K97" s="221">
        <v>492</v>
      </c>
      <c r="L97" s="208">
        <f t="shared" si="4"/>
        <v>12792</v>
      </c>
    </row>
    <row r="98" spans="1:12" ht="51">
      <c r="A98" s="218"/>
      <c r="B98" s="231"/>
      <c r="C98" s="231"/>
      <c r="D98" s="231"/>
      <c r="E98" s="231"/>
      <c r="F98" s="203" t="s">
        <v>45</v>
      </c>
      <c r="G98" s="205"/>
      <c r="H98" s="221"/>
      <c r="I98" s="221"/>
      <c r="J98" s="221">
        <f t="shared" si="3"/>
        <v>0</v>
      </c>
      <c r="K98" s="237"/>
      <c r="L98" s="208"/>
    </row>
    <row r="99" spans="1:12">
      <c r="A99" s="241"/>
      <c r="B99" s="231"/>
      <c r="C99" s="231"/>
      <c r="D99" s="231"/>
      <c r="E99" s="231"/>
      <c r="F99" s="214"/>
      <c r="G99" s="205"/>
      <c r="H99" s="221"/>
      <c r="I99" s="221"/>
      <c r="J99" s="221">
        <f t="shared" si="3"/>
        <v>0</v>
      </c>
      <c r="K99" s="237"/>
      <c r="L99" s="208"/>
    </row>
    <row r="100" spans="1:12" ht="25.5">
      <c r="A100" s="218">
        <v>3.2</v>
      </c>
      <c r="B100" s="231"/>
      <c r="C100" s="231"/>
      <c r="D100" s="231" t="s">
        <v>13</v>
      </c>
      <c r="E100" s="231" t="s">
        <v>46</v>
      </c>
      <c r="F100" s="207" t="s">
        <v>14</v>
      </c>
      <c r="G100" s="205" t="s">
        <v>7</v>
      </c>
      <c r="H100" s="221">
        <v>5</v>
      </c>
      <c r="I100" s="221">
        <v>5</v>
      </c>
      <c r="J100" s="221">
        <f t="shared" si="3"/>
        <v>10</v>
      </c>
      <c r="K100" s="221">
        <v>552</v>
      </c>
      <c r="L100" s="208">
        <f t="shared" si="4"/>
        <v>5520</v>
      </c>
    </row>
    <row r="101" spans="1:12" ht="51">
      <c r="A101" s="218"/>
      <c r="B101" s="231"/>
      <c r="C101" s="231"/>
      <c r="D101" s="231"/>
      <c r="E101" s="231"/>
      <c r="F101" s="203" t="s">
        <v>47</v>
      </c>
      <c r="G101" s="205"/>
      <c r="H101" s="221"/>
      <c r="I101" s="221"/>
      <c r="J101" s="221"/>
      <c r="K101" s="237"/>
      <c r="L101" s="208"/>
    </row>
    <row r="102" spans="1:12">
      <c r="A102" s="218"/>
      <c r="B102" s="231"/>
      <c r="C102" s="231"/>
      <c r="D102" s="231"/>
      <c r="E102" s="231"/>
      <c r="F102" s="211"/>
      <c r="G102" s="205"/>
      <c r="H102" s="221"/>
      <c r="I102" s="221"/>
      <c r="J102" s="221"/>
      <c r="K102" s="237"/>
      <c r="L102" s="208"/>
    </row>
    <row r="103" spans="1:12" ht="24.75" customHeight="1">
      <c r="A103" s="212"/>
      <c r="B103" s="236"/>
      <c r="C103" s="236"/>
      <c r="D103" s="236"/>
      <c r="E103" s="236"/>
      <c r="F103" s="214" t="s">
        <v>328</v>
      </c>
      <c r="G103" s="215"/>
      <c r="H103" s="219"/>
      <c r="I103" s="219"/>
      <c r="J103" s="219"/>
      <c r="K103" s="219"/>
      <c r="L103" s="216">
        <f>SUM(L6:L102)</f>
        <v>13297122.6</v>
      </c>
    </row>
  </sheetData>
  <mergeCells count="1">
    <mergeCell ref="K3:L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Y195"/>
  <sheetViews>
    <sheetView zoomScale="115" zoomScaleNormal="115" workbookViewId="0">
      <pane ySplit="4" topLeftCell="A83" activePane="bottomLeft" state="frozen"/>
      <selection pane="bottomLeft" activeCell="F92" sqref="F92"/>
    </sheetView>
  </sheetViews>
  <sheetFormatPr defaultColWidth="6.5" defaultRowHeight="15"/>
  <cols>
    <col min="1" max="1" width="4.5" style="62" customWidth="1"/>
    <col min="2" max="2" width="9.75" style="62" hidden="1" customWidth="1"/>
    <col min="3" max="3" width="4.875" style="62" hidden="1" customWidth="1"/>
    <col min="4" max="4" width="8.25" style="62" hidden="1" customWidth="1"/>
    <col min="5" max="5" width="11.375" style="62" customWidth="1"/>
    <col min="6" max="6" width="55" style="62" customWidth="1"/>
    <col min="7" max="7" width="5" style="62" bestFit="1" customWidth="1"/>
    <col min="8" max="8" width="8.5" style="62" customWidth="1"/>
    <col min="9" max="9" width="9" style="62" customWidth="1"/>
    <col min="10" max="10" width="13.5" style="62" customWidth="1"/>
    <col min="11" max="207" width="6.5" style="62" customWidth="1"/>
    <col min="208" max="16384" width="6.5" style="250"/>
  </cols>
  <sheetData>
    <row r="1" spans="1:10">
      <c r="A1" s="641" t="s">
        <v>611</v>
      </c>
      <c r="B1" s="642"/>
      <c r="C1" s="642"/>
      <c r="D1" s="642"/>
      <c r="E1" s="642"/>
      <c r="F1" s="642"/>
      <c r="G1" s="642"/>
      <c r="H1" s="642"/>
      <c r="I1" s="248"/>
      <c r="J1" s="249"/>
    </row>
    <row r="2" spans="1:10" ht="15.75">
      <c r="A2" s="643"/>
      <c r="B2" s="643"/>
      <c r="C2" s="643"/>
      <c r="D2" s="643"/>
      <c r="E2" s="643"/>
      <c r="F2" s="643"/>
      <c r="G2" s="643"/>
      <c r="H2" s="643"/>
      <c r="I2" s="251"/>
      <c r="J2" s="251"/>
    </row>
    <row r="3" spans="1:10" ht="15.75" thickBot="1">
      <c r="A3" s="252"/>
      <c r="B3" s="253"/>
      <c r="C3" s="253"/>
      <c r="D3" s="253"/>
      <c r="E3" s="253"/>
      <c r="F3" s="253"/>
      <c r="G3" s="253"/>
      <c r="H3" s="253"/>
      <c r="I3" s="644"/>
      <c r="J3" s="645"/>
    </row>
    <row r="4" spans="1:10" ht="60.75" thickBot="1">
      <c r="A4" s="252"/>
      <c r="B4" s="50" t="s">
        <v>0</v>
      </c>
      <c r="C4" s="50" t="s">
        <v>1</v>
      </c>
      <c r="D4" s="50" t="s">
        <v>2</v>
      </c>
      <c r="E4" s="50" t="s">
        <v>3</v>
      </c>
      <c r="F4" s="50" t="s">
        <v>344</v>
      </c>
      <c r="G4" s="50" t="s">
        <v>345</v>
      </c>
      <c r="H4" s="50" t="s">
        <v>4</v>
      </c>
      <c r="I4" s="70" t="s">
        <v>23</v>
      </c>
      <c r="J4" s="254" t="s">
        <v>5</v>
      </c>
    </row>
    <row r="5" spans="1:10">
      <c r="A5" s="58"/>
      <c r="B5" s="58"/>
      <c r="C5" s="58"/>
      <c r="D5" s="58"/>
      <c r="E5" s="58"/>
      <c r="F5" s="58"/>
      <c r="G5" s="58"/>
      <c r="H5" s="58"/>
      <c r="I5" s="61"/>
      <c r="J5" s="61"/>
    </row>
    <row r="6" spans="1:10">
      <c r="A6" s="255" t="s">
        <v>15</v>
      </c>
      <c r="B6" s="255"/>
      <c r="C6" s="71" t="s">
        <v>102</v>
      </c>
      <c r="D6" s="255"/>
      <c r="E6" s="255"/>
      <c r="F6" s="255" t="s">
        <v>98</v>
      </c>
      <c r="G6" s="255" t="s">
        <v>41</v>
      </c>
      <c r="H6" s="255">
        <v>1</v>
      </c>
      <c r="I6" s="256"/>
      <c r="J6" s="83">
        <f>SUM(H6*I6)</f>
        <v>0</v>
      </c>
    </row>
    <row r="7" spans="1:10" ht="15.75" thickBot="1">
      <c r="A7" s="257"/>
      <c r="B7" s="258"/>
      <c r="C7" s="259"/>
      <c r="D7" s="260"/>
      <c r="E7" s="261"/>
      <c r="F7" s="262"/>
      <c r="G7" s="263"/>
      <c r="H7" s="264"/>
      <c r="I7" s="265"/>
      <c r="J7" s="265"/>
    </row>
    <row r="8" spans="1:10" ht="15.75" thickBot="1">
      <c r="A8" s="49" t="s">
        <v>16</v>
      </c>
      <c r="B8" s="50"/>
      <c r="C8" s="50"/>
      <c r="D8" s="50"/>
      <c r="E8" s="50"/>
      <c r="F8" s="68" t="s">
        <v>100</v>
      </c>
      <c r="G8" s="50"/>
      <c r="H8" s="50"/>
      <c r="I8" s="70"/>
      <c r="J8" s="254"/>
    </row>
    <row r="9" spans="1:10" ht="240">
      <c r="A9" s="71">
        <v>2.1</v>
      </c>
      <c r="B9" s="71" t="s">
        <v>101</v>
      </c>
      <c r="C9" s="71" t="s">
        <v>102</v>
      </c>
      <c r="D9" s="71" t="s">
        <v>103</v>
      </c>
      <c r="E9" s="71" t="s">
        <v>346</v>
      </c>
      <c r="F9" s="72" t="s">
        <v>606</v>
      </c>
      <c r="G9" s="73" t="s">
        <v>105</v>
      </c>
      <c r="H9" s="73">
        <f>4*4.3</f>
        <v>17.2</v>
      </c>
      <c r="I9" s="604">
        <v>4536</v>
      </c>
      <c r="J9" s="83">
        <f>SUM(H9*I9)</f>
        <v>78019.199999999997</v>
      </c>
    </row>
    <row r="10" spans="1:10">
      <c r="A10" s="76"/>
      <c r="B10" s="76"/>
      <c r="C10" s="76"/>
      <c r="D10" s="76"/>
      <c r="E10" s="76"/>
      <c r="F10" s="76"/>
      <c r="G10" s="76"/>
      <c r="H10" s="266"/>
      <c r="I10" s="78"/>
      <c r="J10" s="78"/>
    </row>
    <row r="11" spans="1:10" ht="255">
      <c r="A11" s="80">
        <v>2.2000000000000002</v>
      </c>
      <c r="B11" s="80" t="s">
        <v>101</v>
      </c>
      <c r="C11" s="80" t="s">
        <v>102</v>
      </c>
      <c r="D11" s="80" t="s">
        <v>103</v>
      </c>
      <c r="E11" s="80" t="s">
        <v>106</v>
      </c>
      <c r="F11" s="81" t="s">
        <v>608</v>
      </c>
      <c r="G11" s="82" t="s">
        <v>105</v>
      </c>
      <c r="H11" s="62">
        <f>1.25*3+0.25</f>
        <v>4</v>
      </c>
      <c r="I11" s="604">
        <v>2622</v>
      </c>
      <c r="J11" s="83">
        <f>SUM(H11*I11)</f>
        <v>10488</v>
      </c>
    </row>
    <row r="12" spans="1:10">
      <c r="A12" s="76"/>
      <c r="B12" s="76"/>
      <c r="C12" s="76"/>
      <c r="D12" s="76"/>
      <c r="E12" s="76"/>
      <c r="F12" s="76"/>
      <c r="G12" s="76"/>
      <c r="H12" s="266"/>
      <c r="I12" s="78"/>
      <c r="J12" s="78"/>
    </row>
    <row r="13" spans="1:10" ht="315">
      <c r="A13" s="80">
        <v>2.2999999999999998</v>
      </c>
      <c r="B13" s="80" t="s">
        <v>107</v>
      </c>
      <c r="C13" s="80" t="s">
        <v>102</v>
      </c>
      <c r="D13" s="80" t="s">
        <v>108</v>
      </c>
      <c r="E13" s="80" t="s">
        <v>109</v>
      </c>
      <c r="F13" s="81" t="s">
        <v>110</v>
      </c>
      <c r="G13" s="82" t="s">
        <v>105</v>
      </c>
      <c r="H13" s="394">
        <f>SUM(H9)*2+4</f>
        <v>38.4</v>
      </c>
      <c r="I13" s="604">
        <v>1200</v>
      </c>
      <c r="J13" s="83">
        <f>SUM(H13*I13)</f>
        <v>46080</v>
      </c>
    </row>
    <row r="14" spans="1:10">
      <c r="A14" s="76"/>
      <c r="B14" s="76"/>
      <c r="C14" s="76"/>
      <c r="D14" s="76"/>
      <c r="E14" s="76"/>
      <c r="F14" s="76"/>
      <c r="G14" s="76"/>
      <c r="H14" s="266"/>
      <c r="I14" s="78"/>
      <c r="J14" s="78"/>
    </row>
    <row r="15" spans="1:10" ht="315">
      <c r="A15" s="80">
        <v>2.4</v>
      </c>
      <c r="B15" s="80" t="s">
        <v>107</v>
      </c>
      <c r="C15" s="80" t="s">
        <v>102</v>
      </c>
      <c r="D15" s="80" t="s">
        <v>111</v>
      </c>
      <c r="E15" s="80" t="s">
        <v>347</v>
      </c>
      <c r="F15" s="81" t="s">
        <v>110</v>
      </c>
      <c r="G15" s="82" t="s">
        <v>105</v>
      </c>
      <c r="H15" s="394">
        <f>(26*4.3)</f>
        <v>111.8</v>
      </c>
      <c r="I15" s="604">
        <v>456</v>
      </c>
      <c r="J15" s="83">
        <f>SUM(H15*I15)</f>
        <v>50980.799999999996</v>
      </c>
    </row>
    <row r="16" spans="1:10">
      <c r="A16" s="271"/>
      <c r="B16" s="271"/>
      <c r="C16" s="271"/>
      <c r="D16" s="271"/>
      <c r="E16" s="271"/>
      <c r="F16" s="76"/>
      <c r="G16" s="271"/>
      <c r="H16" s="266"/>
      <c r="I16" s="78"/>
      <c r="J16" s="78"/>
    </row>
    <row r="17" spans="1:207" ht="150">
      <c r="A17" s="80">
        <v>2.5</v>
      </c>
      <c r="B17" s="80" t="s">
        <v>352</v>
      </c>
      <c r="C17" s="80" t="s">
        <v>102</v>
      </c>
      <c r="D17" s="80" t="s">
        <v>114</v>
      </c>
      <c r="E17" s="80" t="s">
        <v>353</v>
      </c>
      <c r="F17" s="81" t="s">
        <v>704</v>
      </c>
      <c r="G17" s="82" t="s">
        <v>105</v>
      </c>
      <c r="H17" s="266">
        <v>5</v>
      </c>
      <c r="I17" s="604">
        <v>3138</v>
      </c>
      <c r="J17" s="83">
        <f>SUM(H17*I17)</f>
        <v>15690</v>
      </c>
    </row>
    <row r="18" spans="1:207">
      <c r="A18" s="80"/>
      <c r="B18" s="80"/>
      <c r="C18" s="80"/>
      <c r="D18" s="80"/>
      <c r="E18" s="80"/>
      <c r="F18" s="81"/>
      <c r="G18" s="82"/>
      <c r="H18" s="266"/>
      <c r="I18" s="78"/>
      <c r="J18" s="78"/>
    </row>
    <row r="19" spans="1:207" ht="135">
      <c r="A19" s="80">
        <v>2.6</v>
      </c>
      <c r="B19" s="80" t="s">
        <v>352</v>
      </c>
      <c r="C19" s="80" t="s">
        <v>102</v>
      </c>
      <c r="D19" s="80" t="s">
        <v>114</v>
      </c>
      <c r="E19" s="80" t="s">
        <v>115</v>
      </c>
      <c r="F19" s="81" t="s">
        <v>705</v>
      </c>
      <c r="G19" s="82" t="s">
        <v>105</v>
      </c>
      <c r="H19" s="266">
        <v>65</v>
      </c>
      <c r="I19" s="604">
        <v>2154</v>
      </c>
      <c r="J19" s="83">
        <f>SUM(H19*I19)</f>
        <v>140010</v>
      </c>
    </row>
    <row r="20" spans="1:207">
      <c r="A20" s="84"/>
      <c r="B20" s="84"/>
      <c r="C20" s="84"/>
      <c r="D20" s="84"/>
      <c r="E20" s="84"/>
      <c r="F20" s="81"/>
      <c r="G20" s="86"/>
      <c r="H20" s="272"/>
      <c r="I20" s="88"/>
      <c r="J20" s="273"/>
    </row>
    <row r="21" spans="1:207" ht="15.75" thickBot="1">
      <c r="A21" s="274"/>
      <c r="B21" s="274"/>
      <c r="C21" s="274"/>
      <c r="D21" s="274"/>
      <c r="E21" s="274"/>
      <c r="F21" s="275"/>
      <c r="G21" s="274"/>
      <c r="H21" s="255"/>
      <c r="I21" s="276"/>
      <c r="J21" s="276"/>
    </row>
    <row r="22" spans="1:207" ht="15.75" thickBot="1">
      <c r="A22" s="49" t="s">
        <v>17</v>
      </c>
      <c r="B22" s="53"/>
      <c r="C22" s="53"/>
      <c r="D22" s="53"/>
      <c r="E22" s="53"/>
      <c r="F22" s="50" t="s">
        <v>357</v>
      </c>
      <c r="G22" s="53"/>
      <c r="H22" s="53"/>
      <c r="I22" s="277"/>
      <c r="J22" s="278"/>
    </row>
    <row r="23" spans="1:207">
      <c r="A23" s="279"/>
      <c r="B23" s="31"/>
      <c r="C23" s="31"/>
      <c r="D23" s="31"/>
      <c r="E23" s="31"/>
      <c r="F23" s="58" t="s">
        <v>358</v>
      </c>
      <c r="G23" s="31"/>
      <c r="H23" s="31"/>
      <c r="I23" s="279"/>
      <c r="J23" s="279"/>
    </row>
    <row r="24" spans="1:207" ht="30">
      <c r="A24" s="266">
        <v>3.1</v>
      </c>
      <c r="B24" s="77"/>
      <c r="C24" s="266" t="s">
        <v>102</v>
      </c>
      <c r="D24" s="266" t="s">
        <v>6</v>
      </c>
      <c r="E24" s="266" t="s">
        <v>359</v>
      </c>
      <c r="F24" s="76" t="s">
        <v>360</v>
      </c>
      <c r="G24" s="266" t="s">
        <v>7</v>
      </c>
      <c r="H24" s="266">
        <v>5</v>
      </c>
      <c r="I24" s="604">
        <v>12294</v>
      </c>
      <c r="J24" s="267">
        <f t="shared" ref="J24:J60" si="0">SUM(H24*I24)</f>
        <v>61470</v>
      </c>
    </row>
    <row r="25" spans="1:207" ht="135">
      <c r="A25" s="77"/>
      <c r="B25" s="77"/>
      <c r="C25" s="77"/>
      <c r="D25" s="77"/>
      <c r="E25" s="77"/>
      <c r="F25" s="266" t="s">
        <v>581</v>
      </c>
      <c r="G25" s="77"/>
      <c r="H25" s="77"/>
      <c r="I25" s="266"/>
      <c r="J25" s="267"/>
    </row>
    <row r="26" spans="1:207">
      <c r="A26" s="77"/>
      <c r="B26" s="77"/>
      <c r="C26" s="77"/>
      <c r="D26" s="77"/>
      <c r="E26" s="77"/>
      <c r="F26" s="77"/>
      <c r="G26" s="77"/>
      <c r="H26" s="77"/>
      <c r="I26" s="266"/>
      <c r="J26" s="267"/>
    </row>
    <row r="27" spans="1:207" ht="25.5">
      <c r="A27" s="266">
        <v>3.2</v>
      </c>
      <c r="B27" s="77"/>
      <c r="C27" s="266"/>
      <c r="D27" s="266"/>
      <c r="E27" s="205" t="s">
        <v>706</v>
      </c>
      <c r="F27" s="363" t="s">
        <v>707</v>
      </c>
      <c r="G27" s="205" t="s">
        <v>25</v>
      </c>
      <c r="H27" s="221">
        <v>60</v>
      </c>
      <c r="I27" s="604">
        <v>16440</v>
      </c>
      <c r="J27" s="267">
        <f t="shared" si="0"/>
        <v>986400</v>
      </c>
    </row>
    <row r="28" spans="1:207" ht="390.75" thickBot="1">
      <c r="A28" s="77"/>
      <c r="B28" s="77"/>
      <c r="C28" s="77"/>
      <c r="D28" s="77"/>
      <c r="E28" s="205"/>
      <c r="F28" s="403" t="s">
        <v>670</v>
      </c>
      <c r="G28" s="205"/>
      <c r="H28" s="221"/>
      <c r="I28" s="221"/>
      <c r="J28" s="221"/>
    </row>
    <row r="29" spans="1:207" s="293" customFormat="1">
      <c r="A29" s="285"/>
      <c r="B29" s="285"/>
      <c r="C29" s="285"/>
      <c r="D29" s="285"/>
      <c r="E29" s="286"/>
      <c r="F29" s="285"/>
      <c r="G29" s="288"/>
      <c r="H29" s="289"/>
      <c r="I29" s="290"/>
      <c r="J29" s="291"/>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2"/>
      <c r="GD29" s="292"/>
      <c r="GE29" s="292"/>
      <c r="GF29" s="292"/>
      <c r="GG29" s="292"/>
      <c r="GH29" s="292"/>
      <c r="GI29" s="292"/>
      <c r="GJ29" s="292"/>
      <c r="GK29" s="292"/>
      <c r="GL29" s="292"/>
      <c r="GM29" s="292"/>
      <c r="GN29" s="292"/>
      <c r="GO29" s="292"/>
      <c r="GP29" s="292"/>
      <c r="GQ29" s="292"/>
      <c r="GR29" s="292"/>
      <c r="GS29" s="292"/>
      <c r="GT29" s="292"/>
      <c r="GU29" s="292"/>
      <c r="GV29" s="292"/>
      <c r="GW29" s="292"/>
      <c r="GX29" s="292"/>
      <c r="GY29" s="292"/>
    </row>
    <row r="30" spans="1:207">
      <c r="A30" s="77"/>
      <c r="B30" s="77"/>
      <c r="C30" s="77"/>
      <c r="D30" s="77"/>
      <c r="E30" s="77"/>
      <c r="F30" s="294" t="s">
        <v>371</v>
      </c>
      <c r="G30" s="77"/>
      <c r="H30" s="295"/>
      <c r="I30" s="266"/>
      <c r="J30" s="267"/>
    </row>
    <row r="31" spans="1:207" ht="30">
      <c r="A31" s="266">
        <v>3.3</v>
      </c>
      <c r="B31" s="77"/>
      <c r="C31" s="266" t="s">
        <v>102</v>
      </c>
      <c r="D31" s="266" t="s">
        <v>219</v>
      </c>
      <c r="E31" s="266" t="s">
        <v>372</v>
      </c>
      <c r="F31" s="76" t="s">
        <v>373</v>
      </c>
      <c r="G31" s="266" t="s">
        <v>7</v>
      </c>
      <c r="H31" s="295">
        <f>7*3</f>
        <v>21</v>
      </c>
      <c r="I31" s="604">
        <v>8898</v>
      </c>
      <c r="J31" s="267">
        <f>SUM(H31*I31)</f>
        <v>186858</v>
      </c>
    </row>
    <row r="32" spans="1:207" ht="105">
      <c r="A32" s="77"/>
      <c r="B32" s="77"/>
      <c r="C32" s="77"/>
      <c r="D32" s="77"/>
      <c r="E32" s="77"/>
      <c r="F32" s="266" t="s">
        <v>583</v>
      </c>
      <c r="G32" s="77"/>
      <c r="H32" s="295"/>
      <c r="I32" s="266"/>
      <c r="J32" s="267"/>
    </row>
    <row r="33" spans="1:10">
      <c r="A33" s="77"/>
      <c r="B33" s="77"/>
      <c r="C33" s="77"/>
      <c r="D33" s="77"/>
      <c r="E33" s="77"/>
      <c r="F33" s="81"/>
      <c r="G33" s="77"/>
      <c r="H33" s="295"/>
      <c r="I33" s="266"/>
      <c r="J33" s="267"/>
    </row>
    <row r="34" spans="1:10" ht="30">
      <c r="A34" s="266">
        <v>3.4</v>
      </c>
      <c r="B34" s="77"/>
      <c r="C34" s="266" t="s">
        <v>102</v>
      </c>
      <c r="D34" s="266" t="s">
        <v>219</v>
      </c>
      <c r="E34" s="266" t="s">
        <v>220</v>
      </c>
      <c r="F34" s="76" t="s">
        <v>221</v>
      </c>
      <c r="G34" s="266" t="s">
        <v>7</v>
      </c>
      <c r="H34" s="295">
        <v>3</v>
      </c>
      <c r="I34" s="604">
        <v>10278</v>
      </c>
      <c r="J34" s="267">
        <f t="shared" si="0"/>
        <v>30834</v>
      </c>
    </row>
    <row r="35" spans="1:10" ht="150">
      <c r="A35" s="77"/>
      <c r="B35" s="77"/>
      <c r="C35" s="77"/>
      <c r="D35" s="77"/>
      <c r="E35" s="77"/>
      <c r="F35" s="266" t="s">
        <v>671</v>
      </c>
      <c r="G35" s="77"/>
      <c r="H35" s="295"/>
      <c r="I35" s="266"/>
      <c r="J35" s="267"/>
    </row>
    <row r="36" spans="1:10">
      <c r="A36" s="266"/>
      <c r="B36" s="295"/>
      <c r="C36" s="266"/>
      <c r="D36" s="266"/>
      <c r="E36" s="266"/>
      <c r="F36" s="266"/>
      <c r="G36" s="266"/>
      <c r="H36" s="266"/>
      <c r="I36" s="280"/>
      <c r="J36" s="267"/>
    </row>
    <row r="37" spans="1:10" ht="30">
      <c r="A37" s="266">
        <v>3.5</v>
      </c>
      <c r="B37" s="295"/>
      <c r="C37" s="266" t="s">
        <v>102</v>
      </c>
      <c r="D37" s="266" t="s">
        <v>381</v>
      </c>
      <c r="E37" s="266" t="s">
        <v>382</v>
      </c>
      <c r="F37" s="76" t="s">
        <v>383</v>
      </c>
      <c r="G37" s="266" t="s">
        <v>8</v>
      </c>
      <c r="H37" s="266">
        <v>7</v>
      </c>
      <c r="I37" s="604">
        <v>2214</v>
      </c>
      <c r="J37" s="267">
        <f t="shared" si="0"/>
        <v>15498</v>
      </c>
    </row>
    <row r="38" spans="1:10" ht="135">
      <c r="A38" s="77"/>
      <c r="B38" s="295"/>
      <c r="C38" s="77"/>
      <c r="D38" s="77"/>
      <c r="E38" s="77"/>
      <c r="F38" s="266" t="s">
        <v>585</v>
      </c>
      <c r="G38" s="77"/>
      <c r="H38" s="77"/>
      <c r="I38" s="266"/>
      <c r="J38" s="267"/>
    </row>
    <row r="39" spans="1:10">
      <c r="A39" s="77"/>
      <c r="B39" s="295"/>
      <c r="C39" s="77"/>
      <c r="D39" s="77"/>
      <c r="E39" s="77"/>
      <c r="F39" s="81"/>
      <c r="G39" s="77"/>
      <c r="H39" s="77"/>
      <c r="I39" s="266"/>
      <c r="J39" s="267"/>
    </row>
    <row r="40" spans="1:10" ht="30">
      <c r="A40" s="266">
        <v>3.6</v>
      </c>
      <c r="B40" s="295"/>
      <c r="C40" s="266" t="s">
        <v>102</v>
      </c>
      <c r="D40" s="266" t="s">
        <v>392</v>
      </c>
      <c r="E40" s="266" t="s">
        <v>393</v>
      </c>
      <c r="F40" s="76" t="s">
        <v>613</v>
      </c>
      <c r="G40" s="266" t="s">
        <v>8</v>
      </c>
      <c r="H40" s="266">
        <v>1</v>
      </c>
      <c r="I40" s="604">
        <v>49098</v>
      </c>
      <c r="J40" s="267">
        <f t="shared" si="0"/>
        <v>49098</v>
      </c>
    </row>
    <row r="41" spans="1:10" ht="180">
      <c r="A41" s="77"/>
      <c r="B41" s="295"/>
      <c r="C41" s="77"/>
      <c r="D41" s="77"/>
      <c r="E41" s="77"/>
      <c r="F41" s="266" t="s">
        <v>586</v>
      </c>
      <c r="G41" s="77"/>
      <c r="H41" s="77"/>
      <c r="I41" s="266"/>
      <c r="J41" s="267"/>
    </row>
    <row r="42" spans="1:10">
      <c r="A42" s="77"/>
      <c r="B42" s="295"/>
      <c r="C42" s="77"/>
      <c r="D42" s="77"/>
      <c r="E42" s="77"/>
      <c r="F42" s="266" t="s">
        <v>672</v>
      </c>
      <c r="G42" s="77"/>
      <c r="H42" s="77"/>
      <c r="I42" s="266"/>
      <c r="J42" s="267"/>
    </row>
    <row r="43" spans="1:10">
      <c r="A43" s="77"/>
      <c r="B43" s="295"/>
      <c r="C43" s="77"/>
      <c r="D43" s="77"/>
      <c r="E43" s="77"/>
      <c r="F43" s="266"/>
      <c r="G43" s="77"/>
      <c r="H43" s="77"/>
      <c r="I43" s="266"/>
      <c r="J43" s="267"/>
    </row>
    <row r="44" spans="1:10">
      <c r="A44" s="266">
        <v>3.7</v>
      </c>
      <c r="B44" s="295"/>
      <c r="C44" s="266" t="s">
        <v>102</v>
      </c>
      <c r="D44" s="266" t="s">
        <v>9</v>
      </c>
      <c r="E44" s="266" t="s">
        <v>617</v>
      </c>
      <c r="F44" s="396" t="s">
        <v>669</v>
      </c>
      <c r="G44" s="266" t="s">
        <v>8</v>
      </c>
      <c r="H44" s="266">
        <v>1.8</v>
      </c>
      <c r="I44" s="604">
        <v>89410</v>
      </c>
      <c r="J44" s="267">
        <f t="shared" ref="J44" si="1">SUM(H44*I44)</f>
        <v>160938</v>
      </c>
    </row>
    <row r="45" spans="1:10">
      <c r="A45" s="77"/>
      <c r="B45" s="295"/>
      <c r="C45" s="77"/>
      <c r="D45" s="77"/>
      <c r="E45" s="77"/>
      <c r="F45" s="396" t="s">
        <v>616</v>
      </c>
      <c r="G45" s="77"/>
      <c r="H45" s="77"/>
      <c r="I45" s="266"/>
      <c r="J45" s="267"/>
    </row>
    <row r="46" spans="1:10" ht="195">
      <c r="A46" s="77"/>
      <c r="B46" s="295"/>
      <c r="C46" s="77"/>
      <c r="D46" s="77"/>
      <c r="E46" s="77"/>
      <c r="F46" s="397" t="s">
        <v>673</v>
      </c>
      <c r="G46" s="77"/>
      <c r="H46" s="77"/>
      <c r="I46" s="266"/>
      <c r="J46" s="267"/>
    </row>
    <row r="47" spans="1:10">
      <c r="A47" s="77"/>
      <c r="B47" s="295"/>
      <c r="C47" s="77"/>
      <c r="D47" s="77"/>
      <c r="E47" s="77"/>
      <c r="F47" s="266"/>
      <c r="G47" s="77"/>
      <c r="H47" s="77"/>
      <c r="I47" s="266"/>
      <c r="J47" s="267"/>
    </row>
    <row r="48" spans="1:10">
      <c r="A48" s="295">
        <v>3.8</v>
      </c>
      <c r="B48" s="295"/>
      <c r="C48" s="266" t="s">
        <v>102</v>
      </c>
      <c r="D48" s="266" t="s">
        <v>9</v>
      </c>
      <c r="E48" s="266" t="s">
        <v>396</v>
      </c>
      <c r="F48" s="76" t="s">
        <v>614</v>
      </c>
      <c r="G48" s="266" t="s">
        <v>8</v>
      </c>
      <c r="H48" s="266">
        <f>8+7.5</f>
        <v>15.5</v>
      </c>
      <c r="I48" s="604">
        <v>4110</v>
      </c>
      <c r="J48" s="267">
        <f t="shared" si="0"/>
        <v>63705</v>
      </c>
    </row>
    <row r="49" spans="1:10" ht="150">
      <c r="A49" s="77"/>
      <c r="B49" s="295"/>
      <c r="C49" s="77"/>
      <c r="D49" s="77"/>
      <c r="E49" s="77"/>
      <c r="F49" s="395" t="s">
        <v>615</v>
      </c>
      <c r="G49" s="77"/>
      <c r="H49" s="77"/>
      <c r="I49" s="266"/>
      <c r="J49" s="267"/>
    </row>
    <row r="50" spans="1:10">
      <c r="A50" s="77"/>
      <c r="B50" s="295"/>
      <c r="C50" s="77"/>
      <c r="D50" s="77"/>
      <c r="E50" s="77"/>
      <c r="F50" s="266" t="s">
        <v>398</v>
      </c>
      <c r="G50" s="77"/>
      <c r="H50" s="77"/>
      <c r="I50" s="266"/>
      <c r="J50" s="267"/>
    </row>
    <row r="51" spans="1:10" ht="15.75" thickBot="1">
      <c r="A51" s="87"/>
      <c r="B51" s="299"/>
      <c r="C51" s="87"/>
      <c r="D51" s="87"/>
      <c r="E51" s="87"/>
      <c r="F51" s="272"/>
      <c r="G51" s="87"/>
      <c r="H51" s="87"/>
      <c r="I51" s="272"/>
      <c r="J51" s="300"/>
    </row>
    <row r="52" spans="1:10" ht="15.75" thickBot="1">
      <c r="A52" s="49" t="s">
        <v>11</v>
      </c>
      <c r="B52" s="304"/>
      <c r="C52" s="53"/>
      <c r="D52" s="53"/>
      <c r="E52" s="53"/>
      <c r="F52" s="50" t="s">
        <v>18</v>
      </c>
      <c r="G52" s="53"/>
      <c r="H52" s="53"/>
      <c r="I52" s="277"/>
      <c r="J52" s="305"/>
    </row>
    <row r="53" spans="1:10">
      <c r="A53" s="279"/>
      <c r="B53" s="306"/>
      <c r="C53" s="31"/>
      <c r="D53" s="31"/>
      <c r="E53" s="31"/>
      <c r="F53" s="58"/>
      <c r="G53" s="31"/>
      <c r="H53" s="31"/>
      <c r="I53" s="279"/>
      <c r="J53" s="307"/>
    </row>
    <row r="54" spans="1:10">
      <c r="A54" s="279">
        <v>4.0999999999999996</v>
      </c>
      <c r="B54" s="31"/>
      <c r="C54" s="279" t="s">
        <v>10</v>
      </c>
      <c r="D54" s="279" t="s">
        <v>227</v>
      </c>
      <c r="E54" s="279" t="s">
        <v>406</v>
      </c>
      <c r="F54" s="58" t="s">
        <v>407</v>
      </c>
      <c r="G54" s="279" t="s">
        <v>7</v>
      </c>
      <c r="H54" s="306">
        <v>65</v>
      </c>
      <c r="I54" s="604">
        <v>3954</v>
      </c>
      <c r="J54" s="307">
        <f t="shared" si="0"/>
        <v>257010</v>
      </c>
    </row>
    <row r="55" spans="1:10" ht="150">
      <c r="A55" s="266"/>
      <c r="B55" s="77"/>
      <c r="C55" s="266"/>
      <c r="D55" s="266"/>
      <c r="E55" s="266"/>
      <c r="F55" s="81" t="s">
        <v>674</v>
      </c>
      <c r="G55" s="266"/>
      <c r="H55" s="295"/>
      <c r="I55" s="266"/>
      <c r="J55" s="267"/>
    </row>
    <row r="56" spans="1:10">
      <c r="A56" s="77"/>
      <c r="B56" s="77"/>
      <c r="C56" s="77"/>
      <c r="D56" s="77"/>
      <c r="E56" s="77"/>
      <c r="F56" s="266"/>
      <c r="G56" s="308"/>
      <c r="H56" s="308"/>
      <c r="I56" s="266"/>
      <c r="J56" s="267"/>
    </row>
    <row r="57" spans="1:10">
      <c r="A57" s="266">
        <v>4.2</v>
      </c>
      <c r="B57" s="77"/>
      <c r="C57" s="266" t="s">
        <v>10</v>
      </c>
      <c r="D57" s="266" t="s">
        <v>227</v>
      </c>
      <c r="E57" s="266" t="s">
        <v>409</v>
      </c>
      <c r="F57" s="76" t="s">
        <v>618</v>
      </c>
      <c r="G57" s="266" t="s">
        <v>8</v>
      </c>
      <c r="H57" s="295">
        <v>25</v>
      </c>
      <c r="I57" s="604">
        <v>590</v>
      </c>
      <c r="J57" s="267">
        <f t="shared" si="0"/>
        <v>14750</v>
      </c>
    </row>
    <row r="58" spans="1:10" ht="120">
      <c r="A58" s="77"/>
      <c r="B58" s="77"/>
      <c r="C58" s="77"/>
      <c r="D58" s="77"/>
      <c r="E58" s="77"/>
      <c r="F58" s="81" t="s">
        <v>675</v>
      </c>
      <c r="G58" s="308"/>
      <c r="H58" s="308"/>
      <c r="I58" s="266"/>
      <c r="J58" s="267"/>
    </row>
    <row r="59" spans="1:10">
      <c r="A59" s="77"/>
      <c r="B59" s="77"/>
      <c r="C59" s="77"/>
      <c r="D59" s="77"/>
      <c r="E59" s="77"/>
      <c r="F59" s="266"/>
      <c r="G59" s="308"/>
      <c r="H59" s="308"/>
      <c r="I59" s="266"/>
      <c r="J59" s="267"/>
    </row>
    <row r="60" spans="1:10" ht="30">
      <c r="A60" s="266">
        <v>4.3</v>
      </c>
      <c r="B60" s="77"/>
      <c r="C60" s="266" t="s">
        <v>10</v>
      </c>
      <c r="D60" s="266" t="s">
        <v>227</v>
      </c>
      <c r="E60" s="266" t="s">
        <v>412</v>
      </c>
      <c r="F60" s="76" t="s">
        <v>413</v>
      </c>
      <c r="G60" s="266" t="s">
        <v>8</v>
      </c>
      <c r="H60" s="295">
        <v>5</v>
      </c>
      <c r="I60" s="604">
        <v>1230</v>
      </c>
      <c r="J60" s="267">
        <f t="shared" si="0"/>
        <v>6150</v>
      </c>
    </row>
    <row r="61" spans="1:10" ht="135">
      <c r="A61" s="77"/>
      <c r="B61" s="77"/>
      <c r="C61" s="77"/>
      <c r="D61" s="77"/>
      <c r="E61" s="77"/>
      <c r="F61" s="266" t="s">
        <v>676</v>
      </c>
      <c r="G61" s="77"/>
      <c r="H61" s="77"/>
      <c r="I61" s="266"/>
      <c r="J61" s="267"/>
    </row>
    <row r="62" spans="1:10">
      <c r="A62" s="77"/>
      <c r="B62" s="77"/>
      <c r="C62" s="77"/>
      <c r="D62" s="77"/>
      <c r="E62" s="77"/>
      <c r="F62" s="266"/>
      <c r="G62" s="77"/>
      <c r="H62" s="77"/>
      <c r="I62" s="266"/>
      <c r="J62" s="267"/>
    </row>
    <row r="63" spans="1:10">
      <c r="A63" s="266">
        <v>4.4000000000000004</v>
      </c>
      <c r="B63" s="77"/>
      <c r="C63" s="266" t="s">
        <v>10</v>
      </c>
      <c r="D63" s="266" t="s">
        <v>227</v>
      </c>
      <c r="E63" s="266" t="s">
        <v>619</v>
      </c>
      <c r="F63" s="76" t="s">
        <v>620</v>
      </c>
      <c r="G63" s="266" t="s">
        <v>8</v>
      </c>
      <c r="H63" s="295">
        <v>10</v>
      </c>
      <c r="I63" s="604">
        <v>2345</v>
      </c>
      <c r="J63" s="267">
        <f t="shared" ref="J63" si="2">SUM(H63*I63)</f>
        <v>23450</v>
      </c>
    </row>
    <row r="64" spans="1:10" ht="120">
      <c r="A64" s="77"/>
      <c r="B64" s="77"/>
      <c r="C64" s="77"/>
      <c r="D64" s="77"/>
      <c r="E64" s="77"/>
      <c r="F64" s="81" t="s">
        <v>675</v>
      </c>
      <c r="G64" s="308"/>
      <c r="H64" s="308"/>
      <c r="I64" s="266"/>
      <c r="J64" s="267"/>
    </row>
    <row r="65" spans="1:10">
      <c r="A65" s="77"/>
      <c r="B65" s="77"/>
      <c r="C65" s="77"/>
      <c r="D65" s="77"/>
      <c r="E65" s="77"/>
      <c r="F65" s="81"/>
      <c r="G65" s="308"/>
      <c r="H65" s="308"/>
      <c r="I65" s="266"/>
      <c r="J65" s="267"/>
    </row>
    <row r="66" spans="1:10">
      <c r="A66" s="266">
        <v>4.5</v>
      </c>
      <c r="B66" s="77"/>
      <c r="C66" s="266" t="s">
        <v>10</v>
      </c>
      <c r="D66" s="266" t="s">
        <v>227</v>
      </c>
      <c r="E66" s="266" t="s">
        <v>619</v>
      </c>
      <c r="F66" s="76" t="s">
        <v>621</v>
      </c>
      <c r="G66" s="266" t="s">
        <v>8</v>
      </c>
      <c r="H66" s="295">
        <f>5*4</f>
        <v>20</v>
      </c>
      <c r="I66" s="604">
        <v>1195</v>
      </c>
      <c r="J66" s="267">
        <f t="shared" ref="J66" si="3">SUM(H66*I66)</f>
        <v>23900</v>
      </c>
    </row>
    <row r="67" spans="1:10" ht="120">
      <c r="A67" s="77"/>
      <c r="B67" s="77"/>
      <c r="C67" s="77"/>
      <c r="D67" s="77"/>
      <c r="E67" s="77"/>
      <c r="F67" s="81" t="s">
        <v>675</v>
      </c>
      <c r="G67" s="308"/>
      <c r="H67" s="308"/>
      <c r="I67" s="266"/>
      <c r="J67" s="267"/>
    </row>
    <row r="68" spans="1:10">
      <c r="A68" s="77"/>
      <c r="B68" s="77"/>
      <c r="C68" s="77"/>
      <c r="D68" s="77"/>
      <c r="E68" s="77"/>
      <c r="F68" s="266"/>
      <c r="G68" s="308"/>
      <c r="H68" s="308"/>
      <c r="I68" s="266"/>
      <c r="J68" s="267"/>
    </row>
    <row r="69" spans="1:10">
      <c r="A69" s="309">
        <v>4.5999999999999996</v>
      </c>
      <c r="B69" s="108"/>
      <c r="C69" s="270" t="s">
        <v>10</v>
      </c>
      <c r="D69" s="310"/>
      <c r="E69" s="268" t="s">
        <v>418</v>
      </c>
      <c r="F69" s="108" t="s">
        <v>419</v>
      </c>
      <c r="G69" s="269" t="s">
        <v>7</v>
      </c>
      <c r="H69" s="77">
        <f>42*3.2</f>
        <v>134.4</v>
      </c>
      <c r="I69" s="604">
        <v>732</v>
      </c>
      <c r="J69" s="267">
        <f t="shared" ref="J69:J133" si="4">SUM(H69*I69)</f>
        <v>98380.800000000003</v>
      </c>
    </row>
    <row r="70" spans="1:10" ht="75">
      <c r="A70" s="311"/>
      <c r="B70" s="108"/>
      <c r="C70" s="108"/>
      <c r="D70" s="108"/>
      <c r="E70" s="108"/>
      <c r="F70" s="312" t="s">
        <v>420</v>
      </c>
      <c r="G70" s="269"/>
      <c r="H70" s="77"/>
      <c r="I70" s="266"/>
      <c r="J70" s="267"/>
    </row>
    <row r="71" spans="1:10" ht="15.75" thickBot="1">
      <c r="A71" s="87"/>
      <c r="B71" s="299"/>
      <c r="C71" s="87"/>
      <c r="D71" s="87"/>
      <c r="E71" s="87"/>
      <c r="F71" s="272"/>
      <c r="G71" s="87"/>
      <c r="H71" s="87"/>
      <c r="I71" s="272"/>
      <c r="J71" s="300"/>
    </row>
    <row r="72" spans="1:10" ht="15.75" thickBot="1">
      <c r="A72" s="49" t="s">
        <v>12</v>
      </c>
      <c r="B72" s="69"/>
      <c r="C72" s="69"/>
      <c r="D72" s="69"/>
      <c r="E72" s="69"/>
      <c r="F72" s="50" t="s">
        <v>19</v>
      </c>
      <c r="G72" s="69"/>
      <c r="H72" s="69"/>
      <c r="I72" s="50"/>
      <c r="J72" s="303"/>
    </row>
    <row r="73" spans="1:10">
      <c r="A73" s="279"/>
      <c r="B73" s="31"/>
      <c r="C73" s="279"/>
      <c r="D73" s="279"/>
      <c r="E73" s="279"/>
      <c r="F73" s="279"/>
      <c r="G73" s="279"/>
      <c r="H73" s="279"/>
      <c r="I73" s="279"/>
      <c r="J73" s="307"/>
    </row>
    <row r="74" spans="1:10" ht="45">
      <c r="A74" s="266">
        <v>5.0999999999999996</v>
      </c>
      <c r="B74" s="77"/>
      <c r="C74" s="266" t="s">
        <v>425</v>
      </c>
      <c r="D74" s="398" t="s">
        <v>141</v>
      </c>
      <c r="E74" s="398" t="s">
        <v>142</v>
      </c>
      <c r="F74" s="123" t="s">
        <v>677</v>
      </c>
      <c r="G74" s="269" t="s">
        <v>7</v>
      </c>
      <c r="H74" s="77">
        <f>(2+0.5)*4.3</f>
        <v>10.75</v>
      </c>
      <c r="I74" s="604">
        <v>4410</v>
      </c>
      <c r="J74" s="267">
        <f t="shared" ref="J74" si="5">SUM(H74*I74)</f>
        <v>47407.5</v>
      </c>
    </row>
    <row r="75" spans="1:10" ht="90">
      <c r="A75" s="279"/>
      <c r="B75" s="31"/>
      <c r="C75" s="279"/>
      <c r="D75" s="125"/>
      <c r="E75" s="125"/>
      <c r="F75" s="398" t="s">
        <v>678</v>
      </c>
      <c r="G75" s="279"/>
      <c r="H75" s="279"/>
      <c r="I75" s="279"/>
      <c r="J75" s="307"/>
    </row>
    <row r="76" spans="1:10">
      <c r="A76" s="279"/>
      <c r="B76" s="31"/>
      <c r="C76" s="279"/>
      <c r="D76" s="279"/>
      <c r="E76" s="279"/>
      <c r="F76" s="279"/>
      <c r="G76" s="279"/>
      <c r="H76" s="279"/>
      <c r="I76" s="279"/>
      <c r="J76" s="307"/>
    </row>
    <row r="77" spans="1:10" ht="25.5">
      <c r="A77" s="279">
        <v>5.2</v>
      </c>
      <c r="B77" s="31"/>
      <c r="C77" s="279"/>
      <c r="D77" s="21" t="s">
        <v>141</v>
      </c>
      <c r="E77" s="34" t="s">
        <v>142</v>
      </c>
      <c r="F77" s="35" t="s">
        <v>679</v>
      </c>
      <c r="G77" s="19" t="s">
        <v>25</v>
      </c>
      <c r="H77" s="82">
        <f>(3*3)+(3*3*2.5)</f>
        <v>31.5</v>
      </c>
      <c r="I77" s="604">
        <v>7185</v>
      </c>
      <c r="J77" s="267">
        <f t="shared" ref="J77" si="6">SUM(H77*I77)</f>
        <v>226327.5</v>
      </c>
    </row>
    <row r="78" spans="1:10" ht="89.25">
      <c r="A78" s="279"/>
      <c r="B78" s="31"/>
      <c r="C78" s="279"/>
      <c r="D78" s="33"/>
      <c r="E78" s="33"/>
      <c r="F78" s="12" t="s">
        <v>680</v>
      </c>
      <c r="G78" s="19"/>
      <c r="H78" s="279"/>
      <c r="I78" s="279"/>
      <c r="J78" s="307"/>
    </row>
    <row r="79" spans="1:10">
      <c r="A79" s="279"/>
      <c r="B79" s="31"/>
      <c r="C79" s="279"/>
      <c r="D79" s="279"/>
      <c r="E79" s="279"/>
      <c r="F79" s="279"/>
      <c r="G79" s="279"/>
      <c r="H79" s="279"/>
      <c r="I79" s="279"/>
      <c r="J79" s="307"/>
    </row>
    <row r="80" spans="1:10">
      <c r="A80" s="279">
        <v>5.3</v>
      </c>
      <c r="B80" s="31"/>
      <c r="C80" s="279"/>
      <c r="D80" s="125" t="s">
        <v>30</v>
      </c>
      <c r="E80" s="125" t="s">
        <v>31</v>
      </c>
      <c r="F80" s="123" t="s">
        <v>681</v>
      </c>
      <c r="G80" s="124"/>
      <c r="H80" s="279"/>
      <c r="I80" s="279"/>
      <c r="J80" s="307"/>
    </row>
    <row r="81" spans="1:207" ht="75">
      <c r="A81" s="279"/>
      <c r="B81" s="31"/>
      <c r="C81" s="279"/>
      <c r="D81" s="125"/>
      <c r="E81" s="125"/>
      <c r="F81" s="36" t="s">
        <v>682</v>
      </c>
      <c r="G81" s="124"/>
      <c r="H81" s="279"/>
      <c r="I81" s="279"/>
      <c r="J81" s="307"/>
    </row>
    <row r="82" spans="1:207">
      <c r="A82" s="279" t="s">
        <v>147</v>
      </c>
      <c r="B82" s="31"/>
      <c r="C82" s="279"/>
      <c r="D82" s="125"/>
      <c r="E82" s="125"/>
      <c r="F82" s="399" t="s">
        <v>622</v>
      </c>
      <c r="G82" s="124" t="s">
        <v>25</v>
      </c>
      <c r="H82" s="279">
        <f>(3+3+4+1+3+1.5+1.5+1+3+1)*3.1</f>
        <v>68.2</v>
      </c>
      <c r="I82" s="604">
        <v>3018</v>
      </c>
      <c r="J82" s="267">
        <f t="shared" ref="J82:J85" si="7">SUM(H82*I82)</f>
        <v>205827.6</v>
      </c>
    </row>
    <row r="83" spans="1:207">
      <c r="A83" s="279" t="s">
        <v>148</v>
      </c>
      <c r="B83" s="31"/>
      <c r="C83" s="279"/>
      <c r="D83" s="125"/>
      <c r="E83" s="125"/>
      <c r="F83" s="399" t="s">
        <v>623</v>
      </c>
      <c r="G83" s="124" t="s">
        <v>25</v>
      </c>
      <c r="H83" s="279">
        <v>5</v>
      </c>
      <c r="I83" s="604">
        <v>3426</v>
      </c>
      <c r="J83" s="267">
        <f t="shared" si="7"/>
        <v>17130</v>
      </c>
    </row>
    <row r="84" spans="1:207" s="293" customFormat="1">
      <c r="A84" s="313" t="s">
        <v>149</v>
      </c>
      <c r="B84" s="285"/>
      <c r="C84" s="285"/>
      <c r="D84" s="125"/>
      <c r="E84" s="125"/>
      <c r="F84" s="399" t="s">
        <v>624</v>
      </c>
      <c r="G84" s="124" t="s">
        <v>25</v>
      </c>
      <c r="H84" s="316">
        <v>5</v>
      </c>
      <c r="I84" s="604">
        <v>3990</v>
      </c>
      <c r="J84" s="267">
        <f t="shared" si="7"/>
        <v>19950</v>
      </c>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292"/>
      <c r="BO84" s="292"/>
      <c r="BP84" s="292"/>
      <c r="BQ84" s="292"/>
      <c r="BR84" s="292"/>
      <c r="BS84" s="292"/>
      <c r="BT84" s="292"/>
      <c r="BU84" s="292"/>
      <c r="BV84" s="292"/>
      <c r="BW84" s="292"/>
      <c r="BX84" s="292"/>
      <c r="BY84" s="292"/>
      <c r="BZ84" s="292"/>
      <c r="CA84" s="292"/>
      <c r="CB84" s="292"/>
      <c r="CC84" s="292"/>
      <c r="CD84" s="292"/>
      <c r="CE84" s="292"/>
      <c r="CF84" s="292"/>
      <c r="CG84" s="292"/>
      <c r="CH84" s="292"/>
      <c r="CI84" s="292"/>
      <c r="CJ84" s="292"/>
      <c r="CK84" s="292"/>
      <c r="CL84" s="292"/>
      <c r="CM84" s="292"/>
      <c r="CN84" s="292"/>
      <c r="CO84" s="292"/>
      <c r="CP84" s="292"/>
      <c r="CQ84" s="292"/>
      <c r="CR84" s="292"/>
      <c r="CS84" s="292"/>
      <c r="CT84" s="292"/>
      <c r="CU84" s="292"/>
      <c r="CV84" s="292"/>
      <c r="CW84" s="292"/>
      <c r="CX84" s="292"/>
      <c r="CY84" s="292"/>
      <c r="CZ84" s="292"/>
      <c r="DA84" s="292"/>
      <c r="DB84" s="292"/>
      <c r="DC84" s="292"/>
      <c r="DD84" s="292"/>
      <c r="DE84" s="292"/>
      <c r="DF84" s="292"/>
      <c r="DG84" s="292"/>
      <c r="DH84" s="292"/>
      <c r="DI84" s="292"/>
      <c r="DJ84" s="292"/>
      <c r="DK84" s="292"/>
      <c r="DL84" s="292"/>
      <c r="DM84" s="292"/>
      <c r="DN84" s="292"/>
      <c r="DO84" s="292"/>
      <c r="DP84" s="292"/>
      <c r="DQ84" s="292"/>
      <c r="DR84" s="292"/>
      <c r="DS84" s="292"/>
      <c r="DT84" s="292"/>
      <c r="DU84" s="292"/>
      <c r="DV84" s="292"/>
      <c r="DW84" s="292"/>
      <c r="DX84" s="292"/>
      <c r="DY84" s="292"/>
      <c r="DZ84" s="292"/>
      <c r="EA84" s="292"/>
      <c r="EB84" s="292"/>
      <c r="EC84" s="292"/>
      <c r="ED84" s="292"/>
      <c r="EE84" s="292"/>
      <c r="EF84" s="292"/>
      <c r="EG84" s="292"/>
      <c r="EH84" s="292"/>
      <c r="EI84" s="292"/>
      <c r="EJ84" s="292"/>
      <c r="EK84" s="292"/>
      <c r="EL84" s="292"/>
      <c r="EM84" s="292"/>
      <c r="EN84" s="292"/>
      <c r="EO84" s="292"/>
      <c r="EP84" s="292"/>
      <c r="EQ84" s="292"/>
      <c r="ER84" s="292"/>
      <c r="ES84" s="292"/>
      <c r="ET84" s="292"/>
      <c r="EU84" s="292"/>
      <c r="EV84" s="292"/>
      <c r="EW84" s="292"/>
      <c r="EX84" s="292"/>
      <c r="EY84" s="292"/>
      <c r="EZ84" s="292"/>
      <c r="FA84" s="292"/>
      <c r="FB84" s="292"/>
      <c r="FC84" s="292"/>
      <c r="FD84" s="292"/>
      <c r="FE84" s="292"/>
      <c r="FF84" s="292"/>
      <c r="FG84" s="292"/>
      <c r="FH84" s="292"/>
      <c r="FI84" s="292"/>
      <c r="FJ84" s="292"/>
      <c r="FK84" s="292"/>
      <c r="FL84" s="292"/>
      <c r="FM84" s="292"/>
      <c r="FN84" s="292"/>
      <c r="FO84" s="292"/>
      <c r="FP84" s="292"/>
      <c r="FQ84" s="292"/>
      <c r="FR84" s="292"/>
      <c r="FS84" s="292"/>
      <c r="FT84" s="292"/>
      <c r="FU84" s="292"/>
      <c r="FV84" s="292"/>
      <c r="FW84" s="292"/>
      <c r="FX84" s="292"/>
      <c r="FY84" s="292"/>
      <c r="FZ84" s="292"/>
      <c r="GA84" s="292"/>
      <c r="GB84" s="292"/>
      <c r="GC84" s="292"/>
      <c r="GD84" s="292"/>
      <c r="GE84" s="292"/>
      <c r="GF84" s="292"/>
      <c r="GG84" s="292"/>
      <c r="GH84" s="292"/>
      <c r="GI84" s="292"/>
      <c r="GJ84" s="292"/>
      <c r="GK84" s="292"/>
      <c r="GL84" s="292"/>
      <c r="GM84" s="292"/>
      <c r="GN84" s="292"/>
      <c r="GO84" s="292"/>
      <c r="GP84" s="292"/>
      <c r="GQ84" s="292"/>
      <c r="GR84" s="292"/>
      <c r="GS84" s="292"/>
      <c r="GT84" s="292"/>
      <c r="GU84" s="292"/>
      <c r="GV84" s="292"/>
      <c r="GW84" s="292"/>
      <c r="GX84" s="292"/>
      <c r="GY84" s="292"/>
    </row>
    <row r="85" spans="1:207">
      <c r="A85" s="77" t="s">
        <v>150</v>
      </c>
      <c r="B85" s="77"/>
      <c r="C85" s="77"/>
      <c r="D85" s="125"/>
      <c r="E85" s="125"/>
      <c r="F85" s="399" t="s">
        <v>625</v>
      </c>
      <c r="G85" s="124" t="s">
        <v>25</v>
      </c>
      <c r="H85" s="77">
        <v>5</v>
      </c>
      <c r="I85" s="604">
        <v>2040</v>
      </c>
      <c r="J85" s="267">
        <f t="shared" si="7"/>
        <v>10200</v>
      </c>
    </row>
    <row r="86" spans="1:207">
      <c r="A86" s="77"/>
      <c r="B86" s="77"/>
      <c r="C86" s="77"/>
      <c r="D86" s="125"/>
      <c r="E86" s="125"/>
      <c r="F86" s="399"/>
      <c r="G86" s="124"/>
      <c r="H86" s="77"/>
      <c r="I86" s="604">
        <v>0</v>
      </c>
      <c r="J86" s="267"/>
    </row>
    <row r="87" spans="1:207">
      <c r="A87" s="266">
        <v>5.4</v>
      </c>
      <c r="B87" s="77"/>
      <c r="C87" s="266" t="s">
        <v>425</v>
      </c>
      <c r="D87" s="266" t="s">
        <v>426</v>
      </c>
      <c r="E87" s="266" t="s">
        <v>427</v>
      </c>
      <c r="F87" s="76" t="s">
        <v>626</v>
      </c>
      <c r="G87" s="266" t="s">
        <v>7</v>
      </c>
      <c r="H87" s="266">
        <v>8</v>
      </c>
      <c r="I87" s="604">
        <v>55690</v>
      </c>
      <c r="J87" s="267">
        <f t="shared" si="4"/>
        <v>445520</v>
      </c>
    </row>
    <row r="88" spans="1:207" ht="76.5">
      <c r="A88" s="77"/>
      <c r="B88" s="77"/>
      <c r="C88" s="77"/>
      <c r="D88" s="77"/>
      <c r="E88" s="77"/>
      <c r="F88" s="400" t="s">
        <v>627</v>
      </c>
      <c r="G88" s="77"/>
      <c r="H88" s="77"/>
      <c r="I88" s="266"/>
      <c r="J88" s="267"/>
    </row>
    <row r="89" spans="1:207" ht="25.5">
      <c r="A89" s="266"/>
      <c r="B89" s="77"/>
      <c r="C89" s="266"/>
      <c r="D89" s="266"/>
      <c r="E89" s="266"/>
      <c r="F89" s="400" t="s">
        <v>683</v>
      </c>
      <c r="G89" s="266"/>
      <c r="H89" s="266"/>
      <c r="I89" s="280"/>
      <c r="J89" s="267"/>
    </row>
    <row r="90" spans="1:207">
      <c r="A90" s="77"/>
      <c r="B90" s="77"/>
      <c r="C90" s="77"/>
      <c r="D90" s="77"/>
      <c r="E90" s="77"/>
      <c r="F90" s="81"/>
      <c r="G90" s="77"/>
      <c r="H90" s="77"/>
      <c r="I90" s="266"/>
      <c r="J90" s="267"/>
    </row>
    <row r="91" spans="1:207">
      <c r="A91" s="266">
        <v>5.5</v>
      </c>
      <c r="B91" s="77"/>
      <c r="C91" s="266" t="s">
        <v>425</v>
      </c>
      <c r="D91" s="266" t="s">
        <v>434</v>
      </c>
      <c r="E91" s="266" t="s">
        <v>435</v>
      </c>
      <c r="F91" s="76" t="s">
        <v>628</v>
      </c>
      <c r="G91" s="266" t="s">
        <v>7</v>
      </c>
      <c r="H91" s="266">
        <v>1.5</v>
      </c>
      <c r="I91" s="604">
        <v>24400</v>
      </c>
      <c r="J91" s="267">
        <f t="shared" si="4"/>
        <v>36600</v>
      </c>
    </row>
    <row r="92" spans="1:207" ht="120">
      <c r="A92" s="77"/>
      <c r="B92" s="77"/>
      <c r="C92" s="77"/>
      <c r="D92" s="77"/>
      <c r="E92" s="77"/>
      <c r="F92" s="266" t="s">
        <v>684</v>
      </c>
      <c r="G92" s="77"/>
      <c r="H92" s="77"/>
      <c r="I92" s="266"/>
      <c r="J92" s="267"/>
    </row>
    <row r="93" spans="1:207">
      <c r="A93" s="77"/>
      <c r="B93" s="77"/>
      <c r="C93" s="77"/>
      <c r="D93" s="77"/>
      <c r="E93" s="77"/>
      <c r="F93" s="81"/>
      <c r="G93" s="77"/>
      <c r="H93" s="77"/>
      <c r="I93" s="266"/>
      <c r="J93" s="267"/>
    </row>
    <row r="94" spans="1:207">
      <c r="A94" s="266">
        <v>5.6</v>
      </c>
      <c r="B94" s="77"/>
      <c r="C94" s="266" t="s">
        <v>425</v>
      </c>
      <c r="D94" s="266" t="s">
        <v>434</v>
      </c>
      <c r="E94" s="266" t="s">
        <v>434</v>
      </c>
      <c r="F94" s="76" t="s">
        <v>685</v>
      </c>
      <c r="G94" s="266" t="s">
        <v>7</v>
      </c>
      <c r="H94" s="266">
        <f>1.5*4</f>
        <v>6</v>
      </c>
      <c r="I94" s="604">
        <v>24400</v>
      </c>
      <c r="J94" s="267">
        <f t="shared" si="4"/>
        <v>146400</v>
      </c>
    </row>
    <row r="95" spans="1:207" ht="120">
      <c r="A95" s="77"/>
      <c r="B95" s="77"/>
      <c r="C95" s="77"/>
      <c r="D95" s="77"/>
      <c r="E95" s="77"/>
      <c r="F95" s="266" t="s">
        <v>686</v>
      </c>
      <c r="G95" s="77"/>
      <c r="H95" s="77"/>
      <c r="I95" s="266"/>
      <c r="J95" s="267"/>
    </row>
    <row r="96" spans="1:207">
      <c r="A96" s="77"/>
      <c r="B96" s="77"/>
      <c r="C96" s="77"/>
      <c r="D96" s="77"/>
      <c r="E96" s="77"/>
      <c r="F96" s="266"/>
      <c r="G96" s="77"/>
      <c r="H96" s="77"/>
      <c r="I96" s="266"/>
      <c r="J96" s="267"/>
    </row>
    <row r="97" spans="1:10">
      <c r="A97" s="266">
        <v>5.7</v>
      </c>
      <c r="B97" s="77"/>
      <c r="C97" s="266" t="s">
        <v>425</v>
      </c>
      <c r="D97" s="266" t="s">
        <v>434</v>
      </c>
      <c r="E97" s="266" t="s">
        <v>434</v>
      </c>
      <c r="F97" s="76" t="s">
        <v>687</v>
      </c>
      <c r="G97" s="266" t="s">
        <v>7</v>
      </c>
      <c r="H97" s="266">
        <f>1.5*4</f>
        <v>6</v>
      </c>
      <c r="I97" s="604">
        <v>25590</v>
      </c>
      <c r="J97" s="267">
        <f t="shared" ref="J97:J100" si="8">SUM(H97*I97)</f>
        <v>153540</v>
      </c>
    </row>
    <row r="98" spans="1:10" ht="120">
      <c r="A98" s="77"/>
      <c r="B98" s="77"/>
      <c r="C98" s="77"/>
      <c r="D98" s="77"/>
      <c r="E98" s="77"/>
      <c r="F98" s="266" t="s">
        <v>637</v>
      </c>
      <c r="G98" s="77"/>
      <c r="H98" s="77"/>
      <c r="I98" s="266"/>
      <c r="J98" s="267"/>
    </row>
    <row r="99" spans="1:10">
      <c r="A99" s="77"/>
      <c r="B99" s="77"/>
      <c r="C99" s="77"/>
      <c r="D99" s="77"/>
      <c r="E99" s="77"/>
      <c r="F99" s="266"/>
      <c r="G99" s="77"/>
      <c r="H99" s="77"/>
      <c r="I99" s="266"/>
      <c r="J99" s="267"/>
    </row>
    <row r="100" spans="1:10" ht="25.5">
      <c r="A100" s="266">
        <v>5.8</v>
      </c>
      <c r="B100" s="77"/>
      <c r="C100" s="266" t="s">
        <v>425</v>
      </c>
      <c r="D100" s="33" t="s">
        <v>155</v>
      </c>
      <c r="E100" s="33" t="s">
        <v>688</v>
      </c>
      <c r="F100" s="128" t="s">
        <v>689</v>
      </c>
      <c r="G100" s="19" t="s">
        <v>7</v>
      </c>
      <c r="H100" s="77">
        <f>(3+5+7)*3</f>
        <v>45</v>
      </c>
      <c r="I100" s="604">
        <v>18330</v>
      </c>
      <c r="J100" s="267">
        <f t="shared" si="8"/>
        <v>824850</v>
      </c>
    </row>
    <row r="101" spans="1:10" ht="89.25">
      <c r="A101" s="77"/>
      <c r="B101" s="77"/>
      <c r="C101" s="77"/>
      <c r="D101" s="33"/>
      <c r="E101" s="19"/>
      <c r="F101" s="129" t="s">
        <v>629</v>
      </c>
      <c r="G101" s="77"/>
      <c r="H101" s="77"/>
      <c r="I101" s="266"/>
      <c r="J101" s="267"/>
    </row>
    <row r="102" spans="1:10">
      <c r="A102" s="77"/>
      <c r="B102" s="77"/>
      <c r="C102" s="77"/>
      <c r="D102" s="77"/>
      <c r="E102" s="77"/>
      <c r="F102" s="266"/>
      <c r="G102" s="77"/>
      <c r="H102" s="77"/>
      <c r="I102" s="266"/>
      <c r="J102" s="267"/>
    </row>
    <row r="103" spans="1:10" ht="25.5">
      <c r="A103" s="266">
        <v>5.9</v>
      </c>
      <c r="B103" s="77"/>
      <c r="C103" s="266" t="s">
        <v>425</v>
      </c>
      <c r="D103" s="33" t="s">
        <v>155</v>
      </c>
      <c r="E103" s="33" t="s">
        <v>230</v>
      </c>
      <c r="F103" s="8" t="s">
        <v>690</v>
      </c>
      <c r="G103" s="19" t="s">
        <v>7</v>
      </c>
      <c r="H103" s="77">
        <f>(2.5*3)-(1.7*2.4)</f>
        <v>3.42</v>
      </c>
      <c r="I103" s="604">
        <v>22615</v>
      </c>
      <c r="J103" s="267">
        <f t="shared" ref="J103" si="9">SUM(H103*I103)</f>
        <v>77343.3</v>
      </c>
    </row>
    <row r="104" spans="1:10" ht="38.25">
      <c r="A104" s="77"/>
      <c r="B104" s="77"/>
      <c r="C104" s="77"/>
      <c r="D104" s="77"/>
      <c r="E104" s="33"/>
      <c r="F104" s="401" t="s">
        <v>630</v>
      </c>
      <c r="G104" s="77"/>
      <c r="H104" s="77"/>
      <c r="I104" s="266"/>
      <c r="J104" s="267"/>
    </row>
    <row r="105" spans="1:10">
      <c r="A105" s="77"/>
      <c r="B105" s="77"/>
      <c r="C105" s="77"/>
      <c r="D105" s="77"/>
      <c r="E105" s="77"/>
      <c r="F105" s="266"/>
      <c r="G105" s="77"/>
      <c r="H105" s="77"/>
      <c r="I105" s="266"/>
      <c r="J105" s="267"/>
    </row>
    <row r="106" spans="1:10" ht="25.5">
      <c r="A106" s="295">
        <v>5.0999999999999996</v>
      </c>
      <c r="B106" s="77"/>
      <c r="C106" s="266" t="s">
        <v>425</v>
      </c>
      <c r="D106" s="33" t="s">
        <v>155</v>
      </c>
      <c r="E106" s="33" t="s">
        <v>634</v>
      </c>
      <c r="F106" s="8" t="s">
        <v>635</v>
      </c>
      <c r="G106" s="19" t="s">
        <v>7</v>
      </c>
      <c r="H106" s="77">
        <f>2.6*3</f>
        <v>7.8000000000000007</v>
      </c>
      <c r="I106" s="604">
        <v>43570</v>
      </c>
      <c r="J106" s="267">
        <f t="shared" ref="J106" si="10">SUM(H106*I106)</f>
        <v>339846.00000000006</v>
      </c>
    </row>
    <row r="107" spans="1:10" ht="89.25">
      <c r="A107" s="77"/>
      <c r="B107" s="77"/>
      <c r="C107" s="77"/>
      <c r="D107" s="77"/>
      <c r="E107" s="33"/>
      <c r="F107" s="163" t="s">
        <v>691</v>
      </c>
      <c r="G107" s="77"/>
      <c r="H107" s="77"/>
      <c r="I107" s="266"/>
      <c r="J107" s="267"/>
    </row>
    <row r="108" spans="1:10">
      <c r="A108" s="77"/>
      <c r="B108" s="77"/>
      <c r="C108" s="77"/>
      <c r="D108" s="77"/>
      <c r="E108" s="19"/>
      <c r="F108" s="8"/>
      <c r="G108" s="77"/>
      <c r="H108" s="77"/>
      <c r="I108" s="266"/>
      <c r="J108" s="267"/>
    </row>
    <row r="109" spans="1:10">
      <c r="A109" s="266">
        <v>5.1100000000000003</v>
      </c>
      <c r="B109" s="77"/>
      <c r="C109" s="266" t="s">
        <v>425</v>
      </c>
      <c r="D109" s="33" t="s">
        <v>155</v>
      </c>
      <c r="E109" s="33" t="s">
        <v>638</v>
      </c>
      <c r="F109" s="8" t="s">
        <v>636</v>
      </c>
      <c r="G109" s="19" t="s">
        <v>7</v>
      </c>
      <c r="H109" s="77">
        <f>3.2*3</f>
        <v>9.6000000000000014</v>
      </c>
      <c r="I109" s="604">
        <v>47010</v>
      </c>
      <c r="J109" s="267">
        <f t="shared" ref="J109" si="11">SUM(H109*I109)</f>
        <v>451296.00000000006</v>
      </c>
    </row>
    <row r="110" spans="1:10" ht="76.5">
      <c r="A110" s="77"/>
      <c r="B110" s="77"/>
      <c r="C110" s="77"/>
      <c r="D110" s="77"/>
      <c r="E110" s="33"/>
      <c r="F110" s="163" t="s">
        <v>692</v>
      </c>
      <c r="G110" s="77"/>
      <c r="H110" s="77"/>
      <c r="I110" s="266"/>
      <c r="J110" s="267"/>
    </row>
    <row r="111" spans="1:10">
      <c r="A111" s="77"/>
      <c r="B111" s="77"/>
      <c r="C111" s="77"/>
      <c r="D111" s="77"/>
      <c r="E111" s="19"/>
      <c r="F111" s="21"/>
      <c r="G111" s="77"/>
      <c r="H111" s="77"/>
      <c r="I111" s="266"/>
      <c r="J111" s="267"/>
    </row>
    <row r="112" spans="1:10">
      <c r="A112" s="266">
        <v>5.12</v>
      </c>
      <c r="B112" s="77"/>
      <c r="C112" s="266" t="s">
        <v>425</v>
      </c>
      <c r="D112" s="33" t="s">
        <v>155</v>
      </c>
      <c r="E112" s="33" t="s">
        <v>638</v>
      </c>
      <c r="F112" s="8" t="s">
        <v>639</v>
      </c>
      <c r="G112" s="19" t="s">
        <v>7</v>
      </c>
      <c r="H112" s="77">
        <f>2.8*3</f>
        <v>8.3999999999999986</v>
      </c>
      <c r="I112" s="604">
        <v>47010</v>
      </c>
      <c r="J112" s="267">
        <f t="shared" ref="J112" si="12">SUM(H112*I112)</f>
        <v>394883.99999999994</v>
      </c>
    </row>
    <row r="113" spans="1:10" ht="63.75">
      <c r="A113" s="77"/>
      <c r="B113" s="77"/>
      <c r="C113" s="77"/>
      <c r="D113" s="77"/>
      <c r="E113" s="33"/>
      <c r="F113" s="163" t="s">
        <v>693</v>
      </c>
      <c r="G113" s="77"/>
      <c r="H113" s="77"/>
      <c r="I113" s="266"/>
      <c r="J113" s="267"/>
    </row>
    <row r="114" spans="1:10">
      <c r="A114" s="77"/>
      <c r="B114" s="77"/>
      <c r="C114" s="77"/>
      <c r="D114" s="77"/>
      <c r="E114" s="33"/>
      <c r="F114" s="8"/>
      <c r="G114" s="77"/>
      <c r="H114" s="77"/>
      <c r="I114" s="266"/>
      <c r="J114" s="267"/>
    </row>
    <row r="115" spans="1:10">
      <c r="A115" s="266">
        <v>5.13</v>
      </c>
      <c r="B115" s="77"/>
      <c r="C115" s="266" t="s">
        <v>425</v>
      </c>
      <c r="D115" s="33" t="s">
        <v>640</v>
      </c>
      <c r="E115" s="33" t="s">
        <v>638</v>
      </c>
      <c r="F115" s="8" t="s">
        <v>694</v>
      </c>
      <c r="G115" s="19" t="s">
        <v>175</v>
      </c>
      <c r="H115" s="77">
        <v>1</v>
      </c>
      <c r="I115" s="604">
        <v>56470</v>
      </c>
      <c r="J115" s="267">
        <f t="shared" ref="J115" si="13">SUM(H115*I115)</f>
        <v>56470</v>
      </c>
    </row>
    <row r="116" spans="1:10" ht="38.25">
      <c r="A116" s="77"/>
      <c r="B116" s="77"/>
      <c r="C116" s="77"/>
      <c r="D116" s="77"/>
      <c r="E116" s="33"/>
      <c r="F116" s="163" t="s">
        <v>641</v>
      </c>
      <c r="G116" s="77"/>
      <c r="H116" s="77"/>
      <c r="I116" s="266"/>
      <c r="J116" s="267"/>
    </row>
    <row r="117" spans="1:10">
      <c r="A117" s="77"/>
      <c r="B117" s="77"/>
      <c r="C117" s="77"/>
      <c r="D117" s="77"/>
      <c r="E117" s="33"/>
      <c r="F117" s="163"/>
      <c r="G117" s="77"/>
      <c r="H117" s="77"/>
      <c r="I117" s="266"/>
      <c r="J117" s="267"/>
    </row>
    <row r="118" spans="1:10" ht="25.5">
      <c r="A118" s="266">
        <v>5.14</v>
      </c>
      <c r="B118" s="77"/>
      <c r="C118" s="266" t="s">
        <v>425</v>
      </c>
      <c r="D118" s="33" t="s">
        <v>645</v>
      </c>
      <c r="E118" s="33" t="s">
        <v>643</v>
      </c>
      <c r="F118" s="35" t="s">
        <v>644</v>
      </c>
      <c r="G118" s="19" t="s">
        <v>175</v>
      </c>
      <c r="H118" s="77">
        <v>1</v>
      </c>
      <c r="I118" s="604">
        <v>47635</v>
      </c>
      <c r="J118" s="267">
        <f t="shared" ref="J118" si="14">SUM(H118*I118)</f>
        <v>47635</v>
      </c>
    </row>
    <row r="119" spans="1:10" ht="25.5">
      <c r="A119" s="77"/>
      <c r="B119" s="77"/>
      <c r="C119" s="77"/>
      <c r="D119" s="77"/>
      <c r="E119" s="19"/>
      <c r="F119" s="13" t="s">
        <v>695</v>
      </c>
      <c r="G119" s="77"/>
      <c r="H119" s="77"/>
      <c r="I119" s="266"/>
      <c r="J119" s="267"/>
    </row>
    <row r="120" spans="1:10">
      <c r="A120" s="77"/>
      <c r="B120" s="77"/>
      <c r="C120" s="77"/>
      <c r="D120" s="77"/>
      <c r="E120" s="33"/>
      <c r="F120" s="163"/>
      <c r="G120" s="77"/>
      <c r="H120" s="77"/>
      <c r="I120" s="266"/>
      <c r="J120" s="267"/>
    </row>
    <row r="121" spans="1:10" ht="25.5">
      <c r="A121" s="266">
        <v>5.15</v>
      </c>
      <c r="B121" s="77"/>
      <c r="C121" s="266" t="s">
        <v>425</v>
      </c>
      <c r="D121" s="33" t="s">
        <v>645</v>
      </c>
      <c r="E121" s="33" t="s">
        <v>646</v>
      </c>
      <c r="F121" s="35" t="s">
        <v>647</v>
      </c>
      <c r="G121" s="19" t="s">
        <v>175</v>
      </c>
      <c r="H121" s="77">
        <v>1</v>
      </c>
      <c r="I121" s="604">
        <v>322670</v>
      </c>
      <c r="J121" s="267">
        <f t="shared" ref="J121" si="15">SUM(H121*I121)</f>
        <v>322670</v>
      </c>
    </row>
    <row r="122" spans="1:10" ht="38.25">
      <c r="A122" s="77"/>
      <c r="B122" s="77"/>
      <c r="C122" s="77"/>
      <c r="D122" s="77"/>
      <c r="E122" s="19"/>
      <c r="F122" s="13" t="s">
        <v>696</v>
      </c>
      <c r="G122" s="77"/>
      <c r="H122" s="77"/>
      <c r="I122" s="266"/>
      <c r="J122" s="267"/>
    </row>
    <row r="123" spans="1:10">
      <c r="A123" s="77"/>
      <c r="B123" s="77"/>
      <c r="C123" s="77"/>
      <c r="E123" s="33"/>
      <c r="F123" s="163"/>
      <c r="G123" s="77"/>
      <c r="H123" s="77"/>
      <c r="I123" s="266"/>
      <c r="J123" s="267"/>
    </row>
    <row r="124" spans="1:10">
      <c r="A124" s="266">
        <v>5.16</v>
      </c>
      <c r="B124" s="77"/>
      <c r="C124" s="266" t="s">
        <v>425</v>
      </c>
      <c r="D124" s="33" t="s">
        <v>34</v>
      </c>
      <c r="E124" s="33" t="s">
        <v>36</v>
      </c>
      <c r="F124" s="128" t="s">
        <v>37</v>
      </c>
      <c r="G124" s="19" t="s">
        <v>28</v>
      </c>
      <c r="H124" s="77">
        <v>40</v>
      </c>
      <c r="I124" s="604">
        <v>2455</v>
      </c>
      <c r="J124" s="267">
        <f t="shared" ref="J124" si="16">SUM(H124*I124)</f>
        <v>98200</v>
      </c>
    </row>
    <row r="125" spans="1:10">
      <c r="A125" s="77"/>
      <c r="B125" s="77"/>
      <c r="C125" s="77"/>
      <c r="D125" s="33"/>
      <c r="E125" s="19"/>
      <c r="F125" s="129" t="s">
        <v>49</v>
      </c>
      <c r="G125" s="19"/>
      <c r="H125" s="77"/>
      <c r="I125" s="266"/>
      <c r="J125" s="267"/>
    </row>
    <row r="126" spans="1:10">
      <c r="A126" s="77"/>
      <c r="B126" s="77"/>
      <c r="C126" s="77"/>
      <c r="D126" s="33"/>
      <c r="E126" s="19"/>
      <c r="F126" s="129"/>
      <c r="G126" s="19"/>
      <c r="H126" s="77"/>
      <c r="I126" s="266"/>
      <c r="J126" s="267"/>
    </row>
    <row r="127" spans="1:10">
      <c r="A127" s="266">
        <v>5.17</v>
      </c>
      <c r="B127" s="77"/>
      <c r="C127" s="266" t="s">
        <v>425</v>
      </c>
      <c r="D127" s="33" t="s">
        <v>648</v>
      </c>
      <c r="E127" s="33" t="s">
        <v>697</v>
      </c>
      <c r="F127" s="128" t="s">
        <v>698</v>
      </c>
      <c r="G127" s="19" t="s">
        <v>28</v>
      </c>
      <c r="H127" s="77">
        <v>5</v>
      </c>
      <c r="I127" s="604">
        <v>33545</v>
      </c>
      <c r="J127" s="267">
        <f t="shared" ref="J127" si="17">SUM(H127*I127)</f>
        <v>167725</v>
      </c>
    </row>
    <row r="128" spans="1:10" ht="25.5">
      <c r="A128" s="77"/>
      <c r="B128" s="77"/>
      <c r="C128" s="77"/>
      <c r="D128" s="33"/>
      <c r="E128" s="19"/>
      <c r="F128" s="129" t="s">
        <v>699</v>
      </c>
      <c r="G128" s="19"/>
      <c r="H128" s="77"/>
      <c r="I128" s="266"/>
      <c r="J128" s="267"/>
    </row>
    <row r="129" spans="1:10">
      <c r="A129" s="77"/>
      <c r="B129" s="77"/>
      <c r="C129" s="77"/>
      <c r="D129" s="33"/>
      <c r="E129" s="19"/>
      <c r="F129" s="129"/>
      <c r="G129" s="19"/>
      <c r="H129" s="77"/>
      <c r="I129" s="266"/>
      <c r="J129" s="267"/>
    </row>
    <row r="130" spans="1:10">
      <c r="A130" s="266">
        <v>5.18</v>
      </c>
      <c r="B130" s="77"/>
      <c r="C130" s="266" t="s">
        <v>425</v>
      </c>
      <c r="D130" s="33" t="s">
        <v>649</v>
      </c>
      <c r="E130" s="33" t="s">
        <v>650</v>
      </c>
      <c r="F130" s="128" t="s">
        <v>651</v>
      </c>
      <c r="G130" s="19" t="s">
        <v>175</v>
      </c>
      <c r="H130" s="77">
        <v>4</v>
      </c>
      <c r="I130" s="604">
        <v>38350</v>
      </c>
      <c r="J130" s="267">
        <f t="shared" ref="J130" si="18">SUM(H130*I130)</f>
        <v>153400</v>
      </c>
    </row>
    <row r="131" spans="1:10">
      <c r="A131" s="77"/>
      <c r="B131" s="77"/>
      <c r="C131" s="77"/>
      <c r="D131" s="77"/>
      <c r="E131" s="19"/>
      <c r="F131" s="21"/>
      <c r="G131" s="77"/>
      <c r="H131" s="77"/>
      <c r="I131" s="266"/>
      <c r="J131" s="267"/>
    </row>
    <row r="132" spans="1:10">
      <c r="A132" s="77"/>
      <c r="B132" s="77"/>
      <c r="C132" s="77"/>
      <c r="D132" s="77"/>
      <c r="E132" s="77"/>
      <c r="F132" s="294" t="s">
        <v>440</v>
      </c>
      <c r="G132" s="77"/>
      <c r="H132" s="77"/>
      <c r="I132" s="266"/>
      <c r="J132" s="267"/>
    </row>
    <row r="133" spans="1:10" ht="30">
      <c r="A133" s="266">
        <v>5.19</v>
      </c>
      <c r="B133" s="77"/>
      <c r="C133" s="266" t="s">
        <v>425</v>
      </c>
      <c r="D133" s="266" t="s">
        <v>441</v>
      </c>
      <c r="E133" s="266" t="s">
        <v>442</v>
      </c>
      <c r="F133" s="123" t="s">
        <v>700</v>
      </c>
      <c r="G133" s="266" t="s">
        <v>126</v>
      </c>
      <c r="H133" s="266">
        <v>1</v>
      </c>
      <c r="I133" s="604">
        <v>225315</v>
      </c>
      <c r="J133" s="267">
        <f t="shared" si="4"/>
        <v>225315</v>
      </c>
    </row>
    <row r="134" spans="1:10">
      <c r="A134" s="77"/>
      <c r="B134" s="77"/>
      <c r="C134" s="77"/>
      <c r="D134" s="77"/>
      <c r="E134" s="77"/>
      <c r="F134" s="395" t="s">
        <v>633</v>
      </c>
      <c r="G134" s="77"/>
      <c r="H134" s="77"/>
      <c r="I134" s="266"/>
      <c r="J134" s="267"/>
    </row>
    <row r="135" spans="1:10">
      <c r="A135" s="77"/>
      <c r="B135" s="77"/>
      <c r="C135" s="77"/>
      <c r="D135" s="77"/>
      <c r="E135" s="77"/>
      <c r="F135" s="395" t="s">
        <v>183</v>
      </c>
      <c r="G135" s="77"/>
      <c r="H135" s="77"/>
      <c r="I135" s="266"/>
      <c r="J135" s="267"/>
    </row>
    <row r="136" spans="1:10" ht="105">
      <c r="A136" s="77"/>
      <c r="B136" s="77"/>
      <c r="C136" s="77"/>
      <c r="D136" s="77"/>
      <c r="E136" s="77"/>
      <c r="F136" s="395" t="s">
        <v>652</v>
      </c>
      <c r="G136" s="77"/>
      <c r="H136" s="77"/>
      <c r="I136" s="266"/>
      <c r="J136" s="267"/>
    </row>
    <row r="137" spans="1:10">
      <c r="A137" s="77"/>
      <c r="B137" s="77"/>
      <c r="C137" s="77"/>
      <c r="D137" s="77"/>
      <c r="E137" s="77"/>
      <c r="F137" s="402" t="s">
        <v>184</v>
      </c>
      <c r="G137" s="77"/>
      <c r="H137" s="77"/>
      <c r="I137" s="266"/>
      <c r="J137" s="267"/>
    </row>
    <row r="138" spans="1:10" ht="105">
      <c r="A138" s="77"/>
      <c r="B138" s="77"/>
      <c r="C138" s="77"/>
      <c r="D138" s="77"/>
      <c r="E138" s="77"/>
      <c r="F138" s="36" t="s">
        <v>653</v>
      </c>
      <c r="G138" s="77"/>
      <c r="H138" s="77"/>
      <c r="I138" s="266"/>
      <c r="J138" s="267"/>
    </row>
    <row r="139" spans="1:10">
      <c r="A139" s="77"/>
      <c r="B139" s="77"/>
      <c r="C139" s="77"/>
      <c r="D139" s="77"/>
      <c r="E139" s="77"/>
      <c r="F139" s="139" t="s">
        <v>265</v>
      </c>
      <c r="G139" s="77"/>
      <c r="H139" s="77"/>
      <c r="I139" s="266"/>
      <c r="J139" s="267"/>
    </row>
    <row r="140" spans="1:10">
      <c r="A140" s="77"/>
      <c r="B140" s="77"/>
      <c r="C140" s="77"/>
      <c r="D140" s="77"/>
      <c r="E140" s="77"/>
      <c r="F140" s="36" t="s">
        <v>631</v>
      </c>
      <c r="G140" s="77"/>
      <c r="H140" s="77"/>
      <c r="I140" s="266"/>
      <c r="J140" s="267"/>
    </row>
    <row r="141" spans="1:10">
      <c r="A141" s="77"/>
      <c r="B141" s="77"/>
      <c r="C141" s="77"/>
      <c r="D141" s="77"/>
      <c r="E141" s="77"/>
      <c r="F141" s="402" t="s">
        <v>185</v>
      </c>
      <c r="G141" s="77"/>
      <c r="H141" s="77"/>
      <c r="I141" s="266"/>
      <c r="J141" s="267"/>
    </row>
    <row r="142" spans="1:10" ht="60">
      <c r="A142" s="77"/>
      <c r="B142" s="77"/>
      <c r="C142" s="77"/>
      <c r="D142" s="77"/>
      <c r="E142" s="77"/>
      <c r="F142" s="395" t="s">
        <v>632</v>
      </c>
      <c r="G142" s="77"/>
      <c r="H142" s="77"/>
      <c r="I142" s="266"/>
      <c r="J142" s="267"/>
    </row>
    <row r="143" spans="1:10">
      <c r="A143" s="77"/>
      <c r="B143" s="77"/>
      <c r="C143" s="77"/>
      <c r="D143" s="77"/>
      <c r="E143" s="77"/>
      <c r="F143" s="266"/>
      <c r="G143" s="77"/>
      <c r="H143" s="77"/>
      <c r="I143" s="266"/>
      <c r="J143" s="267"/>
    </row>
    <row r="144" spans="1:10" ht="30">
      <c r="A144" s="295">
        <v>5.2</v>
      </c>
      <c r="B144" s="77"/>
      <c r="C144" s="266" t="s">
        <v>425</v>
      </c>
      <c r="D144" s="266" t="s">
        <v>441</v>
      </c>
      <c r="E144" s="266" t="s">
        <v>442</v>
      </c>
      <c r="F144" s="123" t="s">
        <v>654</v>
      </c>
      <c r="G144" s="266" t="s">
        <v>126</v>
      </c>
      <c r="H144" s="266">
        <v>1</v>
      </c>
      <c r="I144" s="604">
        <v>168185</v>
      </c>
      <c r="J144" s="267">
        <f t="shared" ref="J144" si="19">SUM(H144*I144)</f>
        <v>168185</v>
      </c>
    </row>
    <row r="145" spans="1:10">
      <c r="A145" s="77"/>
      <c r="B145" s="77"/>
      <c r="C145" s="77"/>
      <c r="D145" s="77"/>
      <c r="E145" s="77"/>
      <c r="F145" s="395" t="s">
        <v>633</v>
      </c>
      <c r="G145" s="77"/>
      <c r="H145" s="77"/>
      <c r="I145" s="266"/>
      <c r="J145" s="267"/>
    </row>
    <row r="146" spans="1:10">
      <c r="A146" s="77"/>
      <c r="B146" s="77"/>
      <c r="C146" s="77"/>
      <c r="D146" s="77"/>
      <c r="E146" s="77"/>
      <c r="F146" s="395" t="s">
        <v>183</v>
      </c>
      <c r="G146" s="77"/>
      <c r="H146" s="77"/>
      <c r="I146" s="266"/>
      <c r="J146" s="267"/>
    </row>
    <row r="147" spans="1:10" ht="105">
      <c r="A147" s="77"/>
      <c r="B147" s="77"/>
      <c r="C147" s="77"/>
      <c r="D147" s="77"/>
      <c r="E147" s="77"/>
      <c r="F147" s="395" t="s">
        <v>655</v>
      </c>
      <c r="G147" s="77"/>
      <c r="H147" s="77"/>
      <c r="I147" s="266"/>
      <c r="J147" s="267"/>
    </row>
    <row r="148" spans="1:10">
      <c r="A148" s="77"/>
      <c r="B148" s="77"/>
      <c r="C148" s="77"/>
      <c r="D148" s="77"/>
      <c r="E148" s="77"/>
      <c r="F148" s="402" t="s">
        <v>184</v>
      </c>
      <c r="G148" s="77"/>
      <c r="H148" s="77"/>
      <c r="I148" s="266"/>
      <c r="J148" s="267"/>
    </row>
    <row r="149" spans="1:10" ht="105">
      <c r="A149" s="77"/>
      <c r="B149" s="77"/>
      <c r="C149" s="77"/>
      <c r="D149" s="77"/>
      <c r="E149" s="77"/>
      <c r="F149" s="36" t="s">
        <v>656</v>
      </c>
      <c r="G149" s="77"/>
      <c r="H149" s="77"/>
      <c r="I149" s="266"/>
      <c r="J149" s="267"/>
    </row>
    <row r="150" spans="1:10">
      <c r="A150" s="77"/>
      <c r="B150" s="77"/>
      <c r="C150" s="77"/>
      <c r="D150" s="77"/>
      <c r="E150" s="77"/>
      <c r="F150" s="139" t="s">
        <v>265</v>
      </c>
      <c r="G150" s="77"/>
      <c r="H150" s="77"/>
      <c r="I150" s="266"/>
      <c r="J150" s="267"/>
    </row>
    <row r="151" spans="1:10">
      <c r="A151" s="77"/>
      <c r="B151" s="77"/>
      <c r="C151" s="77"/>
      <c r="D151" s="77"/>
      <c r="E151" s="77"/>
      <c r="F151" s="36" t="s">
        <v>631</v>
      </c>
      <c r="G151" s="77"/>
      <c r="H151" s="77"/>
      <c r="I151" s="266"/>
      <c r="J151" s="267"/>
    </row>
    <row r="152" spans="1:10">
      <c r="A152" s="77"/>
      <c r="B152" s="77"/>
      <c r="C152" s="77"/>
      <c r="D152" s="77"/>
      <c r="E152" s="77"/>
      <c r="F152" s="402" t="s">
        <v>185</v>
      </c>
      <c r="G152" s="77"/>
      <c r="H152" s="77"/>
      <c r="I152" s="266"/>
      <c r="J152" s="267"/>
    </row>
    <row r="153" spans="1:10" ht="60">
      <c r="A153" s="77"/>
      <c r="B153" s="77"/>
      <c r="C153" s="77"/>
      <c r="D153" s="77"/>
      <c r="E153" s="77"/>
      <c r="F153" s="395" t="s">
        <v>632</v>
      </c>
      <c r="G153" s="77"/>
      <c r="H153" s="77"/>
      <c r="I153" s="266"/>
      <c r="J153" s="267"/>
    </row>
    <row r="154" spans="1:10">
      <c r="A154" s="77"/>
      <c r="B154" s="77"/>
      <c r="C154" s="77"/>
      <c r="D154" s="77"/>
      <c r="E154" s="77"/>
      <c r="F154" s="266"/>
      <c r="G154" s="77"/>
      <c r="H154" s="77"/>
      <c r="I154" s="266"/>
      <c r="J154" s="267"/>
    </row>
    <row r="155" spans="1:10">
      <c r="A155" s="295">
        <v>5.21</v>
      </c>
      <c r="B155" s="77"/>
      <c r="C155" s="266" t="s">
        <v>425</v>
      </c>
      <c r="D155" s="266" t="s">
        <v>657</v>
      </c>
      <c r="E155" s="266" t="s">
        <v>187</v>
      </c>
      <c r="F155" s="76" t="s">
        <v>658</v>
      </c>
      <c r="G155" s="266" t="s">
        <v>126</v>
      </c>
      <c r="H155" s="266">
        <v>1</v>
      </c>
      <c r="I155" s="604">
        <v>242880</v>
      </c>
      <c r="J155" s="267">
        <f t="shared" ref="J155" si="20">SUM(H155*I155)</f>
        <v>242880</v>
      </c>
    </row>
    <row r="156" spans="1:10" ht="76.5">
      <c r="A156" s="77"/>
      <c r="B156" s="77"/>
      <c r="C156" s="77"/>
      <c r="D156" s="77"/>
      <c r="E156" s="77"/>
      <c r="F156" s="400" t="s">
        <v>701</v>
      </c>
      <c r="G156" s="77"/>
      <c r="H156" s="77"/>
      <c r="I156" s="266"/>
      <c r="J156" s="267"/>
    </row>
    <row r="157" spans="1:10" ht="25.5">
      <c r="A157" s="266"/>
      <c r="B157" s="77"/>
      <c r="C157" s="266"/>
      <c r="D157" s="266"/>
      <c r="E157" s="266"/>
      <c r="F157" s="400" t="s">
        <v>683</v>
      </c>
      <c r="G157" s="266"/>
      <c r="H157" s="266"/>
      <c r="I157" s="280"/>
      <c r="J157" s="267"/>
    </row>
    <row r="158" spans="1:10">
      <c r="A158" s="77"/>
      <c r="B158" s="77"/>
      <c r="C158" s="77"/>
      <c r="D158" s="77"/>
      <c r="E158" s="77"/>
      <c r="F158" s="81"/>
      <c r="G158" s="77"/>
      <c r="H158" s="77"/>
      <c r="I158" s="266"/>
      <c r="J158" s="267"/>
    </row>
    <row r="159" spans="1:10" ht="30">
      <c r="A159" s="295">
        <v>5.22</v>
      </c>
      <c r="B159" s="77"/>
      <c r="C159" s="266" t="s">
        <v>425</v>
      </c>
      <c r="D159" s="266" t="s">
        <v>663</v>
      </c>
      <c r="E159" s="266" t="s">
        <v>664</v>
      </c>
      <c r="F159" s="402" t="s">
        <v>662</v>
      </c>
      <c r="G159" s="266" t="s">
        <v>28</v>
      </c>
      <c r="H159" s="266">
        <v>2</v>
      </c>
      <c r="I159" s="604">
        <v>41700</v>
      </c>
      <c r="J159" s="267">
        <f t="shared" ref="J159" si="21">SUM(H159*I159)</f>
        <v>83400</v>
      </c>
    </row>
    <row r="160" spans="1:10" ht="120">
      <c r="A160" s="266"/>
      <c r="B160" s="77"/>
      <c r="C160" s="266"/>
      <c r="D160" s="266"/>
      <c r="E160" s="266"/>
      <c r="F160" s="395" t="s">
        <v>702</v>
      </c>
      <c r="G160" s="266"/>
      <c r="H160" s="266"/>
      <c r="I160" s="266"/>
      <c r="J160" s="267"/>
    </row>
    <row r="161" spans="1:10" ht="15.75" thickBot="1">
      <c r="A161" s="87"/>
      <c r="B161" s="87"/>
      <c r="C161" s="87"/>
      <c r="D161" s="87"/>
      <c r="E161" s="87"/>
      <c r="F161" s="85"/>
      <c r="G161" s="87"/>
      <c r="H161" s="87"/>
      <c r="I161" s="272"/>
      <c r="J161" s="300"/>
    </row>
    <row r="162" spans="1:10" ht="15.75" thickBot="1">
      <c r="A162" s="49" t="s">
        <v>195</v>
      </c>
      <c r="B162" s="69"/>
      <c r="C162" s="69"/>
      <c r="D162" s="69"/>
      <c r="E162" s="69"/>
      <c r="F162" s="50" t="s">
        <v>481</v>
      </c>
      <c r="G162" s="69"/>
      <c r="H162" s="69"/>
      <c r="I162" s="50"/>
      <c r="J162" s="303"/>
    </row>
    <row r="163" spans="1:10">
      <c r="A163" s="279"/>
      <c r="B163" s="31"/>
      <c r="C163" s="31"/>
      <c r="D163" s="31"/>
      <c r="E163" s="31"/>
      <c r="F163" s="279"/>
      <c r="G163" s="31"/>
      <c r="H163" s="31"/>
      <c r="I163" s="279"/>
      <c r="J163" s="307"/>
    </row>
    <row r="164" spans="1:10">
      <c r="A164" s="77"/>
      <c r="B164" s="77"/>
      <c r="C164" s="77"/>
      <c r="D164" s="77"/>
      <c r="E164" s="77"/>
      <c r="F164" s="294" t="s">
        <v>482</v>
      </c>
      <c r="G164" s="77"/>
      <c r="H164" s="77"/>
      <c r="I164" s="266"/>
      <c r="J164" s="267"/>
    </row>
    <row r="165" spans="1:10">
      <c r="A165" s="266">
        <v>6.1</v>
      </c>
      <c r="B165" s="77"/>
      <c r="C165" s="266" t="s">
        <v>483</v>
      </c>
      <c r="D165" s="266" t="s">
        <v>484</v>
      </c>
      <c r="E165" s="77"/>
      <c r="F165" s="266" t="s">
        <v>612</v>
      </c>
      <c r="G165" s="266" t="s">
        <v>126</v>
      </c>
      <c r="H165" s="266">
        <v>1</v>
      </c>
      <c r="I165" s="604">
        <v>0</v>
      </c>
      <c r="J165" s="267">
        <f t="shared" ref="J165:J175" si="22">SUM(H165*I165)</f>
        <v>0</v>
      </c>
    </row>
    <row r="166" spans="1:10">
      <c r="A166" s="266">
        <v>6.2</v>
      </c>
      <c r="B166" s="77"/>
      <c r="C166" s="266" t="s">
        <v>483</v>
      </c>
      <c r="D166" s="266" t="s">
        <v>484</v>
      </c>
      <c r="E166" s="77"/>
      <c r="F166" s="266" t="s">
        <v>486</v>
      </c>
      <c r="G166" s="266" t="s">
        <v>126</v>
      </c>
      <c r="H166" s="266">
        <v>1</v>
      </c>
      <c r="I166" s="604">
        <v>0</v>
      </c>
      <c r="J166" s="267">
        <f t="shared" si="22"/>
        <v>0</v>
      </c>
    </row>
    <row r="167" spans="1:10">
      <c r="A167" s="266">
        <v>6.3</v>
      </c>
      <c r="B167" s="77"/>
      <c r="C167" s="266" t="s">
        <v>483</v>
      </c>
      <c r="D167" s="266" t="s">
        <v>484</v>
      </c>
      <c r="E167" s="77"/>
      <c r="F167" s="266" t="s">
        <v>487</v>
      </c>
      <c r="G167" s="266" t="s">
        <v>126</v>
      </c>
      <c r="H167" s="266">
        <v>1</v>
      </c>
      <c r="I167" s="604">
        <v>0</v>
      </c>
      <c r="J167" s="267">
        <f t="shared" si="22"/>
        <v>0</v>
      </c>
    </row>
    <row r="168" spans="1:10">
      <c r="A168" s="266">
        <v>6.4</v>
      </c>
      <c r="B168" s="77"/>
      <c r="C168" s="266" t="s">
        <v>483</v>
      </c>
      <c r="D168" s="266" t="s">
        <v>484</v>
      </c>
      <c r="E168" s="77"/>
      <c r="F168" s="266" t="s">
        <v>668</v>
      </c>
      <c r="G168" s="266" t="s">
        <v>126</v>
      </c>
      <c r="H168" s="266">
        <v>1</v>
      </c>
      <c r="I168" s="604">
        <v>0</v>
      </c>
      <c r="J168" s="267">
        <f t="shared" si="22"/>
        <v>0</v>
      </c>
    </row>
    <row r="169" spans="1:10">
      <c r="A169" s="266">
        <v>6.6</v>
      </c>
      <c r="B169" s="77"/>
      <c r="C169" s="266" t="s">
        <v>483</v>
      </c>
      <c r="D169" s="266" t="s">
        <v>484</v>
      </c>
      <c r="E169" s="77"/>
      <c r="F169" s="266" t="s">
        <v>490</v>
      </c>
      <c r="G169" s="266" t="s">
        <v>126</v>
      </c>
      <c r="H169" s="266">
        <v>1</v>
      </c>
      <c r="I169" s="604">
        <v>0</v>
      </c>
      <c r="J169" s="267">
        <f t="shared" si="22"/>
        <v>0</v>
      </c>
    </row>
    <row r="170" spans="1:10">
      <c r="A170" s="266">
        <v>6.7</v>
      </c>
      <c r="B170" s="77"/>
      <c r="C170" s="266" t="s">
        <v>483</v>
      </c>
      <c r="D170" s="266" t="s">
        <v>484</v>
      </c>
      <c r="E170" s="77"/>
      <c r="F170" s="266" t="s">
        <v>491</v>
      </c>
      <c r="G170" s="266" t="s">
        <v>126</v>
      </c>
      <c r="H170" s="266">
        <v>1</v>
      </c>
      <c r="I170" s="604">
        <v>0</v>
      </c>
      <c r="J170" s="267">
        <f t="shared" si="22"/>
        <v>0</v>
      </c>
    </row>
    <row r="171" spans="1:10">
      <c r="A171" s="266">
        <v>6.8</v>
      </c>
      <c r="B171" s="77"/>
      <c r="C171" s="266" t="s">
        <v>483</v>
      </c>
      <c r="D171" s="266" t="s">
        <v>484</v>
      </c>
      <c r="E171" s="77"/>
      <c r="F171" s="266" t="s">
        <v>492</v>
      </c>
      <c r="G171" s="266" t="s">
        <v>126</v>
      </c>
      <c r="H171" s="266">
        <v>1</v>
      </c>
      <c r="I171" s="604">
        <v>0</v>
      </c>
      <c r="J171" s="267">
        <f t="shared" si="22"/>
        <v>0</v>
      </c>
    </row>
    <row r="172" spans="1:10">
      <c r="A172" s="266">
        <v>6.9</v>
      </c>
      <c r="B172" s="77"/>
      <c r="C172" s="266" t="s">
        <v>483</v>
      </c>
      <c r="D172" s="266" t="s">
        <v>484</v>
      </c>
      <c r="E172" s="77"/>
      <c r="F172" s="266" t="s">
        <v>493</v>
      </c>
      <c r="G172" s="266" t="s">
        <v>126</v>
      </c>
      <c r="H172" s="266">
        <v>1</v>
      </c>
      <c r="I172" s="604">
        <v>0</v>
      </c>
      <c r="J172" s="267">
        <f t="shared" si="22"/>
        <v>0</v>
      </c>
    </row>
    <row r="173" spans="1:10">
      <c r="A173" s="295">
        <v>6.1</v>
      </c>
      <c r="B173" s="77"/>
      <c r="C173" s="266" t="s">
        <v>483</v>
      </c>
      <c r="D173" s="266" t="s">
        <v>484</v>
      </c>
      <c r="E173" s="77"/>
      <c r="F173" s="266" t="s">
        <v>494</v>
      </c>
      <c r="G173" s="266" t="s">
        <v>126</v>
      </c>
      <c r="H173" s="266">
        <v>1</v>
      </c>
      <c r="I173" s="604">
        <v>0</v>
      </c>
      <c r="J173" s="267">
        <f t="shared" si="22"/>
        <v>0</v>
      </c>
    </row>
    <row r="174" spans="1:10">
      <c r="A174" s="295">
        <v>6.11</v>
      </c>
      <c r="B174" s="77"/>
      <c r="C174" s="266" t="s">
        <v>483</v>
      </c>
      <c r="D174" s="266" t="s">
        <v>484</v>
      </c>
      <c r="E174" s="77"/>
      <c r="F174" s="266" t="s">
        <v>498</v>
      </c>
      <c r="G174" s="266" t="s">
        <v>126</v>
      </c>
      <c r="H174" s="266">
        <v>1</v>
      </c>
      <c r="I174" s="604">
        <v>0</v>
      </c>
      <c r="J174" s="267">
        <f t="shared" si="22"/>
        <v>0</v>
      </c>
    </row>
    <row r="175" spans="1:10">
      <c r="A175" s="295">
        <v>6.12</v>
      </c>
      <c r="B175" s="77"/>
      <c r="C175" s="266" t="s">
        <v>483</v>
      </c>
      <c r="D175" s="266" t="s">
        <v>484</v>
      </c>
      <c r="E175" s="77"/>
      <c r="F175" s="266" t="s">
        <v>499</v>
      </c>
      <c r="G175" s="266" t="s">
        <v>126</v>
      </c>
      <c r="H175" s="266">
        <v>1</v>
      </c>
      <c r="I175" s="604">
        <v>0</v>
      </c>
      <c r="J175" s="267">
        <f t="shared" si="22"/>
        <v>0</v>
      </c>
    </row>
    <row r="176" spans="1:10">
      <c r="A176" s="295">
        <v>6.13</v>
      </c>
      <c r="B176" s="77"/>
      <c r="C176" s="266" t="s">
        <v>483</v>
      </c>
      <c r="D176" s="266" t="s">
        <v>484</v>
      </c>
      <c r="E176" s="77"/>
      <c r="F176" s="266" t="s">
        <v>500</v>
      </c>
      <c r="G176" s="266" t="s">
        <v>126</v>
      </c>
      <c r="H176" s="266">
        <v>1</v>
      </c>
      <c r="I176" s="604">
        <v>0</v>
      </c>
      <c r="J176" s="267">
        <f t="shared" ref="J176:J182" si="23">SUM(H176*I176)</f>
        <v>0</v>
      </c>
    </row>
    <row r="177" spans="1:10" ht="15.75" thickBot="1">
      <c r="A177" s="299"/>
      <c r="B177" s="87"/>
      <c r="C177" s="272"/>
      <c r="D177" s="272"/>
      <c r="E177" s="87"/>
      <c r="F177" s="272"/>
      <c r="G177" s="272"/>
      <c r="H177" s="272"/>
      <c r="I177" s="272"/>
      <c r="J177" s="300"/>
    </row>
    <row r="178" spans="1:10" ht="15.75" thickBot="1">
      <c r="A178" s="49" t="s">
        <v>505</v>
      </c>
      <c r="B178" s="69"/>
      <c r="C178" s="69"/>
      <c r="D178" s="69"/>
      <c r="E178" s="69"/>
      <c r="F178" s="50" t="s">
        <v>506</v>
      </c>
      <c r="G178" s="69"/>
      <c r="H178" s="69"/>
      <c r="I178" s="50"/>
      <c r="J178" s="303"/>
    </row>
    <row r="179" spans="1:10">
      <c r="A179" s="279"/>
      <c r="B179" s="31"/>
      <c r="C179" s="31"/>
      <c r="D179" s="31"/>
      <c r="E179" s="31"/>
      <c r="F179" s="279"/>
      <c r="G179" s="31"/>
      <c r="H179" s="31"/>
      <c r="I179" s="279"/>
      <c r="J179" s="307"/>
    </row>
    <row r="180" spans="1:10">
      <c r="A180" s="266">
        <v>7.1</v>
      </c>
      <c r="B180" s="77"/>
      <c r="C180" s="266" t="s">
        <v>13</v>
      </c>
      <c r="D180" s="266" t="s">
        <v>507</v>
      </c>
      <c r="E180" s="77" t="s">
        <v>508</v>
      </c>
      <c r="F180" s="76" t="s">
        <v>509</v>
      </c>
      <c r="G180" s="266" t="s">
        <v>7</v>
      </c>
      <c r="H180" s="266">
        <v>80</v>
      </c>
      <c r="I180" s="604">
        <v>492</v>
      </c>
      <c r="J180" s="267">
        <f t="shared" si="23"/>
        <v>39360</v>
      </c>
    </row>
    <row r="181" spans="1:10" ht="60">
      <c r="A181" s="77"/>
      <c r="B181" s="77"/>
      <c r="C181" s="77"/>
      <c r="D181" s="77"/>
      <c r="E181" s="77"/>
      <c r="F181" s="266" t="s">
        <v>510</v>
      </c>
      <c r="G181" s="77"/>
      <c r="H181" s="77"/>
      <c r="I181" s="266"/>
      <c r="J181" s="267"/>
    </row>
    <row r="182" spans="1:10" ht="30">
      <c r="A182" s="266">
        <v>7.2</v>
      </c>
      <c r="B182" s="77"/>
      <c r="C182" s="266" t="s">
        <v>13</v>
      </c>
      <c r="D182" s="266" t="s">
        <v>511</v>
      </c>
      <c r="E182" s="77" t="s">
        <v>512</v>
      </c>
      <c r="F182" s="76" t="s">
        <v>14</v>
      </c>
      <c r="G182" s="266" t="s">
        <v>7</v>
      </c>
      <c r="H182" s="266">
        <v>100</v>
      </c>
      <c r="I182" s="604">
        <v>552</v>
      </c>
      <c r="J182" s="267">
        <f t="shared" si="23"/>
        <v>55200</v>
      </c>
    </row>
    <row r="183" spans="1:10" ht="60">
      <c r="A183" s="77"/>
      <c r="B183" s="77"/>
      <c r="C183" s="77"/>
      <c r="D183" s="77"/>
      <c r="E183" s="77"/>
      <c r="F183" s="266" t="s">
        <v>513</v>
      </c>
      <c r="G183" s="77"/>
      <c r="H183" s="77"/>
      <c r="I183" s="266"/>
      <c r="J183" s="266"/>
    </row>
    <row r="184" spans="1:10">
      <c r="A184" s="87"/>
      <c r="B184" s="87"/>
      <c r="C184" s="87"/>
      <c r="D184" s="87"/>
      <c r="E184" s="77"/>
      <c r="F184" s="266"/>
      <c r="G184" s="266"/>
      <c r="H184" s="87"/>
      <c r="I184" s="272"/>
      <c r="J184" s="272"/>
    </row>
    <row r="185" spans="1:10" ht="30">
      <c r="A185" s="266">
        <v>7.3</v>
      </c>
      <c r="B185" s="77"/>
      <c r="C185" s="266" t="s">
        <v>13</v>
      </c>
      <c r="D185" s="266" t="s">
        <v>507</v>
      </c>
      <c r="E185" s="125" t="s">
        <v>659</v>
      </c>
      <c r="F185" s="139" t="s">
        <v>660</v>
      </c>
      <c r="G185" s="124" t="s">
        <v>7</v>
      </c>
      <c r="H185" s="87">
        <v>70</v>
      </c>
      <c r="I185" s="604">
        <v>336</v>
      </c>
      <c r="J185" s="267">
        <f t="shared" ref="J185" si="24">SUM(H185*I185)</f>
        <v>23520</v>
      </c>
    </row>
    <row r="186" spans="1:10" ht="30">
      <c r="A186" s="87"/>
      <c r="B186" s="87"/>
      <c r="C186" s="87"/>
      <c r="D186" s="87"/>
      <c r="E186" s="125"/>
      <c r="F186" s="36" t="s">
        <v>661</v>
      </c>
      <c r="G186" s="124"/>
      <c r="H186" s="87"/>
      <c r="I186" s="272"/>
      <c r="J186" s="272"/>
    </row>
    <row r="187" spans="1:10">
      <c r="A187" s="87"/>
      <c r="B187" s="87"/>
      <c r="C187" s="87"/>
      <c r="D187" s="87"/>
      <c r="E187" s="87"/>
      <c r="F187" s="272"/>
      <c r="G187" s="87"/>
      <c r="H187" s="87"/>
      <c r="I187" s="272"/>
      <c r="J187" s="272"/>
    </row>
    <row r="188" spans="1:10">
      <c r="A188" s="266">
        <v>7.4</v>
      </c>
      <c r="B188" s="77"/>
      <c r="C188" s="266" t="s">
        <v>13</v>
      </c>
      <c r="D188" s="266" t="s">
        <v>667</v>
      </c>
      <c r="E188" s="125" t="s">
        <v>665</v>
      </c>
      <c r="F188" s="123" t="s">
        <v>703</v>
      </c>
      <c r="G188" s="124" t="s">
        <v>25</v>
      </c>
      <c r="H188" s="87">
        <v>70</v>
      </c>
      <c r="I188" s="604">
        <v>630</v>
      </c>
      <c r="J188" s="267">
        <f t="shared" ref="J188" si="25">SUM(H188*I188)</f>
        <v>44100</v>
      </c>
    </row>
    <row r="189" spans="1:10" ht="45">
      <c r="A189" s="87"/>
      <c r="B189" s="87"/>
      <c r="C189" s="87"/>
      <c r="D189" s="87"/>
      <c r="E189" s="125"/>
      <c r="F189" s="124" t="s">
        <v>666</v>
      </c>
      <c r="G189" s="124"/>
      <c r="H189" s="87"/>
      <c r="I189" s="272"/>
      <c r="J189" s="272"/>
    </row>
    <row r="190" spans="1:10">
      <c r="A190" s="87"/>
      <c r="B190" s="87"/>
      <c r="C190" s="87"/>
      <c r="D190" s="87"/>
      <c r="E190" s="186"/>
      <c r="F190" s="187"/>
      <c r="G190" s="187"/>
      <c r="H190" s="87"/>
      <c r="I190" s="272"/>
      <c r="J190" s="272"/>
    </row>
    <row r="191" spans="1:10">
      <c r="A191" s="266">
        <v>7.5</v>
      </c>
      <c r="B191" s="77"/>
      <c r="C191" s="266" t="s">
        <v>13</v>
      </c>
      <c r="D191" s="266" t="s">
        <v>507</v>
      </c>
      <c r="E191" s="5" t="s">
        <v>43</v>
      </c>
      <c r="F191" s="15" t="s">
        <v>55</v>
      </c>
      <c r="G191" s="124" t="s">
        <v>25</v>
      </c>
      <c r="H191" s="87">
        <v>25</v>
      </c>
      <c r="I191" s="604">
        <v>3702</v>
      </c>
      <c r="J191" s="267">
        <f t="shared" ref="J191" si="26">SUM(H191*I191)</f>
        <v>92550</v>
      </c>
    </row>
    <row r="192" spans="1:10" ht="25.5">
      <c r="A192" s="87"/>
      <c r="B192" s="87"/>
      <c r="C192" s="87"/>
      <c r="D192" s="87"/>
      <c r="E192" s="5"/>
      <c r="F192" s="12" t="s">
        <v>196</v>
      </c>
      <c r="G192" s="187"/>
      <c r="H192" s="87"/>
      <c r="I192" s="272"/>
      <c r="J192" s="272"/>
    </row>
    <row r="193" spans="1:10" ht="15.75" thickBot="1">
      <c r="A193" s="87"/>
      <c r="B193" s="87"/>
      <c r="C193" s="87"/>
      <c r="D193" s="87"/>
      <c r="E193" s="87"/>
      <c r="F193" s="272"/>
      <c r="G193" s="87"/>
      <c r="H193" s="87"/>
      <c r="I193" s="272"/>
      <c r="J193" s="272"/>
    </row>
    <row r="194" spans="1:10" ht="15.75" thickBot="1">
      <c r="A194" s="301"/>
      <c r="B194" s="302"/>
      <c r="C194" s="69"/>
      <c r="D194" s="69"/>
      <c r="E194" s="69"/>
      <c r="F194" s="50" t="s">
        <v>514</v>
      </c>
      <c r="G194" s="69"/>
      <c r="H194" s="69"/>
      <c r="I194" s="50"/>
      <c r="J194" s="605">
        <f>SUM(J6:J192)</f>
        <v>7537441.7000000002</v>
      </c>
    </row>
    <row r="195" spans="1:10">
      <c r="A195" s="319"/>
      <c r="B195" s="319"/>
      <c r="C195" s="319"/>
      <c r="D195" s="319"/>
      <c r="E195" s="319"/>
      <c r="F195" s="319"/>
      <c r="G195" s="320"/>
      <c r="H195" s="320"/>
    </row>
  </sheetData>
  <mergeCells count="3">
    <mergeCell ref="A1:H1"/>
    <mergeCell ref="A2:H2"/>
    <mergeCell ref="I3:J3"/>
  </mergeCells>
  <conditionalFormatting sqref="F88:F89">
    <cfRule type="duplicateValues" dxfId="1" priority="4"/>
  </conditionalFormatting>
  <conditionalFormatting sqref="F156:F157">
    <cfRule type="duplicateValues" dxfId="0" priority="2"/>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U246"/>
  <sheetViews>
    <sheetView zoomScale="90" zoomScaleNormal="90" workbookViewId="0">
      <pane ySplit="4" topLeftCell="A243" activePane="bottomLeft" state="frozen"/>
      <selection pane="bottomLeft" activeCell="A243" sqref="A243"/>
    </sheetView>
  </sheetViews>
  <sheetFormatPr defaultColWidth="6.5" defaultRowHeight="15"/>
  <cols>
    <col min="1" max="1" width="4.5" style="62" customWidth="1"/>
    <col min="2" max="2" width="9.75" style="62" customWidth="1"/>
    <col min="3" max="3" width="4.875" style="62" customWidth="1"/>
    <col min="4" max="4" width="8.25" style="62" bestFit="1" customWidth="1"/>
    <col min="5" max="5" width="10.125" style="62" customWidth="1"/>
    <col min="6" max="6" width="63.875" style="62" customWidth="1"/>
    <col min="7" max="7" width="5" style="62" bestFit="1" customWidth="1"/>
    <col min="8" max="8" width="8.375" style="62" customWidth="1"/>
    <col min="9" max="9" width="9" style="62" customWidth="1"/>
    <col min="10" max="10" width="13.5" style="62" customWidth="1"/>
    <col min="11" max="203" width="6.5" style="62" customWidth="1"/>
    <col min="204" max="16384" width="6.5" style="250"/>
  </cols>
  <sheetData>
    <row r="1" spans="1:10" ht="24" customHeight="1">
      <c r="A1" s="641" t="s">
        <v>343</v>
      </c>
      <c r="B1" s="642"/>
      <c r="C1" s="642"/>
      <c r="D1" s="642"/>
      <c r="E1" s="642"/>
      <c r="F1" s="642"/>
      <c r="G1" s="642"/>
      <c r="H1" s="642"/>
      <c r="I1" s="248"/>
      <c r="J1" s="249"/>
    </row>
    <row r="2" spans="1:10" ht="24" customHeight="1">
      <c r="A2" s="643" t="s">
        <v>515</v>
      </c>
      <c r="B2" s="643"/>
      <c r="C2" s="643"/>
      <c r="D2" s="643"/>
      <c r="E2" s="643"/>
      <c r="F2" s="643"/>
      <c r="G2" s="643"/>
      <c r="H2" s="643"/>
      <c r="I2" s="251"/>
      <c r="J2" s="251"/>
    </row>
    <row r="3" spans="1:10" ht="24" customHeight="1" thickBot="1">
      <c r="A3" s="252"/>
      <c r="B3" s="253"/>
      <c r="C3" s="253"/>
      <c r="D3" s="253"/>
      <c r="E3" s="253"/>
      <c r="F3" s="253"/>
      <c r="G3" s="253"/>
      <c r="H3" s="253"/>
      <c r="I3" s="644"/>
      <c r="J3" s="645"/>
    </row>
    <row r="4" spans="1:10" ht="60.75" thickBot="1">
      <c r="A4" s="252"/>
      <c r="B4" s="50" t="s">
        <v>0</v>
      </c>
      <c r="C4" s="50" t="s">
        <v>1</v>
      </c>
      <c r="D4" s="50" t="s">
        <v>2</v>
      </c>
      <c r="E4" s="50" t="s">
        <v>3</v>
      </c>
      <c r="F4" s="50" t="s">
        <v>344</v>
      </c>
      <c r="G4" s="50" t="s">
        <v>345</v>
      </c>
      <c r="H4" s="50" t="s">
        <v>4</v>
      </c>
      <c r="I4" s="70" t="s">
        <v>23</v>
      </c>
      <c r="J4" s="254" t="s">
        <v>5</v>
      </c>
    </row>
    <row r="5" spans="1:10">
      <c r="A5" s="58"/>
      <c r="B5" s="58"/>
      <c r="C5" s="58"/>
      <c r="D5" s="58"/>
      <c r="E5" s="58"/>
      <c r="F5" s="58"/>
      <c r="G5" s="58"/>
      <c r="H5" s="58"/>
      <c r="I5" s="61"/>
      <c r="J5" s="61"/>
    </row>
    <row r="6" spans="1:10">
      <c r="A6" s="255" t="s">
        <v>15</v>
      </c>
      <c r="B6" s="255"/>
      <c r="C6" s="71" t="s">
        <v>102</v>
      </c>
      <c r="D6" s="255"/>
      <c r="E6" s="255"/>
      <c r="F6" s="255" t="s">
        <v>98</v>
      </c>
      <c r="G6" s="255" t="s">
        <v>41</v>
      </c>
      <c r="H6" s="255">
        <v>1</v>
      </c>
      <c r="I6" s="256"/>
      <c r="J6" s="83">
        <f>SUM(H6*I6)</f>
        <v>0</v>
      </c>
    </row>
    <row r="7" spans="1:10" ht="15.75" thickBot="1">
      <c r="A7" s="257"/>
      <c r="B7" s="258"/>
      <c r="C7" s="259"/>
      <c r="D7" s="260"/>
      <c r="E7" s="261"/>
      <c r="F7" s="262"/>
      <c r="G7" s="263"/>
      <c r="H7" s="264"/>
      <c r="I7" s="265"/>
      <c r="J7" s="265"/>
    </row>
    <row r="8" spans="1:10" ht="15.75" thickBot="1">
      <c r="A8" s="49" t="s">
        <v>16</v>
      </c>
      <c r="B8" s="50"/>
      <c r="C8" s="50"/>
      <c r="D8" s="50"/>
      <c r="E8" s="50"/>
      <c r="F8" s="68" t="s">
        <v>100</v>
      </c>
      <c r="G8" s="50"/>
      <c r="H8" s="50"/>
      <c r="I8" s="70"/>
      <c r="J8" s="254"/>
    </row>
    <row r="9" spans="1:10" ht="210">
      <c r="A9" s="71">
        <v>2.1</v>
      </c>
      <c r="B9" s="71" t="s">
        <v>101</v>
      </c>
      <c r="C9" s="71" t="s">
        <v>102</v>
      </c>
      <c r="D9" s="71" t="s">
        <v>103</v>
      </c>
      <c r="E9" s="71" t="s">
        <v>346</v>
      </c>
      <c r="F9" s="72" t="s">
        <v>606</v>
      </c>
      <c r="G9" s="73" t="s">
        <v>105</v>
      </c>
      <c r="H9" s="73">
        <v>231.77000000000004</v>
      </c>
      <c r="I9" s="604">
        <v>4519</v>
      </c>
      <c r="J9" s="83">
        <f>SUM(H9*I9)</f>
        <v>1047368.6300000001</v>
      </c>
    </row>
    <row r="10" spans="1:10">
      <c r="A10" s="76"/>
      <c r="B10" s="76"/>
      <c r="C10" s="76"/>
      <c r="D10" s="76"/>
      <c r="E10" s="76"/>
      <c r="F10" s="76"/>
      <c r="G10" s="76"/>
      <c r="H10" s="266"/>
      <c r="I10" s="78"/>
      <c r="J10" s="78"/>
    </row>
    <row r="11" spans="1:10" ht="210">
      <c r="A11" s="80">
        <v>2.2000000000000002</v>
      </c>
      <c r="B11" s="80" t="s">
        <v>101</v>
      </c>
      <c r="C11" s="80" t="s">
        <v>102</v>
      </c>
      <c r="D11" s="80" t="s">
        <v>103</v>
      </c>
      <c r="E11" s="80" t="s">
        <v>104</v>
      </c>
      <c r="F11" s="81" t="s">
        <v>607</v>
      </c>
      <c r="G11" s="82" t="s">
        <v>105</v>
      </c>
      <c r="H11" s="266">
        <v>49.1</v>
      </c>
      <c r="I11" s="604">
        <v>3607</v>
      </c>
      <c r="J11" s="83">
        <f>SUM(H11*I11)</f>
        <v>177103.7</v>
      </c>
    </row>
    <row r="12" spans="1:10">
      <c r="A12" s="76"/>
      <c r="B12" s="76"/>
      <c r="C12" s="76"/>
      <c r="D12" s="76"/>
      <c r="E12" s="76"/>
      <c r="F12" s="76"/>
      <c r="G12" s="76"/>
      <c r="H12" s="266"/>
      <c r="I12" s="78"/>
      <c r="J12" s="78"/>
    </row>
    <row r="13" spans="1:10" ht="225">
      <c r="A13" s="80">
        <v>2.2999999999999998</v>
      </c>
      <c r="B13" s="80" t="s">
        <v>101</v>
      </c>
      <c r="C13" s="80" t="s">
        <v>102</v>
      </c>
      <c r="D13" s="80" t="s">
        <v>103</v>
      </c>
      <c r="E13" s="80" t="s">
        <v>106</v>
      </c>
      <c r="F13" s="81" t="s">
        <v>608</v>
      </c>
      <c r="G13" s="82" t="s">
        <v>105</v>
      </c>
      <c r="H13" s="266">
        <v>73.69</v>
      </c>
      <c r="I13" s="604">
        <v>3140</v>
      </c>
      <c r="J13" s="83">
        <f>SUM(H13*I13)</f>
        <v>231386.6</v>
      </c>
    </row>
    <row r="14" spans="1:10">
      <c r="A14" s="76"/>
      <c r="B14" s="76"/>
      <c r="C14" s="76"/>
      <c r="D14" s="76"/>
      <c r="E14" s="76"/>
      <c r="F14" s="76"/>
      <c r="G14" s="76"/>
      <c r="H14" s="266"/>
      <c r="I14" s="78"/>
      <c r="J14" s="78"/>
    </row>
    <row r="15" spans="1:10" ht="270">
      <c r="A15" s="80">
        <v>2.4</v>
      </c>
      <c r="B15" s="80" t="s">
        <v>107</v>
      </c>
      <c r="C15" s="80" t="s">
        <v>102</v>
      </c>
      <c r="D15" s="80" t="s">
        <v>108</v>
      </c>
      <c r="E15" s="80" t="s">
        <v>109</v>
      </c>
      <c r="F15" s="81" t="s">
        <v>110</v>
      </c>
      <c r="G15" s="82" t="s">
        <v>105</v>
      </c>
      <c r="H15" s="267">
        <f>SUM(H9:H13)*2</f>
        <v>709.12000000000012</v>
      </c>
      <c r="I15" s="604">
        <v>1200</v>
      </c>
      <c r="J15" s="83">
        <f>SUM(H15*I15)</f>
        <v>850944.00000000012</v>
      </c>
    </row>
    <row r="16" spans="1:10">
      <c r="A16" s="76"/>
      <c r="B16" s="76"/>
      <c r="C16" s="76"/>
      <c r="D16" s="76"/>
      <c r="E16" s="76"/>
      <c r="F16" s="76"/>
      <c r="G16" s="76"/>
      <c r="H16" s="266"/>
      <c r="I16" s="78"/>
      <c r="J16" s="78"/>
    </row>
    <row r="17" spans="1:10" ht="270">
      <c r="A17" s="80">
        <v>2.5</v>
      </c>
      <c r="B17" s="80" t="s">
        <v>107</v>
      </c>
      <c r="C17" s="80" t="s">
        <v>102</v>
      </c>
      <c r="D17" s="80" t="s">
        <v>111</v>
      </c>
      <c r="E17" s="80" t="s">
        <v>347</v>
      </c>
      <c r="F17" s="81" t="s">
        <v>110</v>
      </c>
      <c r="G17" s="82" t="s">
        <v>105</v>
      </c>
      <c r="H17" s="266">
        <v>106.21</v>
      </c>
      <c r="I17" s="604">
        <v>1200</v>
      </c>
      <c r="J17" s="83">
        <f>SUM(H17*I17)</f>
        <v>127451.99999999999</v>
      </c>
    </row>
    <row r="18" spans="1:10">
      <c r="A18" s="76"/>
      <c r="B18" s="76"/>
      <c r="C18" s="76"/>
      <c r="D18" s="76"/>
      <c r="E18" s="76"/>
      <c r="F18" s="76"/>
      <c r="G18" s="76"/>
      <c r="H18" s="266"/>
      <c r="I18" s="78"/>
      <c r="J18" s="78"/>
    </row>
    <row r="19" spans="1:10" ht="105">
      <c r="A19" s="646">
        <v>2.6</v>
      </c>
      <c r="B19" s="268"/>
      <c r="C19" s="647" t="s">
        <v>102</v>
      </c>
      <c r="D19" s="648" t="s">
        <v>348</v>
      </c>
      <c r="E19" s="648" t="s">
        <v>349</v>
      </c>
      <c r="F19" s="81" t="s">
        <v>350</v>
      </c>
      <c r="G19" s="269"/>
      <c r="H19" s="266"/>
      <c r="I19" s="78"/>
      <c r="J19" s="78"/>
    </row>
    <row r="20" spans="1:10" ht="30">
      <c r="A20" s="646"/>
      <c r="B20" s="268" t="s">
        <v>147</v>
      </c>
      <c r="C20" s="647"/>
      <c r="D20" s="648"/>
      <c r="E20" s="648"/>
      <c r="F20" s="270" t="s">
        <v>351</v>
      </c>
      <c r="G20" s="82" t="s">
        <v>105</v>
      </c>
      <c r="H20" s="266">
        <f>5+5</f>
        <v>10</v>
      </c>
      <c r="I20" s="604">
        <v>3312</v>
      </c>
      <c r="J20" s="83">
        <f>SUM(H20*I20)</f>
        <v>33120</v>
      </c>
    </row>
    <row r="21" spans="1:10">
      <c r="A21" s="271"/>
      <c r="B21" s="271"/>
      <c r="C21" s="271"/>
      <c r="D21" s="271"/>
      <c r="E21" s="271"/>
      <c r="F21" s="76"/>
      <c r="G21" s="271"/>
      <c r="H21" s="266"/>
      <c r="I21" s="78"/>
      <c r="J21" s="78"/>
    </row>
    <row r="22" spans="1:10" ht="135">
      <c r="A22" s="80">
        <v>2.7</v>
      </c>
      <c r="B22" s="80" t="s">
        <v>352</v>
      </c>
      <c r="C22" s="80" t="s">
        <v>102</v>
      </c>
      <c r="D22" s="80" t="s">
        <v>114</v>
      </c>
      <c r="E22" s="80" t="s">
        <v>353</v>
      </c>
      <c r="F22" s="81" t="s">
        <v>354</v>
      </c>
      <c r="G22" s="82" t="s">
        <v>105</v>
      </c>
      <c r="H22" s="266">
        <f>7</f>
        <v>7</v>
      </c>
      <c r="I22" s="604">
        <v>2791.62</v>
      </c>
      <c r="J22" s="83">
        <f>SUM(H22*I22)</f>
        <v>19541.34</v>
      </c>
    </row>
    <row r="23" spans="1:10">
      <c r="A23" s="80"/>
      <c r="B23" s="80"/>
      <c r="C23" s="80"/>
      <c r="D23" s="80"/>
      <c r="E23" s="80"/>
      <c r="F23" s="81"/>
      <c r="G23" s="82"/>
      <c r="H23" s="266"/>
      <c r="I23" s="78"/>
      <c r="J23" s="78"/>
    </row>
    <row r="24" spans="1:10" ht="180">
      <c r="A24" s="80">
        <v>2.8</v>
      </c>
      <c r="B24" s="80" t="s">
        <v>352</v>
      </c>
      <c r="C24" s="80" t="s">
        <v>102</v>
      </c>
      <c r="D24" s="80" t="s">
        <v>114</v>
      </c>
      <c r="E24" s="80" t="s">
        <v>355</v>
      </c>
      <c r="F24" s="81" t="s">
        <v>356</v>
      </c>
      <c r="G24" s="82" t="s">
        <v>105</v>
      </c>
      <c r="H24" s="266">
        <f>90</f>
        <v>90</v>
      </c>
      <c r="I24" s="604">
        <v>4044.0360000000001</v>
      </c>
      <c r="J24" s="83">
        <f>SUM(H24*I24)</f>
        <v>363963.24</v>
      </c>
    </row>
    <row r="25" spans="1:10">
      <c r="A25" s="80"/>
      <c r="B25" s="80"/>
      <c r="C25" s="80"/>
      <c r="D25" s="80"/>
      <c r="E25" s="80"/>
      <c r="F25" s="81"/>
      <c r="G25" s="82"/>
      <c r="H25" s="266"/>
      <c r="I25" s="78"/>
      <c r="J25" s="78"/>
    </row>
    <row r="26" spans="1:10" ht="120">
      <c r="A26" s="80">
        <v>2.9</v>
      </c>
      <c r="B26" s="80" t="s">
        <v>352</v>
      </c>
      <c r="C26" s="80" t="s">
        <v>102</v>
      </c>
      <c r="D26" s="80" t="s">
        <v>114</v>
      </c>
      <c r="E26" s="80" t="s">
        <v>115</v>
      </c>
      <c r="F26" s="81" t="s">
        <v>116</v>
      </c>
      <c r="G26" s="82" t="s">
        <v>105</v>
      </c>
      <c r="H26" s="266">
        <f>6+6</f>
        <v>12</v>
      </c>
      <c r="I26" s="604">
        <v>1914</v>
      </c>
      <c r="J26" s="83">
        <f>SUM(H26*I26)</f>
        <v>22968</v>
      </c>
    </row>
    <row r="27" spans="1:10">
      <c r="A27" s="84"/>
      <c r="B27" s="84"/>
      <c r="C27" s="84"/>
      <c r="D27" s="84"/>
      <c r="E27" s="84"/>
      <c r="F27" s="81"/>
      <c r="G27" s="86"/>
      <c r="H27" s="272"/>
      <c r="I27" s="88"/>
      <c r="J27" s="273"/>
    </row>
    <row r="28" spans="1:10" ht="14.25" customHeight="1" thickBot="1">
      <c r="A28" s="274"/>
      <c r="B28" s="274"/>
      <c r="C28" s="274"/>
      <c r="D28" s="274"/>
      <c r="E28" s="274"/>
      <c r="F28" s="275"/>
      <c r="G28" s="274"/>
      <c r="H28" s="255"/>
      <c r="I28" s="276"/>
      <c r="J28" s="276"/>
    </row>
    <row r="29" spans="1:10" ht="19.5" customHeight="1" thickBot="1">
      <c r="A29" s="49" t="s">
        <v>17</v>
      </c>
      <c r="B29" s="53"/>
      <c r="C29" s="53"/>
      <c r="D29" s="53"/>
      <c r="E29" s="53"/>
      <c r="F29" s="50" t="s">
        <v>357</v>
      </c>
      <c r="G29" s="53"/>
      <c r="H29" s="53"/>
      <c r="I29" s="277"/>
      <c r="J29" s="278"/>
    </row>
    <row r="30" spans="1:10" ht="19.5" customHeight="1">
      <c r="A30" s="279"/>
      <c r="B30" s="31"/>
      <c r="C30" s="31"/>
      <c r="D30" s="31"/>
      <c r="E30" s="31"/>
      <c r="F30" s="58" t="s">
        <v>358</v>
      </c>
      <c r="G30" s="31"/>
      <c r="H30" s="31"/>
      <c r="I30" s="279"/>
      <c r="J30" s="279"/>
    </row>
    <row r="31" spans="1:10" ht="30">
      <c r="A31" s="266">
        <v>3.1</v>
      </c>
      <c r="B31" s="77"/>
      <c r="C31" s="266" t="s">
        <v>102</v>
      </c>
      <c r="D31" s="266" t="s">
        <v>6</v>
      </c>
      <c r="E31" s="266" t="s">
        <v>359</v>
      </c>
      <c r="F31" s="76" t="s">
        <v>360</v>
      </c>
      <c r="G31" s="266" t="s">
        <v>7</v>
      </c>
      <c r="H31" s="266">
        <f>80+8</f>
        <v>88</v>
      </c>
      <c r="I31" s="604">
        <v>4536</v>
      </c>
      <c r="J31" s="267">
        <f t="shared" ref="J31:J117" si="0">SUM(H31*I31)</f>
        <v>399168</v>
      </c>
    </row>
    <row r="32" spans="1:10" ht="120">
      <c r="A32" s="77"/>
      <c r="B32" s="77"/>
      <c r="C32" s="77"/>
      <c r="D32" s="77"/>
      <c r="E32" s="77"/>
      <c r="F32" s="266" t="s">
        <v>581</v>
      </c>
      <c r="G32" s="77"/>
      <c r="H32" s="77"/>
      <c r="I32" s="266"/>
      <c r="J32" s="267"/>
    </row>
    <row r="33" spans="1:203" ht="15.95" customHeight="1">
      <c r="A33" s="77"/>
      <c r="B33" s="77"/>
      <c r="C33" s="77"/>
      <c r="D33" s="77"/>
      <c r="E33" s="77"/>
      <c r="F33" s="77"/>
      <c r="G33" s="77"/>
      <c r="H33" s="77"/>
      <c r="I33" s="266"/>
      <c r="J33" s="267"/>
    </row>
    <row r="34" spans="1:203" ht="45">
      <c r="A34" s="266">
        <v>3.2</v>
      </c>
      <c r="B34" s="77"/>
      <c r="C34" s="266" t="s">
        <v>102</v>
      </c>
      <c r="D34" s="266" t="s">
        <v>6</v>
      </c>
      <c r="E34" s="266" t="s">
        <v>361</v>
      </c>
      <c r="F34" s="76" t="s">
        <v>362</v>
      </c>
      <c r="G34" s="266" t="s">
        <v>7</v>
      </c>
      <c r="H34" s="266">
        <v>5</v>
      </c>
      <c r="I34" s="604">
        <v>21528</v>
      </c>
      <c r="J34" s="267">
        <f t="shared" si="0"/>
        <v>107640</v>
      </c>
    </row>
    <row r="35" spans="1:203" ht="150">
      <c r="A35" s="77"/>
      <c r="B35" s="77"/>
      <c r="C35" s="77"/>
      <c r="D35" s="77"/>
      <c r="E35" s="77"/>
      <c r="F35" s="266" t="s">
        <v>582</v>
      </c>
      <c r="G35" s="77"/>
      <c r="H35" s="77"/>
      <c r="I35" s="266"/>
      <c r="J35" s="267"/>
    </row>
    <row r="36" spans="1:203" ht="15.95" customHeight="1">
      <c r="A36" s="77"/>
      <c r="B36" s="77"/>
      <c r="C36" s="77"/>
      <c r="D36" s="77"/>
      <c r="E36" s="77"/>
      <c r="F36" s="77"/>
      <c r="G36" s="77"/>
      <c r="H36" s="77"/>
      <c r="I36" s="266"/>
      <c r="J36" s="267"/>
    </row>
    <row r="37" spans="1:203" ht="15.95" customHeight="1">
      <c r="A37" s="77"/>
      <c r="B37" s="77"/>
      <c r="C37" s="77"/>
      <c r="D37" s="77"/>
      <c r="E37" s="77"/>
      <c r="F37" s="77"/>
      <c r="G37" s="77"/>
      <c r="H37" s="77"/>
      <c r="I37" s="266"/>
      <c r="J37" s="267"/>
    </row>
    <row r="38" spans="1:203" ht="30">
      <c r="A38" s="266">
        <v>3.2</v>
      </c>
      <c r="B38" s="77"/>
      <c r="C38" s="266" t="s">
        <v>102</v>
      </c>
      <c r="D38" s="266" t="s">
        <v>6</v>
      </c>
      <c r="E38" s="266" t="s">
        <v>363</v>
      </c>
      <c r="F38" s="281" t="s">
        <v>364</v>
      </c>
      <c r="G38" s="282" t="s">
        <v>7</v>
      </c>
      <c r="H38" s="280">
        <f>10</f>
        <v>10</v>
      </c>
      <c r="I38" s="604">
        <v>3678</v>
      </c>
      <c r="J38" s="283">
        <f>SUM(H38*I38)</f>
        <v>36780</v>
      </c>
    </row>
    <row r="39" spans="1:203" ht="60">
      <c r="A39" s="77"/>
      <c r="B39" s="77"/>
      <c r="C39" s="77"/>
      <c r="D39" s="77"/>
      <c r="E39" s="77"/>
      <c r="F39" s="284" t="s">
        <v>365</v>
      </c>
      <c r="G39" s="282"/>
      <c r="H39" s="280"/>
      <c r="I39" s="280"/>
      <c r="J39" s="124"/>
    </row>
    <row r="40" spans="1:203">
      <c r="A40" s="77"/>
      <c r="B40" s="77"/>
      <c r="C40" s="77"/>
      <c r="D40" s="77"/>
      <c r="E40" s="77"/>
      <c r="F40" s="77"/>
      <c r="G40" s="282"/>
      <c r="H40" s="280"/>
      <c r="I40" s="280"/>
      <c r="J40" s="124"/>
    </row>
    <row r="41" spans="1:203">
      <c r="A41" s="77"/>
      <c r="B41" s="77"/>
      <c r="C41" s="77"/>
      <c r="D41" s="77"/>
      <c r="E41" s="77"/>
      <c r="F41" s="284"/>
      <c r="G41" s="282"/>
      <c r="H41" s="280"/>
      <c r="I41" s="280"/>
      <c r="J41" s="124"/>
    </row>
    <row r="42" spans="1:203">
      <c r="A42" s="105">
        <v>3.4</v>
      </c>
      <c r="B42" s="106" t="s">
        <v>118</v>
      </c>
      <c r="C42" s="107" t="s">
        <v>102</v>
      </c>
      <c r="D42" s="107" t="s">
        <v>119</v>
      </c>
      <c r="E42" s="106" t="s">
        <v>120</v>
      </c>
      <c r="F42" s="108" t="s">
        <v>366</v>
      </c>
      <c r="G42" s="269" t="s">
        <v>7</v>
      </c>
      <c r="H42" s="76">
        <v>80</v>
      </c>
      <c r="I42" s="604">
        <v>3066</v>
      </c>
      <c r="J42" s="283">
        <f>SUM(H42*I42)</f>
        <v>245280</v>
      </c>
    </row>
    <row r="43" spans="1:203" ht="150">
      <c r="A43" s="105"/>
      <c r="B43" s="106"/>
      <c r="C43" s="107"/>
      <c r="D43" s="107"/>
      <c r="E43" s="106"/>
      <c r="F43" s="81" t="s">
        <v>279</v>
      </c>
      <c r="G43" s="269"/>
      <c r="H43" s="76"/>
      <c r="I43" s="280"/>
      <c r="J43" s="283"/>
    </row>
    <row r="44" spans="1:203">
      <c r="A44" s="105"/>
      <c r="B44" s="106"/>
      <c r="C44" s="107"/>
      <c r="D44" s="107"/>
      <c r="E44" s="106"/>
      <c r="F44" s="77"/>
      <c r="G44" s="269"/>
      <c r="H44" s="76"/>
      <c r="I44" s="280"/>
      <c r="J44" s="283"/>
    </row>
    <row r="45" spans="1:203">
      <c r="A45" s="77"/>
      <c r="B45" s="77"/>
      <c r="C45" s="77"/>
      <c r="D45" s="77"/>
      <c r="E45" s="77"/>
      <c r="F45" s="284"/>
      <c r="G45" s="282"/>
      <c r="H45" s="280"/>
      <c r="I45" s="280"/>
      <c r="J45" s="124"/>
    </row>
    <row r="46" spans="1:203" s="293" customFormat="1" ht="60">
      <c r="A46" s="285">
        <v>3.5</v>
      </c>
      <c r="B46" s="285" t="s">
        <v>367</v>
      </c>
      <c r="C46" s="285" t="s">
        <v>102</v>
      </c>
      <c r="D46" s="285" t="s">
        <v>119</v>
      </c>
      <c r="E46" s="286" t="s">
        <v>368</v>
      </c>
      <c r="F46" s="287" t="s">
        <v>369</v>
      </c>
      <c r="G46" s="288" t="s">
        <v>7</v>
      </c>
      <c r="H46" s="289">
        <f>5</f>
        <v>5</v>
      </c>
      <c r="I46" s="604">
        <v>18492</v>
      </c>
      <c r="J46" s="291">
        <f>SUM(H46*I46)</f>
        <v>92460</v>
      </c>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c r="ED46" s="292"/>
      <c r="EE46" s="292"/>
      <c r="EF46" s="292"/>
      <c r="EG46" s="292"/>
      <c r="EH46" s="292"/>
      <c r="EI46" s="292"/>
      <c r="EJ46" s="292"/>
      <c r="EK46" s="292"/>
      <c r="EL46" s="292"/>
      <c r="EM46" s="292"/>
      <c r="EN46" s="292"/>
      <c r="EO46" s="292"/>
      <c r="EP46" s="292"/>
      <c r="EQ46" s="292"/>
      <c r="ER46" s="292"/>
      <c r="ES46" s="292"/>
      <c r="ET46" s="292"/>
      <c r="EU46" s="292"/>
      <c r="EV46" s="292"/>
      <c r="EW46" s="292"/>
      <c r="EX46" s="292"/>
      <c r="EY46" s="292"/>
      <c r="EZ46" s="292"/>
      <c r="FA46" s="292"/>
      <c r="FB46" s="292"/>
      <c r="FC46" s="292"/>
      <c r="FD46" s="292"/>
      <c r="FE46" s="292"/>
      <c r="FF46" s="292"/>
      <c r="FG46" s="292"/>
      <c r="FH46" s="292"/>
      <c r="FI46" s="292"/>
      <c r="FJ46" s="292"/>
      <c r="FK46" s="292"/>
      <c r="FL46" s="292"/>
      <c r="FM46" s="292"/>
      <c r="FN46" s="292"/>
      <c r="FO46" s="292"/>
      <c r="FP46" s="292"/>
      <c r="FQ46" s="292"/>
      <c r="FR46" s="292"/>
      <c r="FS46" s="292"/>
      <c r="FT46" s="292"/>
      <c r="FU46" s="292"/>
      <c r="FV46" s="292"/>
      <c r="FW46" s="292"/>
      <c r="FX46" s="292"/>
      <c r="FY46" s="292"/>
      <c r="FZ46" s="292"/>
      <c r="GA46" s="292"/>
      <c r="GB46" s="292"/>
      <c r="GC46" s="292"/>
      <c r="GD46" s="292"/>
      <c r="GE46" s="292"/>
      <c r="GF46" s="292"/>
      <c r="GG46" s="292"/>
      <c r="GH46" s="292"/>
      <c r="GI46" s="292"/>
      <c r="GJ46" s="292"/>
      <c r="GK46" s="292"/>
      <c r="GL46" s="292"/>
      <c r="GM46" s="292"/>
      <c r="GN46" s="292"/>
      <c r="GO46" s="292"/>
      <c r="GP46" s="292"/>
      <c r="GQ46" s="292"/>
      <c r="GR46" s="292"/>
      <c r="GS46" s="292"/>
      <c r="GT46" s="292"/>
      <c r="GU46" s="292"/>
    </row>
    <row r="47" spans="1:203" s="293" customFormat="1" ht="120.75" customHeight="1">
      <c r="A47" s="285"/>
      <c r="B47" s="285"/>
      <c r="C47" s="285"/>
      <c r="D47" s="285"/>
      <c r="E47" s="286"/>
      <c r="F47" s="285" t="s">
        <v>370</v>
      </c>
      <c r="G47" s="288"/>
      <c r="H47" s="289"/>
      <c r="I47" s="290"/>
      <c r="J47" s="291"/>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c r="ED47" s="292"/>
      <c r="EE47" s="292"/>
      <c r="EF47" s="292"/>
      <c r="EG47" s="292"/>
      <c r="EH47" s="292"/>
      <c r="EI47" s="292"/>
      <c r="EJ47" s="292"/>
      <c r="EK47" s="292"/>
      <c r="EL47" s="292"/>
      <c r="EM47" s="292"/>
      <c r="EN47" s="292"/>
      <c r="EO47" s="292"/>
      <c r="EP47" s="292"/>
      <c r="EQ47" s="292"/>
      <c r="ER47" s="292"/>
      <c r="ES47" s="292"/>
      <c r="ET47" s="292"/>
      <c r="EU47" s="292"/>
      <c r="EV47" s="292"/>
      <c r="EW47" s="292"/>
      <c r="EX47" s="292"/>
      <c r="EY47" s="292"/>
      <c r="EZ47" s="292"/>
      <c r="FA47" s="292"/>
      <c r="FB47" s="292"/>
      <c r="FC47" s="292"/>
      <c r="FD47" s="292"/>
      <c r="FE47" s="292"/>
      <c r="FF47" s="292"/>
      <c r="FG47" s="292"/>
      <c r="FH47" s="292"/>
      <c r="FI47" s="292"/>
      <c r="FJ47" s="292"/>
      <c r="FK47" s="292"/>
      <c r="FL47" s="292"/>
      <c r="FM47" s="292"/>
      <c r="FN47" s="292"/>
      <c r="FO47" s="292"/>
      <c r="FP47" s="292"/>
      <c r="FQ47" s="292"/>
      <c r="FR47" s="292"/>
      <c r="FS47" s="292"/>
      <c r="FT47" s="292"/>
      <c r="FU47" s="292"/>
      <c r="FV47" s="292"/>
      <c r="FW47" s="292"/>
      <c r="FX47" s="292"/>
      <c r="FY47" s="292"/>
      <c r="FZ47" s="292"/>
      <c r="GA47" s="292"/>
      <c r="GB47" s="292"/>
      <c r="GC47" s="292"/>
      <c r="GD47" s="292"/>
      <c r="GE47" s="292"/>
      <c r="GF47" s="292"/>
      <c r="GG47" s="292"/>
      <c r="GH47" s="292"/>
      <c r="GI47" s="292"/>
      <c r="GJ47" s="292"/>
      <c r="GK47" s="292"/>
      <c r="GL47" s="292"/>
      <c r="GM47" s="292"/>
      <c r="GN47" s="292"/>
      <c r="GO47" s="292"/>
      <c r="GP47" s="292"/>
      <c r="GQ47" s="292"/>
      <c r="GR47" s="292"/>
      <c r="GS47" s="292"/>
      <c r="GT47" s="292"/>
      <c r="GU47" s="292"/>
    </row>
    <row r="48" spans="1:203" s="293" customFormat="1">
      <c r="A48" s="285"/>
      <c r="B48" s="285"/>
      <c r="C48" s="285"/>
      <c r="D48" s="285"/>
      <c r="E48" s="286"/>
      <c r="F48" s="77"/>
      <c r="G48" s="288"/>
      <c r="H48" s="289"/>
      <c r="I48" s="290"/>
      <c r="J48" s="291"/>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c r="ED48" s="292"/>
      <c r="EE48" s="292"/>
      <c r="EF48" s="292"/>
      <c r="EG48" s="292"/>
      <c r="EH48" s="292"/>
      <c r="EI48" s="292"/>
      <c r="EJ48" s="292"/>
      <c r="EK48" s="292"/>
      <c r="EL48" s="292"/>
      <c r="EM48" s="292"/>
      <c r="EN48" s="292"/>
      <c r="EO48" s="292"/>
      <c r="EP48" s="292"/>
      <c r="EQ48" s="292"/>
      <c r="ER48" s="292"/>
      <c r="ES48" s="292"/>
      <c r="ET48" s="292"/>
      <c r="EU48" s="292"/>
      <c r="EV48" s="292"/>
      <c r="EW48" s="292"/>
      <c r="EX48" s="292"/>
      <c r="EY48" s="292"/>
      <c r="EZ48" s="292"/>
      <c r="FA48" s="292"/>
      <c r="FB48" s="292"/>
      <c r="FC48" s="292"/>
      <c r="FD48" s="292"/>
      <c r="FE48" s="292"/>
      <c r="FF48" s="292"/>
      <c r="FG48" s="292"/>
      <c r="FH48" s="292"/>
      <c r="FI48" s="292"/>
      <c r="FJ48" s="292"/>
      <c r="FK48" s="292"/>
      <c r="FL48" s="292"/>
      <c r="FM48" s="292"/>
      <c r="FN48" s="292"/>
      <c r="FO48" s="292"/>
      <c r="FP48" s="292"/>
      <c r="FQ48" s="292"/>
      <c r="FR48" s="292"/>
      <c r="FS48" s="292"/>
      <c r="FT48" s="292"/>
      <c r="FU48" s="292"/>
      <c r="FV48" s="292"/>
      <c r="FW48" s="292"/>
      <c r="FX48" s="292"/>
      <c r="FY48" s="292"/>
      <c r="FZ48" s="292"/>
      <c r="GA48" s="292"/>
      <c r="GB48" s="292"/>
      <c r="GC48" s="292"/>
      <c r="GD48" s="292"/>
      <c r="GE48" s="292"/>
      <c r="GF48" s="292"/>
      <c r="GG48" s="292"/>
      <c r="GH48" s="292"/>
      <c r="GI48" s="292"/>
      <c r="GJ48" s="292"/>
      <c r="GK48" s="292"/>
      <c r="GL48" s="292"/>
      <c r="GM48" s="292"/>
      <c r="GN48" s="292"/>
      <c r="GO48" s="292"/>
      <c r="GP48" s="292"/>
      <c r="GQ48" s="292"/>
      <c r="GR48" s="292"/>
      <c r="GS48" s="292"/>
      <c r="GT48" s="292"/>
      <c r="GU48" s="292"/>
    </row>
    <row r="49" spans="1:203" s="293" customFormat="1">
      <c r="A49" s="285"/>
      <c r="B49" s="285"/>
      <c r="C49" s="285"/>
      <c r="D49" s="285"/>
      <c r="E49" s="286"/>
      <c r="F49" s="285"/>
      <c r="G49" s="288"/>
      <c r="H49" s="289"/>
      <c r="I49" s="290"/>
      <c r="J49" s="291"/>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c r="ED49" s="292"/>
      <c r="EE49" s="292"/>
      <c r="EF49" s="292"/>
      <c r="EG49" s="292"/>
      <c r="EH49" s="292"/>
      <c r="EI49" s="292"/>
      <c r="EJ49" s="292"/>
      <c r="EK49" s="292"/>
      <c r="EL49" s="292"/>
      <c r="EM49" s="292"/>
      <c r="EN49" s="292"/>
      <c r="EO49" s="292"/>
      <c r="EP49" s="292"/>
      <c r="EQ49" s="292"/>
      <c r="ER49" s="292"/>
      <c r="ES49" s="292"/>
      <c r="ET49" s="292"/>
      <c r="EU49" s="292"/>
      <c r="EV49" s="292"/>
      <c r="EW49" s="292"/>
      <c r="EX49" s="292"/>
      <c r="EY49" s="292"/>
      <c r="EZ49" s="292"/>
      <c r="FA49" s="292"/>
      <c r="FB49" s="292"/>
      <c r="FC49" s="292"/>
      <c r="FD49" s="292"/>
      <c r="FE49" s="292"/>
      <c r="FF49" s="292"/>
      <c r="FG49" s="292"/>
      <c r="FH49" s="292"/>
      <c r="FI49" s="292"/>
      <c r="FJ49" s="292"/>
      <c r="FK49" s="292"/>
      <c r="FL49" s="292"/>
      <c r="FM49" s="292"/>
      <c r="FN49" s="292"/>
      <c r="FO49" s="292"/>
      <c r="FP49" s="292"/>
      <c r="FQ49" s="292"/>
      <c r="FR49" s="292"/>
      <c r="FS49" s="292"/>
      <c r="FT49" s="292"/>
      <c r="FU49" s="292"/>
      <c r="FV49" s="292"/>
      <c r="FW49" s="292"/>
      <c r="FX49" s="292"/>
      <c r="FY49" s="292"/>
      <c r="FZ49" s="292"/>
      <c r="GA49" s="292"/>
      <c r="GB49" s="292"/>
      <c r="GC49" s="292"/>
      <c r="GD49" s="292"/>
      <c r="GE49" s="292"/>
      <c r="GF49" s="292"/>
      <c r="GG49" s="292"/>
      <c r="GH49" s="292"/>
      <c r="GI49" s="292"/>
      <c r="GJ49" s="292"/>
      <c r="GK49" s="292"/>
      <c r="GL49" s="292"/>
      <c r="GM49" s="292"/>
      <c r="GN49" s="292"/>
      <c r="GO49" s="292"/>
      <c r="GP49" s="292"/>
      <c r="GQ49" s="292"/>
      <c r="GR49" s="292"/>
      <c r="GS49" s="292"/>
      <c r="GT49" s="292"/>
      <c r="GU49" s="292"/>
    </row>
    <row r="50" spans="1:203" ht="15.95" customHeight="1">
      <c r="A50" s="77"/>
      <c r="B50" s="77"/>
      <c r="C50" s="77"/>
      <c r="D50" s="77"/>
      <c r="E50" s="77"/>
      <c r="F50" s="294" t="s">
        <v>371</v>
      </c>
      <c r="G50" s="77"/>
      <c r="H50" s="295"/>
      <c r="I50" s="266"/>
      <c r="J50" s="267"/>
    </row>
    <row r="51" spans="1:203" ht="30">
      <c r="A51" s="266">
        <v>3.6</v>
      </c>
      <c r="B51" s="77"/>
      <c r="C51" s="266" t="s">
        <v>102</v>
      </c>
      <c r="D51" s="266" t="s">
        <v>219</v>
      </c>
      <c r="E51" s="266" t="s">
        <v>372</v>
      </c>
      <c r="F51" s="76" t="s">
        <v>373</v>
      </c>
      <c r="G51" s="266" t="s">
        <v>7</v>
      </c>
      <c r="H51" s="295">
        <v>161.5</v>
      </c>
      <c r="I51" s="604">
        <v>8898</v>
      </c>
      <c r="J51" s="267">
        <f>SUM(H51*I51)</f>
        <v>1437027</v>
      </c>
    </row>
    <row r="52" spans="1:203" ht="90">
      <c r="A52" s="77"/>
      <c r="B52" s="77"/>
      <c r="C52" s="77"/>
      <c r="D52" s="77"/>
      <c r="E52" s="77"/>
      <c r="F52" s="266" t="s">
        <v>583</v>
      </c>
      <c r="G52" s="77"/>
      <c r="H52" s="295"/>
      <c r="I52" s="266"/>
      <c r="J52" s="267"/>
    </row>
    <row r="53" spans="1:203">
      <c r="A53" s="77"/>
      <c r="B53" s="77"/>
      <c r="C53" s="77"/>
      <c r="D53" s="77"/>
      <c r="E53" s="77"/>
      <c r="F53" s="81"/>
      <c r="G53" s="77"/>
      <c r="H53" s="295"/>
      <c r="I53" s="266"/>
      <c r="J53" s="267"/>
    </row>
    <row r="54" spans="1:203" ht="30">
      <c r="A54" s="266">
        <v>3.7</v>
      </c>
      <c r="B54" s="77"/>
      <c r="C54" s="266" t="s">
        <v>102</v>
      </c>
      <c r="D54" s="266" t="s">
        <v>219</v>
      </c>
      <c r="E54" s="266" t="s">
        <v>220</v>
      </c>
      <c r="F54" s="76" t="s">
        <v>374</v>
      </c>
      <c r="G54" s="266" t="s">
        <v>7</v>
      </c>
      <c r="H54" s="295">
        <v>100.00000000000001</v>
      </c>
      <c r="I54" s="604">
        <v>0</v>
      </c>
      <c r="J54" s="267">
        <f t="shared" si="0"/>
        <v>0</v>
      </c>
    </row>
    <row r="55" spans="1:203" ht="135">
      <c r="A55" s="77"/>
      <c r="B55" s="77"/>
      <c r="C55" s="77"/>
      <c r="D55" s="77"/>
      <c r="E55" s="77"/>
      <c r="F55" s="266" t="s">
        <v>584</v>
      </c>
      <c r="G55" s="77"/>
      <c r="H55" s="295"/>
      <c r="I55" s="266"/>
      <c r="J55" s="267"/>
    </row>
    <row r="56" spans="1:203">
      <c r="A56" s="77"/>
      <c r="B56" s="77"/>
      <c r="C56" s="77"/>
      <c r="D56" s="77"/>
      <c r="E56" s="77"/>
      <c r="F56" s="81"/>
      <c r="G56" s="77"/>
      <c r="H56" s="295"/>
      <c r="I56" s="266"/>
      <c r="J56" s="267"/>
    </row>
    <row r="57" spans="1:203">
      <c r="A57" s="105">
        <v>3.8</v>
      </c>
      <c r="B57" s="106"/>
      <c r="C57" s="296" t="s">
        <v>102</v>
      </c>
      <c r="D57" s="296" t="s">
        <v>215</v>
      </c>
      <c r="E57" s="107" t="s">
        <v>216</v>
      </c>
      <c r="F57" s="297" t="s">
        <v>375</v>
      </c>
      <c r="G57" s="269" t="s">
        <v>7</v>
      </c>
      <c r="H57" s="266">
        <v>140</v>
      </c>
      <c r="I57" s="604">
        <v>2298</v>
      </c>
      <c r="J57" s="267">
        <f t="shared" si="0"/>
        <v>321720</v>
      </c>
    </row>
    <row r="58" spans="1:203" ht="75">
      <c r="A58" s="298"/>
      <c r="B58" s="106"/>
      <c r="C58" s="106"/>
      <c r="D58" s="106"/>
      <c r="E58" s="106"/>
      <c r="F58" s="81" t="s">
        <v>590</v>
      </c>
      <c r="G58" s="269"/>
      <c r="H58" s="250"/>
      <c r="I58" s="281"/>
      <c r="J58" s="267"/>
    </row>
    <row r="59" spans="1:203">
      <c r="A59" s="298"/>
      <c r="B59" s="106"/>
      <c r="C59" s="106"/>
      <c r="D59" s="106"/>
      <c r="E59" s="106"/>
      <c r="F59" s="81"/>
      <c r="G59" s="269"/>
      <c r="H59" s="76"/>
      <c r="I59" s="281"/>
      <c r="J59" s="267"/>
    </row>
    <row r="60" spans="1:203">
      <c r="A60" s="77"/>
      <c r="B60" s="77"/>
      <c r="C60" s="77"/>
      <c r="D60" s="77"/>
      <c r="E60" s="77"/>
      <c r="F60" s="77"/>
      <c r="G60" s="77"/>
      <c r="H60" s="295"/>
      <c r="I60" s="266"/>
      <c r="J60" s="267"/>
    </row>
    <row r="61" spans="1:203" ht="27.75" customHeight="1">
      <c r="A61" s="266">
        <v>3.9</v>
      </c>
      <c r="B61" s="295"/>
      <c r="C61" s="266" t="s">
        <v>102</v>
      </c>
      <c r="D61" s="266" t="s">
        <v>219</v>
      </c>
      <c r="E61" s="266" t="s">
        <v>376</v>
      </c>
      <c r="F61" s="76" t="s">
        <v>377</v>
      </c>
      <c r="G61" s="266" t="s">
        <v>7</v>
      </c>
      <c r="H61" s="266">
        <v>30</v>
      </c>
      <c r="I61" s="604">
        <v>25680</v>
      </c>
      <c r="J61" s="267">
        <f t="shared" si="0"/>
        <v>770400</v>
      </c>
    </row>
    <row r="62" spans="1:203" ht="60">
      <c r="A62" s="77"/>
      <c r="B62" s="295"/>
      <c r="C62" s="77"/>
      <c r="D62" s="77"/>
      <c r="E62" s="77"/>
      <c r="F62" s="266" t="s">
        <v>378</v>
      </c>
      <c r="G62" s="77"/>
      <c r="H62" s="77"/>
      <c r="I62" s="266"/>
      <c r="J62" s="267"/>
    </row>
    <row r="63" spans="1:203">
      <c r="A63" s="77"/>
      <c r="B63" s="295"/>
      <c r="C63" s="77"/>
      <c r="D63" s="77"/>
      <c r="E63" s="77"/>
      <c r="F63" s="81"/>
      <c r="G63" s="77"/>
      <c r="H63" s="77"/>
      <c r="I63" s="266"/>
      <c r="J63" s="267"/>
    </row>
    <row r="64" spans="1:203" ht="27.75" customHeight="1">
      <c r="A64" s="295">
        <v>3.1</v>
      </c>
      <c r="B64" s="295"/>
      <c r="C64" s="266" t="s">
        <v>102</v>
      </c>
      <c r="D64" s="266" t="s">
        <v>219</v>
      </c>
      <c r="E64" s="266" t="s">
        <v>376</v>
      </c>
      <c r="F64" s="76" t="s">
        <v>379</v>
      </c>
      <c r="G64" s="266" t="s">
        <v>7</v>
      </c>
      <c r="H64" s="266">
        <v>109</v>
      </c>
      <c r="I64" s="604">
        <v>13610</v>
      </c>
      <c r="J64" s="267">
        <f t="shared" si="0"/>
        <v>1483490</v>
      </c>
    </row>
    <row r="65" spans="1:10" ht="60">
      <c r="A65" s="77"/>
      <c r="B65" s="295"/>
      <c r="C65" s="77"/>
      <c r="D65" s="77"/>
      <c r="E65" s="77"/>
      <c r="F65" s="266" t="s">
        <v>380</v>
      </c>
      <c r="G65" s="77"/>
      <c r="H65" s="77"/>
      <c r="I65" s="266"/>
      <c r="J65" s="267"/>
    </row>
    <row r="66" spans="1:10">
      <c r="A66" s="77"/>
      <c r="B66" s="295"/>
      <c r="C66" s="77"/>
      <c r="D66" s="77"/>
      <c r="E66" s="77"/>
      <c r="F66" s="81"/>
      <c r="G66" s="77"/>
      <c r="H66" s="77"/>
      <c r="I66" s="266"/>
      <c r="J66" s="267"/>
    </row>
    <row r="67" spans="1:10">
      <c r="A67" s="266"/>
      <c r="B67" s="295"/>
      <c r="C67" s="266"/>
      <c r="D67" s="266"/>
      <c r="E67" s="266"/>
      <c r="F67" s="266"/>
      <c r="G67" s="266"/>
      <c r="H67" s="266"/>
      <c r="I67" s="280"/>
      <c r="J67" s="267"/>
    </row>
    <row r="68" spans="1:10" ht="30">
      <c r="A68" s="266">
        <v>3.11</v>
      </c>
      <c r="B68" s="295"/>
      <c r="C68" s="266" t="s">
        <v>102</v>
      </c>
      <c r="D68" s="266" t="s">
        <v>381</v>
      </c>
      <c r="E68" s="266" t="s">
        <v>382</v>
      </c>
      <c r="F68" s="76" t="s">
        <v>383</v>
      </c>
      <c r="G68" s="266" t="s">
        <v>8</v>
      </c>
      <c r="H68" s="266">
        <v>42</v>
      </c>
      <c r="I68" s="604">
        <v>2214</v>
      </c>
      <c r="J68" s="267">
        <f t="shared" si="0"/>
        <v>92988</v>
      </c>
    </row>
    <row r="69" spans="1:10" ht="120">
      <c r="A69" s="77"/>
      <c r="B69" s="295"/>
      <c r="C69" s="77"/>
      <c r="D69" s="77"/>
      <c r="E69" s="77"/>
      <c r="F69" s="266" t="s">
        <v>585</v>
      </c>
      <c r="G69" s="77"/>
      <c r="H69" s="77"/>
      <c r="I69" s="266"/>
      <c r="J69" s="267"/>
    </row>
    <row r="70" spans="1:10">
      <c r="A70" s="77"/>
      <c r="B70" s="295"/>
      <c r="C70" s="77"/>
      <c r="D70" s="77"/>
      <c r="E70" s="77"/>
      <c r="F70" s="81"/>
      <c r="G70" s="77"/>
      <c r="H70" s="77"/>
      <c r="I70" s="266"/>
      <c r="J70" s="267"/>
    </row>
    <row r="71" spans="1:10" ht="15.95" customHeight="1">
      <c r="A71" s="77"/>
      <c r="B71" s="295"/>
      <c r="C71" s="77"/>
      <c r="D71" s="77"/>
      <c r="E71" s="77"/>
      <c r="F71" s="266"/>
      <c r="G71" s="77"/>
      <c r="H71" s="77"/>
      <c r="I71" s="266"/>
      <c r="J71" s="267"/>
    </row>
    <row r="72" spans="1:10" ht="30">
      <c r="A72" s="295">
        <v>3.12</v>
      </c>
      <c r="B72" s="295"/>
      <c r="C72" s="266" t="s">
        <v>102</v>
      </c>
      <c r="D72" s="266" t="s">
        <v>381</v>
      </c>
      <c r="E72" s="266" t="s">
        <v>382</v>
      </c>
      <c r="F72" s="76" t="s">
        <v>384</v>
      </c>
      <c r="G72" s="266" t="s">
        <v>8</v>
      </c>
      <c r="H72" s="266">
        <v>42</v>
      </c>
      <c r="I72" s="604">
        <v>1710</v>
      </c>
      <c r="J72" s="267">
        <f t="shared" si="0"/>
        <v>71820</v>
      </c>
    </row>
    <row r="73" spans="1:10" ht="105">
      <c r="A73" s="77"/>
      <c r="B73" s="295"/>
      <c r="C73" s="77"/>
      <c r="D73" s="77"/>
      <c r="E73" s="77"/>
      <c r="F73" s="266" t="s">
        <v>385</v>
      </c>
      <c r="G73" s="77"/>
      <c r="H73" s="77"/>
      <c r="I73" s="266"/>
      <c r="J73" s="267"/>
    </row>
    <row r="74" spans="1:10" ht="15.95" customHeight="1">
      <c r="A74" s="77"/>
      <c r="B74" s="295"/>
      <c r="C74" s="77"/>
      <c r="D74" s="77"/>
      <c r="E74" s="77"/>
      <c r="F74" s="81"/>
      <c r="G74" s="77"/>
      <c r="H74" s="77"/>
      <c r="I74" s="266"/>
      <c r="J74" s="267"/>
    </row>
    <row r="75" spans="1:10" ht="30">
      <c r="A75" s="295">
        <v>3.13</v>
      </c>
      <c r="B75" s="295"/>
      <c r="C75" s="266" t="s">
        <v>102</v>
      </c>
      <c r="D75" s="266" t="s">
        <v>381</v>
      </c>
      <c r="E75" s="266" t="s">
        <v>382</v>
      </c>
      <c r="F75" s="76" t="s">
        <v>386</v>
      </c>
      <c r="G75" s="266" t="s">
        <v>8</v>
      </c>
      <c r="H75" s="266">
        <f>H72*2</f>
        <v>84</v>
      </c>
      <c r="I75" s="604">
        <v>2418</v>
      </c>
      <c r="J75" s="267">
        <f t="shared" si="0"/>
        <v>203112</v>
      </c>
    </row>
    <row r="76" spans="1:10" ht="90">
      <c r="A76" s="77"/>
      <c r="B76" s="295"/>
      <c r="C76" s="77"/>
      <c r="D76" s="77"/>
      <c r="E76" s="77"/>
      <c r="F76" s="266" t="s">
        <v>387</v>
      </c>
      <c r="G76" s="77"/>
      <c r="H76" s="77"/>
      <c r="I76" s="266"/>
      <c r="J76" s="267"/>
    </row>
    <row r="77" spans="1:10" ht="15.95" customHeight="1">
      <c r="A77" s="77"/>
      <c r="B77" s="295"/>
      <c r="C77" s="77"/>
      <c r="D77" s="77"/>
      <c r="E77" s="77"/>
      <c r="F77" s="81"/>
      <c r="G77" s="77"/>
      <c r="H77" s="77"/>
      <c r="I77" s="266"/>
      <c r="J77" s="267"/>
    </row>
    <row r="78" spans="1:10" ht="30">
      <c r="A78" s="295" t="s">
        <v>388</v>
      </c>
      <c r="B78" s="295"/>
      <c r="C78" s="266" t="s">
        <v>102</v>
      </c>
      <c r="D78" s="266" t="s">
        <v>381</v>
      </c>
      <c r="E78" s="266" t="s">
        <v>389</v>
      </c>
      <c r="F78" s="76" t="s">
        <v>390</v>
      </c>
      <c r="G78" s="266" t="s">
        <v>8</v>
      </c>
      <c r="H78" s="266">
        <f>75</f>
        <v>75</v>
      </c>
      <c r="I78" s="604">
        <v>765</v>
      </c>
      <c r="J78" s="267">
        <f t="shared" ref="J78" si="1">SUM(H78*I78)</f>
        <v>57375</v>
      </c>
    </row>
    <row r="79" spans="1:10" ht="90">
      <c r="A79" s="77"/>
      <c r="B79" s="295"/>
      <c r="C79" s="77"/>
      <c r="D79" s="77"/>
      <c r="E79" s="77"/>
      <c r="F79" s="81" t="s">
        <v>391</v>
      </c>
      <c r="G79" s="77"/>
      <c r="H79" s="77"/>
      <c r="I79" s="266"/>
      <c r="J79" s="267"/>
    </row>
    <row r="80" spans="1:10" ht="15.95" customHeight="1">
      <c r="A80" s="77"/>
      <c r="B80" s="295"/>
      <c r="C80" s="77"/>
      <c r="D80" s="77"/>
      <c r="E80" s="77"/>
      <c r="F80" s="81"/>
      <c r="G80" s="77"/>
      <c r="H80" s="77"/>
      <c r="I80" s="266"/>
      <c r="J80" s="267"/>
    </row>
    <row r="81" spans="1:10" ht="15.95" customHeight="1">
      <c r="A81" s="77"/>
      <c r="B81" s="295"/>
      <c r="C81" s="77"/>
      <c r="D81" s="77"/>
      <c r="E81" s="77"/>
      <c r="F81" s="294" t="s">
        <v>300</v>
      </c>
      <c r="G81" s="77"/>
      <c r="H81" s="77"/>
      <c r="I81" s="266"/>
      <c r="J81" s="267"/>
    </row>
    <row r="82" spans="1:10" ht="30">
      <c r="A82" s="266">
        <v>3.14</v>
      </c>
      <c r="B82" s="295"/>
      <c r="C82" s="266" t="s">
        <v>102</v>
      </c>
      <c r="D82" s="266" t="s">
        <v>392</v>
      </c>
      <c r="E82" s="266" t="s">
        <v>393</v>
      </c>
      <c r="F82" s="76" t="s">
        <v>394</v>
      </c>
      <c r="G82" s="266" t="s">
        <v>8</v>
      </c>
      <c r="H82" s="266">
        <v>10</v>
      </c>
      <c r="I82" s="604">
        <v>49098</v>
      </c>
      <c r="J82" s="267">
        <f t="shared" si="0"/>
        <v>490980</v>
      </c>
    </row>
    <row r="83" spans="1:10" ht="150">
      <c r="A83" s="77"/>
      <c r="B83" s="295"/>
      <c r="C83" s="77"/>
      <c r="D83" s="77"/>
      <c r="E83" s="77"/>
      <c r="F83" s="266" t="s">
        <v>586</v>
      </c>
      <c r="G83" s="77"/>
      <c r="H83" s="77"/>
      <c r="I83" s="266"/>
      <c r="J83" s="267"/>
    </row>
    <row r="84" spans="1:10" ht="21" customHeight="1">
      <c r="A84" s="77"/>
      <c r="B84" s="295"/>
      <c r="C84" s="77"/>
      <c r="D84" s="77"/>
      <c r="E84" s="77"/>
      <c r="F84" s="266" t="s">
        <v>395</v>
      </c>
      <c r="G84" s="77"/>
      <c r="H84" s="77"/>
      <c r="I84" s="266"/>
      <c r="J84" s="267"/>
    </row>
    <row r="85" spans="1:10">
      <c r="A85" s="77"/>
      <c r="B85" s="295"/>
      <c r="C85" s="77"/>
      <c r="D85" s="77"/>
      <c r="E85" s="77"/>
      <c r="F85" s="81"/>
      <c r="G85" s="77"/>
      <c r="H85" s="77"/>
      <c r="I85" s="266"/>
      <c r="J85" s="267"/>
    </row>
    <row r="86" spans="1:10" ht="21" customHeight="1">
      <c r="A86" s="77"/>
      <c r="B86" s="295"/>
      <c r="C86" s="77"/>
      <c r="D86" s="77"/>
      <c r="E86" s="77"/>
      <c r="F86" s="266"/>
      <c r="G86" s="77"/>
      <c r="H86" s="77"/>
      <c r="I86" s="266"/>
      <c r="J86" s="267"/>
    </row>
    <row r="87" spans="1:10" ht="31.5" customHeight="1">
      <c r="A87" s="295">
        <v>3.15</v>
      </c>
      <c r="B87" s="295"/>
      <c r="C87" s="266" t="s">
        <v>102</v>
      </c>
      <c r="D87" s="266" t="s">
        <v>9</v>
      </c>
      <c r="E87" s="266" t="s">
        <v>396</v>
      </c>
      <c r="F87" s="76" t="s">
        <v>397</v>
      </c>
      <c r="G87" s="266" t="s">
        <v>8</v>
      </c>
      <c r="H87" s="266">
        <v>10.999999999999998</v>
      </c>
      <c r="I87" s="604">
        <v>25044</v>
      </c>
      <c r="J87" s="267">
        <f t="shared" si="0"/>
        <v>275483.99999999994</v>
      </c>
    </row>
    <row r="88" spans="1:10" ht="60">
      <c r="A88" s="77"/>
      <c r="B88" s="295"/>
      <c r="C88" s="77"/>
      <c r="D88" s="77"/>
      <c r="E88" s="77"/>
      <c r="F88" s="266" t="s">
        <v>587</v>
      </c>
      <c r="G88" s="77"/>
      <c r="H88" s="77"/>
      <c r="I88" s="266"/>
      <c r="J88" s="267"/>
    </row>
    <row r="89" spans="1:10" ht="15.95" customHeight="1">
      <c r="A89" s="77"/>
      <c r="B89" s="295"/>
      <c r="C89" s="77"/>
      <c r="D89" s="77"/>
      <c r="E89" s="77"/>
      <c r="F89" s="266" t="s">
        <v>398</v>
      </c>
      <c r="G89" s="77"/>
      <c r="H89" s="77"/>
      <c r="I89" s="266"/>
      <c r="J89" s="267"/>
    </row>
    <row r="90" spans="1:10" ht="15.95" customHeight="1">
      <c r="A90" s="77"/>
      <c r="B90" s="295"/>
      <c r="C90" s="77"/>
      <c r="D90" s="77"/>
      <c r="E90" s="77"/>
      <c r="F90" s="81"/>
      <c r="G90" s="77"/>
      <c r="H90" s="77"/>
      <c r="I90" s="266"/>
      <c r="J90" s="267"/>
    </row>
    <row r="91" spans="1:10" ht="15.95" customHeight="1">
      <c r="A91" s="77"/>
      <c r="B91" s="295"/>
      <c r="C91" s="77"/>
      <c r="D91" s="77"/>
      <c r="E91" s="77"/>
      <c r="F91" s="81"/>
      <c r="G91" s="77"/>
      <c r="H91" s="77"/>
      <c r="I91" s="266"/>
      <c r="J91" s="267"/>
    </row>
    <row r="92" spans="1:10" ht="31.5" customHeight="1">
      <c r="A92" s="266">
        <v>3.16</v>
      </c>
      <c r="B92" s="295"/>
      <c r="C92" s="266" t="s">
        <v>102</v>
      </c>
      <c r="D92" s="266" t="s">
        <v>9</v>
      </c>
      <c r="E92" s="266" t="s">
        <v>396</v>
      </c>
      <c r="F92" s="76" t="s">
        <v>399</v>
      </c>
      <c r="G92" s="266" t="s">
        <v>8</v>
      </c>
      <c r="H92" s="266">
        <v>2.5</v>
      </c>
      <c r="I92" s="604">
        <v>24708</v>
      </c>
      <c r="J92" s="267">
        <f t="shared" si="0"/>
        <v>61770</v>
      </c>
    </row>
    <row r="93" spans="1:10" ht="60">
      <c r="A93" s="77"/>
      <c r="B93" s="295"/>
      <c r="C93" s="77"/>
      <c r="D93" s="77"/>
      <c r="E93" s="77"/>
      <c r="F93" s="266" t="s">
        <v>588</v>
      </c>
      <c r="G93" s="77"/>
      <c r="H93" s="77"/>
      <c r="I93" s="266"/>
      <c r="J93" s="267"/>
    </row>
    <row r="94" spans="1:10">
      <c r="A94" s="77"/>
      <c r="B94" s="295"/>
      <c r="C94" s="77"/>
      <c r="D94" s="77"/>
      <c r="E94" s="77"/>
      <c r="F94" s="266" t="s">
        <v>398</v>
      </c>
      <c r="G94" s="77"/>
      <c r="H94" s="77"/>
      <c r="I94" s="266"/>
      <c r="J94" s="267"/>
    </row>
    <row r="95" spans="1:10">
      <c r="A95" s="77"/>
      <c r="B95" s="295"/>
      <c r="C95" s="77"/>
      <c r="D95" s="77"/>
      <c r="E95" s="77"/>
      <c r="F95" s="81"/>
      <c r="G95" s="77"/>
      <c r="H95" s="77"/>
      <c r="I95" s="266"/>
      <c r="J95" s="267"/>
    </row>
    <row r="96" spans="1:10">
      <c r="A96" s="77"/>
      <c r="B96" s="295"/>
      <c r="C96" s="77"/>
      <c r="D96" s="77"/>
      <c r="E96" s="77"/>
      <c r="F96" s="81"/>
      <c r="G96" s="77"/>
      <c r="H96" s="77"/>
      <c r="I96" s="266"/>
      <c r="J96" s="267"/>
    </row>
    <row r="97" spans="1:10" ht="30">
      <c r="A97" s="266">
        <v>3.17</v>
      </c>
      <c r="B97" s="295"/>
      <c r="C97" s="266" t="s">
        <v>102</v>
      </c>
      <c r="D97" s="266" t="s">
        <v>400</v>
      </c>
      <c r="E97" s="266" t="s">
        <v>401</v>
      </c>
      <c r="F97" s="76" t="s">
        <v>402</v>
      </c>
      <c r="G97" s="266" t="s">
        <v>126</v>
      </c>
      <c r="H97" s="266">
        <v>5</v>
      </c>
      <c r="I97" s="604">
        <v>20670</v>
      </c>
      <c r="J97" s="267">
        <f t="shared" si="0"/>
        <v>103350</v>
      </c>
    </row>
    <row r="98" spans="1:10" ht="75">
      <c r="A98" s="77"/>
      <c r="B98" s="295"/>
      <c r="C98" s="77"/>
      <c r="D98" s="77"/>
      <c r="E98" s="77"/>
      <c r="F98" s="266" t="s">
        <v>589</v>
      </c>
      <c r="G98" s="77"/>
      <c r="H98" s="77"/>
      <c r="I98" s="266"/>
      <c r="J98" s="267"/>
    </row>
    <row r="99" spans="1:10" ht="15.95" customHeight="1">
      <c r="A99" s="77"/>
      <c r="B99" s="295"/>
      <c r="C99" s="77"/>
      <c r="D99" s="77"/>
      <c r="E99" s="77"/>
      <c r="F99" s="81"/>
      <c r="G99" s="77"/>
      <c r="H99" s="77"/>
      <c r="I99" s="266"/>
      <c r="J99" s="267"/>
    </row>
    <row r="100" spans="1:10" ht="15.95" customHeight="1">
      <c r="A100" s="87"/>
      <c r="B100" s="299"/>
      <c r="C100" s="87"/>
      <c r="D100" s="87"/>
      <c r="E100" s="87"/>
      <c r="F100" s="85"/>
      <c r="G100" s="87"/>
      <c r="H100" s="87"/>
      <c r="I100" s="272"/>
      <c r="J100" s="300"/>
    </row>
    <row r="101" spans="1:10" ht="31.5" customHeight="1">
      <c r="A101" s="266">
        <v>3.16</v>
      </c>
      <c r="B101" s="295"/>
      <c r="C101" s="266" t="s">
        <v>102</v>
      </c>
      <c r="D101" s="266" t="s">
        <v>9</v>
      </c>
      <c r="E101" s="266" t="s">
        <v>403</v>
      </c>
      <c r="F101" s="76" t="s">
        <v>404</v>
      </c>
      <c r="G101" s="266" t="s">
        <v>8</v>
      </c>
      <c r="H101" s="266">
        <v>4</v>
      </c>
      <c r="I101" s="604">
        <v>24708</v>
      </c>
      <c r="J101" s="267">
        <f t="shared" ref="J101" si="2">SUM(H101*I101)</f>
        <v>98832</v>
      </c>
    </row>
    <row r="102" spans="1:10" ht="60">
      <c r="A102" s="77"/>
      <c r="B102" s="295"/>
      <c r="C102" s="77"/>
      <c r="D102" s="77"/>
      <c r="E102" s="77"/>
      <c r="F102" s="266" t="s">
        <v>588</v>
      </c>
      <c r="G102" s="77"/>
      <c r="H102" s="77"/>
      <c r="I102" s="266"/>
      <c r="J102" s="267"/>
    </row>
    <row r="103" spans="1:10">
      <c r="A103" s="77"/>
      <c r="B103" s="295"/>
      <c r="C103" s="77"/>
      <c r="D103" s="77"/>
      <c r="E103" s="77"/>
      <c r="F103" s="266" t="s">
        <v>405</v>
      </c>
      <c r="G103" s="77"/>
      <c r="H103" s="77"/>
      <c r="I103" s="266"/>
      <c r="J103" s="267"/>
    </row>
    <row r="104" spans="1:10">
      <c r="A104" s="77"/>
      <c r="B104" s="295"/>
      <c r="C104" s="77"/>
      <c r="D104" s="77"/>
      <c r="E104" s="77"/>
      <c r="F104" s="81"/>
      <c r="G104" s="77"/>
      <c r="H104" s="77"/>
      <c r="I104" s="266"/>
      <c r="J104" s="267"/>
    </row>
    <row r="105" spans="1:10" ht="15.95" customHeight="1" thickBot="1">
      <c r="A105" s="87"/>
      <c r="B105" s="299"/>
      <c r="C105" s="87"/>
      <c r="D105" s="87"/>
      <c r="E105" s="87"/>
      <c r="F105" s="272"/>
      <c r="G105" s="87"/>
      <c r="H105" s="87"/>
      <c r="I105" s="272"/>
      <c r="J105" s="300"/>
    </row>
    <row r="106" spans="1:10" ht="23.25" customHeight="1" thickBot="1">
      <c r="A106" s="49" t="s">
        <v>11</v>
      </c>
      <c r="B106" s="304"/>
      <c r="C106" s="53"/>
      <c r="D106" s="53"/>
      <c r="E106" s="53"/>
      <c r="F106" s="50" t="s">
        <v>18</v>
      </c>
      <c r="G106" s="53"/>
      <c r="H106" s="53"/>
      <c r="I106" s="277"/>
      <c r="J106" s="305"/>
    </row>
    <row r="107" spans="1:10">
      <c r="A107" s="279"/>
      <c r="B107" s="306"/>
      <c r="C107" s="31"/>
      <c r="D107" s="31"/>
      <c r="E107" s="31"/>
      <c r="F107" s="58"/>
      <c r="G107" s="31"/>
      <c r="H107" s="31"/>
      <c r="I107" s="279"/>
      <c r="J107" s="307"/>
    </row>
    <row r="108" spans="1:10" ht="16.5" customHeight="1">
      <c r="A108" s="279">
        <v>4.0999999999999996</v>
      </c>
      <c r="B108" s="31"/>
      <c r="C108" s="279" t="s">
        <v>10</v>
      </c>
      <c r="D108" s="279" t="s">
        <v>227</v>
      </c>
      <c r="E108" s="279" t="s">
        <v>406</v>
      </c>
      <c r="F108" s="58" t="s">
        <v>407</v>
      </c>
      <c r="G108" s="279" t="s">
        <v>7</v>
      </c>
      <c r="H108" s="306">
        <f>110+10+25+10+45</f>
        <v>200</v>
      </c>
      <c r="I108" s="604">
        <v>3954</v>
      </c>
      <c r="J108" s="307">
        <f t="shared" si="0"/>
        <v>790800</v>
      </c>
    </row>
    <row r="109" spans="1:10" ht="135">
      <c r="A109" s="266"/>
      <c r="B109" s="77"/>
      <c r="C109" s="266"/>
      <c r="D109" s="266"/>
      <c r="E109" s="266"/>
      <c r="F109" s="81" t="s">
        <v>408</v>
      </c>
      <c r="G109" s="266"/>
      <c r="H109" s="295"/>
      <c r="I109" s="266"/>
      <c r="J109" s="267"/>
    </row>
    <row r="110" spans="1:10">
      <c r="A110" s="77"/>
      <c r="B110" s="77"/>
      <c r="C110" s="77"/>
      <c r="D110" s="77"/>
      <c r="E110" s="77"/>
      <c r="F110" s="266"/>
      <c r="G110" s="308"/>
      <c r="H110" s="308"/>
      <c r="I110" s="266"/>
      <c r="J110" s="267"/>
    </row>
    <row r="111" spans="1:10" ht="15.95" customHeight="1">
      <c r="A111" s="266">
        <v>4.2</v>
      </c>
      <c r="B111" s="77"/>
      <c r="C111" s="266" t="s">
        <v>10</v>
      </c>
      <c r="D111" s="266" t="s">
        <v>227</v>
      </c>
      <c r="E111" s="266" t="s">
        <v>409</v>
      </c>
      <c r="F111" s="76" t="s">
        <v>410</v>
      </c>
      <c r="G111" s="266" t="s">
        <v>8</v>
      </c>
      <c r="H111" s="295">
        <f>(16+17)+7</f>
        <v>40</v>
      </c>
      <c r="I111" s="604">
        <v>360</v>
      </c>
      <c r="J111" s="267">
        <f t="shared" si="0"/>
        <v>14400</v>
      </c>
    </row>
    <row r="112" spans="1:10" ht="105">
      <c r="A112" s="77"/>
      <c r="B112" s="77"/>
      <c r="C112" s="77"/>
      <c r="D112" s="77"/>
      <c r="E112" s="77"/>
      <c r="F112" s="81" t="s">
        <v>411</v>
      </c>
      <c r="G112" s="308"/>
      <c r="H112" s="308"/>
      <c r="I112" s="266"/>
      <c r="J112" s="267"/>
    </row>
    <row r="113" spans="1:203">
      <c r="A113" s="77"/>
      <c r="B113" s="77"/>
      <c r="C113" s="77"/>
      <c r="D113" s="77"/>
      <c r="E113" s="77"/>
      <c r="F113" s="266"/>
      <c r="G113" s="308"/>
      <c r="H113" s="308"/>
      <c r="I113" s="266"/>
      <c r="J113" s="267"/>
    </row>
    <row r="114" spans="1:203" ht="15.95" customHeight="1">
      <c r="A114" s="266">
        <v>4.3</v>
      </c>
      <c r="B114" s="77"/>
      <c r="C114" s="266" t="s">
        <v>10</v>
      </c>
      <c r="D114" s="266" t="s">
        <v>227</v>
      </c>
      <c r="E114" s="266" t="s">
        <v>412</v>
      </c>
      <c r="F114" s="76" t="s">
        <v>413</v>
      </c>
      <c r="G114" s="266" t="s">
        <v>8</v>
      </c>
      <c r="H114" s="295">
        <f>(16+17)+7</f>
        <v>40</v>
      </c>
      <c r="I114" s="604">
        <v>1230</v>
      </c>
      <c r="J114" s="267">
        <f t="shared" si="0"/>
        <v>49200</v>
      </c>
    </row>
    <row r="115" spans="1:203" ht="120">
      <c r="A115" s="77"/>
      <c r="B115" s="77"/>
      <c r="C115" s="77"/>
      <c r="D115" s="77"/>
      <c r="E115" s="77"/>
      <c r="F115" s="266" t="s">
        <v>414</v>
      </c>
      <c r="G115" s="77"/>
      <c r="H115" s="77"/>
      <c r="I115" s="266"/>
      <c r="J115" s="267"/>
    </row>
    <row r="116" spans="1:203">
      <c r="A116" s="77"/>
      <c r="B116" s="77"/>
      <c r="C116" s="77"/>
      <c r="D116" s="77"/>
      <c r="E116" s="77"/>
      <c r="F116" s="266"/>
      <c r="G116" s="308"/>
      <c r="H116" s="308"/>
      <c r="I116" s="266"/>
      <c r="J116" s="267"/>
    </row>
    <row r="117" spans="1:203" ht="30">
      <c r="A117" s="266">
        <v>4.4000000000000004</v>
      </c>
      <c r="B117" s="77"/>
      <c r="C117" s="266" t="s">
        <v>10</v>
      </c>
      <c r="D117" s="266" t="s">
        <v>227</v>
      </c>
      <c r="E117" s="266" t="s">
        <v>415</v>
      </c>
      <c r="F117" s="76" t="s">
        <v>416</v>
      </c>
      <c r="G117" s="266" t="s">
        <v>8</v>
      </c>
      <c r="H117" s="295">
        <f>22+22+10</f>
        <v>54</v>
      </c>
      <c r="I117" s="604">
        <v>360</v>
      </c>
      <c r="J117" s="267">
        <f t="shared" si="0"/>
        <v>19440</v>
      </c>
    </row>
    <row r="118" spans="1:203" ht="30">
      <c r="A118" s="77"/>
      <c r="B118" s="77"/>
      <c r="C118" s="77"/>
      <c r="D118" s="77"/>
      <c r="E118" s="77"/>
      <c r="F118" s="266" t="s">
        <v>417</v>
      </c>
      <c r="G118" s="308"/>
      <c r="H118" s="308"/>
      <c r="I118" s="266"/>
      <c r="J118" s="267"/>
    </row>
    <row r="119" spans="1:203">
      <c r="A119" s="77"/>
      <c r="B119" s="295"/>
      <c r="C119" s="77"/>
      <c r="D119" s="77"/>
      <c r="E119" s="77"/>
      <c r="F119" s="81"/>
      <c r="G119" s="77"/>
      <c r="H119" s="77"/>
      <c r="I119" s="266"/>
      <c r="J119" s="267"/>
    </row>
    <row r="120" spans="1:203">
      <c r="A120" s="309">
        <v>4.5</v>
      </c>
      <c r="B120" s="108"/>
      <c r="C120" s="270" t="s">
        <v>10</v>
      </c>
      <c r="D120" s="310"/>
      <c r="E120" s="268" t="s">
        <v>418</v>
      </c>
      <c r="F120" s="108" t="s">
        <v>419</v>
      </c>
      <c r="G120" s="269" t="s">
        <v>7</v>
      </c>
      <c r="H120" s="77">
        <f>60*3.2</f>
        <v>192</v>
      </c>
      <c r="I120" s="604">
        <v>732</v>
      </c>
      <c r="J120" s="267">
        <f t="shared" ref="J120:J178" si="3">SUM(H120*I120)</f>
        <v>140544</v>
      </c>
    </row>
    <row r="121" spans="1:203" ht="75">
      <c r="A121" s="311"/>
      <c r="B121" s="108"/>
      <c r="C121" s="108"/>
      <c r="D121" s="108"/>
      <c r="E121" s="108"/>
      <c r="F121" s="312" t="s">
        <v>420</v>
      </c>
      <c r="G121" s="269"/>
      <c r="H121" s="77"/>
      <c r="I121" s="266"/>
      <c r="J121" s="267"/>
    </row>
    <row r="122" spans="1:203" ht="15.75" thickBot="1">
      <c r="A122" s="87"/>
      <c r="B122" s="299"/>
      <c r="C122" s="87"/>
      <c r="D122" s="87"/>
      <c r="E122" s="87"/>
      <c r="F122" s="272"/>
      <c r="G122" s="87"/>
      <c r="H122" s="87"/>
      <c r="I122" s="272"/>
      <c r="J122" s="300"/>
    </row>
    <row r="123" spans="1:203" ht="16.5" customHeight="1" thickBot="1">
      <c r="A123" s="49" t="s">
        <v>12</v>
      </c>
      <c r="B123" s="69"/>
      <c r="C123" s="69"/>
      <c r="D123" s="69"/>
      <c r="E123" s="69"/>
      <c r="F123" s="50" t="s">
        <v>19</v>
      </c>
      <c r="G123" s="69"/>
      <c r="H123" s="69"/>
      <c r="I123" s="50"/>
      <c r="J123" s="303"/>
    </row>
    <row r="124" spans="1:203" ht="12.75" customHeight="1">
      <c r="A124" s="279"/>
      <c r="B124" s="31"/>
      <c r="C124" s="279"/>
      <c r="D124" s="279"/>
      <c r="E124" s="279"/>
      <c r="F124" s="279"/>
      <c r="G124" s="279"/>
      <c r="H124" s="279"/>
      <c r="I124" s="279"/>
      <c r="J124" s="307"/>
    </row>
    <row r="125" spans="1:203" s="293" customFormat="1" ht="90">
      <c r="A125" s="313">
        <v>5.0999999999999996</v>
      </c>
      <c r="B125" s="285" t="s">
        <v>421</v>
      </c>
      <c r="C125" s="285" t="s">
        <v>102</v>
      </c>
      <c r="D125" s="285" t="s">
        <v>422</v>
      </c>
      <c r="E125" s="285" t="s">
        <v>423</v>
      </c>
      <c r="F125" s="314" t="s">
        <v>424</v>
      </c>
      <c r="G125" s="315" t="s">
        <v>8</v>
      </c>
      <c r="H125" s="316">
        <f>2.4*6</f>
        <v>14.399999999999999</v>
      </c>
      <c r="I125" s="604">
        <v>3200</v>
      </c>
      <c r="J125" s="317">
        <f t="shared" si="3"/>
        <v>46079.999999999993</v>
      </c>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2"/>
      <c r="AO125" s="292"/>
      <c r="AP125" s="292"/>
      <c r="AQ125" s="292"/>
      <c r="AR125" s="292"/>
      <c r="AS125" s="292"/>
      <c r="AT125" s="292"/>
      <c r="AU125" s="292"/>
      <c r="AV125" s="292"/>
      <c r="AW125" s="292"/>
      <c r="AX125" s="292"/>
      <c r="AY125" s="292"/>
      <c r="AZ125" s="292"/>
      <c r="BA125" s="292"/>
      <c r="BB125" s="292"/>
      <c r="BC125" s="292"/>
      <c r="BD125" s="292"/>
      <c r="BE125" s="292"/>
      <c r="BF125" s="292"/>
      <c r="BG125" s="292"/>
      <c r="BH125" s="292"/>
      <c r="BI125" s="292"/>
      <c r="BJ125" s="292"/>
      <c r="BK125" s="292"/>
      <c r="BL125" s="292"/>
      <c r="BM125" s="292"/>
      <c r="BN125" s="292"/>
      <c r="BO125" s="292"/>
      <c r="BP125" s="292"/>
      <c r="BQ125" s="292"/>
      <c r="BR125" s="292"/>
      <c r="BS125" s="292"/>
      <c r="BT125" s="292"/>
      <c r="BU125" s="292"/>
      <c r="BV125" s="292"/>
      <c r="BW125" s="292"/>
      <c r="BX125" s="292"/>
      <c r="BY125" s="292"/>
      <c r="BZ125" s="292"/>
      <c r="CA125" s="292"/>
      <c r="CB125" s="292"/>
      <c r="CC125" s="292"/>
      <c r="CD125" s="292"/>
      <c r="CE125" s="292"/>
      <c r="CF125" s="292"/>
      <c r="CG125" s="292"/>
      <c r="CH125" s="292"/>
      <c r="CI125" s="292"/>
      <c r="CJ125" s="292"/>
      <c r="CK125" s="292"/>
      <c r="CL125" s="292"/>
      <c r="CM125" s="292"/>
      <c r="CN125" s="292"/>
      <c r="CO125" s="292"/>
      <c r="CP125" s="292"/>
      <c r="CQ125" s="292"/>
      <c r="CR125" s="292"/>
      <c r="CS125" s="292"/>
      <c r="CT125" s="292"/>
      <c r="CU125" s="292"/>
      <c r="CV125" s="292"/>
      <c r="CW125" s="292"/>
      <c r="CX125" s="292"/>
      <c r="CY125" s="292"/>
      <c r="CZ125" s="292"/>
      <c r="DA125" s="292"/>
      <c r="DB125" s="292"/>
      <c r="DC125" s="292"/>
      <c r="DD125" s="292"/>
      <c r="DE125" s="292"/>
      <c r="DF125" s="292"/>
      <c r="DG125" s="292"/>
      <c r="DH125" s="292"/>
      <c r="DI125" s="292"/>
      <c r="DJ125" s="292"/>
      <c r="DK125" s="292"/>
      <c r="DL125" s="292"/>
      <c r="DM125" s="292"/>
      <c r="DN125" s="292"/>
      <c r="DO125" s="292"/>
      <c r="DP125" s="292"/>
      <c r="DQ125" s="292"/>
      <c r="DR125" s="292"/>
      <c r="DS125" s="292"/>
      <c r="DT125" s="292"/>
      <c r="DU125" s="292"/>
      <c r="DV125" s="292"/>
      <c r="DW125" s="292"/>
      <c r="DX125" s="292"/>
      <c r="DY125" s="292"/>
      <c r="DZ125" s="292"/>
      <c r="EA125" s="292"/>
      <c r="EB125" s="292"/>
      <c r="EC125" s="292"/>
      <c r="ED125" s="292"/>
      <c r="EE125" s="292"/>
      <c r="EF125" s="292"/>
      <c r="EG125" s="292"/>
      <c r="EH125" s="292"/>
      <c r="EI125" s="292"/>
      <c r="EJ125" s="292"/>
      <c r="EK125" s="292"/>
      <c r="EL125" s="292"/>
      <c r="EM125" s="292"/>
      <c r="EN125" s="292"/>
      <c r="EO125" s="292"/>
      <c r="EP125" s="292"/>
      <c r="EQ125" s="292"/>
      <c r="ER125" s="292"/>
      <c r="ES125" s="292"/>
      <c r="ET125" s="292"/>
      <c r="EU125" s="292"/>
      <c r="EV125" s="292"/>
      <c r="EW125" s="292"/>
      <c r="EX125" s="292"/>
      <c r="EY125" s="292"/>
      <c r="EZ125" s="292"/>
      <c r="FA125" s="292"/>
      <c r="FB125" s="292"/>
      <c r="FC125" s="292"/>
      <c r="FD125" s="292"/>
      <c r="FE125" s="292"/>
      <c r="FF125" s="292"/>
      <c r="FG125" s="292"/>
      <c r="FH125" s="292"/>
      <c r="FI125" s="292"/>
      <c r="FJ125" s="292"/>
      <c r="FK125" s="292"/>
      <c r="FL125" s="292"/>
      <c r="FM125" s="292"/>
      <c r="FN125" s="292"/>
      <c r="FO125" s="292"/>
      <c r="FP125" s="292"/>
      <c r="FQ125" s="292"/>
      <c r="FR125" s="292"/>
      <c r="FS125" s="292"/>
      <c r="FT125" s="292"/>
      <c r="FU125" s="292"/>
      <c r="FV125" s="292"/>
      <c r="FW125" s="292"/>
      <c r="FX125" s="292"/>
      <c r="FY125" s="292"/>
      <c r="FZ125" s="292"/>
      <c r="GA125" s="292"/>
      <c r="GB125" s="292"/>
      <c r="GC125" s="292"/>
      <c r="GD125" s="292"/>
      <c r="GE125" s="292"/>
      <c r="GF125" s="292"/>
      <c r="GG125" s="292"/>
      <c r="GH125" s="292"/>
      <c r="GI125" s="292"/>
      <c r="GJ125" s="292"/>
      <c r="GK125" s="292"/>
      <c r="GL125" s="292"/>
      <c r="GM125" s="292"/>
      <c r="GN125" s="292"/>
      <c r="GO125" s="292"/>
      <c r="GP125" s="292"/>
      <c r="GQ125" s="292"/>
      <c r="GR125" s="292"/>
      <c r="GS125" s="292"/>
      <c r="GT125" s="292"/>
      <c r="GU125" s="292"/>
    </row>
    <row r="126" spans="1:203">
      <c r="A126" s="77"/>
      <c r="B126" s="77"/>
      <c r="C126" s="77"/>
      <c r="D126" s="77"/>
      <c r="E126" s="77"/>
      <c r="F126" s="266"/>
      <c r="G126" s="77"/>
      <c r="H126" s="77"/>
      <c r="I126" s="266"/>
      <c r="J126" s="267"/>
    </row>
    <row r="127" spans="1:203" ht="12.75" customHeight="1">
      <c r="A127" s="266">
        <v>5.2</v>
      </c>
      <c r="B127" s="77"/>
      <c r="C127" s="266" t="s">
        <v>425</v>
      </c>
      <c r="D127" s="266" t="s">
        <v>426</v>
      </c>
      <c r="E127" s="266" t="s">
        <v>427</v>
      </c>
      <c r="F127" s="76" t="s">
        <v>428</v>
      </c>
      <c r="G127" s="266" t="s">
        <v>7</v>
      </c>
      <c r="H127" s="266">
        <f>(1.1+1+1)*2.25</f>
        <v>6.9750000000000005</v>
      </c>
      <c r="I127" s="604">
        <v>30882</v>
      </c>
      <c r="J127" s="267">
        <f t="shared" si="3"/>
        <v>215401.95</v>
      </c>
    </row>
    <row r="128" spans="1:203" ht="71.25" customHeight="1">
      <c r="A128" s="77"/>
      <c r="B128" s="77"/>
      <c r="C128" s="77"/>
      <c r="D128" s="77"/>
      <c r="E128" s="77"/>
      <c r="F128" s="266" t="s">
        <v>429</v>
      </c>
      <c r="G128" s="77"/>
      <c r="H128" s="77"/>
      <c r="I128" s="266"/>
      <c r="J128" s="267"/>
    </row>
    <row r="129" spans="1:10">
      <c r="A129" s="77"/>
      <c r="B129" s="77"/>
      <c r="C129" s="77"/>
      <c r="D129" s="77"/>
      <c r="E129" s="77"/>
      <c r="F129" s="81"/>
      <c r="G129" s="77"/>
      <c r="H129" s="77"/>
      <c r="I129" s="266"/>
      <c r="J129" s="267"/>
    </row>
    <row r="130" spans="1:10" ht="12.75" customHeight="1">
      <c r="A130" s="266">
        <v>5.3</v>
      </c>
      <c r="B130" s="77"/>
      <c r="C130" s="266" t="s">
        <v>425</v>
      </c>
      <c r="D130" s="266" t="s">
        <v>430</v>
      </c>
      <c r="E130" s="266" t="s">
        <v>431</v>
      </c>
      <c r="F130" s="76" t="s">
        <v>432</v>
      </c>
      <c r="G130" s="266" t="s">
        <v>8</v>
      </c>
      <c r="H130" s="266">
        <f>5+19+6+6+13+18+6</f>
        <v>73</v>
      </c>
      <c r="I130" s="604">
        <v>3270</v>
      </c>
      <c r="J130" s="267">
        <f t="shared" si="3"/>
        <v>238710</v>
      </c>
    </row>
    <row r="131" spans="1:10" ht="75">
      <c r="A131" s="77"/>
      <c r="B131" s="77"/>
      <c r="C131" s="77"/>
      <c r="D131" s="77"/>
      <c r="E131" s="77"/>
      <c r="F131" s="266" t="s">
        <v>433</v>
      </c>
      <c r="G131" s="77"/>
      <c r="H131" s="77"/>
      <c r="I131" s="266"/>
      <c r="J131" s="267"/>
    </row>
    <row r="132" spans="1:10">
      <c r="A132" s="77"/>
      <c r="B132" s="77"/>
      <c r="C132" s="77"/>
      <c r="D132" s="77"/>
      <c r="E132" s="77"/>
      <c r="F132" s="81"/>
      <c r="G132" s="77"/>
      <c r="H132" s="77"/>
      <c r="I132" s="266"/>
      <c r="J132" s="267"/>
    </row>
    <row r="133" spans="1:10" ht="30">
      <c r="A133" s="266">
        <v>5.4</v>
      </c>
      <c r="B133" s="77"/>
      <c r="C133" s="266" t="s">
        <v>425</v>
      </c>
      <c r="D133" s="266" t="s">
        <v>434</v>
      </c>
      <c r="E133" s="266" t="s">
        <v>435</v>
      </c>
      <c r="F133" s="76" t="s">
        <v>436</v>
      </c>
      <c r="G133" s="266" t="s">
        <v>7</v>
      </c>
      <c r="H133" s="266">
        <f>3+1+3+2</f>
        <v>9</v>
      </c>
      <c r="I133" s="604">
        <v>51252</v>
      </c>
      <c r="J133" s="267">
        <f t="shared" si="3"/>
        <v>461268</v>
      </c>
    </row>
    <row r="134" spans="1:10" ht="120">
      <c r="A134" s="77"/>
      <c r="B134" s="77"/>
      <c r="C134" s="77"/>
      <c r="D134" s="77"/>
      <c r="E134" s="77"/>
      <c r="F134" s="266" t="s">
        <v>437</v>
      </c>
      <c r="G134" s="77"/>
      <c r="H134" s="77"/>
      <c r="I134" s="266"/>
      <c r="J134" s="267"/>
    </row>
    <row r="135" spans="1:10">
      <c r="A135" s="77"/>
      <c r="B135" s="77"/>
      <c r="C135" s="77"/>
      <c r="D135" s="77"/>
      <c r="E135" s="77"/>
      <c r="F135" s="81"/>
      <c r="G135" s="77"/>
      <c r="H135" s="77"/>
      <c r="I135" s="266"/>
      <c r="J135" s="267"/>
    </row>
    <row r="136" spans="1:10" ht="12.75" customHeight="1">
      <c r="A136" s="266">
        <v>5.5</v>
      </c>
      <c r="B136" s="77"/>
      <c r="C136" s="266" t="s">
        <v>425</v>
      </c>
      <c r="D136" s="266" t="s">
        <v>434</v>
      </c>
      <c r="E136" s="266" t="s">
        <v>435</v>
      </c>
      <c r="F136" s="76" t="s">
        <v>438</v>
      </c>
      <c r="G136" s="266" t="s">
        <v>7</v>
      </c>
      <c r="H136" s="266">
        <f>(2*2.25)+0.5</f>
        <v>5</v>
      </c>
      <c r="I136" s="604">
        <v>21930</v>
      </c>
      <c r="J136" s="267">
        <f t="shared" si="3"/>
        <v>109650</v>
      </c>
    </row>
    <row r="137" spans="1:10" ht="105">
      <c r="A137" s="77"/>
      <c r="B137" s="77"/>
      <c r="C137" s="77"/>
      <c r="D137" s="77"/>
      <c r="E137" s="77"/>
      <c r="F137" s="266" t="s">
        <v>439</v>
      </c>
      <c r="G137" s="77"/>
      <c r="H137" s="77"/>
      <c r="I137" s="266"/>
      <c r="J137" s="267"/>
    </row>
    <row r="138" spans="1:10">
      <c r="A138" s="77"/>
      <c r="B138" s="77"/>
      <c r="C138" s="77"/>
      <c r="D138" s="77"/>
      <c r="E138" s="77"/>
      <c r="F138" s="81"/>
      <c r="G138" s="77"/>
      <c r="H138" s="77"/>
      <c r="I138" s="266"/>
      <c r="J138" s="267"/>
    </row>
    <row r="139" spans="1:10" ht="12.75" customHeight="1">
      <c r="A139" s="77"/>
      <c r="B139" s="77"/>
      <c r="C139" s="77"/>
      <c r="D139" s="77"/>
      <c r="E139" s="77"/>
      <c r="F139" s="294" t="s">
        <v>440</v>
      </c>
      <c r="G139" s="77"/>
      <c r="H139" s="77"/>
      <c r="I139" s="266"/>
      <c r="J139" s="267"/>
    </row>
    <row r="140" spans="1:10" ht="12.75" customHeight="1">
      <c r="A140" s="266">
        <v>5.6</v>
      </c>
      <c r="B140" s="77"/>
      <c r="C140" s="266" t="s">
        <v>425</v>
      </c>
      <c r="D140" s="266" t="s">
        <v>441</v>
      </c>
      <c r="E140" s="266" t="s">
        <v>442</v>
      </c>
      <c r="F140" s="76" t="s">
        <v>443</v>
      </c>
      <c r="G140" s="266" t="s">
        <v>126</v>
      </c>
      <c r="H140" s="266">
        <v>2</v>
      </c>
      <c r="I140" s="604">
        <v>155640</v>
      </c>
      <c r="J140" s="267">
        <f t="shared" si="3"/>
        <v>311280</v>
      </c>
    </row>
    <row r="141" spans="1:10" ht="12.75" customHeight="1">
      <c r="A141" s="77"/>
      <c r="B141" s="77"/>
      <c r="C141" s="77"/>
      <c r="D141" s="77"/>
      <c r="E141" s="77"/>
      <c r="F141" s="266" t="s">
        <v>444</v>
      </c>
      <c r="G141" s="77"/>
      <c r="H141" s="77"/>
      <c r="I141" s="266"/>
      <c r="J141" s="267"/>
    </row>
    <row r="142" spans="1:10" ht="12.75" customHeight="1">
      <c r="A142" s="77"/>
      <c r="B142" s="77"/>
      <c r="C142" s="77"/>
      <c r="D142" s="77"/>
      <c r="E142" s="77"/>
      <c r="F142" s="266" t="s">
        <v>445</v>
      </c>
      <c r="G142" s="77"/>
      <c r="H142" s="77"/>
      <c r="I142" s="266"/>
      <c r="J142" s="267"/>
    </row>
    <row r="143" spans="1:10" ht="75">
      <c r="A143" s="77"/>
      <c r="B143" s="77"/>
      <c r="C143" s="77"/>
      <c r="D143" s="77"/>
      <c r="E143" s="77"/>
      <c r="F143" s="266" t="s">
        <v>446</v>
      </c>
      <c r="G143" s="77"/>
      <c r="H143" s="77"/>
      <c r="I143" s="266"/>
      <c r="J143" s="267"/>
    </row>
    <row r="144" spans="1:10" ht="12.75" customHeight="1">
      <c r="A144" s="77"/>
      <c r="B144" s="77"/>
      <c r="C144" s="77"/>
      <c r="D144" s="77"/>
      <c r="E144" s="77"/>
      <c r="F144" s="266" t="s">
        <v>184</v>
      </c>
      <c r="G144" s="77"/>
      <c r="H144" s="77"/>
      <c r="I144" s="266"/>
      <c r="J144" s="267"/>
    </row>
    <row r="145" spans="1:10" ht="60">
      <c r="A145" s="77"/>
      <c r="B145" s="77"/>
      <c r="C145" s="77"/>
      <c r="D145" s="77"/>
      <c r="E145" s="77"/>
      <c r="F145" s="266" t="s">
        <v>447</v>
      </c>
      <c r="G145" s="77"/>
      <c r="H145" s="77"/>
      <c r="I145" s="266"/>
      <c r="J145" s="267"/>
    </row>
    <row r="146" spans="1:10" ht="12.75" customHeight="1">
      <c r="A146" s="77"/>
      <c r="B146" s="77"/>
      <c r="C146" s="77"/>
      <c r="D146" s="77"/>
      <c r="E146" s="77"/>
      <c r="F146" s="266" t="s">
        <v>265</v>
      </c>
      <c r="G146" s="77"/>
      <c r="H146" s="77"/>
      <c r="I146" s="266"/>
      <c r="J146" s="267"/>
    </row>
    <row r="147" spans="1:10">
      <c r="A147" s="77"/>
      <c r="B147" s="77"/>
      <c r="C147" s="77"/>
      <c r="D147" s="77"/>
      <c r="E147" s="77"/>
      <c r="F147" s="81" t="s">
        <v>609</v>
      </c>
      <c r="G147" s="77"/>
      <c r="H147" s="77"/>
      <c r="I147" s="266"/>
      <c r="J147" s="267"/>
    </row>
    <row r="148" spans="1:10" ht="12.75" customHeight="1">
      <c r="A148" s="77"/>
      <c r="B148" s="77"/>
      <c r="C148" s="77"/>
      <c r="D148" s="77"/>
      <c r="E148" s="77"/>
      <c r="F148" s="266" t="s">
        <v>448</v>
      </c>
      <c r="G148" s="77"/>
      <c r="H148" s="77"/>
      <c r="I148" s="266"/>
      <c r="J148" s="267"/>
    </row>
    <row r="149" spans="1:10" ht="60">
      <c r="A149" s="77"/>
      <c r="B149" s="77"/>
      <c r="C149" s="77"/>
      <c r="D149" s="77"/>
      <c r="E149" s="77"/>
      <c r="F149" s="266" t="s">
        <v>449</v>
      </c>
      <c r="G149" s="77"/>
      <c r="H149" s="77"/>
      <c r="I149" s="266"/>
      <c r="J149" s="267"/>
    </row>
    <row r="150" spans="1:10">
      <c r="A150" s="77"/>
      <c r="B150" s="77"/>
      <c r="C150" s="77"/>
      <c r="D150" s="77"/>
      <c r="E150" s="77"/>
      <c r="F150" s="266"/>
      <c r="G150" s="77"/>
      <c r="H150" s="77"/>
      <c r="I150" s="266"/>
      <c r="J150" s="267"/>
    </row>
    <row r="151" spans="1:10" ht="30">
      <c r="A151" s="266">
        <v>5.7</v>
      </c>
      <c r="B151" s="77"/>
      <c r="C151" s="266" t="s">
        <v>425</v>
      </c>
      <c r="D151" s="266" t="s">
        <v>441</v>
      </c>
      <c r="E151" s="266" t="s">
        <v>450</v>
      </c>
      <c r="F151" s="76" t="s">
        <v>451</v>
      </c>
      <c r="G151" s="266" t="s">
        <v>126</v>
      </c>
      <c r="H151" s="266">
        <v>1</v>
      </c>
      <c r="I151" s="604">
        <v>133806</v>
      </c>
      <c r="J151" s="267">
        <f t="shared" si="3"/>
        <v>133806</v>
      </c>
    </row>
    <row r="152" spans="1:10" ht="12.75" customHeight="1">
      <c r="A152" s="77"/>
      <c r="B152" s="77"/>
      <c r="C152" s="77"/>
      <c r="D152" s="77"/>
      <c r="E152" s="77"/>
      <c r="F152" s="266" t="s">
        <v>452</v>
      </c>
      <c r="G152" s="77"/>
      <c r="H152" s="77"/>
      <c r="I152" s="266"/>
      <c r="J152" s="267"/>
    </row>
    <row r="153" spans="1:10">
      <c r="A153" s="77"/>
      <c r="B153" s="77"/>
      <c r="C153" s="77"/>
      <c r="D153" s="77"/>
      <c r="E153" s="77"/>
      <c r="F153" s="266" t="s">
        <v>445</v>
      </c>
      <c r="G153" s="77"/>
      <c r="H153" s="77"/>
      <c r="I153" s="266"/>
      <c r="J153" s="267"/>
    </row>
    <row r="154" spans="1:10" ht="75">
      <c r="A154" s="77"/>
      <c r="B154" s="77"/>
      <c r="C154" s="77"/>
      <c r="D154" s="77"/>
      <c r="E154" s="77"/>
      <c r="F154" s="266" t="s">
        <v>453</v>
      </c>
      <c r="G154" s="77"/>
      <c r="H154" s="77"/>
      <c r="I154" s="266"/>
      <c r="J154" s="267"/>
    </row>
    <row r="155" spans="1:10">
      <c r="A155" s="77"/>
      <c r="B155" s="77"/>
      <c r="C155" s="77"/>
      <c r="D155" s="77"/>
      <c r="E155" s="77"/>
      <c r="F155" s="81" t="s">
        <v>454</v>
      </c>
      <c r="G155" s="77"/>
      <c r="H155" s="77"/>
      <c r="I155" s="266"/>
      <c r="J155" s="267"/>
    </row>
    <row r="156" spans="1:10" ht="45">
      <c r="A156" s="77"/>
      <c r="B156" s="77"/>
      <c r="C156" s="77"/>
      <c r="D156" s="77"/>
      <c r="E156" s="77"/>
      <c r="F156" s="81" t="s">
        <v>455</v>
      </c>
      <c r="G156" s="77"/>
      <c r="H156" s="77"/>
      <c r="I156" s="266"/>
      <c r="J156" s="267"/>
    </row>
    <row r="157" spans="1:10" ht="12.75" customHeight="1">
      <c r="A157" s="77"/>
      <c r="B157" s="77"/>
      <c r="C157" s="77"/>
      <c r="D157" s="77"/>
      <c r="E157" s="77"/>
      <c r="F157" s="266" t="s">
        <v>184</v>
      </c>
      <c r="G157" s="77"/>
      <c r="H157" s="77"/>
      <c r="I157" s="266"/>
      <c r="J157" s="267"/>
    </row>
    <row r="158" spans="1:10" ht="60">
      <c r="A158" s="77"/>
      <c r="B158" s="77"/>
      <c r="C158" s="77"/>
      <c r="D158" s="77"/>
      <c r="E158" s="77"/>
      <c r="F158" s="266" t="s">
        <v>456</v>
      </c>
      <c r="G158" s="77"/>
      <c r="H158" s="77"/>
      <c r="I158" s="266"/>
      <c r="J158" s="267"/>
    </row>
    <row r="159" spans="1:10" ht="12.75" customHeight="1">
      <c r="A159" s="77"/>
      <c r="B159" s="77"/>
      <c r="C159" s="77"/>
      <c r="D159" s="77"/>
      <c r="E159" s="77"/>
      <c r="F159" s="266" t="s">
        <v>265</v>
      </c>
      <c r="G159" s="77"/>
      <c r="H159" s="77"/>
      <c r="I159" s="266"/>
      <c r="J159" s="267"/>
    </row>
    <row r="160" spans="1:10" ht="30">
      <c r="A160" s="77"/>
      <c r="B160" s="77"/>
      <c r="C160" s="77"/>
      <c r="D160" s="77"/>
      <c r="E160" s="77"/>
      <c r="F160" s="81" t="s">
        <v>610</v>
      </c>
      <c r="G160" s="77"/>
      <c r="H160" s="77"/>
      <c r="I160" s="266"/>
      <c r="J160" s="267"/>
    </row>
    <row r="161" spans="1:10" ht="12.75" customHeight="1">
      <c r="A161" s="77"/>
      <c r="B161" s="77"/>
      <c r="C161" s="77"/>
      <c r="D161" s="77"/>
      <c r="E161" s="77"/>
      <c r="F161" s="266" t="s">
        <v>448</v>
      </c>
      <c r="G161" s="77"/>
      <c r="H161" s="77"/>
      <c r="I161" s="266"/>
      <c r="J161" s="267"/>
    </row>
    <row r="162" spans="1:10" ht="75">
      <c r="A162" s="77"/>
      <c r="B162" s="77"/>
      <c r="C162" s="77"/>
      <c r="D162" s="77"/>
      <c r="E162" s="77"/>
      <c r="F162" s="81" t="s">
        <v>457</v>
      </c>
      <c r="G162" s="77"/>
      <c r="H162" s="77"/>
      <c r="I162" s="266"/>
      <c r="J162" s="267"/>
    </row>
    <row r="163" spans="1:10">
      <c r="A163" s="77"/>
      <c r="B163" s="77"/>
      <c r="C163" s="77"/>
      <c r="D163" s="77"/>
      <c r="E163" s="77"/>
      <c r="F163" s="266"/>
      <c r="G163" s="77"/>
      <c r="H163" s="77"/>
      <c r="I163" s="266"/>
      <c r="J163" s="267"/>
    </row>
    <row r="164" spans="1:10" ht="30">
      <c r="A164" s="266">
        <v>5.8</v>
      </c>
      <c r="B164" s="77"/>
      <c r="C164" s="266" t="s">
        <v>425</v>
      </c>
      <c r="D164" s="266" t="s">
        <v>458</v>
      </c>
      <c r="E164" s="266" t="s">
        <v>459</v>
      </c>
      <c r="F164" s="76" t="s">
        <v>460</v>
      </c>
      <c r="G164" s="266" t="s">
        <v>126</v>
      </c>
      <c r="H164" s="266">
        <f>4+3</f>
        <v>7</v>
      </c>
      <c r="I164" s="604">
        <v>65718</v>
      </c>
      <c r="J164" s="267">
        <f t="shared" si="3"/>
        <v>460026</v>
      </c>
    </row>
    <row r="165" spans="1:10">
      <c r="A165" s="77"/>
      <c r="B165" s="77"/>
      <c r="C165" s="77"/>
      <c r="D165" s="77"/>
      <c r="E165" s="77"/>
      <c r="F165" s="266" t="s">
        <v>184</v>
      </c>
      <c r="G165" s="77"/>
      <c r="H165" s="77"/>
      <c r="I165" s="266"/>
      <c r="J165" s="267"/>
    </row>
    <row r="166" spans="1:10" ht="75">
      <c r="A166" s="77"/>
      <c r="B166" s="77"/>
      <c r="C166" s="77"/>
      <c r="D166" s="77"/>
      <c r="E166" s="77"/>
      <c r="F166" s="266" t="s">
        <v>461</v>
      </c>
      <c r="G166" s="77"/>
      <c r="H166" s="77"/>
      <c r="I166" s="266"/>
      <c r="J166" s="267"/>
    </row>
    <row r="167" spans="1:10" ht="15.95" customHeight="1">
      <c r="A167" s="77"/>
      <c r="B167" s="77"/>
      <c r="C167" s="77"/>
      <c r="D167" s="77"/>
      <c r="E167" s="77"/>
      <c r="F167" s="266" t="s">
        <v>448</v>
      </c>
      <c r="G167" s="77"/>
      <c r="H167" s="77"/>
      <c r="I167" s="266"/>
      <c r="J167" s="267"/>
    </row>
    <row r="168" spans="1:10" ht="30">
      <c r="A168" s="77"/>
      <c r="B168" s="77"/>
      <c r="C168" s="77"/>
      <c r="D168" s="77"/>
      <c r="E168" s="77"/>
      <c r="F168" s="266" t="s">
        <v>462</v>
      </c>
      <c r="G168" s="77"/>
      <c r="H168" s="77"/>
      <c r="I168" s="266"/>
      <c r="J168" s="267"/>
    </row>
    <row r="169" spans="1:10">
      <c r="A169" s="77"/>
      <c r="B169" s="77"/>
      <c r="C169" s="77"/>
      <c r="D169" s="77"/>
      <c r="E169" s="77"/>
      <c r="F169" s="266"/>
      <c r="G169" s="77"/>
      <c r="H169" s="77"/>
      <c r="I169" s="266"/>
      <c r="J169" s="267"/>
    </row>
    <row r="170" spans="1:10">
      <c r="A170" s="77"/>
      <c r="B170" s="77"/>
      <c r="C170" s="77"/>
      <c r="D170" s="77"/>
      <c r="E170" s="77"/>
      <c r="F170" s="266"/>
      <c r="G170" s="77"/>
      <c r="H170" s="77"/>
      <c r="I170" s="266"/>
      <c r="J170" s="267"/>
    </row>
    <row r="171" spans="1:10" ht="30">
      <c r="A171" s="318">
        <v>5.9</v>
      </c>
      <c r="B171" s="77"/>
      <c r="C171" s="266" t="s">
        <v>425</v>
      </c>
      <c r="D171" s="266" t="s">
        <v>458</v>
      </c>
      <c r="E171" s="266" t="s">
        <v>459</v>
      </c>
      <c r="F171" s="76" t="s">
        <v>463</v>
      </c>
      <c r="G171" s="266" t="s">
        <v>126</v>
      </c>
      <c r="H171" s="266">
        <v>2</v>
      </c>
      <c r="I171" s="604">
        <v>127380</v>
      </c>
      <c r="J171" s="267">
        <f t="shared" ref="J171" si="4">SUM(H171*I171)</f>
        <v>254760</v>
      </c>
    </row>
    <row r="172" spans="1:10">
      <c r="A172" s="77"/>
      <c r="B172" s="77"/>
      <c r="C172" s="77"/>
      <c r="D172" s="77"/>
      <c r="E172" s="77"/>
      <c r="F172" s="266" t="s">
        <v>184</v>
      </c>
      <c r="G172" s="77"/>
      <c r="H172" s="77"/>
      <c r="I172" s="266"/>
      <c r="J172" s="267"/>
    </row>
    <row r="173" spans="1:10" ht="75">
      <c r="A173" s="77"/>
      <c r="B173" s="77"/>
      <c r="C173" s="77"/>
      <c r="D173" s="77"/>
      <c r="E173" s="77"/>
      <c r="F173" s="266" t="s">
        <v>464</v>
      </c>
      <c r="G173" s="77"/>
      <c r="H173" s="77"/>
      <c r="I173" s="266"/>
      <c r="J173" s="267"/>
    </row>
    <row r="174" spans="1:10">
      <c r="A174" s="77"/>
      <c r="B174" s="77"/>
      <c r="C174" s="77"/>
      <c r="D174" s="77"/>
      <c r="E174" s="77"/>
      <c r="F174" s="266" t="s">
        <v>448</v>
      </c>
      <c r="G174" s="77"/>
      <c r="H174" s="77"/>
      <c r="I174" s="266"/>
      <c r="J174" s="267"/>
    </row>
    <row r="175" spans="1:10" ht="30">
      <c r="A175" s="77"/>
      <c r="B175" s="77"/>
      <c r="C175" s="77"/>
      <c r="D175" s="77"/>
      <c r="E175" s="77"/>
      <c r="F175" s="266" t="s">
        <v>462</v>
      </c>
      <c r="G175" s="77"/>
      <c r="H175" s="77"/>
      <c r="I175" s="266"/>
      <c r="J175" s="267"/>
    </row>
    <row r="176" spans="1:10">
      <c r="A176" s="77"/>
      <c r="B176" s="77"/>
      <c r="C176" s="77"/>
      <c r="D176" s="77"/>
      <c r="E176" s="77"/>
      <c r="F176" s="266"/>
      <c r="G176" s="77"/>
      <c r="H176" s="77"/>
      <c r="I176" s="266"/>
      <c r="J176" s="267"/>
    </row>
    <row r="177" spans="1:10">
      <c r="A177" s="77"/>
      <c r="B177" s="77"/>
      <c r="C177" s="77"/>
      <c r="D177" s="77"/>
      <c r="E177" s="77"/>
      <c r="F177" s="266"/>
      <c r="G177" s="77"/>
      <c r="H177" s="77"/>
      <c r="I177" s="266"/>
      <c r="J177" s="267"/>
    </row>
    <row r="178" spans="1:10" ht="27" customHeight="1">
      <c r="A178" s="295">
        <v>5.0999999999999996</v>
      </c>
      <c r="B178" s="77"/>
      <c r="C178" s="266" t="s">
        <v>425</v>
      </c>
      <c r="D178" s="266" t="s">
        <v>458</v>
      </c>
      <c r="E178" s="266" t="s">
        <v>459</v>
      </c>
      <c r="F178" s="76" t="s">
        <v>465</v>
      </c>
      <c r="G178" s="266" t="s">
        <v>126</v>
      </c>
      <c r="H178" s="266">
        <v>1</v>
      </c>
      <c r="I178" s="604">
        <v>149592</v>
      </c>
      <c r="J178" s="267">
        <f t="shared" si="3"/>
        <v>149592</v>
      </c>
    </row>
    <row r="179" spans="1:10" ht="15.95" customHeight="1">
      <c r="A179" s="77"/>
      <c r="B179" s="77"/>
      <c r="C179" s="77"/>
      <c r="D179" s="77"/>
      <c r="E179" s="77"/>
      <c r="F179" s="266" t="s">
        <v>466</v>
      </c>
      <c r="G179" s="77"/>
      <c r="H179" s="77"/>
      <c r="I179" s="266"/>
      <c r="J179" s="267"/>
    </row>
    <row r="180" spans="1:10" ht="75">
      <c r="A180" s="77"/>
      <c r="B180" s="77"/>
      <c r="C180" s="77"/>
      <c r="D180" s="77"/>
      <c r="E180" s="77"/>
      <c r="F180" s="266" t="s">
        <v>467</v>
      </c>
      <c r="G180" s="77"/>
      <c r="H180" s="77"/>
      <c r="I180" s="266"/>
      <c r="J180" s="267"/>
    </row>
    <row r="181" spans="1:10" ht="15.95" customHeight="1">
      <c r="A181" s="77"/>
      <c r="B181" s="77"/>
      <c r="C181" s="77"/>
      <c r="D181" s="77"/>
      <c r="E181" s="77"/>
      <c r="F181" s="81" t="s">
        <v>468</v>
      </c>
      <c r="G181" s="77"/>
      <c r="H181" s="77"/>
      <c r="I181" s="266"/>
      <c r="J181" s="267"/>
    </row>
    <row r="182" spans="1:10" ht="30">
      <c r="A182" s="77"/>
      <c r="B182" s="77"/>
      <c r="C182" s="77"/>
      <c r="D182" s="77"/>
      <c r="E182" s="77"/>
      <c r="F182" s="81" t="s">
        <v>469</v>
      </c>
      <c r="G182" s="77"/>
      <c r="H182" s="77"/>
      <c r="I182" s="266"/>
      <c r="J182" s="267"/>
    </row>
    <row r="183" spans="1:10" ht="15.95" customHeight="1">
      <c r="A183" s="77"/>
      <c r="B183" s="77"/>
      <c r="C183" s="77"/>
      <c r="D183" s="77"/>
      <c r="E183" s="77"/>
      <c r="F183" s="81" t="s">
        <v>185</v>
      </c>
      <c r="G183" s="77"/>
      <c r="H183" s="77"/>
      <c r="I183" s="266"/>
      <c r="J183" s="267"/>
    </row>
    <row r="184" spans="1:10" ht="45">
      <c r="A184" s="77"/>
      <c r="B184" s="77"/>
      <c r="C184" s="77"/>
      <c r="D184" s="77"/>
      <c r="E184" s="77"/>
      <c r="F184" s="81" t="s">
        <v>470</v>
      </c>
      <c r="G184" s="77"/>
      <c r="H184" s="77"/>
      <c r="I184" s="266"/>
      <c r="J184" s="267"/>
    </row>
    <row r="185" spans="1:10">
      <c r="A185" s="266"/>
      <c r="B185" s="77"/>
      <c r="C185" s="266"/>
      <c r="D185" s="266"/>
      <c r="E185" s="266"/>
      <c r="F185" s="266"/>
      <c r="G185" s="266"/>
      <c r="H185" s="266"/>
      <c r="I185" s="266"/>
      <c r="J185" s="267"/>
    </row>
    <row r="186" spans="1:10" ht="30">
      <c r="A186" s="266">
        <v>5.1100000000000003</v>
      </c>
      <c r="B186" s="77"/>
      <c r="C186" s="266" t="s">
        <v>425</v>
      </c>
      <c r="D186" s="266" t="s">
        <v>458</v>
      </c>
      <c r="E186" s="266" t="s">
        <v>459</v>
      </c>
      <c r="F186" s="76" t="s">
        <v>471</v>
      </c>
      <c r="G186" s="266" t="s">
        <v>126</v>
      </c>
      <c r="H186" s="266">
        <v>2</v>
      </c>
      <c r="I186" s="604">
        <v>85512</v>
      </c>
      <c r="J186" s="267">
        <f t="shared" ref="J186" si="5">SUM(H186*I186)</f>
        <v>171024</v>
      </c>
    </row>
    <row r="187" spans="1:10">
      <c r="A187" s="266"/>
      <c r="B187" s="77"/>
      <c r="C187" s="77"/>
      <c r="D187" s="77"/>
      <c r="E187" s="77"/>
      <c r="F187" s="266" t="s">
        <v>466</v>
      </c>
      <c r="G187" s="77"/>
      <c r="H187" s="77"/>
      <c r="I187" s="266"/>
      <c r="J187" s="267"/>
    </row>
    <row r="188" spans="1:10" ht="75">
      <c r="A188" s="266"/>
      <c r="B188" s="77"/>
      <c r="C188" s="77"/>
      <c r="D188" s="77"/>
      <c r="E188" s="77"/>
      <c r="F188" s="266" t="s">
        <v>472</v>
      </c>
      <c r="G188" s="77"/>
      <c r="H188" s="77"/>
      <c r="I188" s="266"/>
      <c r="J188" s="267"/>
    </row>
    <row r="189" spans="1:10" ht="15.95" customHeight="1">
      <c r="A189" s="266"/>
      <c r="B189" s="77"/>
      <c r="C189" s="77"/>
      <c r="D189" s="77"/>
      <c r="E189" s="77"/>
      <c r="F189" s="81" t="s">
        <v>468</v>
      </c>
      <c r="G189" s="77"/>
      <c r="H189" s="77"/>
      <c r="I189" s="266"/>
      <c r="J189" s="267"/>
    </row>
    <row r="190" spans="1:10" ht="30">
      <c r="A190" s="77"/>
      <c r="B190" s="77"/>
      <c r="C190" s="77"/>
      <c r="D190" s="77"/>
      <c r="E190" s="77"/>
      <c r="F190" s="81" t="s">
        <v>469</v>
      </c>
      <c r="G190" s="77"/>
      <c r="H190" s="77"/>
      <c r="I190" s="266"/>
      <c r="J190" s="267"/>
    </row>
    <row r="191" spans="1:10">
      <c r="A191" s="77"/>
      <c r="B191" s="77"/>
      <c r="C191" s="77"/>
      <c r="D191" s="77"/>
      <c r="E191" s="77"/>
      <c r="F191" s="81" t="s">
        <v>185</v>
      </c>
      <c r="G191" s="77"/>
      <c r="H191" s="77"/>
      <c r="I191" s="266"/>
      <c r="J191" s="267"/>
    </row>
    <row r="192" spans="1:10" ht="45">
      <c r="A192" s="77"/>
      <c r="B192" s="77"/>
      <c r="C192" s="77"/>
      <c r="D192" s="77"/>
      <c r="E192" s="77"/>
      <c r="F192" s="81" t="s">
        <v>470</v>
      </c>
      <c r="G192" s="77"/>
      <c r="H192" s="77"/>
      <c r="I192" s="266"/>
      <c r="J192" s="267"/>
    </row>
    <row r="193" spans="1:10">
      <c r="A193" s="77"/>
      <c r="B193" s="77"/>
      <c r="C193" s="77"/>
      <c r="D193" s="77"/>
      <c r="E193" s="77"/>
      <c r="F193" s="81"/>
      <c r="G193" s="77"/>
      <c r="H193" s="77"/>
      <c r="I193" s="266"/>
      <c r="J193" s="267"/>
    </row>
    <row r="194" spans="1:10">
      <c r="A194" s="295">
        <v>5.12</v>
      </c>
      <c r="B194" s="77"/>
      <c r="C194" s="266" t="s">
        <v>425</v>
      </c>
      <c r="D194" s="266" t="s">
        <v>473</v>
      </c>
      <c r="E194" s="266" t="s">
        <v>474</v>
      </c>
      <c r="F194" s="297" t="s">
        <v>474</v>
      </c>
      <c r="G194" s="266" t="s">
        <v>475</v>
      </c>
      <c r="H194" s="266">
        <f>3*2.4</f>
        <v>7.1999999999999993</v>
      </c>
      <c r="I194" s="604">
        <v>25595</v>
      </c>
      <c r="J194" s="267">
        <f t="shared" ref="J194:J241" si="6">SUM(H194*I194)</f>
        <v>184283.99999999997</v>
      </c>
    </row>
    <row r="195" spans="1:10">
      <c r="A195" s="77"/>
      <c r="B195" s="77"/>
      <c r="C195" s="77"/>
      <c r="D195" s="77"/>
      <c r="E195" s="77"/>
      <c r="F195" s="81" t="s">
        <v>476</v>
      </c>
      <c r="G195" s="77"/>
      <c r="H195" s="77"/>
      <c r="I195" s="266"/>
      <c r="J195" s="267"/>
    </row>
    <row r="196" spans="1:10" ht="60">
      <c r="A196" s="77"/>
      <c r="B196" s="77"/>
      <c r="C196" s="77"/>
      <c r="D196" s="77"/>
      <c r="E196" s="77"/>
      <c r="F196" s="81" t="s">
        <v>477</v>
      </c>
      <c r="G196" s="77"/>
      <c r="H196" s="77"/>
      <c r="I196" s="266"/>
      <c r="J196" s="267"/>
    </row>
    <row r="197" spans="1:10">
      <c r="A197" s="77"/>
      <c r="B197" s="77"/>
      <c r="C197" s="77"/>
      <c r="D197" s="77"/>
      <c r="E197" s="77"/>
      <c r="F197" s="81"/>
      <c r="G197" s="77"/>
      <c r="H197" s="77"/>
      <c r="I197" s="266"/>
      <c r="J197" s="267"/>
    </row>
    <row r="198" spans="1:10">
      <c r="A198" s="87"/>
      <c r="B198" s="87"/>
      <c r="C198" s="87"/>
      <c r="D198" s="87"/>
      <c r="E198" s="87"/>
      <c r="F198" s="85"/>
      <c r="G198" s="87"/>
      <c r="H198" s="87"/>
      <c r="I198" s="272"/>
      <c r="J198" s="300"/>
    </row>
    <row r="199" spans="1:10" ht="30">
      <c r="A199" s="266">
        <v>5.13</v>
      </c>
      <c r="B199" s="77"/>
      <c r="C199" s="266" t="s">
        <v>425</v>
      </c>
      <c r="D199" s="266" t="s">
        <v>458</v>
      </c>
      <c r="E199" s="266" t="s">
        <v>459</v>
      </c>
      <c r="F199" s="76" t="s">
        <v>478</v>
      </c>
      <c r="G199" s="266" t="s">
        <v>126</v>
      </c>
      <c r="H199" s="266">
        <v>3</v>
      </c>
      <c r="I199" s="604">
        <v>10795</v>
      </c>
      <c r="J199" s="267">
        <f t="shared" ref="J199" si="7">SUM(H199*I199)</f>
        <v>32385</v>
      </c>
    </row>
    <row r="200" spans="1:10">
      <c r="A200" s="77"/>
      <c r="B200" s="77"/>
      <c r="C200" s="77"/>
      <c r="D200" s="77"/>
      <c r="E200" s="77"/>
      <c r="F200" s="266" t="s">
        <v>184</v>
      </c>
      <c r="G200" s="77"/>
      <c r="H200" s="77"/>
      <c r="I200" s="266"/>
      <c r="J200" s="267"/>
    </row>
    <row r="201" spans="1:10" ht="60">
      <c r="A201" s="77"/>
      <c r="B201" s="77"/>
      <c r="C201" s="77"/>
      <c r="D201" s="77"/>
      <c r="E201" s="77"/>
      <c r="F201" s="266" t="s">
        <v>479</v>
      </c>
      <c r="G201" s="77"/>
      <c r="H201" s="77"/>
      <c r="I201" s="266"/>
      <c r="J201" s="267"/>
    </row>
    <row r="202" spans="1:10">
      <c r="A202" s="77"/>
      <c r="B202" s="77"/>
      <c r="C202" s="77"/>
      <c r="D202" s="77"/>
      <c r="E202" s="77"/>
      <c r="F202" s="266" t="s">
        <v>448</v>
      </c>
      <c r="G202" s="77"/>
      <c r="H202" s="77"/>
      <c r="I202" s="266"/>
      <c r="J202" s="267"/>
    </row>
    <row r="203" spans="1:10">
      <c r="A203" s="77"/>
      <c r="B203" s="77"/>
      <c r="C203" s="77"/>
      <c r="D203" s="77"/>
      <c r="E203" s="77"/>
      <c r="F203" s="266" t="s">
        <v>480</v>
      </c>
      <c r="G203" s="77"/>
      <c r="H203" s="77"/>
      <c r="I203" s="266"/>
      <c r="J203" s="267"/>
    </row>
    <row r="204" spans="1:10" ht="15.75" thickBot="1">
      <c r="A204" s="87"/>
      <c r="B204" s="87"/>
      <c r="C204" s="87"/>
      <c r="D204" s="87"/>
      <c r="E204" s="87"/>
      <c r="F204" s="85"/>
      <c r="G204" s="87"/>
      <c r="H204" s="87"/>
      <c r="I204" s="272"/>
      <c r="J204" s="300"/>
    </row>
    <row r="205" spans="1:10" ht="13.5" customHeight="1" thickBot="1">
      <c r="A205" s="49" t="s">
        <v>195</v>
      </c>
      <c r="B205" s="69"/>
      <c r="C205" s="69"/>
      <c r="D205" s="69"/>
      <c r="E205" s="69"/>
      <c r="F205" s="50" t="s">
        <v>481</v>
      </c>
      <c r="G205" s="69"/>
      <c r="H205" s="69"/>
      <c r="I205" s="50"/>
      <c r="J205" s="303"/>
    </row>
    <row r="206" spans="1:10" ht="13.5" customHeight="1">
      <c r="A206" s="279"/>
      <c r="B206" s="31"/>
      <c r="C206" s="31"/>
      <c r="D206" s="31"/>
      <c r="E206" s="31"/>
      <c r="F206" s="279"/>
      <c r="G206" s="31"/>
      <c r="H206" s="31"/>
      <c r="I206" s="279"/>
      <c r="J206" s="307"/>
    </row>
    <row r="207" spans="1:10" ht="16.5" customHeight="1">
      <c r="A207" s="77"/>
      <c r="B207" s="77"/>
      <c r="C207" s="77"/>
      <c r="D207" s="77"/>
      <c r="E207" s="77"/>
      <c r="F207" s="423" t="s">
        <v>482</v>
      </c>
      <c r="G207" s="77"/>
      <c r="H207" s="77"/>
      <c r="I207" s="266"/>
      <c r="J207" s="267"/>
    </row>
    <row r="208" spans="1:10" ht="15.95" customHeight="1">
      <c r="A208" s="266">
        <v>6.1</v>
      </c>
      <c r="B208" s="77"/>
      <c r="C208" s="266" t="s">
        <v>483</v>
      </c>
      <c r="D208" s="266" t="s">
        <v>484</v>
      </c>
      <c r="E208" s="77"/>
      <c r="F208" s="424" t="s">
        <v>485</v>
      </c>
      <c r="G208" s="266" t="s">
        <v>126</v>
      </c>
      <c r="H208" s="266">
        <v>8</v>
      </c>
      <c r="I208" s="604">
        <v>3250</v>
      </c>
      <c r="J208" s="267">
        <f t="shared" si="6"/>
        <v>26000</v>
      </c>
    </row>
    <row r="209" spans="1:10" ht="15.95" customHeight="1">
      <c r="A209" s="266">
        <v>6.2</v>
      </c>
      <c r="B209" s="77"/>
      <c r="C209" s="266" t="s">
        <v>483</v>
      </c>
      <c r="D209" s="266" t="s">
        <v>484</v>
      </c>
      <c r="E209" s="77"/>
      <c r="F209" s="424" t="s">
        <v>486</v>
      </c>
      <c r="G209" s="266" t="s">
        <v>126</v>
      </c>
      <c r="H209" s="266">
        <v>8</v>
      </c>
      <c r="I209" s="604">
        <v>1950</v>
      </c>
      <c r="J209" s="267">
        <f t="shared" si="6"/>
        <v>15600</v>
      </c>
    </row>
    <row r="210" spans="1:10" ht="15.95" customHeight="1">
      <c r="A210" s="266">
        <v>6.3</v>
      </c>
      <c r="B210" s="77"/>
      <c r="C210" s="266" t="s">
        <v>483</v>
      </c>
      <c r="D210" s="266" t="s">
        <v>484</v>
      </c>
      <c r="E210" s="77"/>
      <c r="F210" s="424" t="s">
        <v>487</v>
      </c>
      <c r="G210" s="266" t="s">
        <v>126</v>
      </c>
      <c r="H210" s="266">
        <v>8</v>
      </c>
      <c r="I210" s="604">
        <v>455</v>
      </c>
      <c r="J210" s="267">
        <f t="shared" si="6"/>
        <v>3640</v>
      </c>
    </row>
    <row r="211" spans="1:10" ht="15.95" customHeight="1">
      <c r="A211" s="266">
        <v>6.4</v>
      </c>
      <c r="B211" s="77"/>
      <c r="C211" s="266" t="s">
        <v>483</v>
      </c>
      <c r="D211" s="266" t="s">
        <v>484</v>
      </c>
      <c r="E211" s="77"/>
      <c r="F211" s="424" t="s">
        <v>488</v>
      </c>
      <c r="G211" s="266" t="s">
        <v>126</v>
      </c>
      <c r="H211" s="266">
        <v>4</v>
      </c>
      <c r="I211" s="604">
        <v>1950</v>
      </c>
      <c r="J211" s="267">
        <f t="shared" si="6"/>
        <v>7800</v>
      </c>
    </row>
    <row r="212" spans="1:10" ht="15.95" customHeight="1">
      <c r="A212" s="266">
        <v>6.5</v>
      </c>
      <c r="B212" s="77"/>
      <c r="C212" s="266" t="s">
        <v>483</v>
      </c>
      <c r="D212" s="266" t="s">
        <v>484</v>
      </c>
      <c r="E212" s="77"/>
      <c r="F212" s="424" t="s">
        <v>489</v>
      </c>
      <c r="G212" s="266" t="s">
        <v>126</v>
      </c>
      <c r="H212" s="266">
        <v>4</v>
      </c>
      <c r="I212" s="604">
        <v>1950</v>
      </c>
      <c r="J212" s="267">
        <f t="shared" si="6"/>
        <v>7800</v>
      </c>
    </row>
    <row r="213" spans="1:10" ht="15.95" customHeight="1">
      <c r="A213" s="266">
        <v>6.6</v>
      </c>
      <c r="B213" s="77"/>
      <c r="C213" s="266" t="s">
        <v>483</v>
      </c>
      <c r="D213" s="266" t="s">
        <v>484</v>
      </c>
      <c r="E213" s="77"/>
      <c r="F213" s="424" t="s">
        <v>490</v>
      </c>
      <c r="G213" s="266" t="s">
        <v>126</v>
      </c>
      <c r="H213" s="266">
        <v>8</v>
      </c>
      <c r="I213" s="604">
        <v>455</v>
      </c>
      <c r="J213" s="267">
        <f t="shared" si="6"/>
        <v>3640</v>
      </c>
    </row>
    <row r="214" spans="1:10" ht="15.95" customHeight="1">
      <c r="A214" s="266">
        <v>6.7</v>
      </c>
      <c r="B214" s="77"/>
      <c r="C214" s="266" t="s">
        <v>483</v>
      </c>
      <c r="D214" s="266" t="s">
        <v>484</v>
      </c>
      <c r="E214" s="77"/>
      <c r="F214" s="424" t="s">
        <v>491</v>
      </c>
      <c r="G214" s="266" t="s">
        <v>126</v>
      </c>
      <c r="H214" s="266">
        <v>8</v>
      </c>
      <c r="I214" s="604">
        <v>455</v>
      </c>
      <c r="J214" s="267">
        <f t="shared" si="6"/>
        <v>3640</v>
      </c>
    </row>
    <row r="215" spans="1:10" ht="15.95" customHeight="1">
      <c r="A215" s="266">
        <v>6.8</v>
      </c>
      <c r="B215" s="77"/>
      <c r="C215" s="266" t="s">
        <v>483</v>
      </c>
      <c r="D215" s="266" t="s">
        <v>484</v>
      </c>
      <c r="E215" s="77"/>
      <c r="F215" s="424" t="s">
        <v>492</v>
      </c>
      <c r="G215" s="266" t="s">
        <v>126</v>
      </c>
      <c r="H215" s="266">
        <v>8</v>
      </c>
      <c r="I215" s="604">
        <v>455</v>
      </c>
      <c r="J215" s="267">
        <f t="shared" si="6"/>
        <v>3640</v>
      </c>
    </row>
    <row r="216" spans="1:10" ht="15.95" customHeight="1">
      <c r="A216" s="266">
        <v>6.9</v>
      </c>
      <c r="B216" s="77"/>
      <c r="C216" s="266" t="s">
        <v>483</v>
      </c>
      <c r="D216" s="266" t="s">
        <v>484</v>
      </c>
      <c r="E216" s="77"/>
      <c r="F216" s="424" t="s">
        <v>493</v>
      </c>
      <c r="G216" s="266" t="s">
        <v>126</v>
      </c>
      <c r="H216" s="266">
        <v>2</v>
      </c>
      <c r="I216" s="604">
        <v>455</v>
      </c>
      <c r="J216" s="267">
        <f t="shared" si="6"/>
        <v>910</v>
      </c>
    </row>
    <row r="217" spans="1:10" ht="15.95" customHeight="1">
      <c r="A217" s="295">
        <v>6.1</v>
      </c>
      <c r="B217" s="77"/>
      <c r="C217" s="266" t="s">
        <v>483</v>
      </c>
      <c r="D217" s="266" t="s">
        <v>484</v>
      </c>
      <c r="E217" s="77"/>
      <c r="F217" s="424" t="s">
        <v>494</v>
      </c>
      <c r="G217" s="266" t="s">
        <v>126</v>
      </c>
      <c r="H217" s="266">
        <v>2</v>
      </c>
      <c r="I217" s="604">
        <v>455</v>
      </c>
      <c r="J217" s="267">
        <f t="shared" si="6"/>
        <v>910</v>
      </c>
    </row>
    <row r="218" spans="1:10" ht="15.95" customHeight="1">
      <c r="A218" s="266">
        <v>6.11</v>
      </c>
      <c r="B218" s="77"/>
      <c r="C218" s="266" t="s">
        <v>483</v>
      </c>
      <c r="D218" s="266" t="s">
        <v>484</v>
      </c>
      <c r="E218" s="77"/>
      <c r="F218" s="424" t="s">
        <v>495</v>
      </c>
      <c r="G218" s="266" t="s">
        <v>126</v>
      </c>
      <c r="H218" s="266">
        <v>2</v>
      </c>
      <c r="I218" s="604">
        <v>3250</v>
      </c>
      <c r="J218" s="267">
        <f t="shared" si="6"/>
        <v>6500</v>
      </c>
    </row>
    <row r="219" spans="1:10" ht="15.95" customHeight="1">
      <c r="A219" s="295">
        <v>6.12</v>
      </c>
      <c r="B219" s="77"/>
      <c r="C219" s="266" t="s">
        <v>483</v>
      </c>
      <c r="D219" s="266" t="s">
        <v>484</v>
      </c>
      <c r="E219" s="77"/>
      <c r="F219" s="424" t="s">
        <v>496</v>
      </c>
      <c r="G219" s="266" t="s">
        <v>126</v>
      </c>
      <c r="H219" s="266">
        <v>5</v>
      </c>
      <c r="I219" s="604">
        <v>3250</v>
      </c>
      <c r="J219" s="267">
        <f t="shared" si="6"/>
        <v>16250</v>
      </c>
    </row>
    <row r="220" spans="1:10" ht="15.95" customHeight="1">
      <c r="A220" s="266">
        <v>6.13</v>
      </c>
      <c r="B220" s="77"/>
      <c r="C220" s="266" t="s">
        <v>483</v>
      </c>
      <c r="D220" s="266" t="s">
        <v>484</v>
      </c>
      <c r="E220" s="77"/>
      <c r="F220" s="424" t="s">
        <v>497</v>
      </c>
      <c r="G220" s="266" t="s">
        <v>126</v>
      </c>
      <c r="H220" s="266">
        <v>5</v>
      </c>
      <c r="I220" s="604">
        <v>1950</v>
      </c>
      <c r="J220" s="267">
        <f t="shared" si="6"/>
        <v>9750</v>
      </c>
    </row>
    <row r="221" spans="1:10" ht="15.95" customHeight="1">
      <c r="A221" s="295">
        <v>6.14</v>
      </c>
      <c r="B221" s="77"/>
      <c r="C221" s="266" t="s">
        <v>483</v>
      </c>
      <c r="D221" s="266" t="s">
        <v>484</v>
      </c>
      <c r="E221" s="77"/>
      <c r="F221" s="424" t="s">
        <v>498</v>
      </c>
      <c r="G221" s="266" t="s">
        <v>126</v>
      </c>
      <c r="H221" s="266">
        <v>8</v>
      </c>
      <c r="I221" s="604">
        <v>455</v>
      </c>
      <c r="J221" s="267">
        <f t="shared" si="6"/>
        <v>3640</v>
      </c>
    </row>
    <row r="222" spans="1:10" ht="15.95" customHeight="1">
      <c r="A222" s="266">
        <v>6.15</v>
      </c>
      <c r="B222" s="77"/>
      <c r="C222" s="266" t="s">
        <v>483</v>
      </c>
      <c r="D222" s="266" t="s">
        <v>484</v>
      </c>
      <c r="E222" s="77"/>
      <c r="F222" s="424" t="s">
        <v>499</v>
      </c>
      <c r="G222" s="266" t="s">
        <v>126</v>
      </c>
      <c r="H222" s="266">
        <v>8</v>
      </c>
      <c r="I222" s="604">
        <v>455</v>
      </c>
      <c r="J222" s="267">
        <f t="shared" si="6"/>
        <v>3640</v>
      </c>
    </row>
    <row r="223" spans="1:10" ht="15.95" customHeight="1">
      <c r="A223" s="295">
        <v>6.16</v>
      </c>
      <c r="B223" s="77"/>
      <c r="C223" s="266" t="s">
        <v>483</v>
      </c>
      <c r="D223" s="266" t="s">
        <v>484</v>
      </c>
      <c r="E223" s="77"/>
      <c r="F223" s="424" t="s">
        <v>500</v>
      </c>
      <c r="G223" s="266" t="s">
        <v>126</v>
      </c>
      <c r="H223" s="266">
        <v>13</v>
      </c>
      <c r="I223" s="604">
        <v>455</v>
      </c>
      <c r="J223" s="267">
        <f t="shared" si="6"/>
        <v>5915</v>
      </c>
    </row>
    <row r="224" spans="1:10" ht="15.95" customHeight="1">
      <c r="A224" s="266">
        <v>6.17</v>
      </c>
      <c r="B224" s="77"/>
      <c r="C224" s="266" t="s">
        <v>483</v>
      </c>
      <c r="D224" s="266" t="s">
        <v>484</v>
      </c>
      <c r="E224" s="77"/>
      <c r="F224" s="424" t="s">
        <v>486</v>
      </c>
      <c r="G224" s="266" t="s">
        <v>126</v>
      </c>
      <c r="H224" s="266">
        <v>1</v>
      </c>
      <c r="I224" s="604">
        <v>1950</v>
      </c>
      <c r="J224" s="267">
        <f t="shared" si="6"/>
        <v>1950</v>
      </c>
    </row>
    <row r="225" spans="1:10" ht="15.95" customHeight="1">
      <c r="A225" s="295">
        <v>6.1800000000000104</v>
      </c>
      <c r="B225" s="77"/>
      <c r="C225" s="266" t="s">
        <v>483</v>
      </c>
      <c r="D225" s="266" t="s">
        <v>484</v>
      </c>
      <c r="E225" s="77"/>
      <c r="F225" s="424" t="s">
        <v>487</v>
      </c>
      <c r="G225" s="266" t="s">
        <v>126</v>
      </c>
      <c r="H225" s="266">
        <v>1</v>
      </c>
      <c r="I225" s="604">
        <v>455</v>
      </c>
      <c r="J225" s="267">
        <f t="shared" si="6"/>
        <v>455</v>
      </c>
    </row>
    <row r="226" spans="1:10" ht="15.95" customHeight="1">
      <c r="A226" s="266">
        <v>6.1900000000000102</v>
      </c>
      <c r="B226" s="77"/>
      <c r="C226" s="266" t="s">
        <v>483</v>
      </c>
      <c r="D226" s="266" t="s">
        <v>484</v>
      </c>
      <c r="E226" s="77"/>
      <c r="F226" s="424" t="s">
        <v>501</v>
      </c>
      <c r="G226" s="266" t="s">
        <v>126</v>
      </c>
      <c r="H226" s="266">
        <v>1</v>
      </c>
      <c r="I226" s="604">
        <v>3900</v>
      </c>
      <c r="J226" s="267">
        <f t="shared" si="6"/>
        <v>3900</v>
      </c>
    </row>
    <row r="227" spans="1:10" ht="15.95" customHeight="1">
      <c r="A227" s="295">
        <v>6.2000000000000099</v>
      </c>
      <c r="B227" s="77"/>
      <c r="C227" s="266" t="s">
        <v>483</v>
      </c>
      <c r="D227" s="266" t="s">
        <v>484</v>
      </c>
      <c r="E227" s="77"/>
      <c r="F227" s="424" t="s">
        <v>502</v>
      </c>
      <c r="G227" s="266" t="s">
        <v>126</v>
      </c>
      <c r="H227" s="266">
        <v>1</v>
      </c>
      <c r="I227" s="604">
        <v>2340</v>
      </c>
      <c r="J227" s="267">
        <f t="shared" si="6"/>
        <v>2340</v>
      </c>
    </row>
    <row r="228" spans="1:10" ht="15.95" customHeight="1">
      <c r="A228" s="266">
        <v>6.2100000000000097</v>
      </c>
      <c r="B228" s="77"/>
      <c r="C228" s="266" t="s">
        <v>483</v>
      </c>
      <c r="D228" s="266" t="s">
        <v>484</v>
      </c>
      <c r="E228" s="77"/>
      <c r="F228" s="424" t="s">
        <v>503</v>
      </c>
      <c r="G228" s="266" t="s">
        <v>126</v>
      </c>
      <c r="H228" s="266">
        <v>1</v>
      </c>
      <c r="I228" s="604">
        <v>455</v>
      </c>
      <c r="J228" s="267">
        <f t="shared" si="6"/>
        <v>455</v>
      </c>
    </row>
    <row r="229" spans="1:10" ht="15.95" customHeight="1">
      <c r="A229" s="295">
        <v>6.2200000000000104</v>
      </c>
      <c r="B229" s="77"/>
      <c r="C229" s="266" t="s">
        <v>483</v>
      </c>
      <c r="D229" s="266" t="s">
        <v>484</v>
      </c>
      <c r="E229" s="77"/>
      <c r="F229" s="424" t="s">
        <v>492</v>
      </c>
      <c r="G229" s="266" t="s">
        <v>126</v>
      </c>
      <c r="H229" s="266">
        <v>1</v>
      </c>
      <c r="I229" s="604">
        <v>455</v>
      </c>
      <c r="J229" s="267">
        <f t="shared" si="6"/>
        <v>455</v>
      </c>
    </row>
    <row r="230" spans="1:10" ht="15.95" customHeight="1">
      <c r="A230" s="266">
        <v>6.2300000000000102</v>
      </c>
      <c r="B230" s="77"/>
      <c r="C230" s="266" t="s">
        <v>483</v>
      </c>
      <c r="D230" s="266" t="s">
        <v>484</v>
      </c>
      <c r="E230" s="77"/>
      <c r="F230" s="424" t="s">
        <v>493</v>
      </c>
      <c r="G230" s="266" t="s">
        <v>126</v>
      </c>
      <c r="H230" s="266">
        <v>1</v>
      </c>
      <c r="I230" s="604">
        <v>455</v>
      </c>
      <c r="J230" s="267">
        <f t="shared" si="6"/>
        <v>455</v>
      </c>
    </row>
    <row r="231" spans="1:10" ht="15.95" customHeight="1">
      <c r="A231" s="295">
        <v>6.24000000000001</v>
      </c>
      <c r="B231" s="77"/>
      <c r="C231" s="266" t="s">
        <v>483</v>
      </c>
      <c r="D231" s="266" t="s">
        <v>484</v>
      </c>
      <c r="E231" s="77"/>
      <c r="F231" s="424" t="s">
        <v>494</v>
      </c>
      <c r="G231" s="266" t="s">
        <v>126</v>
      </c>
      <c r="H231" s="266">
        <v>1</v>
      </c>
      <c r="I231" s="604">
        <v>455</v>
      </c>
      <c r="J231" s="267">
        <f t="shared" si="6"/>
        <v>455</v>
      </c>
    </row>
    <row r="232" spans="1:10" ht="15.95" customHeight="1">
      <c r="A232" s="266">
        <v>6.2500000000000098</v>
      </c>
      <c r="B232" s="77"/>
      <c r="C232" s="266" t="s">
        <v>483</v>
      </c>
      <c r="D232" s="266" t="s">
        <v>484</v>
      </c>
      <c r="E232" s="77"/>
      <c r="F232" s="424" t="s">
        <v>504</v>
      </c>
      <c r="G232" s="266" t="s">
        <v>126</v>
      </c>
      <c r="H232" s="266">
        <v>4</v>
      </c>
      <c r="I232" s="604">
        <v>455</v>
      </c>
      <c r="J232" s="267">
        <f t="shared" si="6"/>
        <v>1820</v>
      </c>
    </row>
    <row r="233" spans="1:10" ht="15.95" customHeight="1">
      <c r="A233" s="295">
        <v>6.2600000000000096</v>
      </c>
      <c r="B233" s="77"/>
      <c r="C233" s="266" t="s">
        <v>483</v>
      </c>
      <c r="D233" s="266" t="s">
        <v>484</v>
      </c>
      <c r="E233" s="77"/>
      <c r="F233" s="424" t="s">
        <v>498</v>
      </c>
      <c r="G233" s="266" t="s">
        <v>126</v>
      </c>
      <c r="H233" s="266">
        <v>1</v>
      </c>
      <c r="I233" s="604">
        <v>455</v>
      </c>
      <c r="J233" s="267">
        <f t="shared" si="6"/>
        <v>455</v>
      </c>
    </row>
    <row r="234" spans="1:10" ht="15.95" customHeight="1">
      <c r="A234" s="266">
        <v>6.2700000000000102</v>
      </c>
      <c r="B234" s="77"/>
      <c r="C234" s="266" t="s">
        <v>483</v>
      </c>
      <c r="D234" s="266" t="s">
        <v>484</v>
      </c>
      <c r="E234" s="77"/>
      <c r="F234" s="424" t="s">
        <v>499</v>
      </c>
      <c r="G234" s="266" t="s">
        <v>126</v>
      </c>
      <c r="H234" s="266">
        <v>1</v>
      </c>
      <c r="I234" s="604">
        <v>455</v>
      </c>
      <c r="J234" s="267">
        <f t="shared" si="6"/>
        <v>455</v>
      </c>
    </row>
    <row r="235" spans="1:10" ht="15.95" customHeight="1">
      <c r="A235" s="295">
        <v>6.28000000000001</v>
      </c>
      <c r="B235" s="77"/>
      <c r="C235" s="266" t="s">
        <v>483</v>
      </c>
      <c r="D235" s="266" t="s">
        <v>484</v>
      </c>
      <c r="E235" s="77"/>
      <c r="F235" s="424" t="s">
        <v>500</v>
      </c>
      <c r="G235" s="266" t="s">
        <v>126</v>
      </c>
      <c r="H235" s="266">
        <v>1</v>
      </c>
      <c r="I235" s="604">
        <v>455</v>
      </c>
      <c r="J235" s="267">
        <f t="shared" si="6"/>
        <v>455</v>
      </c>
    </row>
    <row r="236" spans="1:10" ht="15.95" customHeight="1" thickBot="1">
      <c r="A236" s="299"/>
      <c r="B236" s="87"/>
      <c r="C236" s="272"/>
      <c r="D236" s="272"/>
      <c r="E236" s="87"/>
      <c r="F236" s="272"/>
      <c r="G236" s="272"/>
      <c r="H236" s="272"/>
      <c r="I236" s="272"/>
      <c r="J236" s="300"/>
    </row>
    <row r="237" spans="1:10" ht="13.5" customHeight="1" thickBot="1">
      <c r="A237" s="49" t="s">
        <v>505</v>
      </c>
      <c r="B237" s="69"/>
      <c r="C237" s="69"/>
      <c r="D237" s="69"/>
      <c r="E237" s="69"/>
      <c r="F237" s="50" t="s">
        <v>506</v>
      </c>
      <c r="G237" s="69"/>
      <c r="H237" s="69"/>
      <c r="I237" s="50"/>
      <c r="J237" s="303"/>
    </row>
    <row r="238" spans="1:10" ht="13.5" customHeight="1">
      <c r="A238" s="279"/>
      <c r="B238" s="31"/>
      <c r="C238" s="31"/>
      <c r="D238" s="31"/>
      <c r="E238" s="31"/>
      <c r="F238" s="279"/>
      <c r="G238" s="31"/>
      <c r="H238" s="31"/>
      <c r="I238" s="279"/>
      <c r="J238" s="307"/>
    </row>
    <row r="239" spans="1:10" ht="29.25" customHeight="1">
      <c r="A239" s="266">
        <v>7.1</v>
      </c>
      <c r="B239" s="77"/>
      <c r="C239" s="266" t="s">
        <v>13</v>
      </c>
      <c r="D239" s="266" t="s">
        <v>507</v>
      </c>
      <c r="E239" s="77" t="s">
        <v>508</v>
      </c>
      <c r="F239" s="76" t="s">
        <v>509</v>
      </c>
      <c r="G239" s="266" t="s">
        <v>7</v>
      </c>
      <c r="H239" s="266">
        <f>25*3.2</f>
        <v>80</v>
      </c>
      <c r="I239" s="604">
        <v>492</v>
      </c>
      <c r="J239" s="267">
        <f t="shared" si="6"/>
        <v>39360</v>
      </c>
    </row>
    <row r="240" spans="1:10" ht="60">
      <c r="A240" s="77"/>
      <c r="B240" s="77"/>
      <c r="C240" s="77"/>
      <c r="D240" s="77"/>
      <c r="E240" s="77"/>
      <c r="F240" s="266" t="s">
        <v>510</v>
      </c>
      <c r="G240" s="77"/>
      <c r="H240" s="77"/>
      <c r="I240" s="266"/>
      <c r="J240" s="267"/>
    </row>
    <row r="241" spans="1:10" ht="30">
      <c r="A241" s="266">
        <v>7.2</v>
      </c>
      <c r="B241" s="77"/>
      <c r="C241" s="266" t="s">
        <v>13</v>
      </c>
      <c r="D241" s="266" t="s">
        <v>511</v>
      </c>
      <c r="E241" s="77" t="s">
        <v>512</v>
      </c>
      <c r="F241" s="76" t="s">
        <v>14</v>
      </c>
      <c r="G241" s="266" t="s">
        <v>7</v>
      </c>
      <c r="H241" s="266">
        <f>155+40</f>
        <v>195</v>
      </c>
      <c r="I241" s="604">
        <v>552</v>
      </c>
      <c r="J241" s="267">
        <f t="shared" si="6"/>
        <v>107640</v>
      </c>
    </row>
    <row r="242" spans="1:10" ht="60">
      <c r="A242" s="77"/>
      <c r="B242" s="77"/>
      <c r="C242" s="77"/>
      <c r="D242" s="77"/>
      <c r="E242" s="77"/>
      <c r="F242" s="266" t="s">
        <v>513</v>
      </c>
      <c r="G242" s="77"/>
      <c r="H242" s="77"/>
      <c r="I242" s="266"/>
      <c r="J242" s="266"/>
    </row>
    <row r="243" spans="1:10" ht="15.75" thickBot="1">
      <c r="A243" s="87"/>
      <c r="B243" s="87"/>
      <c r="C243" s="87"/>
      <c r="D243" s="87"/>
      <c r="E243" s="87"/>
      <c r="F243" s="272"/>
      <c r="G243" s="87"/>
      <c r="H243" s="87"/>
      <c r="I243" s="272"/>
      <c r="J243" s="272"/>
    </row>
    <row r="244" spans="1:10" ht="15.75" thickBot="1">
      <c r="A244" s="301"/>
      <c r="B244" s="302"/>
      <c r="C244" s="69"/>
      <c r="D244" s="69"/>
      <c r="E244" s="69"/>
      <c r="F244" s="50" t="s">
        <v>514</v>
      </c>
      <c r="G244" s="69"/>
      <c r="H244" s="69"/>
      <c r="I244" s="50"/>
      <c r="J244" s="605">
        <f>SUM(J6:J242)</f>
        <v>13286099.459999999</v>
      </c>
    </row>
    <row r="245" spans="1:10" ht="16.5" customHeight="1">
      <c r="A245" s="319"/>
      <c r="B245" s="319"/>
      <c r="C245" s="319"/>
      <c r="D245" s="319"/>
      <c r="E245" s="319"/>
      <c r="F245" s="319"/>
      <c r="G245" s="320"/>
      <c r="H245" s="320"/>
    </row>
    <row r="246" spans="1:10" ht="12.75" customHeight="1">
      <c r="J246" s="321"/>
    </row>
  </sheetData>
  <mergeCells count="7">
    <mergeCell ref="A1:H1"/>
    <mergeCell ref="A2:H2"/>
    <mergeCell ref="I3:J3"/>
    <mergeCell ref="A19:A20"/>
    <mergeCell ref="C19:C20"/>
    <mergeCell ref="D19:D20"/>
    <mergeCell ref="E19: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C268-E12C-4A83-8152-D579D3A829E5}">
  <dimension ref="A1:N181"/>
  <sheetViews>
    <sheetView workbookViewId="0">
      <pane ySplit="5" topLeftCell="A179" activePane="bottomLeft" state="frozen"/>
      <selection pane="bottomLeft" activeCell="A179" sqref="A179"/>
    </sheetView>
  </sheetViews>
  <sheetFormatPr defaultColWidth="8" defaultRowHeight="15"/>
  <cols>
    <col min="1" max="1" width="6.5" style="447" bestFit="1" customWidth="1"/>
    <col min="2" max="2" width="1.375" style="448" customWidth="1"/>
    <col min="3" max="3" width="13" style="448" bestFit="1" customWidth="1"/>
    <col min="4" max="4" width="4.5" style="448" bestFit="1" customWidth="1"/>
    <col min="5" max="5" width="9.875" style="448" bestFit="1" customWidth="1"/>
    <col min="6" max="6" width="16.25" style="448" customWidth="1"/>
    <col min="7" max="7" width="52.875" style="449" customWidth="1"/>
    <col min="8" max="8" width="4.75" style="449" bestFit="1" customWidth="1"/>
    <col min="9" max="9" width="7.875" style="449" bestFit="1" customWidth="1"/>
    <col min="10" max="10" width="9.625" style="449" customWidth="1"/>
    <col min="11" max="11" width="11" style="449" customWidth="1"/>
    <col min="12" max="12" width="7.125" style="449" customWidth="1"/>
    <col min="13" max="13" width="13" style="449" customWidth="1"/>
    <col min="14" max="14" width="14" style="449" bestFit="1" customWidth="1"/>
    <col min="15" max="16384" width="8" style="444"/>
  </cols>
  <sheetData>
    <row r="1" spans="1:14">
      <c r="A1" s="649" t="s">
        <v>771</v>
      </c>
      <c r="B1" s="649"/>
      <c r="C1" s="649"/>
      <c r="D1" s="649"/>
      <c r="E1" s="649"/>
      <c r="F1" s="649"/>
      <c r="G1" s="649"/>
      <c r="H1" s="649"/>
      <c r="I1" s="649"/>
      <c r="J1" s="649"/>
      <c r="K1" s="649"/>
      <c r="L1" s="649"/>
      <c r="M1" s="649"/>
      <c r="N1" s="649"/>
    </row>
    <row r="2" spans="1:14">
      <c r="A2" s="443"/>
      <c r="B2" s="445"/>
      <c r="C2" s="445"/>
      <c r="D2" s="445"/>
      <c r="E2" s="445"/>
      <c r="F2" s="445"/>
      <c r="G2" s="446"/>
      <c r="H2" s="446"/>
      <c r="I2" s="446"/>
      <c r="J2" s="446"/>
      <c r="K2" s="446"/>
      <c r="L2" s="446"/>
      <c r="M2" s="446"/>
      <c r="N2" s="446"/>
    </row>
    <row r="3" spans="1:14">
      <c r="A3" s="649" t="s">
        <v>772</v>
      </c>
      <c r="B3" s="649"/>
      <c r="C3" s="649"/>
      <c r="D3" s="649"/>
      <c r="E3" s="649"/>
      <c r="F3" s="649"/>
      <c r="G3" s="649"/>
      <c r="H3" s="649"/>
      <c r="I3" s="649"/>
      <c r="J3" s="649"/>
      <c r="K3" s="649"/>
      <c r="L3" s="649"/>
      <c r="M3" s="649"/>
      <c r="N3" s="649"/>
    </row>
    <row r="4" spans="1:14" ht="15.75" thickBot="1"/>
    <row r="5" spans="1:14" s="454" customFormat="1" ht="60.75" thickBot="1">
      <c r="A5" s="450" t="s">
        <v>773</v>
      </c>
      <c r="B5" s="451"/>
      <c r="C5" s="452" t="s">
        <v>774</v>
      </c>
      <c r="D5" s="452" t="s">
        <v>1</v>
      </c>
      <c r="E5" s="452" t="s">
        <v>775</v>
      </c>
      <c r="F5" s="452" t="s">
        <v>776</v>
      </c>
      <c r="G5" s="452" t="s">
        <v>777</v>
      </c>
      <c r="H5" s="452" t="s">
        <v>778</v>
      </c>
      <c r="I5" s="452" t="s">
        <v>779</v>
      </c>
      <c r="J5" s="452" t="s">
        <v>780</v>
      </c>
      <c r="K5" s="452" t="s">
        <v>781</v>
      </c>
      <c r="L5" s="452" t="s">
        <v>782</v>
      </c>
      <c r="M5" s="452" t="s">
        <v>783</v>
      </c>
      <c r="N5" s="453" t="s">
        <v>784</v>
      </c>
    </row>
    <row r="6" spans="1:14" ht="15.75" thickBot="1">
      <c r="A6" s="455"/>
      <c r="B6" s="456"/>
      <c r="C6" s="456"/>
      <c r="D6" s="456"/>
      <c r="E6" s="456"/>
      <c r="F6" s="456"/>
      <c r="G6" s="457"/>
      <c r="H6" s="457"/>
      <c r="I6" s="457"/>
      <c r="J6" s="457"/>
      <c r="K6" s="457"/>
      <c r="L6" s="458"/>
      <c r="M6" s="457"/>
      <c r="N6" s="459"/>
    </row>
    <row r="7" spans="1:14" ht="15.75" thickBot="1">
      <c r="A7" s="460"/>
      <c r="B7" s="461"/>
      <c r="C7" s="461"/>
      <c r="D7" s="461"/>
      <c r="E7" s="461"/>
      <c r="F7" s="461"/>
      <c r="G7" s="457"/>
      <c r="H7" s="462"/>
      <c r="I7" s="462"/>
      <c r="J7" s="457"/>
      <c r="K7" s="457"/>
      <c r="L7" s="457"/>
      <c r="M7" s="457"/>
      <c r="N7" s="459"/>
    </row>
    <row r="8" spans="1:14" ht="15.75" thickBot="1">
      <c r="A8" s="463" t="s">
        <v>15</v>
      </c>
      <c r="B8" s="464"/>
      <c r="C8" s="464"/>
      <c r="D8" s="464"/>
      <c r="E8" s="464"/>
      <c r="F8" s="464"/>
      <c r="G8" s="465" t="s">
        <v>100</v>
      </c>
      <c r="H8" s="466"/>
      <c r="I8" s="466"/>
      <c r="J8" s="465"/>
      <c r="K8" s="465"/>
      <c r="L8" s="465"/>
      <c r="M8" s="465"/>
      <c r="N8" s="467"/>
    </row>
    <row r="9" spans="1:14">
      <c r="A9" s="460"/>
      <c r="B9" s="461"/>
      <c r="C9" s="461"/>
      <c r="D9" s="461"/>
      <c r="E9" s="461"/>
      <c r="F9" s="461"/>
      <c r="G9" s="457"/>
      <c r="H9" s="462"/>
      <c r="I9" s="462"/>
      <c r="J9" s="457"/>
      <c r="K9" s="457"/>
      <c r="L9" s="457"/>
      <c r="M9" s="457"/>
      <c r="N9" s="459"/>
    </row>
    <row r="10" spans="1:14" ht="14.25">
      <c r="A10" s="468">
        <v>1.1000000000000001</v>
      </c>
      <c r="B10" s="469"/>
      <c r="C10" s="469"/>
      <c r="D10" s="470" t="s">
        <v>102</v>
      </c>
      <c r="E10" s="471" t="s">
        <v>785</v>
      </c>
      <c r="F10" s="472" t="s">
        <v>786</v>
      </c>
      <c r="G10" s="473" t="s">
        <v>787</v>
      </c>
      <c r="H10" s="474" t="s">
        <v>788</v>
      </c>
      <c r="I10" s="474">
        <v>40.545000000000002</v>
      </c>
      <c r="J10" s="473"/>
      <c r="K10" s="473"/>
      <c r="L10" s="473"/>
      <c r="M10" s="606">
        <v>3834</v>
      </c>
      <c r="N10" s="475">
        <f>SUM(I10*M10)</f>
        <v>155449.53</v>
      </c>
    </row>
    <row r="11" spans="1:14">
      <c r="A11" s="476"/>
      <c r="B11" s="469"/>
      <c r="C11" s="469"/>
      <c r="D11" s="469"/>
      <c r="E11" s="469"/>
      <c r="F11" s="469"/>
      <c r="G11" s="204" t="s">
        <v>789</v>
      </c>
      <c r="H11" s="474"/>
      <c r="I11" s="474"/>
      <c r="J11" s="477"/>
      <c r="K11" s="477"/>
      <c r="L11" s="477"/>
      <c r="M11" s="477"/>
      <c r="N11" s="478"/>
    </row>
    <row r="12" spans="1:14" ht="57">
      <c r="A12" s="476"/>
      <c r="B12" s="469"/>
      <c r="C12" s="469"/>
      <c r="D12" s="469"/>
      <c r="E12" s="469"/>
      <c r="F12" s="469"/>
      <c r="G12" s="479" t="s">
        <v>790</v>
      </c>
      <c r="H12" s="474"/>
      <c r="I12" s="474"/>
      <c r="J12" s="479"/>
      <c r="K12" s="479"/>
      <c r="L12" s="479"/>
      <c r="M12" s="479"/>
      <c r="N12" s="480"/>
    </row>
    <row r="13" spans="1:14">
      <c r="A13" s="476"/>
      <c r="B13" s="469"/>
      <c r="C13" s="469"/>
      <c r="D13" s="469"/>
      <c r="E13" s="469"/>
      <c r="F13" s="469"/>
      <c r="G13" s="479" t="s">
        <v>791</v>
      </c>
      <c r="H13" s="474"/>
      <c r="I13" s="474"/>
      <c r="J13" s="479"/>
      <c r="K13" s="479"/>
      <c r="L13" s="479"/>
      <c r="M13" s="479"/>
      <c r="N13" s="480"/>
    </row>
    <row r="14" spans="1:14">
      <c r="A14" s="476"/>
      <c r="B14" s="469"/>
      <c r="C14" s="469"/>
      <c r="D14" s="469"/>
      <c r="E14" s="469"/>
      <c r="F14" s="469"/>
      <c r="G14" s="477" t="s">
        <v>792</v>
      </c>
      <c r="H14" s="474"/>
      <c r="I14" s="474"/>
      <c r="J14" s="477"/>
      <c r="K14" s="477"/>
      <c r="L14" s="477"/>
      <c r="M14" s="477"/>
      <c r="N14" s="478"/>
    </row>
    <row r="15" spans="1:14">
      <c r="A15" s="476"/>
      <c r="B15" s="469"/>
      <c r="C15" s="469"/>
      <c r="D15" s="469"/>
      <c r="E15" s="469"/>
      <c r="F15" s="469"/>
      <c r="G15" s="204" t="s">
        <v>793</v>
      </c>
      <c r="H15" s="474"/>
      <c r="I15" s="474"/>
      <c r="J15" s="477"/>
      <c r="K15" s="477"/>
      <c r="L15" s="477"/>
      <c r="M15" s="477"/>
      <c r="N15" s="478"/>
    </row>
    <row r="16" spans="1:14">
      <c r="A16" s="476"/>
      <c r="B16" s="469"/>
      <c r="C16" s="469"/>
      <c r="D16" s="469"/>
      <c r="E16" s="469"/>
      <c r="F16" s="469"/>
      <c r="G16" s="477" t="s">
        <v>794</v>
      </c>
      <c r="H16" s="474"/>
      <c r="I16" s="474"/>
      <c r="J16" s="477"/>
      <c r="K16" s="477"/>
      <c r="L16" s="477"/>
      <c r="M16" s="477"/>
      <c r="N16" s="478"/>
    </row>
    <row r="17" spans="1:14">
      <c r="A17" s="476"/>
      <c r="B17" s="469"/>
      <c r="C17" s="469"/>
      <c r="D17" s="469"/>
      <c r="E17" s="469"/>
      <c r="F17" s="469"/>
      <c r="G17" s="477" t="s">
        <v>795</v>
      </c>
      <c r="H17" s="474"/>
      <c r="I17" s="474"/>
      <c r="J17" s="477"/>
      <c r="K17" s="477"/>
      <c r="L17" s="477"/>
      <c r="M17" s="477"/>
      <c r="N17" s="478"/>
    </row>
    <row r="18" spans="1:14">
      <c r="A18" s="476"/>
      <c r="B18" s="469"/>
      <c r="C18" s="469"/>
      <c r="D18" s="469"/>
      <c r="E18" s="469"/>
      <c r="F18" s="469"/>
      <c r="G18" s="204" t="s">
        <v>796</v>
      </c>
      <c r="H18" s="474"/>
      <c r="I18" s="474"/>
      <c r="J18" s="477"/>
      <c r="K18" s="477"/>
      <c r="L18" s="477"/>
      <c r="M18" s="477"/>
      <c r="N18" s="478"/>
    </row>
    <row r="19" spans="1:14" ht="28.5">
      <c r="A19" s="476"/>
      <c r="B19" s="469"/>
      <c r="C19" s="469"/>
      <c r="D19" s="469"/>
      <c r="E19" s="469"/>
      <c r="F19" s="469"/>
      <c r="G19" s="204" t="s">
        <v>797</v>
      </c>
      <c r="H19" s="474"/>
      <c r="I19" s="474"/>
      <c r="J19" s="204"/>
      <c r="K19" s="204"/>
      <c r="L19" s="204"/>
      <c r="M19" s="204"/>
      <c r="N19" s="481"/>
    </row>
    <row r="20" spans="1:14">
      <c r="A20" s="476"/>
      <c r="B20" s="469"/>
      <c r="C20" s="469"/>
      <c r="D20" s="469"/>
      <c r="E20" s="469"/>
      <c r="F20" s="469"/>
      <c r="G20" s="204" t="s">
        <v>798</v>
      </c>
      <c r="H20" s="474"/>
      <c r="I20" s="474"/>
      <c r="J20" s="204"/>
      <c r="K20" s="204"/>
      <c r="L20" s="204"/>
      <c r="M20" s="204"/>
      <c r="N20" s="481"/>
    </row>
    <row r="21" spans="1:14">
      <c r="A21" s="476"/>
      <c r="B21" s="469"/>
      <c r="C21" s="469"/>
      <c r="D21" s="469"/>
      <c r="E21" s="469"/>
      <c r="F21" s="469"/>
      <c r="G21" s="204"/>
      <c r="H21" s="474"/>
      <c r="I21" s="474"/>
      <c r="J21" s="204"/>
      <c r="K21" s="204"/>
      <c r="L21" s="204"/>
      <c r="M21" s="204"/>
      <c r="N21" s="481"/>
    </row>
    <row r="22" spans="1:14" ht="14.25">
      <c r="A22" s="468">
        <v>1.2</v>
      </c>
      <c r="B22" s="469"/>
      <c r="C22" s="469"/>
      <c r="D22" s="470" t="s">
        <v>102</v>
      </c>
      <c r="E22" s="471" t="s">
        <v>785</v>
      </c>
      <c r="F22" s="472" t="s">
        <v>786</v>
      </c>
      <c r="G22" s="473" t="s">
        <v>799</v>
      </c>
      <c r="H22" s="474" t="s">
        <v>788</v>
      </c>
      <c r="I22" s="474">
        <v>364.90499999999997</v>
      </c>
      <c r="J22" s="204"/>
      <c r="K22" s="204"/>
      <c r="L22" s="204"/>
      <c r="M22" s="606">
        <v>4519</v>
      </c>
      <c r="N22" s="475">
        <f>SUM(I22*M22)</f>
        <v>1649005.6949999998</v>
      </c>
    </row>
    <row r="23" spans="1:14">
      <c r="A23" s="476"/>
      <c r="B23" s="469"/>
      <c r="C23" s="469"/>
      <c r="D23" s="469"/>
      <c r="E23" s="469"/>
      <c r="F23" s="469"/>
      <c r="G23" s="204" t="s">
        <v>789</v>
      </c>
      <c r="H23" s="474"/>
      <c r="I23" s="474"/>
      <c r="J23" s="204"/>
      <c r="K23" s="204"/>
      <c r="L23" s="204"/>
      <c r="M23" s="204"/>
      <c r="N23" s="481"/>
    </row>
    <row r="24" spans="1:14" ht="57">
      <c r="A24" s="476"/>
      <c r="B24" s="469"/>
      <c r="C24" s="469"/>
      <c r="D24" s="469"/>
      <c r="E24" s="469"/>
      <c r="F24" s="469"/>
      <c r="G24" s="479" t="s">
        <v>800</v>
      </c>
      <c r="H24" s="474"/>
      <c r="I24" s="474"/>
      <c r="J24" s="204"/>
      <c r="K24" s="204"/>
      <c r="L24" s="204"/>
      <c r="M24" s="204"/>
      <c r="N24" s="481"/>
    </row>
    <row r="25" spans="1:14">
      <c r="A25" s="476"/>
      <c r="B25" s="469"/>
      <c r="C25" s="469"/>
      <c r="D25" s="469"/>
      <c r="E25" s="469"/>
      <c r="F25" s="469"/>
      <c r="G25" s="479" t="s">
        <v>791</v>
      </c>
      <c r="H25" s="474"/>
      <c r="I25" s="474"/>
      <c r="J25" s="204"/>
      <c r="K25" s="204"/>
      <c r="L25" s="204"/>
      <c r="M25" s="204"/>
      <c r="N25" s="481"/>
    </row>
    <row r="26" spans="1:14">
      <c r="A26" s="476"/>
      <c r="B26" s="469"/>
      <c r="C26" s="469"/>
      <c r="D26" s="469"/>
      <c r="E26" s="469"/>
      <c r="F26" s="469"/>
      <c r="G26" s="204" t="s">
        <v>801</v>
      </c>
      <c r="H26" s="474"/>
      <c r="I26" s="474"/>
      <c r="J26" s="204"/>
      <c r="K26" s="204"/>
      <c r="L26" s="204"/>
      <c r="M26" s="204"/>
      <c r="N26" s="481"/>
    </row>
    <row r="27" spans="1:14">
      <c r="A27" s="476"/>
      <c r="B27" s="469"/>
      <c r="C27" s="469"/>
      <c r="D27" s="469"/>
      <c r="E27" s="469"/>
      <c r="F27" s="469"/>
      <c r="G27" s="204" t="s">
        <v>793</v>
      </c>
      <c r="H27" s="474"/>
      <c r="I27" s="474"/>
      <c r="J27" s="204"/>
      <c r="K27" s="204"/>
      <c r="L27" s="204"/>
      <c r="M27" s="204"/>
      <c r="N27" s="481"/>
    </row>
    <row r="28" spans="1:14">
      <c r="A28" s="476"/>
      <c r="B28" s="469"/>
      <c r="C28" s="469"/>
      <c r="D28" s="469"/>
      <c r="E28" s="469"/>
      <c r="F28" s="469"/>
      <c r="G28" s="477" t="s">
        <v>794</v>
      </c>
      <c r="H28" s="474"/>
      <c r="I28" s="474"/>
      <c r="J28" s="204"/>
      <c r="K28" s="204"/>
      <c r="L28" s="204"/>
      <c r="M28" s="204"/>
      <c r="N28" s="481"/>
    </row>
    <row r="29" spans="1:14">
      <c r="A29" s="476"/>
      <c r="B29" s="469"/>
      <c r="C29" s="469"/>
      <c r="D29" s="469"/>
      <c r="E29" s="469"/>
      <c r="F29" s="469"/>
      <c r="G29" s="477" t="s">
        <v>795</v>
      </c>
      <c r="H29" s="474"/>
      <c r="I29" s="474"/>
      <c r="J29" s="204"/>
      <c r="K29" s="204"/>
      <c r="L29" s="204"/>
      <c r="M29" s="204"/>
      <c r="N29" s="481"/>
    </row>
    <row r="30" spans="1:14">
      <c r="A30" s="476"/>
      <c r="B30" s="469"/>
      <c r="C30" s="469"/>
      <c r="D30" s="469"/>
      <c r="E30" s="469"/>
      <c r="F30" s="469"/>
      <c r="G30" s="204" t="s">
        <v>796</v>
      </c>
      <c r="H30" s="474"/>
      <c r="I30" s="474"/>
      <c r="J30" s="204"/>
      <c r="K30" s="204"/>
      <c r="L30" s="204"/>
      <c r="M30" s="204"/>
      <c r="N30" s="481"/>
    </row>
    <row r="31" spans="1:14" ht="28.5">
      <c r="A31" s="476"/>
      <c r="B31" s="469"/>
      <c r="C31" s="469"/>
      <c r="D31" s="469"/>
      <c r="E31" s="469"/>
      <c r="F31" s="469"/>
      <c r="G31" s="204" t="s">
        <v>797</v>
      </c>
      <c r="H31" s="474"/>
      <c r="I31" s="474"/>
      <c r="J31" s="204"/>
      <c r="K31" s="204"/>
      <c r="L31" s="204"/>
      <c r="M31" s="204"/>
      <c r="N31" s="481"/>
    </row>
    <row r="32" spans="1:14">
      <c r="A32" s="476"/>
      <c r="B32" s="469"/>
      <c r="C32" s="469"/>
      <c r="D32" s="469"/>
      <c r="E32" s="469"/>
      <c r="F32" s="469"/>
      <c r="G32" s="204" t="s">
        <v>798</v>
      </c>
      <c r="H32" s="474"/>
      <c r="I32" s="474"/>
      <c r="J32" s="204"/>
      <c r="K32" s="204"/>
      <c r="L32" s="204"/>
      <c r="M32" s="204"/>
      <c r="N32" s="481"/>
    </row>
    <row r="33" spans="1:14">
      <c r="A33" s="476"/>
      <c r="B33" s="469"/>
      <c r="C33" s="469"/>
      <c r="D33" s="469"/>
      <c r="E33" s="469"/>
      <c r="F33" s="469"/>
      <c r="G33" s="204"/>
      <c r="H33" s="474"/>
      <c r="I33" s="474"/>
      <c r="J33" s="204"/>
      <c r="K33" s="204"/>
      <c r="L33" s="204"/>
      <c r="M33" s="204"/>
      <c r="N33" s="481"/>
    </row>
    <row r="34" spans="1:14" ht="14.25">
      <c r="A34" s="468">
        <v>1.3</v>
      </c>
      <c r="B34" s="469"/>
      <c r="C34" s="469"/>
      <c r="D34" s="470" t="s">
        <v>102</v>
      </c>
      <c r="E34" s="471" t="s">
        <v>785</v>
      </c>
      <c r="F34" s="472" t="s">
        <v>786</v>
      </c>
      <c r="G34" s="473" t="s">
        <v>802</v>
      </c>
      <c r="H34" s="474" t="s">
        <v>788</v>
      </c>
      <c r="I34" s="474">
        <v>13.85</v>
      </c>
      <c r="J34" s="204"/>
      <c r="K34" s="204"/>
      <c r="L34" s="204"/>
      <c r="M34" s="606">
        <v>3078</v>
      </c>
      <c r="N34" s="475">
        <f>SUM(I34*M34)</f>
        <v>42630.299999999996</v>
      </c>
    </row>
    <row r="35" spans="1:14" ht="57">
      <c r="A35" s="476"/>
      <c r="B35" s="469"/>
      <c r="C35" s="469"/>
      <c r="D35" s="469"/>
      <c r="E35" s="469"/>
      <c r="F35" s="469"/>
      <c r="G35" s="479" t="s">
        <v>803</v>
      </c>
      <c r="H35" s="474"/>
      <c r="I35" s="474"/>
      <c r="J35" s="204"/>
      <c r="K35" s="204"/>
      <c r="L35" s="204"/>
      <c r="M35" s="204"/>
      <c r="N35" s="481"/>
    </row>
    <row r="36" spans="1:14">
      <c r="A36" s="476"/>
      <c r="B36" s="469"/>
      <c r="C36" s="469"/>
      <c r="D36" s="469"/>
      <c r="E36" s="469"/>
      <c r="F36" s="469"/>
      <c r="G36" s="479" t="s">
        <v>791</v>
      </c>
      <c r="H36" s="474"/>
      <c r="I36" s="474"/>
      <c r="J36" s="204"/>
      <c r="K36" s="204"/>
      <c r="L36" s="204"/>
      <c r="M36" s="204"/>
      <c r="N36" s="481"/>
    </row>
    <row r="37" spans="1:14">
      <c r="A37" s="476"/>
      <c r="B37" s="469"/>
      <c r="C37" s="469"/>
      <c r="D37" s="469"/>
      <c r="E37" s="469"/>
      <c r="F37" s="469"/>
      <c r="G37" s="477" t="s">
        <v>792</v>
      </c>
      <c r="H37" s="474"/>
      <c r="I37" s="474"/>
      <c r="J37" s="204"/>
      <c r="K37" s="204"/>
      <c r="L37" s="204"/>
      <c r="M37" s="204"/>
      <c r="N37" s="481"/>
    </row>
    <row r="38" spans="1:14">
      <c r="A38" s="476"/>
      <c r="B38" s="469"/>
      <c r="C38" s="469"/>
      <c r="D38" s="469"/>
      <c r="E38" s="469"/>
      <c r="F38" s="469"/>
      <c r="G38" s="477" t="s">
        <v>793</v>
      </c>
      <c r="H38" s="474"/>
      <c r="I38" s="474"/>
      <c r="J38" s="204"/>
      <c r="K38" s="204"/>
      <c r="L38" s="204"/>
      <c r="M38" s="204"/>
      <c r="N38" s="481"/>
    </row>
    <row r="39" spans="1:14">
      <c r="A39" s="476"/>
      <c r="B39" s="469"/>
      <c r="C39" s="469"/>
      <c r="D39" s="469"/>
      <c r="E39" s="469"/>
      <c r="F39" s="469"/>
      <c r="G39" s="477" t="s">
        <v>794</v>
      </c>
      <c r="H39" s="474"/>
      <c r="I39" s="474"/>
      <c r="J39" s="204"/>
      <c r="K39" s="204"/>
      <c r="L39" s="204"/>
      <c r="M39" s="204"/>
      <c r="N39" s="481"/>
    </row>
    <row r="40" spans="1:14">
      <c r="A40" s="476"/>
      <c r="B40" s="469"/>
      <c r="C40" s="469"/>
      <c r="D40" s="469"/>
      <c r="E40" s="469"/>
      <c r="F40" s="469"/>
      <c r="G40" s="477" t="s">
        <v>795</v>
      </c>
      <c r="H40" s="474"/>
      <c r="I40" s="474"/>
      <c r="J40" s="204"/>
      <c r="K40" s="204"/>
      <c r="L40" s="204"/>
      <c r="M40" s="204"/>
      <c r="N40" s="481"/>
    </row>
    <row r="41" spans="1:14">
      <c r="A41" s="476"/>
      <c r="B41" s="469"/>
      <c r="C41" s="469"/>
      <c r="D41" s="469"/>
      <c r="E41" s="469"/>
      <c r="F41" s="469"/>
      <c r="G41" s="204" t="s">
        <v>796</v>
      </c>
      <c r="H41" s="474"/>
      <c r="I41" s="474"/>
      <c r="J41" s="204"/>
      <c r="K41" s="204"/>
      <c r="L41" s="204"/>
      <c r="M41" s="204"/>
      <c r="N41" s="481"/>
    </row>
    <row r="42" spans="1:14" ht="28.5">
      <c r="A42" s="476"/>
      <c r="B42" s="469"/>
      <c r="C42" s="469"/>
      <c r="D42" s="469"/>
      <c r="E42" s="469"/>
      <c r="F42" s="469"/>
      <c r="G42" s="204" t="s">
        <v>797</v>
      </c>
      <c r="H42" s="474"/>
      <c r="I42" s="474"/>
      <c r="J42" s="204"/>
      <c r="K42" s="204"/>
      <c r="L42" s="204"/>
      <c r="M42" s="204"/>
      <c r="N42" s="481"/>
    </row>
    <row r="43" spans="1:14">
      <c r="A43" s="476"/>
      <c r="B43" s="469"/>
      <c r="C43" s="469"/>
      <c r="D43" s="469"/>
      <c r="E43" s="469"/>
      <c r="F43" s="469"/>
      <c r="G43" s="204" t="s">
        <v>798</v>
      </c>
      <c r="H43" s="474"/>
      <c r="I43" s="474"/>
      <c r="J43" s="482"/>
      <c r="K43" s="482"/>
      <c r="L43" s="482"/>
      <c r="M43" s="482"/>
      <c r="N43" s="483"/>
    </row>
    <row r="44" spans="1:14">
      <c r="A44" s="476"/>
      <c r="B44" s="469"/>
      <c r="C44" s="469"/>
      <c r="D44" s="469"/>
      <c r="E44" s="469"/>
      <c r="F44" s="469"/>
      <c r="G44" s="204"/>
      <c r="H44" s="474"/>
      <c r="I44" s="474"/>
      <c r="J44" s="482"/>
      <c r="K44" s="482"/>
      <c r="L44" s="482"/>
      <c r="M44" s="482"/>
      <c r="N44" s="483"/>
    </row>
    <row r="45" spans="1:14" ht="14.25">
      <c r="A45" s="468">
        <v>1.4</v>
      </c>
      <c r="B45" s="469"/>
      <c r="C45" s="469"/>
      <c r="D45" s="470" t="s">
        <v>102</v>
      </c>
      <c r="E45" s="471" t="s">
        <v>785</v>
      </c>
      <c r="F45" s="472" t="s">
        <v>786</v>
      </c>
      <c r="G45" s="473" t="s">
        <v>804</v>
      </c>
      <c r="H45" s="474"/>
      <c r="I45" s="474">
        <v>124.65</v>
      </c>
      <c r="J45" s="473"/>
      <c r="K45" s="473"/>
      <c r="L45" s="473"/>
      <c r="M45" s="606">
        <v>3607</v>
      </c>
      <c r="N45" s="475">
        <f>SUM(I45*M45)</f>
        <v>449612.55000000005</v>
      </c>
    </row>
    <row r="46" spans="1:14">
      <c r="A46" s="476"/>
      <c r="B46" s="469"/>
      <c r="C46" s="469"/>
      <c r="D46" s="469"/>
      <c r="E46" s="469"/>
      <c r="F46" s="469"/>
      <c r="G46" s="204" t="s">
        <v>789</v>
      </c>
      <c r="H46" s="474"/>
      <c r="I46" s="474"/>
      <c r="J46" s="477"/>
      <c r="K46" s="477"/>
      <c r="L46" s="477"/>
      <c r="M46" s="477"/>
      <c r="N46" s="478"/>
    </row>
    <row r="47" spans="1:14" ht="57">
      <c r="A47" s="476"/>
      <c r="B47" s="469"/>
      <c r="C47" s="469"/>
      <c r="D47" s="469"/>
      <c r="E47" s="469"/>
      <c r="F47" s="469"/>
      <c r="G47" s="479" t="s">
        <v>805</v>
      </c>
      <c r="H47" s="474"/>
      <c r="I47" s="474"/>
      <c r="J47" s="204"/>
      <c r="K47" s="204"/>
      <c r="L47" s="204"/>
      <c r="M47" s="204"/>
      <c r="N47" s="481"/>
    </row>
    <row r="48" spans="1:14">
      <c r="A48" s="476"/>
      <c r="B48" s="469"/>
      <c r="C48" s="469"/>
      <c r="D48" s="469"/>
      <c r="E48" s="469"/>
      <c r="F48" s="469"/>
      <c r="G48" s="479" t="s">
        <v>791</v>
      </c>
      <c r="H48" s="474"/>
      <c r="I48" s="474"/>
      <c r="J48" s="477"/>
      <c r="K48" s="477"/>
      <c r="L48" s="477"/>
      <c r="M48" s="477"/>
      <c r="N48" s="478"/>
    </row>
    <row r="49" spans="1:14">
      <c r="A49" s="476"/>
      <c r="B49" s="469"/>
      <c r="C49" s="469"/>
      <c r="D49" s="469"/>
      <c r="E49" s="469"/>
      <c r="F49" s="469"/>
      <c r="G49" s="477" t="s">
        <v>792</v>
      </c>
      <c r="H49" s="474"/>
      <c r="I49" s="474"/>
      <c r="J49" s="477"/>
      <c r="K49" s="477"/>
      <c r="L49" s="477"/>
      <c r="M49" s="477"/>
      <c r="N49" s="478"/>
    </row>
    <row r="50" spans="1:14">
      <c r="A50" s="476"/>
      <c r="B50" s="469"/>
      <c r="C50" s="469"/>
      <c r="D50" s="469"/>
      <c r="E50" s="469"/>
      <c r="F50" s="469"/>
      <c r="G50" s="477" t="s">
        <v>793</v>
      </c>
      <c r="H50" s="474"/>
      <c r="I50" s="474"/>
      <c r="J50" s="477"/>
      <c r="K50" s="477"/>
      <c r="L50" s="477"/>
      <c r="M50" s="477"/>
      <c r="N50" s="478"/>
    </row>
    <row r="51" spans="1:14">
      <c r="A51" s="476"/>
      <c r="B51" s="469"/>
      <c r="C51" s="469"/>
      <c r="D51" s="469"/>
      <c r="E51" s="469"/>
      <c r="F51" s="469"/>
      <c r="G51" s="477" t="s">
        <v>794</v>
      </c>
      <c r="H51" s="474"/>
      <c r="I51" s="474"/>
      <c r="J51" s="477"/>
      <c r="K51" s="477"/>
      <c r="L51" s="477"/>
      <c r="M51" s="477"/>
      <c r="N51" s="478"/>
    </row>
    <row r="52" spans="1:14">
      <c r="A52" s="476"/>
      <c r="B52" s="469"/>
      <c r="C52" s="469"/>
      <c r="D52" s="469"/>
      <c r="E52" s="469"/>
      <c r="F52" s="469"/>
      <c r="G52" s="477" t="s">
        <v>795</v>
      </c>
      <c r="H52" s="474"/>
      <c r="I52" s="474"/>
      <c r="J52" s="477"/>
      <c r="K52" s="477"/>
      <c r="L52" s="477"/>
      <c r="M52" s="477"/>
      <c r="N52" s="478"/>
    </row>
    <row r="53" spans="1:14">
      <c r="A53" s="476"/>
      <c r="B53" s="469"/>
      <c r="C53" s="469"/>
      <c r="D53" s="469"/>
      <c r="E53" s="469"/>
      <c r="F53" s="469"/>
      <c r="G53" s="204" t="s">
        <v>796</v>
      </c>
      <c r="H53" s="474"/>
      <c r="I53" s="474"/>
      <c r="J53" s="477"/>
      <c r="K53" s="477"/>
      <c r="L53" s="477"/>
      <c r="M53" s="477"/>
      <c r="N53" s="478"/>
    </row>
    <row r="54" spans="1:14" ht="28.5">
      <c r="A54" s="476"/>
      <c r="B54" s="469"/>
      <c r="C54" s="469"/>
      <c r="D54" s="469"/>
      <c r="E54" s="469"/>
      <c r="F54" s="469"/>
      <c r="G54" s="204" t="s">
        <v>797</v>
      </c>
      <c r="H54" s="474"/>
      <c r="I54" s="474"/>
      <c r="J54" s="204"/>
      <c r="K54" s="204"/>
      <c r="L54" s="204"/>
      <c r="M54" s="204"/>
      <c r="N54" s="481"/>
    </row>
    <row r="55" spans="1:14">
      <c r="A55" s="476"/>
      <c r="B55" s="484"/>
      <c r="C55" s="484"/>
      <c r="D55" s="484"/>
      <c r="E55" s="484"/>
      <c r="F55" s="484"/>
      <c r="G55" s="204" t="s">
        <v>798</v>
      </c>
      <c r="H55" s="474"/>
      <c r="I55" s="474"/>
      <c r="J55" s="485"/>
      <c r="K55" s="485"/>
      <c r="L55" s="485"/>
      <c r="M55" s="485"/>
      <c r="N55" s="486"/>
    </row>
    <row r="56" spans="1:14">
      <c r="A56" s="476"/>
      <c r="B56" s="484"/>
      <c r="C56" s="484"/>
      <c r="D56" s="484"/>
      <c r="E56" s="484"/>
      <c r="F56" s="484"/>
      <c r="G56" s="204"/>
      <c r="H56" s="474"/>
      <c r="I56" s="474"/>
      <c r="J56" s="485"/>
      <c r="K56" s="485"/>
      <c r="L56" s="485"/>
      <c r="M56" s="485"/>
      <c r="N56" s="486"/>
    </row>
    <row r="57" spans="1:14" ht="14.25">
      <c r="A57" s="468">
        <v>1.5</v>
      </c>
      <c r="B57" s="469"/>
      <c r="C57" s="469"/>
      <c r="D57" s="470" t="s">
        <v>102</v>
      </c>
      <c r="E57" s="471" t="s">
        <v>785</v>
      </c>
      <c r="F57" s="472" t="s">
        <v>786</v>
      </c>
      <c r="G57" s="485" t="s">
        <v>806</v>
      </c>
      <c r="H57" s="474" t="s">
        <v>7</v>
      </c>
      <c r="I57" s="487">
        <v>193.31999999999996</v>
      </c>
      <c r="J57" s="485"/>
      <c r="K57" s="485"/>
      <c r="L57" s="485"/>
      <c r="M57" s="606">
        <v>3140</v>
      </c>
      <c r="N57" s="475">
        <f>SUM(I57*M57)</f>
        <v>607024.79999999993</v>
      </c>
    </row>
    <row r="58" spans="1:14">
      <c r="A58" s="476"/>
      <c r="B58" s="469" t="s">
        <v>807</v>
      </c>
      <c r="C58" s="469"/>
      <c r="D58" s="469"/>
      <c r="E58" s="469"/>
      <c r="F58" s="469"/>
      <c r="G58" s="204" t="s">
        <v>789</v>
      </c>
      <c r="H58" s="474"/>
      <c r="I58" s="474"/>
      <c r="J58" s="485"/>
      <c r="K58" s="485"/>
      <c r="L58" s="485"/>
      <c r="M58" s="485"/>
      <c r="N58" s="486"/>
    </row>
    <row r="59" spans="1:14" ht="57">
      <c r="A59" s="476"/>
      <c r="B59" s="469" t="s">
        <v>807</v>
      </c>
      <c r="C59" s="469"/>
      <c r="D59" s="469"/>
      <c r="E59" s="469"/>
      <c r="F59" s="469"/>
      <c r="G59" s="479" t="s">
        <v>808</v>
      </c>
      <c r="H59" s="474"/>
      <c r="I59" s="474"/>
      <c r="J59" s="485"/>
      <c r="K59" s="485"/>
      <c r="L59" s="485"/>
      <c r="M59" s="485"/>
      <c r="N59" s="486"/>
    </row>
    <row r="60" spans="1:14">
      <c r="A60" s="476"/>
      <c r="B60" s="469" t="s">
        <v>807</v>
      </c>
      <c r="C60" s="469"/>
      <c r="D60" s="469"/>
      <c r="E60" s="469"/>
      <c r="F60" s="469"/>
      <c r="G60" s="479" t="s">
        <v>791</v>
      </c>
      <c r="H60" s="474"/>
      <c r="I60" s="474"/>
      <c r="J60" s="485"/>
      <c r="K60" s="485"/>
      <c r="L60" s="485"/>
      <c r="M60" s="485"/>
      <c r="N60" s="486"/>
    </row>
    <row r="61" spans="1:14">
      <c r="A61" s="476"/>
      <c r="B61" s="469" t="s">
        <v>807</v>
      </c>
      <c r="C61" s="469"/>
      <c r="D61" s="469"/>
      <c r="E61" s="469"/>
      <c r="F61" s="469"/>
      <c r="G61" s="204" t="s">
        <v>809</v>
      </c>
      <c r="H61" s="474"/>
      <c r="I61" s="474"/>
      <c r="J61" s="485"/>
      <c r="K61" s="485"/>
      <c r="L61" s="485"/>
      <c r="M61" s="485"/>
      <c r="N61" s="486"/>
    </row>
    <row r="62" spans="1:14">
      <c r="A62" s="476"/>
      <c r="B62" s="469" t="s">
        <v>807</v>
      </c>
      <c r="C62" s="469"/>
      <c r="D62" s="469"/>
      <c r="E62" s="469"/>
      <c r="F62" s="469"/>
      <c r="G62" s="204" t="s">
        <v>793</v>
      </c>
      <c r="H62" s="474"/>
      <c r="I62" s="474"/>
      <c r="J62" s="485"/>
      <c r="K62" s="485"/>
      <c r="L62" s="485"/>
      <c r="M62" s="485"/>
      <c r="N62" s="486"/>
    </row>
    <row r="63" spans="1:14">
      <c r="A63" s="476"/>
      <c r="B63" s="469" t="s">
        <v>807</v>
      </c>
      <c r="C63" s="469"/>
      <c r="D63" s="469"/>
      <c r="E63" s="469"/>
      <c r="F63" s="469"/>
      <c r="G63" s="477" t="s">
        <v>794</v>
      </c>
      <c r="H63" s="474"/>
      <c r="I63" s="474"/>
      <c r="J63" s="485"/>
      <c r="K63" s="485"/>
      <c r="L63" s="485"/>
      <c r="M63" s="485"/>
      <c r="N63" s="486"/>
    </row>
    <row r="64" spans="1:14">
      <c r="A64" s="476"/>
      <c r="B64" s="469" t="s">
        <v>807</v>
      </c>
      <c r="C64" s="469"/>
      <c r="D64" s="469"/>
      <c r="E64" s="469"/>
      <c r="F64" s="469"/>
      <c r="G64" s="477" t="s">
        <v>795</v>
      </c>
      <c r="H64" s="474"/>
      <c r="I64" s="474"/>
      <c r="J64" s="488"/>
      <c r="K64" s="488"/>
      <c r="L64" s="488"/>
      <c r="M64" s="488"/>
      <c r="N64" s="489"/>
    </row>
    <row r="65" spans="1:14">
      <c r="A65" s="476"/>
      <c r="B65" s="469"/>
      <c r="C65" s="469"/>
      <c r="D65" s="469"/>
      <c r="E65" s="469"/>
      <c r="F65" s="469"/>
      <c r="G65" s="204" t="s">
        <v>796</v>
      </c>
      <c r="H65" s="474"/>
      <c r="I65" s="474"/>
      <c r="J65" s="488"/>
      <c r="K65" s="488"/>
      <c r="L65" s="488"/>
      <c r="M65" s="488"/>
      <c r="N65" s="489"/>
    </row>
    <row r="66" spans="1:14" ht="28.5">
      <c r="A66" s="476"/>
      <c r="B66" s="469"/>
      <c r="C66" s="469"/>
      <c r="D66" s="469"/>
      <c r="E66" s="469"/>
      <c r="F66" s="469"/>
      <c r="G66" s="204" t="s">
        <v>797</v>
      </c>
      <c r="H66" s="474"/>
      <c r="I66" s="474"/>
      <c r="J66" s="488"/>
      <c r="K66" s="488"/>
      <c r="L66" s="488"/>
      <c r="M66" s="488"/>
      <c r="N66" s="489"/>
    </row>
    <row r="67" spans="1:14">
      <c r="A67" s="476"/>
      <c r="B67" s="469"/>
      <c r="C67" s="469"/>
      <c r="D67" s="469"/>
      <c r="E67" s="469"/>
      <c r="F67" s="469"/>
      <c r="G67" s="204" t="s">
        <v>798</v>
      </c>
      <c r="H67" s="474"/>
      <c r="I67" s="474"/>
      <c r="J67" s="488"/>
      <c r="K67" s="488"/>
      <c r="L67" s="488"/>
      <c r="M67" s="488"/>
      <c r="N67" s="489"/>
    </row>
    <row r="68" spans="1:14">
      <c r="A68" s="476"/>
      <c r="B68" s="469"/>
      <c r="C68" s="469"/>
      <c r="D68" s="469"/>
      <c r="E68" s="469"/>
      <c r="F68" s="469"/>
      <c r="G68" s="488"/>
      <c r="H68" s="474"/>
      <c r="I68" s="474"/>
      <c r="J68" s="488"/>
      <c r="K68" s="488"/>
      <c r="L68" s="488"/>
      <c r="M68" s="488"/>
      <c r="N68" s="489"/>
    </row>
    <row r="69" spans="1:14" ht="14.25">
      <c r="A69" s="468">
        <v>1.6</v>
      </c>
      <c r="B69" s="469"/>
      <c r="C69" s="469"/>
      <c r="D69" s="470" t="s">
        <v>102</v>
      </c>
      <c r="E69" s="471" t="s">
        <v>810</v>
      </c>
      <c r="F69" s="472" t="s">
        <v>811</v>
      </c>
      <c r="G69" s="485" t="s">
        <v>812</v>
      </c>
      <c r="H69" s="474"/>
      <c r="I69" s="487"/>
      <c r="J69" s="485"/>
      <c r="K69" s="485"/>
      <c r="L69" s="485"/>
      <c r="M69" s="485"/>
      <c r="N69" s="486"/>
    </row>
    <row r="70" spans="1:14" ht="57">
      <c r="A70" s="476"/>
      <c r="B70" s="469"/>
      <c r="C70" s="469"/>
      <c r="D70" s="469"/>
      <c r="E70" s="469"/>
      <c r="F70" s="469"/>
      <c r="G70" s="490" t="s">
        <v>813</v>
      </c>
      <c r="H70" s="474"/>
      <c r="I70" s="474"/>
      <c r="J70" s="485"/>
      <c r="K70" s="485"/>
      <c r="L70" s="485"/>
      <c r="M70" s="485"/>
      <c r="N70" s="486"/>
    </row>
    <row r="71" spans="1:14">
      <c r="A71" s="476"/>
      <c r="B71" s="469"/>
      <c r="C71" s="469"/>
      <c r="D71" s="469"/>
      <c r="E71" s="469"/>
      <c r="F71" s="469"/>
      <c r="G71" s="204" t="s">
        <v>814</v>
      </c>
      <c r="H71" s="474"/>
      <c r="I71" s="474"/>
      <c r="J71" s="485"/>
      <c r="K71" s="485"/>
      <c r="L71" s="485"/>
      <c r="M71" s="485"/>
      <c r="N71" s="486"/>
    </row>
    <row r="72" spans="1:14">
      <c r="A72" s="476"/>
      <c r="B72" s="469"/>
      <c r="C72" s="469"/>
      <c r="D72" s="469"/>
      <c r="E72" s="469"/>
      <c r="F72" s="469"/>
      <c r="G72" s="204" t="s">
        <v>815</v>
      </c>
      <c r="H72" s="474"/>
      <c r="I72" s="474"/>
      <c r="J72" s="485"/>
      <c r="K72" s="485"/>
      <c r="L72" s="485"/>
      <c r="M72" s="485"/>
      <c r="N72" s="486"/>
    </row>
    <row r="73" spans="1:14">
      <c r="A73" s="476"/>
      <c r="B73" s="469"/>
      <c r="C73" s="469"/>
      <c r="D73" s="469"/>
      <c r="E73" s="469"/>
      <c r="F73" s="469"/>
      <c r="G73" s="204" t="s">
        <v>816</v>
      </c>
      <c r="H73" s="474"/>
      <c r="I73" s="474"/>
      <c r="J73" s="485"/>
      <c r="K73" s="485"/>
      <c r="L73" s="485"/>
      <c r="M73" s="485"/>
      <c r="N73" s="486"/>
    </row>
    <row r="74" spans="1:14">
      <c r="A74" s="476"/>
      <c r="B74" s="469"/>
      <c r="C74" s="469"/>
      <c r="D74" s="469"/>
      <c r="E74" s="469"/>
      <c r="F74" s="469"/>
      <c r="G74" s="204" t="s">
        <v>817</v>
      </c>
      <c r="H74" s="474"/>
      <c r="I74" s="474"/>
      <c r="J74" s="485"/>
      <c r="K74" s="485"/>
      <c r="L74" s="485"/>
      <c r="M74" s="485"/>
      <c r="N74" s="486"/>
    </row>
    <row r="75" spans="1:14">
      <c r="A75" s="476"/>
      <c r="B75" s="469"/>
      <c r="C75" s="469"/>
      <c r="D75" s="469"/>
      <c r="E75" s="469"/>
      <c r="F75" s="469"/>
      <c r="G75" s="204" t="s">
        <v>818</v>
      </c>
      <c r="H75" s="474"/>
      <c r="I75" s="474"/>
      <c r="J75" s="485"/>
      <c r="K75" s="485"/>
      <c r="L75" s="485"/>
      <c r="M75" s="485"/>
      <c r="N75" s="486"/>
    </row>
    <row r="76" spans="1:14">
      <c r="A76" s="476"/>
      <c r="B76" s="469"/>
      <c r="C76" s="469"/>
      <c r="D76" s="469"/>
      <c r="E76" s="469"/>
      <c r="F76" s="469"/>
      <c r="G76" s="204" t="s">
        <v>819</v>
      </c>
      <c r="H76" s="474"/>
      <c r="I76" s="474"/>
      <c r="J76" s="485"/>
      <c r="K76" s="485"/>
      <c r="L76" s="485"/>
      <c r="M76" s="485"/>
      <c r="N76" s="486"/>
    </row>
    <row r="77" spans="1:14">
      <c r="A77" s="476"/>
      <c r="B77" s="469"/>
      <c r="C77" s="469"/>
      <c r="D77" s="469"/>
      <c r="E77" s="469"/>
      <c r="F77" s="469"/>
      <c r="G77" s="204" t="s">
        <v>820</v>
      </c>
      <c r="H77" s="474"/>
      <c r="I77" s="474"/>
      <c r="J77" s="485"/>
      <c r="K77" s="485"/>
      <c r="L77" s="485"/>
      <c r="M77" s="485"/>
      <c r="N77" s="486"/>
    </row>
    <row r="78" spans="1:14">
      <c r="A78" s="476"/>
      <c r="B78" s="469"/>
      <c r="C78" s="469"/>
      <c r="D78" s="469"/>
      <c r="E78" s="469"/>
      <c r="F78" s="469"/>
      <c r="G78" s="204" t="s">
        <v>798</v>
      </c>
      <c r="H78" s="474"/>
      <c r="I78" s="474"/>
      <c r="J78" s="485"/>
      <c r="K78" s="485"/>
      <c r="L78" s="485"/>
      <c r="M78" s="485"/>
      <c r="N78" s="486"/>
    </row>
    <row r="79" spans="1:14">
      <c r="A79" s="476"/>
      <c r="B79" s="469"/>
      <c r="C79" s="469"/>
      <c r="D79" s="469"/>
      <c r="E79" s="469"/>
      <c r="F79" s="469"/>
      <c r="G79" s="485"/>
      <c r="H79" s="474"/>
      <c r="I79" s="474"/>
      <c r="J79" s="485"/>
      <c r="K79" s="485"/>
      <c r="L79" s="485"/>
      <c r="M79" s="485"/>
      <c r="N79" s="486"/>
    </row>
    <row r="80" spans="1:14">
      <c r="A80" s="476"/>
      <c r="B80" s="469" t="s">
        <v>147</v>
      </c>
      <c r="C80" s="469"/>
      <c r="D80" s="469"/>
      <c r="E80" s="469"/>
      <c r="F80" s="469"/>
      <c r="G80" s="491" t="s">
        <v>821</v>
      </c>
      <c r="H80" s="474" t="s">
        <v>7</v>
      </c>
      <c r="I80" s="487">
        <v>55</v>
      </c>
      <c r="J80" s="491"/>
      <c r="K80" s="491"/>
      <c r="L80" s="491"/>
      <c r="M80" s="606">
        <v>3030</v>
      </c>
      <c r="N80" s="475">
        <f t="shared" ref="N80:N82" si="0">SUM(I80*M80)</f>
        <v>166650</v>
      </c>
    </row>
    <row r="81" spans="1:14">
      <c r="A81" s="476"/>
      <c r="B81" s="469" t="s">
        <v>148</v>
      </c>
      <c r="C81" s="469"/>
      <c r="D81" s="469"/>
      <c r="E81" s="469"/>
      <c r="F81" s="469"/>
      <c r="G81" s="491" t="s">
        <v>822</v>
      </c>
      <c r="H81" s="474" t="s">
        <v>7</v>
      </c>
      <c r="I81" s="487">
        <v>5</v>
      </c>
      <c r="J81" s="491"/>
      <c r="K81" s="491"/>
      <c r="L81" s="491"/>
      <c r="M81" s="606">
        <v>4314</v>
      </c>
      <c r="N81" s="475">
        <f t="shared" si="0"/>
        <v>21570</v>
      </c>
    </row>
    <row r="82" spans="1:14">
      <c r="A82" s="476"/>
      <c r="B82" s="469" t="s">
        <v>149</v>
      </c>
      <c r="C82" s="469"/>
      <c r="D82" s="469"/>
      <c r="E82" s="469"/>
      <c r="F82" s="469"/>
      <c r="G82" s="491" t="s">
        <v>823</v>
      </c>
      <c r="H82" s="474" t="s">
        <v>7</v>
      </c>
      <c r="I82" s="487">
        <v>110</v>
      </c>
      <c r="J82" s="491"/>
      <c r="K82" s="491"/>
      <c r="L82" s="491"/>
      <c r="M82" s="606">
        <v>4386</v>
      </c>
      <c r="N82" s="475">
        <f t="shared" si="0"/>
        <v>482460</v>
      </c>
    </row>
    <row r="83" spans="1:14">
      <c r="A83" s="476"/>
      <c r="B83" s="469"/>
      <c r="C83" s="469"/>
      <c r="D83" s="469"/>
      <c r="E83" s="469"/>
      <c r="F83" s="469"/>
      <c r="G83" s="485"/>
      <c r="H83" s="474"/>
      <c r="I83" s="474"/>
      <c r="J83" s="485"/>
      <c r="K83" s="485"/>
      <c r="L83" s="485"/>
      <c r="M83" s="485"/>
      <c r="N83" s="486"/>
    </row>
    <row r="84" spans="1:14" ht="14.25">
      <c r="A84" s="468">
        <v>1.7</v>
      </c>
      <c r="B84" s="469"/>
      <c r="C84" s="469"/>
      <c r="D84" s="470" t="s">
        <v>102</v>
      </c>
      <c r="E84" s="471" t="s">
        <v>824</v>
      </c>
      <c r="F84" s="472" t="s">
        <v>825</v>
      </c>
      <c r="G84" s="485" t="s">
        <v>349</v>
      </c>
      <c r="H84" s="474"/>
      <c r="I84" s="487"/>
      <c r="J84" s="485"/>
      <c r="K84" s="485"/>
      <c r="L84" s="485"/>
      <c r="M84" s="485"/>
      <c r="N84" s="486"/>
    </row>
    <row r="85" spans="1:14">
      <c r="A85" s="476"/>
      <c r="B85" s="469" t="s">
        <v>807</v>
      </c>
      <c r="C85" s="469"/>
      <c r="D85" s="469"/>
      <c r="E85" s="469"/>
      <c r="F85" s="469"/>
      <c r="G85" s="485" t="s">
        <v>814</v>
      </c>
      <c r="H85" s="474"/>
      <c r="I85" s="474"/>
      <c r="J85" s="485"/>
      <c r="K85" s="485"/>
      <c r="L85" s="485"/>
      <c r="M85" s="485"/>
      <c r="N85" s="486"/>
    </row>
    <row r="86" spans="1:14">
      <c r="A86" s="476"/>
      <c r="B86" s="469" t="s">
        <v>807</v>
      </c>
      <c r="C86" s="469"/>
      <c r="D86" s="469"/>
      <c r="E86" s="469"/>
      <c r="F86" s="469"/>
      <c r="G86" s="485" t="s">
        <v>815</v>
      </c>
      <c r="H86" s="474"/>
      <c r="I86" s="474"/>
      <c r="J86" s="485"/>
      <c r="K86" s="485"/>
      <c r="L86" s="485"/>
      <c r="M86" s="485"/>
      <c r="N86" s="486"/>
    </row>
    <row r="87" spans="1:14">
      <c r="A87" s="476"/>
      <c r="B87" s="469" t="s">
        <v>807</v>
      </c>
      <c r="C87" s="469"/>
      <c r="D87" s="469"/>
      <c r="E87" s="469"/>
      <c r="F87" s="469"/>
      <c r="G87" s="485" t="s">
        <v>816</v>
      </c>
      <c r="H87" s="474"/>
      <c r="I87" s="474"/>
      <c r="J87" s="485"/>
      <c r="K87" s="485"/>
      <c r="L87" s="485"/>
      <c r="M87" s="485"/>
      <c r="N87" s="486"/>
    </row>
    <row r="88" spans="1:14">
      <c r="A88" s="476"/>
      <c r="B88" s="469" t="s">
        <v>807</v>
      </c>
      <c r="C88" s="469"/>
      <c r="D88" s="469"/>
      <c r="E88" s="469"/>
      <c r="F88" s="469"/>
      <c r="G88" s="485" t="s">
        <v>826</v>
      </c>
      <c r="H88" s="474"/>
      <c r="I88" s="474"/>
      <c r="J88" s="485"/>
      <c r="K88" s="485"/>
      <c r="L88" s="485"/>
      <c r="M88" s="485"/>
      <c r="N88" s="486"/>
    </row>
    <row r="89" spans="1:14" ht="26.25" customHeight="1">
      <c r="A89" s="476"/>
      <c r="B89" s="469" t="s">
        <v>807</v>
      </c>
      <c r="C89" s="469"/>
      <c r="D89" s="469"/>
      <c r="E89" s="469"/>
      <c r="F89" s="469"/>
      <c r="G89" s="485" t="s">
        <v>827</v>
      </c>
      <c r="H89" s="474"/>
      <c r="I89" s="474"/>
      <c r="J89" s="485"/>
      <c r="K89" s="485"/>
      <c r="L89" s="485"/>
      <c r="M89" s="485"/>
      <c r="N89" s="486"/>
    </row>
    <row r="90" spans="1:14">
      <c r="A90" s="476"/>
      <c r="B90" s="469" t="s">
        <v>807</v>
      </c>
      <c r="C90" s="469"/>
      <c r="D90" s="469"/>
      <c r="E90" s="469"/>
      <c r="F90" s="469"/>
      <c r="G90" s="485" t="s">
        <v>818</v>
      </c>
      <c r="H90" s="474"/>
      <c r="I90" s="474"/>
      <c r="J90" s="485"/>
      <c r="K90" s="485"/>
      <c r="L90" s="485"/>
      <c r="M90" s="485"/>
      <c r="N90" s="486"/>
    </row>
    <row r="91" spans="1:14">
      <c r="A91" s="476"/>
      <c r="B91" s="469" t="s">
        <v>807</v>
      </c>
      <c r="C91" s="469"/>
      <c r="D91" s="469"/>
      <c r="E91" s="469"/>
      <c r="F91" s="469"/>
      <c r="G91" s="485" t="s">
        <v>819</v>
      </c>
      <c r="H91" s="474"/>
      <c r="I91" s="474"/>
      <c r="J91" s="485"/>
      <c r="K91" s="485"/>
      <c r="L91" s="485"/>
      <c r="M91" s="485"/>
      <c r="N91" s="486"/>
    </row>
    <row r="92" spans="1:14">
      <c r="A92" s="476"/>
      <c r="B92" s="469"/>
      <c r="C92" s="469"/>
      <c r="D92" s="469"/>
      <c r="E92" s="469"/>
      <c r="F92" s="469"/>
      <c r="G92" s="204" t="s">
        <v>798</v>
      </c>
      <c r="H92" s="474"/>
      <c r="I92" s="474"/>
      <c r="J92" s="485"/>
      <c r="K92" s="485"/>
      <c r="L92" s="485"/>
      <c r="M92" s="485"/>
      <c r="N92" s="486"/>
    </row>
    <row r="93" spans="1:14">
      <c r="A93" s="476"/>
      <c r="B93" s="469" t="s">
        <v>147</v>
      </c>
      <c r="C93" s="469"/>
      <c r="D93" s="469"/>
      <c r="E93" s="469"/>
      <c r="F93" s="469"/>
      <c r="G93" s="491" t="s">
        <v>828</v>
      </c>
      <c r="H93" s="474" t="s">
        <v>7</v>
      </c>
      <c r="I93" s="487">
        <v>5</v>
      </c>
      <c r="J93" s="491"/>
      <c r="K93" s="491"/>
      <c r="L93" s="491"/>
      <c r="M93" s="606">
        <v>2766</v>
      </c>
      <c r="N93" s="475">
        <f t="shared" ref="N93:N95" si="1">SUM(I93*M93)</f>
        <v>13830</v>
      </c>
    </row>
    <row r="94" spans="1:14">
      <c r="A94" s="476"/>
      <c r="B94" s="469" t="s">
        <v>148</v>
      </c>
      <c r="C94" s="469"/>
      <c r="D94" s="469"/>
      <c r="E94" s="469"/>
      <c r="F94" s="469"/>
      <c r="G94" s="491" t="s">
        <v>829</v>
      </c>
      <c r="H94" s="474" t="s">
        <v>7</v>
      </c>
      <c r="I94" s="487">
        <v>5</v>
      </c>
      <c r="J94" s="491"/>
      <c r="K94" s="491"/>
      <c r="L94" s="491"/>
      <c r="M94" s="606">
        <v>3594</v>
      </c>
      <c r="N94" s="475">
        <f t="shared" si="1"/>
        <v>17970</v>
      </c>
    </row>
    <row r="95" spans="1:14">
      <c r="A95" s="476"/>
      <c r="B95" s="469" t="s">
        <v>149</v>
      </c>
      <c r="C95" s="469"/>
      <c r="D95" s="469"/>
      <c r="E95" s="469"/>
      <c r="F95" s="469"/>
      <c r="G95" s="491" t="s">
        <v>351</v>
      </c>
      <c r="H95" s="474" t="s">
        <v>7</v>
      </c>
      <c r="I95" s="487">
        <v>10</v>
      </c>
      <c r="J95" s="491"/>
      <c r="K95" s="491"/>
      <c r="L95" s="491"/>
      <c r="M95" s="606">
        <v>5802</v>
      </c>
      <c r="N95" s="475">
        <f t="shared" si="1"/>
        <v>58020</v>
      </c>
    </row>
    <row r="96" spans="1:14">
      <c r="A96" s="476"/>
      <c r="B96" s="469"/>
      <c r="C96" s="469"/>
      <c r="D96" s="469"/>
      <c r="E96" s="469"/>
      <c r="F96" s="469"/>
      <c r="G96" s="485"/>
      <c r="H96" s="474"/>
      <c r="I96" s="474"/>
      <c r="J96" s="485"/>
      <c r="K96" s="485"/>
      <c r="L96" s="485"/>
      <c r="M96" s="606">
        <v>0</v>
      </c>
      <c r="N96" s="486"/>
    </row>
    <row r="97" spans="1:14" ht="14.25">
      <c r="A97" s="468">
        <v>1.8</v>
      </c>
      <c r="B97" s="484" t="s">
        <v>147</v>
      </c>
      <c r="C97" s="484"/>
      <c r="D97" s="470" t="s">
        <v>102</v>
      </c>
      <c r="E97" s="471" t="s">
        <v>830</v>
      </c>
      <c r="F97" s="472" t="s">
        <v>107</v>
      </c>
      <c r="G97" s="485" t="s">
        <v>831</v>
      </c>
      <c r="H97" s="474" t="s">
        <v>7</v>
      </c>
      <c r="I97" s="487">
        <f>1288+130+82</f>
        <v>1500</v>
      </c>
      <c r="J97" s="485"/>
      <c r="K97" s="485"/>
      <c r="L97" s="485"/>
      <c r="M97" s="606">
        <v>1062</v>
      </c>
      <c r="N97" s="475">
        <f>SUM(I97*M97)</f>
        <v>1593000</v>
      </c>
    </row>
    <row r="98" spans="1:14" ht="28.5">
      <c r="A98" s="476"/>
      <c r="B98" s="469" t="s">
        <v>807</v>
      </c>
      <c r="C98" s="469"/>
      <c r="D98" s="469"/>
      <c r="E98" s="469"/>
      <c r="F98" s="469"/>
      <c r="G98" s="485" t="s">
        <v>832</v>
      </c>
      <c r="H98" s="492"/>
      <c r="I98" s="474"/>
      <c r="J98" s="485"/>
      <c r="K98" s="485"/>
      <c r="L98" s="485"/>
      <c r="M98" s="485"/>
      <c r="N98" s="486"/>
    </row>
    <row r="99" spans="1:14">
      <c r="A99" s="476"/>
      <c r="B99" s="469" t="s">
        <v>807</v>
      </c>
      <c r="C99" s="469"/>
      <c r="D99" s="469"/>
      <c r="E99" s="469"/>
      <c r="F99" s="469"/>
      <c r="G99" s="485" t="s">
        <v>833</v>
      </c>
      <c r="H99" s="492"/>
      <c r="I99" s="474"/>
      <c r="J99" s="485"/>
      <c r="K99" s="485"/>
      <c r="L99" s="485"/>
      <c r="M99" s="485"/>
      <c r="N99" s="486"/>
    </row>
    <row r="100" spans="1:14">
      <c r="A100" s="476"/>
      <c r="B100" s="469" t="s">
        <v>807</v>
      </c>
      <c r="C100" s="469"/>
      <c r="D100" s="469"/>
      <c r="E100" s="469"/>
      <c r="F100" s="469"/>
      <c r="G100" s="485" t="s">
        <v>834</v>
      </c>
      <c r="H100" s="492"/>
      <c r="I100" s="474"/>
      <c r="J100" s="485"/>
      <c r="K100" s="485"/>
      <c r="L100" s="485"/>
      <c r="M100" s="485"/>
      <c r="N100" s="486"/>
    </row>
    <row r="101" spans="1:14">
      <c r="A101" s="476"/>
      <c r="B101" s="469" t="s">
        <v>807</v>
      </c>
      <c r="C101" s="469"/>
      <c r="D101" s="469"/>
      <c r="E101" s="469"/>
      <c r="F101" s="469"/>
      <c r="G101" s="482" t="s">
        <v>835</v>
      </c>
      <c r="H101" s="492"/>
      <c r="I101" s="474"/>
      <c r="J101" s="482"/>
      <c r="K101" s="482"/>
      <c r="L101" s="482"/>
      <c r="M101" s="482"/>
      <c r="N101" s="483"/>
    </row>
    <row r="102" spans="1:14">
      <c r="A102" s="476"/>
      <c r="B102" s="469" t="s">
        <v>807</v>
      </c>
      <c r="C102" s="469"/>
      <c r="D102" s="469"/>
      <c r="E102" s="469"/>
      <c r="F102" s="469"/>
      <c r="G102" s="482" t="s">
        <v>816</v>
      </c>
      <c r="H102" s="492"/>
      <c r="I102" s="474"/>
      <c r="J102" s="482"/>
      <c r="K102" s="482"/>
      <c r="L102" s="482"/>
      <c r="M102" s="482"/>
      <c r="N102" s="483"/>
    </row>
    <row r="103" spans="1:14">
      <c r="A103" s="476"/>
      <c r="B103" s="469" t="s">
        <v>807</v>
      </c>
      <c r="C103" s="469"/>
      <c r="D103" s="469"/>
      <c r="E103" s="469"/>
      <c r="F103" s="469"/>
      <c r="G103" s="482" t="s">
        <v>836</v>
      </c>
      <c r="H103" s="492"/>
      <c r="I103" s="474"/>
      <c r="J103" s="482"/>
      <c r="K103" s="482"/>
      <c r="L103" s="482"/>
      <c r="M103" s="482"/>
      <c r="N103" s="483"/>
    </row>
    <row r="104" spans="1:14" ht="28.5">
      <c r="A104" s="476"/>
      <c r="B104" s="469" t="s">
        <v>807</v>
      </c>
      <c r="C104" s="469"/>
      <c r="D104" s="469"/>
      <c r="E104" s="469"/>
      <c r="F104" s="469"/>
      <c r="G104" s="482" t="s">
        <v>837</v>
      </c>
      <c r="H104" s="492"/>
      <c r="I104" s="474"/>
      <c r="J104" s="482"/>
      <c r="K104" s="482"/>
      <c r="L104" s="482"/>
      <c r="M104" s="482"/>
      <c r="N104" s="483"/>
    </row>
    <row r="105" spans="1:14">
      <c r="A105" s="476"/>
      <c r="B105" s="469" t="s">
        <v>807</v>
      </c>
      <c r="C105" s="469"/>
      <c r="D105" s="469"/>
      <c r="E105" s="469"/>
      <c r="F105" s="469"/>
      <c r="G105" s="482" t="s">
        <v>838</v>
      </c>
      <c r="H105" s="492"/>
      <c r="I105" s="474"/>
      <c r="J105" s="482"/>
      <c r="K105" s="482"/>
      <c r="L105" s="482"/>
      <c r="M105" s="482"/>
      <c r="N105" s="483"/>
    </row>
    <row r="106" spans="1:14">
      <c r="A106" s="476"/>
      <c r="B106" s="469" t="s">
        <v>807</v>
      </c>
      <c r="C106" s="469"/>
      <c r="D106" s="469"/>
      <c r="E106" s="469"/>
      <c r="F106" s="469"/>
      <c r="G106" s="482" t="s">
        <v>839</v>
      </c>
      <c r="H106" s="492"/>
      <c r="I106" s="474"/>
      <c r="J106" s="482"/>
      <c r="K106" s="482"/>
      <c r="L106" s="482"/>
      <c r="M106" s="482"/>
      <c r="N106" s="483"/>
    </row>
    <row r="107" spans="1:14">
      <c r="A107" s="476"/>
      <c r="B107" s="469" t="s">
        <v>807</v>
      </c>
      <c r="C107" s="469"/>
      <c r="D107" s="469"/>
      <c r="E107" s="469"/>
      <c r="F107" s="469"/>
      <c r="G107" s="482" t="s">
        <v>840</v>
      </c>
      <c r="H107" s="492"/>
      <c r="I107" s="474"/>
      <c r="J107" s="482"/>
      <c r="K107" s="482"/>
      <c r="L107" s="482"/>
      <c r="M107" s="482"/>
      <c r="N107" s="483"/>
    </row>
    <row r="108" spans="1:14">
      <c r="A108" s="476"/>
      <c r="B108" s="484"/>
      <c r="C108" s="484"/>
      <c r="D108" s="484"/>
      <c r="E108" s="484"/>
      <c r="F108" s="484"/>
      <c r="G108" s="482"/>
      <c r="H108" s="492"/>
      <c r="I108" s="474"/>
      <c r="J108" s="482"/>
      <c r="K108" s="482"/>
      <c r="L108" s="482"/>
      <c r="M108" s="482"/>
      <c r="N108" s="483"/>
    </row>
    <row r="109" spans="1:14">
      <c r="A109" s="476"/>
      <c r="B109" s="493" t="s">
        <v>148</v>
      </c>
      <c r="C109" s="493"/>
      <c r="D109" s="493"/>
      <c r="E109" s="493"/>
      <c r="F109" s="493"/>
      <c r="G109" s="485" t="s">
        <v>841</v>
      </c>
      <c r="H109" s="474" t="s">
        <v>7</v>
      </c>
      <c r="I109" s="487">
        <f>(73*3)+(32*3)+35</f>
        <v>350</v>
      </c>
      <c r="J109" s="485"/>
      <c r="K109" s="485"/>
      <c r="L109" s="485"/>
      <c r="M109" s="606">
        <v>1062</v>
      </c>
      <c r="N109" s="475">
        <f>SUM(I109*M109)</f>
        <v>371700</v>
      </c>
    </row>
    <row r="110" spans="1:14">
      <c r="A110" s="476"/>
      <c r="B110" s="484"/>
      <c r="C110" s="484"/>
      <c r="D110" s="484"/>
      <c r="E110" s="484"/>
      <c r="F110" s="484"/>
      <c r="G110" s="482"/>
      <c r="H110" s="492"/>
      <c r="I110" s="474"/>
      <c r="J110" s="482"/>
      <c r="K110" s="482"/>
      <c r="L110" s="482"/>
      <c r="M110" s="482"/>
      <c r="N110" s="483"/>
    </row>
    <row r="111" spans="1:14" ht="14.25">
      <c r="A111" s="468">
        <v>1.9</v>
      </c>
      <c r="B111" s="484"/>
      <c r="C111" s="484"/>
      <c r="D111" s="470" t="s">
        <v>102</v>
      </c>
      <c r="E111" s="471" t="s">
        <v>842</v>
      </c>
      <c r="F111" s="472" t="s">
        <v>843</v>
      </c>
      <c r="G111" s="482" t="s">
        <v>844</v>
      </c>
      <c r="H111" s="474" t="s">
        <v>7</v>
      </c>
      <c r="I111" s="487">
        <v>1120</v>
      </c>
      <c r="J111" s="482"/>
      <c r="K111" s="482"/>
      <c r="L111" s="482"/>
      <c r="M111" s="606">
        <v>1770</v>
      </c>
      <c r="N111" s="475">
        <f>SUM(I111*M111)</f>
        <v>1982400</v>
      </c>
    </row>
    <row r="112" spans="1:14">
      <c r="A112" s="476"/>
      <c r="B112" s="469" t="s">
        <v>807</v>
      </c>
      <c r="C112" s="469"/>
      <c r="D112" s="469"/>
      <c r="E112" s="469"/>
      <c r="F112" s="469"/>
      <c r="G112" s="482" t="s">
        <v>845</v>
      </c>
      <c r="H112" s="492"/>
      <c r="I112" s="474"/>
      <c r="J112" s="482"/>
      <c r="K112" s="482"/>
      <c r="L112" s="482"/>
      <c r="M112" s="482"/>
      <c r="N112" s="483"/>
    </row>
    <row r="113" spans="1:14">
      <c r="A113" s="476"/>
      <c r="B113" s="469" t="s">
        <v>807</v>
      </c>
      <c r="C113" s="469"/>
      <c r="D113" s="469"/>
      <c r="E113" s="469"/>
      <c r="F113" s="469"/>
      <c r="G113" s="482" t="s">
        <v>846</v>
      </c>
      <c r="H113" s="492"/>
      <c r="I113" s="474"/>
      <c r="J113" s="482"/>
      <c r="K113" s="482"/>
      <c r="L113" s="482"/>
      <c r="M113" s="482"/>
      <c r="N113" s="483"/>
    </row>
    <row r="114" spans="1:14">
      <c r="A114" s="476"/>
      <c r="B114" s="469" t="s">
        <v>807</v>
      </c>
      <c r="C114" s="469"/>
      <c r="D114" s="469"/>
      <c r="E114" s="469"/>
      <c r="F114" s="469"/>
      <c r="G114" s="482" t="s">
        <v>847</v>
      </c>
      <c r="H114" s="474"/>
      <c r="I114" s="474"/>
      <c r="J114" s="482"/>
      <c r="K114" s="482"/>
      <c r="L114" s="482"/>
      <c r="M114" s="482"/>
      <c r="N114" s="483"/>
    </row>
    <row r="115" spans="1:14">
      <c r="A115" s="476"/>
      <c r="B115" s="469" t="s">
        <v>807</v>
      </c>
      <c r="C115" s="469"/>
      <c r="D115" s="469"/>
      <c r="E115" s="469"/>
      <c r="F115" s="469"/>
      <c r="G115" s="482" t="s">
        <v>848</v>
      </c>
      <c r="H115" s="474"/>
      <c r="I115" s="474"/>
      <c r="J115" s="482"/>
      <c r="K115" s="482"/>
      <c r="L115" s="482"/>
      <c r="M115" s="482"/>
      <c r="N115" s="483"/>
    </row>
    <row r="116" spans="1:14">
      <c r="A116" s="476"/>
      <c r="B116" s="469" t="s">
        <v>807</v>
      </c>
      <c r="C116" s="469"/>
      <c r="D116" s="469"/>
      <c r="E116" s="469"/>
      <c r="F116" s="469"/>
      <c r="G116" s="482" t="s">
        <v>849</v>
      </c>
      <c r="H116" s="474"/>
      <c r="I116" s="474"/>
      <c r="J116" s="482"/>
      <c r="K116" s="482"/>
      <c r="L116" s="482"/>
      <c r="M116" s="482"/>
      <c r="N116" s="483"/>
    </row>
    <row r="117" spans="1:14">
      <c r="A117" s="476"/>
      <c r="B117" s="469"/>
      <c r="C117" s="469"/>
      <c r="D117" s="469"/>
      <c r="E117" s="469"/>
      <c r="F117" s="469"/>
      <c r="G117" s="494"/>
      <c r="H117" s="474"/>
      <c r="I117" s="474"/>
      <c r="J117" s="494"/>
      <c r="K117" s="494"/>
      <c r="L117" s="494"/>
      <c r="M117" s="494"/>
      <c r="N117" s="495"/>
    </row>
    <row r="118" spans="1:14" ht="14.25">
      <c r="A118" s="496">
        <v>1.1000000000000001</v>
      </c>
      <c r="B118" s="469"/>
      <c r="C118" s="469"/>
      <c r="D118" s="470" t="s">
        <v>102</v>
      </c>
      <c r="E118" s="471" t="s">
        <v>850</v>
      </c>
      <c r="F118" s="472" t="s">
        <v>851</v>
      </c>
      <c r="G118" s="482" t="s">
        <v>852</v>
      </c>
      <c r="H118" s="474"/>
      <c r="I118" s="487"/>
      <c r="J118" s="482"/>
      <c r="K118" s="482"/>
      <c r="L118" s="482"/>
      <c r="M118" s="482"/>
      <c r="N118" s="483"/>
    </row>
    <row r="119" spans="1:14" ht="294" customHeight="1">
      <c r="A119" s="469"/>
      <c r="B119" s="497" t="s">
        <v>807</v>
      </c>
      <c r="C119" s="497"/>
      <c r="D119" s="497"/>
      <c r="E119" s="497"/>
      <c r="F119" s="497"/>
      <c r="G119" s="498" t="s">
        <v>853</v>
      </c>
      <c r="H119" s="474"/>
      <c r="I119" s="474"/>
      <c r="J119" s="482"/>
      <c r="K119" s="482"/>
      <c r="L119" s="482"/>
      <c r="M119" s="482"/>
      <c r="N119" s="483"/>
    </row>
    <row r="120" spans="1:14" ht="14.25">
      <c r="A120" s="469"/>
      <c r="B120" s="497" t="s">
        <v>807</v>
      </c>
      <c r="C120" s="497"/>
      <c r="D120" s="497"/>
      <c r="E120" s="497"/>
      <c r="F120" s="497"/>
      <c r="G120" s="482" t="s">
        <v>854</v>
      </c>
      <c r="H120" s="474"/>
      <c r="I120" s="474"/>
      <c r="J120" s="482"/>
      <c r="K120" s="482"/>
      <c r="L120" s="482"/>
      <c r="M120" s="482"/>
      <c r="N120" s="483"/>
    </row>
    <row r="121" spans="1:14" ht="14.25">
      <c r="A121" s="469"/>
      <c r="B121" s="497" t="s">
        <v>807</v>
      </c>
      <c r="C121" s="497"/>
      <c r="D121" s="497"/>
      <c r="E121" s="497"/>
      <c r="F121" s="497"/>
      <c r="G121" s="482" t="s">
        <v>855</v>
      </c>
      <c r="H121" s="492"/>
      <c r="I121" s="474"/>
      <c r="J121" s="482"/>
      <c r="K121" s="482"/>
      <c r="L121" s="482"/>
      <c r="M121" s="482"/>
      <c r="N121" s="483"/>
    </row>
    <row r="122" spans="1:14" ht="28.5">
      <c r="A122" s="469"/>
      <c r="B122" s="497" t="s">
        <v>807</v>
      </c>
      <c r="C122" s="497"/>
      <c r="D122" s="497"/>
      <c r="E122" s="497"/>
      <c r="F122" s="497"/>
      <c r="G122" s="482" t="s">
        <v>856</v>
      </c>
      <c r="H122" s="492"/>
      <c r="I122" s="474"/>
      <c r="J122" s="482"/>
      <c r="K122" s="482"/>
      <c r="L122" s="482"/>
      <c r="M122" s="482"/>
      <c r="N122" s="483"/>
    </row>
    <row r="123" spans="1:14" ht="14.25">
      <c r="A123" s="469"/>
      <c r="B123" s="497"/>
      <c r="C123" s="497"/>
      <c r="D123" s="497"/>
      <c r="E123" s="497"/>
      <c r="F123" s="497"/>
      <c r="G123" s="482"/>
      <c r="H123" s="492"/>
      <c r="I123" s="474"/>
      <c r="J123" s="482"/>
      <c r="K123" s="482"/>
      <c r="L123" s="482"/>
      <c r="M123" s="482"/>
      <c r="N123" s="483"/>
    </row>
    <row r="124" spans="1:14">
      <c r="A124" s="469"/>
      <c r="B124" s="499" t="s">
        <v>147</v>
      </c>
      <c r="C124" s="499"/>
      <c r="D124" s="499"/>
      <c r="E124" s="499"/>
      <c r="F124" s="499"/>
      <c r="G124" s="485" t="s">
        <v>857</v>
      </c>
      <c r="H124" s="474" t="s">
        <v>7</v>
      </c>
      <c r="I124" s="487">
        <v>296</v>
      </c>
      <c r="J124" s="485"/>
      <c r="K124" s="485"/>
      <c r="L124" s="485"/>
      <c r="M124" s="606">
        <v>1656</v>
      </c>
      <c r="N124" s="475">
        <f>SUM(I124*M124)</f>
        <v>490176</v>
      </c>
    </row>
    <row r="125" spans="1:14" ht="12.75" customHeight="1">
      <c r="A125" s="469"/>
      <c r="B125" s="497"/>
      <c r="C125" s="497"/>
      <c r="D125" s="497"/>
      <c r="E125" s="497"/>
      <c r="F125" s="497"/>
      <c r="G125" s="482"/>
      <c r="H125" s="492"/>
      <c r="I125" s="474"/>
      <c r="J125" s="482"/>
      <c r="K125" s="482"/>
      <c r="L125" s="482"/>
      <c r="M125" s="482"/>
      <c r="N125" s="483"/>
    </row>
    <row r="126" spans="1:14" ht="14.25">
      <c r="A126" s="496">
        <v>1.1100000000000001</v>
      </c>
      <c r="B126" s="469"/>
      <c r="C126" s="469"/>
      <c r="D126" s="470" t="s">
        <v>102</v>
      </c>
      <c r="E126" s="471" t="s">
        <v>850</v>
      </c>
      <c r="F126" s="472" t="s">
        <v>851</v>
      </c>
      <c r="G126" s="482" t="s">
        <v>858</v>
      </c>
      <c r="H126" s="474" t="s">
        <v>7</v>
      </c>
      <c r="I126" s="487">
        <f>170+30</f>
        <v>200</v>
      </c>
      <c r="J126" s="482"/>
      <c r="K126" s="482"/>
      <c r="L126" s="482"/>
      <c r="M126" s="606">
        <v>2700</v>
      </c>
      <c r="N126" s="475">
        <f>SUM(I126*M126)</f>
        <v>540000</v>
      </c>
    </row>
    <row r="127" spans="1:14" ht="28.5">
      <c r="A127" s="476"/>
      <c r="B127" s="469" t="s">
        <v>807</v>
      </c>
      <c r="C127" s="469"/>
      <c r="D127" s="469"/>
      <c r="E127" s="469"/>
      <c r="F127" s="469"/>
      <c r="G127" s="482" t="s">
        <v>859</v>
      </c>
      <c r="H127" s="474"/>
      <c r="I127" s="474"/>
      <c r="J127" s="482"/>
      <c r="K127" s="482"/>
      <c r="L127" s="482"/>
      <c r="M127" s="482"/>
      <c r="N127" s="483"/>
    </row>
    <row r="128" spans="1:14">
      <c r="A128" s="476"/>
      <c r="B128" s="469" t="s">
        <v>807</v>
      </c>
      <c r="C128" s="469"/>
      <c r="D128" s="469"/>
      <c r="E128" s="469"/>
      <c r="F128" s="469"/>
      <c r="G128" s="482" t="s">
        <v>860</v>
      </c>
      <c r="H128" s="474"/>
      <c r="I128" s="474"/>
      <c r="J128" s="482"/>
      <c r="K128" s="482"/>
      <c r="L128" s="482"/>
      <c r="M128" s="482"/>
      <c r="N128" s="483"/>
    </row>
    <row r="129" spans="1:14">
      <c r="A129" s="476"/>
      <c r="B129" s="469" t="s">
        <v>807</v>
      </c>
      <c r="C129" s="469"/>
      <c r="D129" s="469"/>
      <c r="E129" s="469"/>
      <c r="F129" s="469"/>
      <c r="G129" s="482" t="s">
        <v>861</v>
      </c>
      <c r="H129" s="474"/>
      <c r="I129" s="474"/>
      <c r="J129" s="482"/>
      <c r="K129" s="482"/>
      <c r="L129" s="482"/>
      <c r="M129" s="482"/>
      <c r="N129" s="483"/>
    </row>
    <row r="130" spans="1:14">
      <c r="A130" s="476"/>
      <c r="B130" s="469" t="s">
        <v>807</v>
      </c>
      <c r="C130" s="469"/>
      <c r="D130" s="469"/>
      <c r="E130" s="469"/>
      <c r="F130" s="469"/>
      <c r="G130" s="482" t="s">
        <v>862</v>
      </c>
      <c r="H130" s="474"/>
      <c r="I130" s="474"/>
      <c r="J130" s="482"/>
      <c r="K130" s="482"/>
      <c r="L130" s="482"/>
      <c r="M130" s="482"/>
      <c r="N130" s="483"/>
    </row>
    <row r="131" spans="1:14" ht="28.5">
      <c r="A131" s="476"/>
      <c r="B131" s="469" t="s">
        <v>807</v>
      </c>
      <c r="C131" s="469"/>
      <c r="D131" s="469"/>
      <c r="E131" s="469"/>
      <c r="F131" s="469"/>
      <c r="G131" s="482" t="s">
        <v>863</v>
      </c>
      <c r="H131" s="474"/>
      <c r="I131" s="474"/>
      <c r="J131" s="482"/>
      <c r="K131" s="482"/>
      <c r="L131" s="482"/>
      <c r="M131" s="482"/>
      <c r="N131" s="483"/>
    </row>
    <row r="132" spans="1:14">
      <c r="A132" s="476"/>
      <c r="B132" s="499" t="s">
        <v>807</v>
      </c>
      <c r="C132" s="499"/>
      <c r="D132" s="499"/>
      <c r="E132" s="499"/>
      <c r="F132" s="499"/>
      <c r="G132" s="482" t="s">
        <v>864</v>
      </c>
      <c r="H132" s="474"/>
      <c r="I132" s="474"/>
      <c r="J132" s="482"/>
      <c r="K132" s="482"/>
      <c r="L132" s="482"/>
      <c r="M132" s="482"/>
      <c r="N132" s="483"/>
    </row>
    <row r="133" spans="1:14" ht="28.5">
      <c r="A133" s="476"/>
      <c r="B133" s="499" t="s">
        <v>807</v>
      </c>
      <c r="C133" s="499"/>
      <c r="D133" s="499"/>
      <c r="E133" s="499"/>
      <c r="F133" s="499"/>
      <c r="G133" s="482" t="s">
        <v>865</v>
      </c>
      <c r="H133" s="474"/>
      <c r="I133" s="474"/>
      <c r="J133" s="482"/>
      <c r="K133" s="482"/>
      <c r="L133" s="482"/>
      <c r="M133" s="482"/>
      <c r="N133" s="483"/>
    </row>
    <row r="134" spans="1:14">
      <c r="A134" s="476"/>
      <c r="B134" s="499"/>
      <c r="C134" s="499"/>
      <c r="D134" s="499"/>
      <c r="E134" s="499"/>
      <c r="F134" s="499"/>
      <c r="G134" s="482"/>
      <c r="H134" s="474"/>
      <c r="I134" s="474"/>
      <c r="J134" s="482"/>
      <c r="K134" s="482"/>
      <c r="L134" s="482"/>
      <c r="M134" s="482"/>
      <c r="N134" s="483"/>
    </row>
    <row r="135" spans="1:14">
      <c r="A135" s="500">
        <v>1.1200000000000001</v>
      </c>
      <c r="B135" s="469"/>
      <c r="C135" s="469"/>
      <c r="D135" s="501" t="s">
        <v>102</v>
      </c>
      <c r="E135" s="472" t="s">
        <v>215</v>
      </c>
      <c r="F135" s="502" t="s">
        <v>216</v>
      </c>
      <c r="G135" s="503" t="s">
        <v>866</v>
      </c>
      <c r="H135" s="504" t="s">
        <v>7</v>
      </c>
      <c r="I135" s="505">
        <v>50.019999999999996</v>
      </c>
      <c r="J135" s="482"/>
      <c r="K135" s="482"/>
      <c r="L135" s="482"/>
      <c r="M135" s="606">
        <v>1938</v>
      </c>
      <c r="N135" s="475">
        <f>SUM(I135*M135)</f>
        <v>96938.76</v>
      </c>
    </row>
    <row r="136" spans="1:14" ht="85.5">
      <c r="A136" s="506"/>
      <c r="B136" s="484"/>
      <c r="C136" s="484"/>
      <c r="D136" s="507"/>
      <c r="E136" s="507"/>
      <c r="F136" s="507"/>
      <c r="G136" s="204" t="s">
        <v>867</v>
      </c>
      <c r="H136" s="504"/>
      <c r="I136" s="482"/>
      <c r="J136" s="482"/>
      <c r="K136" s="482"/>
      <c r="L136" s="482"/>
      <c r="M136" s="482"/>
      <c r="N136" s="483"/>
    </row>
    <row r="137" spans="1:14">
      <c r="A137" s="506"/>
      <c r="B137" s="484"/>
      <c r="C137" s="484"/>
      <c r="D137" s="484"/>
      <c r="E137" s="484"/>
      <c r="F137" s="484"/>
      <c r="G137" s="482"/>
      <c r="H137" s="482"/>
      <c r="I137" s="482"/>
      <c r="J137" s="482"/>
      <c r="K137" s="482"/>
      <c r="L137" s="482"/>
      <c r="M137" s="482"/>
      <c r="N137" s="483"/>
    </row>
    <row r="138" spans="1:14" ht="185.25">
      <c r="A138" s="476">
        <v>1.1299999999999999</v>
      </c>
      <c r="B138" s="484"/>
      <c r="C138" s="484"/>
      <c r="D138" s="502" t="s">
        <v>102</v>
      </c>
      <c r="E138" s="508" t="s">
        <v>119</v>
      </c>
      <c r="F138" s="507" t="s">
        <v>120</v>
      </c>
      <c r="G138" s="204" t="s">
        <v>279</v>
      </c>
      <c r="H138" s="502" t="s">
        <v>7</v>
      </c>
      <c r="I138" s="482">
        <v>100</v>
      </c>
      <c r="J138" s="482"/>
      <c r="K138" s="482"/>
      <c r="L138" s="482"/>
      <c r="M138" s="606">
        <v>3066</v>
      </c>
      <c r="N138" s="475">
        <f>SUM(I138*M138)</f>
        <v>306600</v>
      </c>
    </row>
    <row r="139" spans="1:14">
      <c r="A139" s="506"/>
      <c r="B139" s="484"/>
      <c r="C139" s="484"/>
      <c r="D139" s="484"/>
      <c r="E139" s="484"/>
      <c r="F139" s="484"/>
      <c r="G139" s="482" t="s">
        <v>868</v>
      </c>
      <c r="H139" s="482"/>
      <c r="I139" s="482"/>
      <c r="J139" s="482"/>
      <c r="K139" s="482"/>
      <c r="L139" s="482"/>
      <c r="M139" s="482"/>
      <c r="N139" s="483"/>
    </row>
    <row r="140" spans="1:14">
      <c r="A140" s="506"/>
      <c r="B140" s="484"/>
      <c r="C140" s="484"/>
      <c r="D140" s="484"/>
      <c r="E140" s="484"/>
      <c r="F140" s="484"/>
      <c r="G140" s="482"/>
      <c r="H140" s="482"/>
      <c r="I140" s="482"/>
      <c r="J140" s="482"/>
      <c r="K140" s="482"/>
      <c r="L140" s="482"/>
      <c r="M140" s="482"/>
      <c r="N140" s="483"/>
    </row>
    <row r="141" spans="1:14" ht="85.5">
      <c r="A141" s="476">
        <v>1.1399999999999999</v>
      </c>
      <c r="B141" s="484"/>
      <c r="C141" s="484"/>
      <c r="D141" s="509" t="s">
        <v>102</v>
      </c>
      <c r="E141" s="509" t="s">
        <v>422</v>
      </c>
      <c r="F141" s="509" t="s">
        <v>869</v>
      </c>
      <c r="G141" s="204" t="s">
        <v>870</v>
      </c>
      <c r="H141" s="502" t="s">
        <v>8</v>
      </c>
      <c r="I141" s="482">
        <f>8*3</f>
        <v>24</v>
      </c>
      <c r="J141" s="482"/>
      <c r="K141" s="482"/>
      <c r="L141" s="482"/>
      <c r="M141" s="606">
        <v>2352</v>
      </c>
      <c r="N141" s="475">
        <f>SUM(I141*M141)</f>
        <v>56448</v>
      </c>
    </row>
    <row r="142" spans="1:14" ht="15.75" thickBot="1">
      <c r="A142" s="510"/>
      <c r="B142" s="511"/>
      <c r="C142" s="511"/>
      <c r="D142" s="511"/>
      <c r="E142" s="511"/>
      <c r="F142" s="511"/>
      <c r="G142" s="512"/>
      <c r="H142" s="513"/>
      <c r="I142" s="513"/>
      <c r="J142" s="512"/>
      <c r="K142" s="512"/>
      <c r="L142" s="512"/>
      <c r="M142" s="512"/>
      <c r="N142" s="514"/>
    </row>
    <row r="143" spans="1:14" ht="15.75" thickBot="1">
      <c r="A143" s="515" t="s">
        <v>16</v>
      </c>
      <c r="B143" s="464"/>
      <c r="C143" s="464"/>
      <c r="D143" s="464"/>
      <c r="E143" s="464"/>
      <c r="F143" s="464"/>
      <c r="G143" s="465" t="s">
        <v>871</v>
      </c>
      <c r="H143" s="466"/>
      <c r="I143" s="466"/>
      <c r="J143" s="516"/>
      <c r="K143" s="516"/>
      <c r="L143" s="516"/>
      <c r="M143" s="516"/>
      <c r="N143" s="517"/>
    </row>
    <row r="144" spans="1:14">
      <c r="A144" s="518"/>
      <c r="B144" s="519"/>
      <c r="C144" s="519"/>
      <c r="D144" s="519"/>
      <c r="E144" s="519"/>
      <c r="F144" s="519"/>
      <c r="G144" s="520"/>
      <c r="H144" s="521"/>
      <c r="I144" s="521"/>
      <c r="J144" s="520"/>
      <c r="K144" s="520"/>
      <c r="L144" s="520"/>
      <c r="M144" s="520"/>
      <c r="N144" s="522"/>
    </row>
    <row r="145" spans="1:14">
      <c r="A145" s="523">
        <v>2.1</v>
      </c>
      <c r="B145" s="499"/>
      <c r="C145" s="499"/>
      <c r="D145" s="499"/>
      <c r="E145" s="499"/>
      <c r="F145" s="499"/>
      <c r="G145" s="524" t="s">
        <v>872</v>
      </c>
      <c r="H145" s="474" t="s">
        <v>7</v>
      </c>
      <c r="I145" s="487">
        <f>20+80</f>
        <v>100</v>
      </c>
      <c r="J145" s="482"/>
      <c r="K145" s="482"/>
      <c r="L145" s="482"/>
      <c r="M145" s="606">
        <v>2382</v>
      </c>
      <c r="N145" s="475">
        <f>SUM(I145*M145)</f>
        <v>238200</v>
      </c>
    </row>
    <row r="146" spans="1:14" ht="42.75">
      <c r="A146" s="476"/>
      <c r="B146" s="499"/>
      <c r="C146" s="499"/>
      <c r="D146" s="499"/>
      <c r="E146" s="499"/>
      <c r="F146" s="499"/>
      <c r="G146" s="525" t="s">
        <v>873</v>
      </c>
      <c r="H146" s="474"/>
      <c r="I146" s="474"/>
      <c r="J146" s="482"/>
      <c r="K146" s="482"/>
      <c r="L146" s="482"/>
      <c r="M146" s="482"/>
      <c r="N146" s="483"/>
    </row>
    <row r="147" spans="1:14" ht="28.5">
      <c r="A147" s="476"/>
      <c r="B147" s="499"/>
      <c r="C147" s="499"/>
      <c r="D147" s="499"/>
      <c r="E147" s="499"/>
      <c r="F147" s="499"/>
      <c r="G147" s="525" t="s">
        <v>874</v>
      </c>
      <c r="H147" s="474"/>
      <c r="I147" s="474"/>
      <c r="J147" s="482"/>
      <c r="K147" s="482"/>
      <c r="L147" s="482"/>
      <c r="M147" s="482"/>
      <c r="N147" s="483"/>
    </row>
    <row r="148" spans="1:14" ht="28.5">
      <c r="A148" s="476"/>
      <c r="B148" s="499"/>
      <c r="C148" s="499"/>
      <c r="D148" s="499"/>
      <c r="E148" s="499"/>
      <c r="F148" s="499"/>
      <c r="G148" s="525" t="s">
        <v>875</v>
      </c>
      <c r="H148" s="474"/>
      <c r="I148" s="474"/>
      <c r="J148" s="482"/>
      <c r="K148" s="482"/>
      <c r="L148" s="482"/>
      <c r="M148" s="482"/>
      <c r="N148" s="483"/>
    </row>
    <row r="149" spans="1:14" ht="28.5">
      <c r="A149" s="476"/>
      <c r="B149" s="499"/>
      <c r="C149" s="499"/>
      <c r="D149" s="499"/>
      <c r="E149" s="499"/>
      <c r="F149" s="499"/>
      <c r="G149" s="525" t="s">
        <v>876</v>
      </c>
      <c r="H149" s="474"/>
      <c r="I149" s="474"/>
      <c r="J149" s="482"/>
      <c r="K149" s="482"/>
      <c r="L149" s="482"/>
      <c r="M149" s="482"/>
      <c r="N149" s="483"/>
    </row>
    <row r="150" spans="1:14" ht="28.5">
      <c r="A150" s="476"/>
      <c r="B150" s="499"/>
      <c r="C150" s="499"/>
      <c r="D150" s="499"/>
      <c r="E150" s="499"/>
      <c r="F150" s="499"/>
      <c r="G150" s="525" t="s">
        <v>877</v>
      </c>
      <c r="H150" s="474"/>
      <c r="I150" s="474"/>
      <c r="J150" s="482"/>
      <c r="K150" s="482"/>
      <c r="L150" s="482"/>
      <c r="M150" s="482"/>
      <c r="N150" s="483"/>
    </row>
    <row r="151" spans="1:14" ht="28.5">
      <c r="A151" s="476"/>
      <c r="B151" s="499"/>
      <c r="C151" s="499"/>
      <c r="D151" s="499"/>
      <c r="E151" s="499"/>
      <c r="F151" s="499"/>
      <c r="G151" s="525" t="s">
        <v>878</v>
      </c>
      <c r="H151" s="474"/>
      <c r="I151" s="474"/>
      <c r="J151" s="482"/>
      <c r="K151" s="482"/>
      <c r="L151" s="482"/>
      <c r="M151" s="482"/>
      <c r="N151" s="483"/>
    </row>
    <row r="152" spans="1:14" ht="28.5">
      <c r="A152" s="476"/>
      <c r="B152" s="499"/>
      <c r="C152" s="499"/>
      <c r="D152" s="499"/>
      <c r="E152" s="499"/>
      <c r="F152" s="499"/>
      <c r="G152" s="525" t="s">
        <v>879</v>
      </c>
      <c r="H152" s="474"/>
      <c r="I152" s="474"/>
      <c r="J152" s="482"/>
      <c r="K152" s="482"/>
      <c r="L152" s="482"/>
      <c r="M152" s="482"/>
      <c r="N152" s="483"/>
    </row>
    <row r="153" spans="1:14">
      <c r="A153" s="476"/>
      <c r="B153" s="499"/>
      <c r="C153" s="499"/>
      <c r="D153" s="499"/>
      <c r="E153" s="499"/>
      <c r="F153" s="499"/>
      <c r="G153" s="525" t="s">
        <v>880</v>
      </c>
      <c r="H153" s="474"/>
      <c r="I153" s="474"/>
      <c r="J153" s="482"/>
      <c r="K153" s="482"/>
      <c r="L153" s="482"/>
      <c r="M153" s="482"/>
      <c r="N153" s="483"/>
    </row>
    <row r="154" spans="1:14">
      <c r="A154" s="476"/>
      <c r="B154" s="499"/>
      <c r="C154" s="499"/>
      <c r="D154" s="499"/>
      <c r="E154" s="499"/>
      <c r="F154" s="499"/>
      <c r="G154" s="525" t="s">
        <v>881</v>
      </c>
      <c r="H154" s="474"/>
      <c r="I154" s="474"/>
      <c r="J154" s="482"/>
      <c r="K154" s="482"/>
      <c r="L154" s="482"/>
      <c r="M154" s="482"/>
      <c r="N154" s="483"/>
    </row>
    <row r="155" spans="1:14">
      <c r="A155" s="476"/>
      <c r="B155" s="499"/>
      <c r="C155" s="499"/>
      <c r="D155" s="499"/>
      <c r="E155" s="499"/>
      <c r="F155" s="499"/>
      <c r="G155" s="482" t="s">
        <v>882</v>
      </c>
      <c r="H155" s="474"/>
      <c r="I155" s="474"/>
      <c r="J155" s="482"/>
      <c r="K155" s="482"/>
      <c r="L155" s="482"/>
      <c r="M155" s="482"/>
      <c r="N155" s="483"/>
    </row>
    <row r="156" spans="1:14">
      <c r="A156" s="476"/>
      <c r="B156" s="499"/>
      <c r="C156" s="499"/>
      <c r="D156" s="499"/>
      <c r="E156" s="499"/>
      <c r="F156" s="499"/>
      <c r="G156" s="482"/>
      <c r="H156" s="474"/>
      <c r="I156" s="474"/>
      <c r="J156" s="482"/>
      <c r="K156" s="482"/>
      <c r="L156" s="482"/>
      <c r="M156" s="482"/>
      <c r="N156" s="483"/>
    </row>
    <row r="157" spans="1:14">
      <c r="A157" s="523">
        <v>2.2000000000000002</v>
      </c>
      <c r="B157" s="499"/>
      <c r="C157" s="499"/>
      <c r="D157" s="499"/>
      <c r="E157" s="499"/>
      <c r="F157" s="499"/>
      <c r="G157" s="526" t="s">
        <v>419</v>
      </c>
      <c r="H157" s="474" t="s">
        <v>7</v>
      </c>
      <c r="I157" s="487">
        <v>2000</v>
      </c>
      <c r="J157" s="482"/>
      <c r="K157" s="482"/>
      <c r="L157" s="482"/>
      <c r="M157" s="606">
        <v>654</v>
      </c>
      <c r="N157" s="475">
        <f>SUM(I157*M157)</f>
        <v>1308000</v>
      </c>
    </row>
    <row r="158" spans="1:14" ht="28.5">
      <c r="A158" s="476"/>
      <c r="B158" s="499"/>
      <c r="C158" s="499"/>
      <c r="D158" s="499"/>
      <c r="E158" s="499"/>
      <c r="F158" s="499"/>
      <c r="G158" s="204" t="s">
        <v>883</v>
      </c>
      <c r="H158" s="474"/>
      <c r="I158" s="474"/>
      <c r="J158" s="482"/>
      <c r="K158" s="482"/>
      <c r="L158" s="482"/>
      <c r="M158" s="482"/>
      <c r="N158" s="483"/>
    </row>
    <row r="159" spans="1:14">
      <c r="A159" s="476"/>
      <c r="B159" s="499"/>
      <c r="C159" s="499"/>
      <c r="D159" s="499"/>
      <c r="E159" s="499"/>
      <c r="F159" s="499"/>
      <c r="G159" s="479" t="s">
        <v>884</v>
      </c>
      <c r="H159" s="474"/>
      <c r="I159" s="474"/>
      <c r="J159" s="482"/>
      <c r="K159" s="482"/>
      <c r="L159" s="482"/>
      <c r="M159" s="482"/>
      <c r="N159" s="483"/>
    </row>
    <row r="160" spans="1:14">
      <c r="A160" s="476"/>
      <c r="B160" s="499"/>
      <c r="C160" s="499"/>
      <c r="D160" s="499"/>
      <c r="E160" s="499"/>
      <c r="F160" s="499"/>
      <c r="G160" s="479" t="s">
        <v>885</v>
      </c>
      <c r="H160" s="474"/>
      <c r="I160" s="474"/>
      <c r="J160" s="482"/>
      <c r="K160" s="482"/>
      <c r="L160" s="482"/>
      <c r="M160" s="482"/>
      <c r="N160" s="483"/>
    </row>
    <row r="161" spans="1:14">
      <c r="A161" s="476"/>
      <c r="B161" s="499"/>
      <c r="C161" s="499"/>
      <c r="D161" s="499"/>
      <c r="E161" s="499"/>
      <c r="F161" s="499"/>
      <c r="G161" s="479" t="s">
        <v>886</v>
      </c>
      <c r="H161" s="474"/>
      <c r="I161" s="474"/>
      <c r="J161" s="482"/>
      <c r="K161" s="482"/>
      <c r="L161" s="482"/>
      <c r="M161" s="482"/>
      <c r="N161" s="483"/>
    </row>
    <row r="162" spans="1:14">
      <c r="A162" s="476"/>
      <c r="B162" s="499"/>
      <c r="C162" s="499"/>
      <c r="D162" s="499"/>
      <c r="E162" s="499"/>
      <c r="F162" s="499"/>
      <c r="G162" s="479" t="s">
        <v>887</v>
      </c>
      <c r="H162" s="474"/>
      <c r="I162" s="474"/>
      <c r="J162" s="482"/>
      <c r="K162" s="482"/>
      <c r="L162" s="482"/>
      <c r="M162" s="482"/>
      <c r="N162" s="483"/>
    </row>
    <row r="163" spans="1:14">
      <c r="A163" s="476"/>
      <c r="B163" s="499"/>
      <c r="C163" s="499"/>
      <c r="D163" s="499"/>
      <c r="E163" s="499"/>
      <c r="F163" s="499"/>
      <c r="G163" s="479" t="s">
        <v>888</v>
      </c>
      <c r="H163" s="474"/>
      <c r="I163" s="474"/>
      <c r="J163" s="482"/>
      <c r="K163" s="482"/>
      <c r="L163" s="482"/>
      <c r="M163" s="482"/>
      <c r="N163" s="483"/>
    </row>
    <row r="164" spans="1:14">
      <c r="A164" s="476"/>
      <c r="B164" s="499"/>
      <c r="C164" s="499"/>
      <c r="D164" s="499"/>
      <c r="E164" s="499"/>
      <c r="F164" s="499"/>
      <c r="G164" s="479" t="s">
        <v>889</v>
      </c>
      <c r="H164" s="474"/>
      <c r="I164" s="474"/>
      <c r="J164" s="482"/>
      <c r="K164" s="482"/>
      <c r="L164" s="482"/>
      <c r="M164" s="482"/>
      <c r="N164" s="483"/>
    </row>
    <row r="165" spans="1:14">
      <c r="A165" s="476"/>
      <c r="B165" s="499"/>
      <c r="C165" s="499"/>
      <c r="D165" s="499"/>
      <c r="E165" s="499"/>
      <c r="F165" s="499"/>
      <c r="G165" s="479"/>
      <c r="H165" s="474"/>
      <c r="I165" s="474"/>
      <c r="J165" s="482"/>
      <c r="K165" s="482"/>
      <c r="L165" s="482"/>
      <c r="M165" s="482"/>
      <c r="N165" s="483"/>
    </row>
    <row r="166" spans="1:14" ht="199.5">
      <c r="A166" s="476">
        <v>2.2999999999999998</v>
      </c>
      <c r="B166" s="499"/>
      <c r="C166" s="499"/>
      <c r="D166" s="509" t="s">
        <v>890</v>
      </c>
      <c r="E166" s="509" t="s">
        <v>891</v>
      </c>
      <c r="F166" s="509" t="s">
        <v>892</v>
      </c>
      <c r="G166" s="204" t="s">
        <v>893</v>
      </c>
      <c r="H166" s="502" t="s">
        <v>7</v>
      </c>
      <c r="I166" s="469">
        <v>10</v>
      </c>
      <c r="J166" s="482"/>
      <c r="K166" s="482"/>
      <c r="L166" s="482"/>
      <c r="M166" s="606">
        <v>4626</v>
      </c>
      <c r="N166" s="475">
        <f>SUM(I166*M166)</f>
        <v>46260</v>
      </c>
    </row>
    <row r="167" spans="1:14">
      <c r="A167" s="510"/>
      <c r="B167" s="511"/>
      <c r="C167" s="511"/>
      <c r="D167" s="527"/>
      <c r="E167" s="527"/>
      <c r="F167" s="527"/>
      <c r="G167" s="528"/>
      <c r="H167" s="529"/>
      <c r="I167" s="530"/>
      <c r="J167" s="512"/>
      <c r="K167" s="512"/>
      <c r="L167" s="512"/>
      <c r="M167" s="512"/>
      <c r="N167" s="514"/>
    </row>
    <row r="168" spans="1:14">
      <c r="A168" s="510"/>
      <c r="B168" s="511"/>
      <c r="C168" s="511"/>
      <c r="D168" s="527"/>
      <c r="E168" s="527"/>
      <c r="F168" s="527"/>
      <c r="G168" s="528"/>
      <c r="H168" s="529"/>
      <c r="I168" s="530"/>
      <c r="J168" s="512"/>
      <c r="K168" s="512"/>
      <c r="L168" s="512"/>
      <c r="M168" s="512"/>
      <c r="N168" s="514"/>
    </row>
    <row r="169" spans="1:14">
      <c r="A169" s="510">
        <v>2.4</v>
      </c>
      <c r="B169" s="531"/>
      <c r="C169" s="532"/>
      <c r="D169" s="532"/>
      <c r="E169" s="532" t="s">
        <v>315</v>
      </c>
      <c r="F169" s="532" t="s">
        <v>321</v>
      </c>
      <c r="G169" s="533" t="s">
        <v>322</v>
      </c>
      <c r="H169" s="534" t="s">
        <v>8</v>
      </c>
      <c r="I169" s="535">
        <v>80</v>
      </c>
      <c r="J169" s="535">
        <v>5</v>
      </c>
      <c r="K169" s="535">
        <f t="shared" ref="K169:K170" si="2">SUM(I169:J169)</f>
        <v>85</v>
      </c>
      <c r="L169" s="536">
        <v>7500</v>
      </c>
      <c r="M169" s="606">
        <v>29360</v>
      </c>
      <c r="N169" s="475">
        <f>SUM(I169*M169)</f>
        <v>2348800</v>
      </c>
    </row>
    <row r="170" spans="1:14" ht="57.75">
      <c r="A170" s="510"/>
      <c r="B170" s="531"/>
      <c r="C170" s="532"/>
      <c r="D170" s="532"/>
      <c r="E170" s="532"/>
      <c r="F170" s="534"/>
      <c r="G170" s="537" t="s">
        <v>894</v>
      </c>
      <c r="H170" s="534"/>
      <c r="I170" s="535"/>
      <c r="J170" s="535"/>
      <c r="K170" s="535">
        <f t="shared" si="2"/>
        <v>0</v>
      </c>
      <c r="L170" s="535"/>
      <c r="M170" s="532"/>
      <c r="N170" s="514"/>
    </row>
    <row r="171" spans="1:14" ht="15.75" thickBot="1">
      <c r="A171" s="510"/>
      <c r="B171" s="530"/>
      <c r="C171" s="530"/>
      <c r="D171" s="530"/>
      <c r="E171" s="530"/>
      <c r="F171" s="530"/>
      <c r="G171" s="538"/>
      <c r="H171" s="538"/>
      <c r="I171" s="538"/>
      <c r="J171" s="538"/>
      <c r="K171" s="538"/>
      <c r="L171" s="538"/>
      <c r="M171" s="538"/>
      <c r="N171" s="539"/>
    </row>
    <row r="172" spans="1:14" ht="15.75" thickBot="1">
      <c r="A172" s="515"/>
      <c r="B172" s="540"/>
      <c r="C172" s="540"/>
      <c r="D172" s="540"/>
      <c r="E172" s="540"/>
      <c r="F172" s="540"/>
      <c r="G172" s="541" t="s">
        <v>895</v>
      </c>
      <c r="H172" s="541"/>
      <c r="I172" s="541"/>
      <c r="J172" s="541"/>
      <c r="K172" s="541"/>
      <c r="L172" s="541"/>
      <c r="M172" s="541"/>
      <c r="N172" s="607">
        <f>SUM(N8:N171)</f>
        <v>13042745.635</v>
      </c>
    </row>
    <row r="173" spans="1:14">
      <c r="A173" s="542"/>
      <c r="B173" s="543"/>
      <c r="C173" s="543"/>
      <c r="D173" s="543"/>
      <c r="E173" s="543"/>
      <c r="F173" s="543"/>
      <c r="G173" s="544"/>
      <c r="H173" s="544"/>
      <c r="I173" s="544"/>
      <c r="J173" s="544"/>
      <c r="K173" s="544"/>
      <c r="L173" s="544"/>
      <c r="M173" s="544"/>
      <c r="N173" s="544"/>
    </row>
    <row r="174" spans="1:14" ht="14.25">
      <c r="A174" s="444"/>
      <c r="B174" s="444"/>
      <c r="C174" s="444"/>
      <c r="D174" s="444"/>
      <c r="E174" s="444"/>
      <c r="F174" s="444"/>
      <c r="G174" s="444"/>
      <c r="H174" s="444"/>
      <c r="I174" s="444"/>
      <c r="J174" s="544"/>
      <c r="K174" s="544"/>
      <c r="L174" s="544"/>
      <c r="M174" s="544"/>
      <c r="N174" s="544"/>
    </row>
    <row r="175" spans="1:14" ht="14.25">
      <c r="A175" s="444"/>
      <c r="B175" s="444"/>
      <c r="C175" s="444"/>
      <c r="D175" s="444"/>
      <c r="E175" s="444"/>
      <c r="F175" s="444"/>
      <c r="G175" s="444"/>
      <c r="H175" s="444"/>
      <c r="I175" s="444"/>
    </row>
    <row r="177" spans="1:14" ht="14.25">
      <c r="A177" s="444"/>
      <c r="B177" s="444"/>
      <c r="C177" s="444"/>
      <c r="D177" s="444"/>
      <c r="E177" s="444"/>
      <c r="F177" s="444"/>
      <c r="G177" s="444"/>
      <c r="H177" s="444"/>
      <c r="I177" s="444"/>
    </row>
    <row r="179" spans="1:14" ht="14.25">
      <c r="A179" s="444"/>
      <c r="B179" s="444"/>
      <c r="C179" s="444"/>
      <c r="D179" s="444"/>
      <c r="E179" s="444"/>
      <c r="F179" s="444"/>
      <c r="G179" s="444"/>
      <c r="H179" s="444"/>
      <c r="I179" s="444"/>
    </row>
    <row r="181" spans="1:14" s="547" customFormat="1">
      <c r="A181" s="545"/>
      <c r="B181" s="546"/>
      <c r="C181" s="546"/>
      <c r="I181" s="548"/>
      <c r="J181" s="548"/>
      <c r="K181" s="548"/>
      <c r="L181" s="548"/>
      <c r="M181" s="548"/>
      <c r="N181" s="548"/>
    </row>
  </sheetData>
  <mergeCells count="2">
    <mergeCell ref="A1:N1"/>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PH2-summary</vt:lpstr>
      <vt:lpstr>0 Overall</vt:lpstr>
      <vt:lpstr>welcome zone</vt:lpstr>
      <vt:lpstr>fine dine &amp; live kitchen</vt:lpstr>
      <vt:lpstr>tea lounge</vt:lpstr>
      <vt:lpstr>sports &amp; relax lounge</vt:lpstr>
      <vt:lpstr>SPA</vt:lpstr>
      <vt:lpstr>Water Lounge</vt:lpstr>
      <vt:lpstr>CIVIL-WET WORK</vt:lpstr>
      <vt:lpstr>SHIFTING AND CLEARING</vt:lpstr>
      <vt:lpstr>'PH2-summary'!Print_Area</vt:lpstr>
      <vt:lpstr>'SHIFTING AND CLEARING'!Print_Area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Kirtikumar Mistry</cp:lastModifiedBy>
  <cp:lastPrinted>2024-07-10T09:40:21Z</cp:lastPrinted>
  <dcterms:created xsi:type="dcterms:W3CDTF">2020-07-31T09:51:27Z</dcterms:created>
  <dcterms:modified xsi:type="dcterms:W3CDTF">2024-07-20T09:42:58Z</dcterms:modified>
</cp:coreProperties>
</file>