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activeTab="8"/>
  </bookViews>
  <sheets>
    <sheet name="PH2-summary" sheetId="20" r:id="rId1"/>
    <sheet name="0 Overall" sheetId="13" r:id="rId2"/>
    <sheet name="welcome zone" sheetId="14" r:id="rId3"/>
    <sheet name="fine dine &amp; live kitchen" sheetId="15" r:id="rId4"/>
    <sheet name="tea lounge" sheetId="16" r:id="rId5"/>
    <sheet name="sports &amp; relax lounge" sheetId="17" r:id="rId6"/>
    <sheet name="SPA" sheetId="18" r:id="rId7"/>
    <sheet name="Water Lounge" sheetId="19" r:id="rId8"/>
    <sheet name="CIVIL-WET WORK" sheetId="21" r:id="rId9"/>
  </sheets>
  <definedNames>
    <definedName name="__xlnm.Print_Titles_2">#REF!</definedName>
    <definedName name="__xlnm.Print_Titles_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<sst xmlns="http://schemas.openxmlformats.org/spreadsheetml/2006/main" count="2020" uniqueCount="890">
  <si>
    <t>SUMMARY - DOMESTIC LOUNGE PHASE-2 - INTERIOR WORKS</t>
  </si>
  <si>
    <t>A</t>
  </si>
  <si>
    <t>ABM</t>
  </si>
  <si>
    <t>SR.NO</t>
  </si>
  <si>
    <t>LOUNGES PHASE-II</t>
  </si>
  <si>
    <t>AMT</t>
  </si>
  <si>
    <t>OVERALL COMMON SPACES</t>
  </si>
  <si>
    <t>WELCOME LOUNGES</t>
  </si>
  <si>
    <t>FINE DINE AND LIVE KITCHEN</t>
  </si>
  <si>
    <t>TEA LOUNGE</t>
  </si>
  <si>
    <t>SPORTS AND RELAX LOUNGE</t>
  </si>
  <si>
    <t xml:space="preserve">SPA </t>
  </si>
  <si>
    <t>WATER LOUNGE</t>
  </si>
  <si>
    <t>BASEWORK CIVIL WORK</t>
  </si>
  <si>
    <t>TOTAL A- 1 TO 10</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</si>
  <si>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</si>
  <si>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</si>
  <si>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</si>
  <si>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</si>
  <si>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</si>
  <si>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</si>
  <si>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</si>
  <si>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</si>
  <si>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</si>
  <si>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</si>
  <si>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</si>
  <si>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</si>
  <si>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</si>
  <si>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</si>
  <si>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</si>
  <si>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</si>
  <si>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</si>
  <si>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</si>
  <si>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</si>
  <si>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ZONE -0 OVERALL  BOQ</t>
  </si>
  <si>
    <t>ABM ESTIMATE</t>
  </si>
  <si>
    <t>Sr No</t>
  </si>
  <si>
    <t>Service / Materials Code</t>
  </si>
  <si>
    <t>WBS</t>
  </si>
  <si>
    <t>WBS Level 2</t>
  </si>
  <si>
    <t>Short  Item Description</t>
  </si>
  <si>
    <t>Description</t>
  </si>
  <si>
    <t>Unit</t>
  </si>
  <si>
    <t>Qty. of Items</t>
  </si>
  <si>
    <t xml:space="preserve">Total Rate / Unit (Materials + Fixing) </t>
  </si>
  <si>
    <t>Amount in INR. (Without Taxes)</t>
  </si>
  <si>
    <t>I</t>
  </si>
  <si>
    <t>CIVIL WORK</t>
  </si>
  <si>
    <t>CVL/FLR</t>
  </si>
  <si>
    <t>Marble flooring</t>
  </si>
  <si>
    <t>18 mm thick Italian Marble flooring</t>
  </si>
  <si>
    <t>Smt</t>
  </si>
  <si>
    <r>
      <rPr>
        <sz val="11"/>
        <rFont val="Calibri"/>
        <charset val="134"/>
      </rP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charset val="134"/>
      </rPr>
      <t>including approved sealer to be applied on all sides,</t>
    </r>
    <r>
      <rPr>
        <sz val="11"/>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</si>
  <si>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CVL/WCD</t>
  </si>
  <si>
    <t>Marble Wall Cladding</t>
  </si>
  <si>
    <t>18 mm thick Italian Marble Dado on Lift wall including Jambline</t>
  </si>
  <si>
    <r>
      <rPr>
        <sz val="11"/>
        <rFont val="Calibri"/>
        <charset val="134"/>
      </rP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charset val="134"/>
      </rPr>
      <t>including approved sealer to be applied on all sides</t>
    </r>
    <r>
      <rPr>
        <sz val="11"/>
        <rFont val="Calibri"/>
        <charset val="134"/>
      </rPr>
      <t xml:space="preserve"> , Basic cost of marble Rs 450/sft </t>
    </r>
  </si>
  <si>
    <t>Texture tile Cladding</t>
  </si>
  <si>
    <t>Designer/Texture Tile Cladding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</si>
  <si>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</si>
  <si>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CVL/LDG</t>
  </si>
  <si>
    <t>Jamb line</t>
  </si>
  <si>
    <t>Marble  Jamb line</t>
  </si>
  <si>
    <t>rmt</t>
  </si>
  <si>
    <r>
      <rPr>
        <sz val="11"/>
        <rFont val="Calibri"/>
        <charset val="134"/>
      </rP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charset val="134"/>
      </rPr>
      <t>including approved sealer to be applied on all sides</t>
    </r>
    <r>
      <rPr>
        <sz val="11"/>
        <rFont val="Calibri"/>
        <charset val="134"/>
      </rPr>
      <t xml:space="preserve"> , Special care to be taken to fix marble on horizontal surface. Shall rest over ply at one end and vertical marble on the other, ( Basic cost of marble Rs 450/sft )</t>
    </r>
  </si>
  <si>
    <t>CVL/SKT</t>
  </si>
  <si>
    <t>Marble Skirting</t>
  </si>
  <si>
    <t>Marble Skirting Boxing -Openable</t>
  </si>
  <si>
    <r>
      <rPr>
        <sz val="11"/>
        <rFont val="Calibri"/>
        <charset val="134"/>
      </rP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charset val="134"/>
      </rPr>
      <t>approved sealer to be applied on all sides</t>
    </r>
    <r>
      <rPr>
        <sz val="11"/>
        <rFont val="Calibri"/>
        <charset val="134"/>
      </rPr>
      <t xml:space="preserve"> (  Basic cost of marble Rs 450/sft )</t>
    </r>
  </si>
  <si>
    <t>II</t>
  </si>
  <si>
    <t>FRENCH PLASTER WORK</t>
  </si>
  <si>
    <t>FP</t>
  </si>
  <si>
    <t>CEILING</t>
  </si>
  <si>
    <t>Fire line Gypsum board ceiling</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</si>
  <si>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ceilling height is 4300 mm )</t>
    </r>
  </si>
  <si>
    <t>Bulk Head in Profile- In Flat Water cut Paint finish</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</si>
  <si>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</si>
  <si>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refer Drawing no- B01-TFS-DOM02-ID-00-13</t>
  </si>
  <si>
    <t>French Plaster</t>
  </si>
  <si>
    <t>POP plaster punning</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</si>
  <si>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</si>
  <si>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III</t>
  </si>
  <si>
    <t>CARPENTRY WORK</t>
  </si>
  <si>
    <t>CP-SKIN</t>
  </si>
  <si>
    <t>PLY</t>
  </si>
  <si>
    <t>FRP Ply Paneling</t>
  </si>
  <si>
    <r>
      <rPr>
        <sz val="11"/>
        <rFont val="Calibri"/>
        <charset val="134"/>
      </rPr>
      <t xml:space="preserve">providing and fixing </t>
    </r>
    <r>
      <rPr>
        <sz val="11"/>
        <color rgb="FFFF0000"/>
        <rFont val="Calibri"/>
        <charset val="134"/>
      </rPr>
      <t>Fire rated</t>
    </r>
    <r>
      <rPr>
        <sz val="11"/>
        <rFont val="Calibri"/>
        <charset val="134"/>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</si>
  <si>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rPr>
        <sz val="11"/>
        <rFont val="Calibri"/>
        <charset val="134"/>
      </rPr>
      <t xml:space="preserve">12 mm thk </t>
    </r>
    <r>
      <rPr>
        <sz val="11"/>
        <color rgb="FFFF0000"/>
        <rFont val="Calibri"/>
        <charset val="134"/>
      </rPr>
      <t>Fire rated</t>
    </r>
    <r>
      <rPr>
        <sz val="11"/>
        <rFont val="Calibri"/>
        <charset val="134"/>
      </rPr>
      <t xml:space="preserve"> plywood</t>
    </r>
  </si>
  <si>
    <r>
      <rPr>
        <sz val="11"/>
        <rFont val="Calibri"/>
        <charset val="134"/>
      </rPr>
      <t xml:space="preserve">15 mm thk </t>
    </r>
    <r>
      <rPr>
        <sz val="11"/>
        <color rgb="FFFF0000"/>
        <rFont val="Calibri"/>
        <charset val="134"/>
      </rPr>
      <t>Fire rated</t>
    </r>
    <r>
      <rPr>
        <sz val="11"/>
        <rFont val="Calibri"/>
        <charset val="134"/>
      </rPr>
      <t xml:space="preserve"> plywood</t>
    </r>
  </si>
  <si>
    <r>
      <rPr>
        <sz val="11"/>
        <rFont val="Calibri"/>
        <charset val="134"/>
      </rPr>
      <t xml:space="preserve">18 mm thk </t>
    </r>
    <r>
      <rPr>
        <sz val="11"/>
        <color rgb="FFFF0000"/>
        <rFont val="Calibri"/>
        <charset val="134"/>
      </rPr>
      <t>Fire rated</t>
    </r>
    <r>
      <rPr>
        <sz val="11"/>
        <rFont val="Calibri"/>
        <charset val="134"/>
      </rPr>
      <t xml:space="preserve"> plywood</t>
    </r>
  </si>
  <si>
    <r>
      <rPr>
        <sz val="11"/>
        <rFont val="Calibri"/>
        <charset val="134"/>
      </rPr>
      <t xml:space="preserve">6 mm thk Flexi </t>
    </r>
    <r>
      <rPr>
        <sz val="11"/>
        <color rgb="FFFF0000"/>
        <rFont val="Calibri"/>
        <charset val="134"/>
      </rPr>
      <t>Fire rated</t>
    </r>
    <r>
      <rPr>
        <sz val="11"/>
        <rFont val="Calibri"/>
        <charset val="134"/>
      </rPr>
      <t xml:space="preserve"> plywood</t>
    </r>
  </si>
  <si>
    <t>VENEER</t>
  </si>
  <si>
    <t>Veneer skin</t>
  </si>
  <si>
    <r>
      <rPr>
        <sz val="11"/>
        <rFont val="Calibri"/>
        <charset val="134"/>
      </rP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charset val="134"/>
      </rPr>
      <t xml:space="preserve"> Approved Waterbase PU polish</t>
    </r>
  </si>
  <si>
    <t>(Basic cost of veneer up to Rs. 125/-sft )</t>
  </si>
  <si>
    <t>CP-SS</t>
  </si>
  <si>
    <t>SS PROFILE</t>
  </si>
  <si>
    <t>SS Satin Bronze finish Floor Insert in Curved Profile</t>
  </si>
  <si>
    <t>Rmt</t>
  </si>
  <si>
    <t xml:space="preserve">up to 18 mm wide, 4 mm thick 304 grade  Insert in Two Floorings ,  Fixed with epoxy adhesive </t>
  </si>
  <si>
    <t>SS Skirting</t>
  </si>
  <si>
    <t>SS Bronze Satin finish skirting 50mm high</t>
  </si>
  <si>
    <t>16 SWG, 304 Grade SS skirting over existing ply, Fixed with epoxy adhesive</t>
  </si>
  <si>
    <t>CP-PNL</t>
  </si>
  <si>
    <t>Paneling</t>
  </si>
  <si>
    <t>View Cutter Paneling up to 2500 mm high above Deck Slab</t>
  </si>
  <si>
    <t>sqmt</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</si>
  <si>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</si>
  <si>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IV</t>
  </si>
  <si>
    <t>MISCELLANOUS WORK</t>
  </si>
  <si>
    <t>MISC</t>
  </si>
  <si>
    <t>Painting</t>
  </si>
  <si>
    <t>Art paintings &amp; atrifacts</t>
  </si>
  <si>
    <t>LS</t>
  </si>
  <si>
    <t>Signage</t>
  </si>
  <si>
    <t>Signages</t>
  </si>
  <si>
    <t>Attendance</t>
  </si>
  <si>
    <t>Attendance for MEPF works</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</si>
  <si>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</si>
  <si>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</si>
  <si>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</si>
  <si>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</si>
  <si>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</si>
  <si>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</si>
  <si>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Including all Other services</t>
  </si>
  <si>
    <t>V</t>
  </si>
  <si>
    <t>PAINTING WORK</t>
  </si>
  <si>
    <t>PNT</t>
  </si>
  <si>
    <t>Wall Paint</t>
  </si>
  <si>
    <t>Highlight Painting to walls</t>
  </si>
  <si>
    <t>smt</t>
  </si>
  <si>
    <t>Sanding and preparing surface for receiving paint, One coat of cement primer in solvent base, Two coats of putty in oil / synthetic enamel base, Three coats of luster paint. Complete as per manufacturer's specifications</t>
  </si>
  <si>
    <t>Duco Paint to Walls/Partition</t>
  </si>
  <si>
    <t>Sanding and preparing surface for receiving paint, Final coats of Dcuot paint. Complete as per manufacturer's specifications</t>
  </si>
  <si>
    <t>Ceiling Paint</t>
  </si>
  <si>
    <t>Painting to ceiling in acrylic emulsion paint</t>
  </si>
  <si>
    <t>Sanding and preparing surface for receiving paint, One coat of cement primer in solvent base. Two coats of putty ,Three coats of acrylic emulsion paint, Complete as per manufacturer's specifications</t>
  </si>
  <si>
    <t>Concrete Paint</t>
  </si>
  <si>
    <t>Concrete texture finish Paint</t>
  </si>
  <si>
    <t>Paint By Evolve-mumbai ( basic cost of Pait Rs 250/sqft )</t>
  </si>
  <si>
    <t>Note:</t>
  </si>
  <si>
    <t xml:space="preserve">1) All plywood to be fire rated </t>
  </si>
  <si>
    <t>2) Approved make to be specified</t>
  </si>
  <si>
    <t>3) All polish to  be water based PU</t>
  </si>
  <si>
    <t>4) Apporved sealer to be applied in all 6 sides of marble</t>
  </si>
  <si>
    <t>5) Profile to be check</t>
  </si>
  <si>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</si>
  <si>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</si>
  <si>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</si>
  <si>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</si>
  <si>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</si>
  <si>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</si>
  <si>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</si>
  <si>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</si>
  <si>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</si>
  <si>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</si>
  <si>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</si>
  <si>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</si>
  <si>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</si>
  <si>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</si>
  <si>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</si>
  <si>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r>
      <rPr>
        <sz val="11"/>
        <rFont val="Calibri"/>
        <charset val="134"/>
      </rP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charset val="134"/>
      </rPr>
      <t xml:space="preserve"> up to 4300mm ht</t>
    </r>
    <r>
      <rPr>
        <sz val="11"/>
        <rFont val="Calibri"/>
        <charset val="134"/>
      </rPr>
      <t xml:space="preserve"> up to mother slab level.                       </t>
    </r>
  </si>
  <si>
    <t>Sq. Mtr.</t>
  </si>
  <si>
    <t xml:space="preserve">Building 100 mm thk. Aerocon block wall / Partition of 4300mm height at Toilet Areas. </t>
  </si>
  <si>
    <r>
      <rPr>
        <sz val="11"/>
        <rFont val="Calibri"/>
        <charset val="134"/>
      </rP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RCC Patli to be after every 5 layers</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</si>
  <si>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Plaster</t>
  </si>
  <si>
    <t>CVL-Wall Plaster</t>
  </si>
  <si>
    <t>12/15mm thick Wall Plaster on the both surfaces Block Wall / Partition up to 4300mm height .</t>
  </si>
  <si>
    <r>
      <rPr>
        <sz val="11"/>
        <rFont val="Calibri"/>
        <charset val="134"/>
      </rPr>
      <t xml:space="preserve">P&amp;A of </t>
    </r>
    <r>
      <rPr>
        <b/>
        <sz val="11"/>
        <rFont val="Calibri"/>
        <charset val="134"/>
      </rPr>
      <t>single coat backing plaster of 12/ 15 mm thick</t>
    </r>
    <r>
      <rPr>
        <sz val="11"/>
        <rFont val="Calibri"/>
        <charset val="134"/>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</si>
  <si>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</si>
  <si>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</si>
  <si>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</si>
  <si>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</si>
  <si>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</si>
  <si>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</si>
  <si>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</si>
  <si>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r>
      <rPr>
        <sz val="10"/>
        <rFont val="Calibri"/>
        <charset val="134"/>
      </rP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charset val="134"/>
      </rPr>
      <t xml:space="preserve">including Approved sealer to be applied on all sides </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</si>
  <si>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</si>
  <si>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</si>
  <si>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</si>
  <si>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</si>
  <si>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</si>
  <si>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r>
      <rPr>
        <sz val="10"/>
        <rFont val="Calibri"/>
        <charset val="134"/>
      </rP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charset val="134"/>
      </rPr>
      <t>including Approved sealer to be applied on all sides,</t>
    </r>
    <r>
      <rPr>
        <sz val="10"/>
        <rFont val="Calibri"/>
        <charset val="134"/>
      </rPr>
      <t xml:space="preserve"> All visible edges of Marble shall be mirror polished, Basic cost of marble Rs 450/sft </t>
    </r>
  </si>
  <si>
    <t>18 mm thick Exotic  Italian Marble Cladding on signage wall</t>
  </si>
  <si>
    <r>
      <rPr>
        <sz val="10"/>
        <rFont val="Calibri"/>
        <charset val="134"/>
      </rP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charset val="134"/>
      </rPr>
      <t xml:space="preserve"> including Approved sealer to be applied on all sides</t>
    </r>
    <r>
      <rPr>
        <sz val="10"/>
        <rFont val="Calibri"/>
        <charset val="134"/>
      </rPr>
      <t xml:space="preserve">, All visible edges of Marble shall be mirror polished, Basic cost of marble Rs 1000/sft </t>
    </r>
  </si>
  <si>
    <t>Planter Box</t>
  </si>
  <si>
    <t>Marble finish Planter Box</t>
  </si>
  <si>
    <t>nos</t>
  </si>
  <si>
    <r>
      <rPr>
        <sz val="10"/>
        <rFont val="Calibri"/>
        <charset val="134"/>
      </rP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charset val="134"/>
      </rPr>
      <t>including Approved sealer to be applied on all sides</t>
    </r>
    <r>
      <rPr>
        <sz val="10"/>
        <rFont val="Calibri"/>
        <charset val="134"/>
      </rPr>
      <t xml:space="preserve">, All visible edges of Marble shall be mirror polished, Basic cost of marble Rs 1500/sft </t>
    </r>
  </si>
  <si>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</si>
  <si>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</si>
  <si>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</si>
  <si>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</si>
  <si>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</si>
  <si>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</si>
  <si>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</si>
  <si>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</si>
  <si>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</si>
  <si>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</si>
  <si>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</si>
  <si>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</si>
  <si>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</si>
  <si>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</si>
  <si>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</si>
  <si>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</si>
  <si>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</si>
  <si>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</si>
  <si>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</si>
  <si>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r>
      <rPr>
        <sz val="10"/>
        <rFont val="Calibri"/>
        <charset val="134"/>
      </rPr>
      <t xml:space="preserve">providing and fixing </t>
    </r>
    <r>
      <rPr>
        <sz val="10"/>
        <color rgb="FFFF0000"/>
        <rFont val="Calibri"/>
        <charset val="134"/>
      </rPr>
      <t>Fire rated</t>
    </r>
    <r>
      <rPr>
        <sz val="10"/>
        <rFont val="Calibri"/>
        <charset val="134"/>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</si>
  <si>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t>a</t>
  </si>
  <si>
    <r>
      <rPr>
        <sz val="10"/>
        <rFont val="Calibri"/>
        <charset val="134"/>
      </rPr>
      <t xml:space="preserve">12 mm thk </t>
    </r>
    <r>
      <rPr>
        <sz val="10"/>
        <color rgb="FFFF0000"/>
        <rFont val="Calibri"/>
        <charset val="134"/>
      </rPr>
      <t>Fire rated</t>
    </r>
    <r>
      <rPr>
        <sz val="10"/>
        <rFont val="Calibri"/>
        <charset val="134"/>
      </rPr>
      <t xml:space="preserve"> plywood</t>
    </r>
  </si>
  <si>
    <t>b</t>
  </si>
  <si>
    <r>
      <rPr>
        <sz val="10"/>
        <rFont val="Calibri"/>
        <charset val="134"/>
      </rPr>
      <t xml:space="preserve">15 mm thk </t>
    </r>
    <r>
      <rPr>
        <sz val="10"/>
        <color rgb="FFFF0000"/>
        <rFont val="Calibri"/>
        <charset val="134"/>
      </rPr>
      <t>Fire rated</t>
    </r>
    <r>
      <rPr>
        <sz val="10"/>
        <rFont val="Calibri"/>
        <charset val="134"/>
      </rPr>
      <t xml:space="preserve"> plywood</t>
    </r>
  </si>
  <si>
    <t>c</t>
  </si>
  <si>
    <r>
      <rPr>
        <sz val="10"/>
        <rFont val="Calibri"/>
        <charset val="134"/>
      </rPr>
      <t xml:space="preserve">18 mm thk </t>
    </r>
    <r>
      <rPr>
        <sz val="10"/>
        <color rgb="FFFF0000"/>
        <rFont val="Calibri"/>
        <charset val="134"/>
      </rPr>
      <t>Fire rated</t>
    </r>
    <r>
      <rPr>
        <sz val="10"/>
        <rFont val="Calibri"/>
        <charset val="134"/>
      </rPr>
      <t xml:space="preserve"> plywood</t>
    </r>
  </si>
  <si>
    <t>d</t>
  </si>
  <si>
    <r>
      <rPr>
        <sz val="10"/>
        <rFont val="Calibri"/>
        <charset val="134"/>
      </rPr>
      <t xml:space="preserve">6 mm thk Flexi </t>
    </r>
    <r>
      <rPr>
        <sz val="10"/>
        <color rgb="FFFF0000"/>
        <rFont val="Calibri"/>
        <charset val="134"/>
      </rPr>
      <t>Fire rated</t>
    </r>
    <r>
      <rPr>
        <sz val="10"/>
        <rFont val="Calibri"/>
        <charset val="134"/>
      </rPr>
      <t xml:space="preserve"> plywood</t>
    </r>
  </si>
  <si>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</si>
  <si>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</si>
  <si>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</si>
  <si>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</si>
  <si>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</si>
  <si>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</si>
  <si>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</si>
  <si>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</si>
  <si>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</si>
  <si>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</si>
  <si>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</si>
  <si>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</si>
  <si>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</si>
  <si>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</si>
  <si>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</si>
  <si>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</si>
  <si>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</si>
  <si>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</si>
  <si>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</si>
  <si>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</si>
  <si>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TINTED 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</si>
  <si>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</si>
  <si>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</si>
  <si>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</si>
  <si>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</si>
  <si>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</si>
  <si>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</si>
  <si>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</si>
  <si>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Providing and fixing  1000 mm wide x 1000 mm length Reception (Lectrun )desk , finish in Marble /SS/Veneer. As per detail drawings</t>
  </si>
  <si>
    <t>CP-DR</t>
  </si>
  <si>
    <t xml:space="preserve">DOOR </t>
  </si>
  <si>
    <t>Service room &amp; Spa room  Door in Fluted design matching to fluted paneling in metallic Paint Finish</t>
  </si>
  <si>
    <t>No</t>
  </si>
  <si>
    <t>Size : 1000mm x 2250mm</t>
  </si>
  <si>
    <t>Door Frame :</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</si>
  <si>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</si>
  <si>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Shutter :</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</si>
  <si>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</si>
  <si>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</si>
  <si>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</si>
  <si>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</si>
  <si>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</si>
  <si>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</si>
  <si>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</si>
  <si>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</si>
  <si>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</si>
  <si>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</si>
  <si>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</si>
  <si>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</si>
  <si>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</si>
  <si>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</si>
  <si>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</si>
  <si>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</si>
  <si>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</si>
  <si>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</si>
  <si>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</si>
  <si>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</si>
  <si>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</si>
  <si>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</si>
  <si>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</si>
  <si>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</si>
  <si>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t>FINE DINING &amp; LIVE KITCHEN AREA BOQ</t>
  </si>
  <si>
    <t>1.1a</t>
  </si>
  <si>
    <t>18 mm thick Italian Marble flooring in Various Marble shade  and in strip form Pattern - for Dining</t>
  </si>
  <si>
    <r>
      <rPr>
        <sz val="10"/>
        <rFont val="Calibri"/>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charset val="134"/>
      </rPr>
      <t xml:space="preserve">including Approved sealer to be applied on all sides </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</si>
  <si>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1.1b</t>
  </si>
  <si>
    <t>Vitrified flooring</t>
  </si>
  <si>
    <t>Kotah tile Flooring for Live Kitchen</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</si>
  <si>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</si>
  <si>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1.1c</t>
  </si>
  <si>
    <t>18 mm thick Italian Marble flooring black and white tile form- for Dining</t>
  </si>
  <si>
    <r>
      <rPr>
        <sz val="10"/>
        <rFont val="Calibri"/>
        <charset val="134"/>
      </rP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charset val="134"/>
      </rPr>
      <t>including Approved sealer to be applied on all sides,</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550/sft </t>
    </r>
  </si>
  <si>
    <t>CVL-TILE</t>
  </si>
  <si>
    <t>Tile Cladding</t>
  </si>
  <si>
    <t>Joint less ceramic tiles cladding ( behind Buffet counter )</t>
  </si>
  <si>
    <r>
      <rPr>
        <sz val="10"/>
        <rFont val="Calibri"/>
        <charset val="134"/>
      </rPr>
      <t xml:space="preserve">Cladding shall comprise of ceramic tile of 300 mm x 300 mm, Tiles to be fixed in ordinary Portland cement only, Tiles to be put with </t>
    </r>
    <r>
      <rPr>
        <sz val="10"/>
        <color rgb="FFFF0000"/>
        <rFont val="Calibri"/>
        <charset val="134"/>
      </rPr>
      <t>Spacer required with Leticrete grout in  joints</t>
    </r>
    <r>
      <rPr>
        <sz val="10"/>
        <rFont val="Calibri"/>
        <charset val="134"/>
      </rPr>
      <t xml:space="preserve"> in plumb, Joints to be filled with  matching grout.(Basic cost of ceramic tiles at Rs.30/sft) make: Johnson / Somany / Kajaria / Nitco</t>
    </r>
  </si>
  <si>
    <t>Vitrified tile For Live Kitchen</t>
  </si>
  <si>
    <r>
      <rPr>
        <sz val="10"/>
        <rFont val="Calibri"/>
        <charset val="134"/>
      </rP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charset val="134"/>
      </rPr>
      <t>Tiles to be put with Spacer required with Leticrete grout in  joints in plumb</t>
    </r>
    <r>
      <rPr>
        <sz val="10"/>
        <rFont val="Calibri"/>
        <charset val="134"/>
      </rPr>
      <t>, Joints to be filled with  matching grout.  preferably by a nominated contractor. Basic cost of mosaic tiles at Rs.150/sft without tax</t>
    </r>
  </si>
  <si>
    <t>CVL/CLD</t>
  </si>
  <si>
    <t>marble wall cladding</t>
  </si>
  <si>
    <t>Italian Marble Wall Cladding</t>
  </si>
  <si>
    <r>
      <rPr>
        <sz val="10"/>
        <color indexed="8"/>
        <rFont val="Calibri"/>
        <charset val="134"/>
      </rPr>
      <t xml:space="preserve">Clean existing wall surface before fixing wall cladding, Marble shall be minimum 18 mm thick fixed to </t>
    </r>
    <r>
      <rPr>
        <sz val="10"/>
        <color rgb="FFFF0000"/>
        <rFont val="Calibri"/>
        <charset val="134"/>
      </rPr>
      <t xml:space="preserve">fire rated </t>
    </r>
    <r>
      <rPr>
        <sz val="10"/>
        <color indexed="8"/>
        <rFont val="Calibri"/>
        <charset val="134"/>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charset val="134"/>
      </rPr>
      <t xml:space="preserve"> including Approved sealer to be applied on all sides</t>
    </r>
    <r>
      <rPr>
        <sz val="10"/>
        <color indexed="8"/>
        <rFont val="Calibri"/>
        <charset val="134"/>
      </rPr>
      <t xml:space="preserve"> (On site cost of Italian marble @ Rs.450/sft without tax)</t>
    </r>
  </si>
  <si>
    <t>Italian Marble Finish Band</t>
  </si>
  <si>
    <r>
      <rPr>
        <sz val="10"/>
        <color indexed="8"/>
        <rFont val="Calibri"/>
        <charset val="134"/>
      </rPr>
      <t xml:space="preserve">Size up to 400 Mm high, Clean existing wall surface before fixing wall cladding, Marble shall be minimum 18 mm thick fixed to </t>
    </r>
    <r>
      <rPr>
        <sz val="10"/>
        <color rgb="FFFF0000"/>
        <rFont val="Calibri"/>
        <charset val="134"/>
      </rPr>
      <t>Fire rated</t>
    </r>
    <r>
      <rPr>
        <sz val="10"/>
        <color indexed="8"/>
        <rFont val="Calibri"/>
        <charset val="134"/>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charset val="134"/>
      </rPr>
      <t>including Approved sealer to be applied on all sides</t>
    </r>
    <r>
      <rPr>
        <sz val="10"/>
        <color indexed="8"/>
        <rFont val="Calibri"/>
        <charset val="134"/>
      </rPr>
      <t xml:space="preserve"> (On site cost of Italian marble @ Rs.450/sft without tax)</t>
    </r>
  </si>
  <si>
    <t>Marble Architrave</t>
  </si>
  <si>
    <t>Marble Portal /Architrave ( 50 mm wide 400 mm deep )</t>
  </si>
  <si>
    <r>
      <rPr>
        <sz val="10"/>
        <rFont val="Calibri"/>
        <charset val="134"/>
      </rP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charset val="134"/>
      </rPr>
      <t xml:space="preserve">including Approved sealer to be applied on all sides </t>
    </r>
    <r>
      <rPr>
        <sz val="10"/>
        <rFont val="Calibri"/>
        <charset val="134"/>
      </rPr>
      <t>(Basic cost of Marble at Rs.450/sft )</t>
    </r>
  </si>
  <si>
    <r>
      <rPr>
        <sz val="10"/>
        <rFont val="Calibri"/>
        <charset val="134"/>
      </rP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charset val="134"/>
      </rPr>
      <t xml:space="preserve">including Approved sealer to be applied on all sides </t>
    </r>
    <r>
      <rPr>
        <sz val="10"/>
        <rFont val="Calibri"/>
        <charset val="134"/>
      </rPr>
      <t>(  Basic cost of marble Rs 450/sft )</t>
    </r>
  </si>
  <si>
    <t>GYPSUM -CEINLING</t>
  </si>
  <si>
    <r>
      <rPr>
        <sz val="10"/>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charset val="134"/>
      </rPr>
      <t>Note</t>
    </r>
    <r>
      <rPr>
        <sz val="10"/>
        <rFont val="Calibri"/>
        <charset val="134"/>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</si>
  <si>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</si>
  <si>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</si>
  <si>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</si>
  <si>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</si>
  <si>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</si>
  <si>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r>
      <rPr>
        <sz val="10"/>
        <rFont val="Calibri"/>
        <charset val="134"/>
      </rPr>
      <t xml:space="preserve">Providing and fixing 150 mm wide batten form, Using 4 mm thk approved veneer sheet with 0.4 mm thick wooden face, pressed over 12 mm thick  backing </t>
    </r>
    <r>
      <rPr>
        <sz val="10"/>
        <color rgb="FFFF0000"/>
        <rFont val="Calibri"/>
        <charset val="134"/>
      </rPr>
      <t>Fire rated</t>
    </r>
    <r>
      <rPr>
        <sz val="10"/>
        <rFont val="Calibri"/>
        <charset val="134"/>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charset val="134"/>
      </rPr>
      <t>Approved waterbase PU polish</t>
    </r>
  </si>
  <si>
    <t>CP-Part</t>
  </si>
  <si>
    <t>Wooden Partition</t>
  </si>
  <si>
    <t>Free standing low height Partition in Curved Profile- 1350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</si>
  <si>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</si>
  <si>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Free standing low height Partition in straight Profile-1350 mm high</t>
  </si>
  <si>
    <r>
      <rPr>
        <sz val="10"/>
        <rFont val="Calibri"/>
        <charset val="134"/>
      </rP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charset val="134"/>
      </rPr>
      <t>Fire rated</t>
    </r>
    <r>
      <rPr>
        <sz val="10"/>
        <rFont val="Calibri"/>
        <charset val="134"/>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</si>
  <si>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</si>
  <si>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</si>
  <si>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</si>
  <si>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</si>
  <si>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</si>
  <si>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</si>
  <si>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r>
      <rPr>
        <sz val="10"/>
        <rFont val="Calibri"/>
        <charset val="134"/>
      </rPr>
      <t xml:space="preserve">As per drawing, Serving counter structure constructed out of 18 mm thk  </t>
    </r>
    <r>
      <rPr>
        <sz val="10"/>
        <color rgb="FFFF0000"/>
        <rFont val="Calibri"/>
        <charset val="134"/>
      </rPr>
      <t>Fire rated</t>
    </r>
    <r>
      <rPr>
        <sz val="10"/>
        <rFont val="Calibri"/>
        <charset val="134"/>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</si>
  <si>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t>Coffee station</t>
  </si>
  <si>
    <t xml:space="preserve">Coffee Station </t>
  </si>
  <si>
    <t>Size : 1800mm length x 750mm depth x 950mm ht.</t>
  </si>
  <si>
    <r>
      <rPr>
        <sz val="10"/>
        <rFont val="Calibri"/>
        <charset val="134"/>
      </rPr>
      <t xml:space="preserve">As per drawing, counter structure constructed out of 18 mm thk </t>
    </r>
    <r>
      <rPr>
        <sz val="10"/>
        <color rgb="FFFF0000"/>
        <rFont val="Calibri"/>
        <charset val="134"/>
      </rPr>
      <t xml:space="preserve">Fire rated </t>
    </r>
    <r>
      <rPr>
        <sz val="10"/>
        <rFont val="Calibri"/>
        <charset val="134"/>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</si>
  <si>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</si>
  <si>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</si>
  <si>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</si>
  <si>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</si>
  <si>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</si>
  <si>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</si>
  <si>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</si>
  <si>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</si>
  <si>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</si>
  <si>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</si>
  <si>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</si>
  <si>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</si>
  <si>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</si>
  <si>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</si>
  <si>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</si>
  <si>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</si>
  <si>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</si>
  <si>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</si>
  <si>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</si>
  <si>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r>
      <rPr>
        <sz val="10"/>
        <rFont val="Calibri"/>
        <charset val="134"/>
      </rP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charset val="134"/>
      </rPr>
      <t>Approved waterbase PU polish</t>
    </r>
  </si>
  <si>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</si>
  <si>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</si>
  <si>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r>
      <rPr>
        <sz val="10"/>
        <rFont val="Calibri"/>
        <charset val="134"/>
      </rPr>
      <t xml:space="preserve">Frame &amp; entire door  to be  to be Finished in </t>
    </r>
    <r>
      <rPr>
        <sz val="10"/>
        <color rgb="FFFF0000"/>
        <rFont val="Calibri"/>
        <charset val="134"/>
      </rPr>
      <t>Approved waterbase PU polish</t>
    </r>
  </si>
  <si>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</si>
  <si>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</si>
  <si>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</si>
  <si>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r>
      <rPr>
        <sz val="10"/>
        <rFont val="Calibri"/>
        <charset val="134"/>
      </rPr>
      <t xml:space="preserve">size up to 300 mm Deep- Providing and fixing 75  mm thick Veneer finish Capital including adequate MS frame and 12 mm thick </t>
    </r>
    <r>
      <rPr>
        <sz val="10"/>
        <color rgb="FFFF0000"/>
        <rFont val="Calibri"/>
        <charset val="134"/>
      </rPr>
      <t>Fire rated</t>
    </r>
    <r>
      <rPr>
        <sz val="10"/>
        <rFont val="Calibri"/>
        <charset val="134"/>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charset val="134"/>
      </rPr>
      <t>Approved waterbase PU polish</t>
    </r>
  </si>
  <si>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</si>
  <si>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</si>
  <si>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</si>
  <si>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r>
      <rPr>
        <sz val="10"/>
        <rFont val="Calibri"/>
        <charset val="134"/>
      </rP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charset val="134"/>
      </rPr>
      <t xml:space="preserve"> Approved waterbase PU polish </t>
    </r>
    <r>
      <rPr>
        <sz val="10"/>
        <rFont val="Calibri"/>
        <charset val="134"/>
      </rPr>
      <t>.  (Basic cost of veneer up to Rs. 125/-sft )</t>
    </r>
  </si>
  <si>
    <t>Corian finish fluted panelling</t>
  </si>
  <si>
    <r>
      <rPr>
        <sz val="10"/>
        <rFont val="Calibri"/>
        <charset val="134"/>
      </rPr>
      <t xml:space="preserve">Providing and fixing  up to 50 mm  wide x 600 umm high Corian batten form, Using 12 mm thk approved  Corian sheet , pressed over 12 mm thick  backing </t>
    </r>
    <r>
      <rPr>
        <sz val="10"/>
        <color rgb="FFFF0000"/>
        <rFont val="Calibri"/>
        <charset val="134"/>
      </rPr>
      <t>Fire rated</t>
    </r>
    <r>
      <rPr>
        <sz val="10"/>
        <rFont val="Calibri"/>
        <charset val="134"/>
      </rPr>
      <t xml:space="preserve"> plywood as per approved design, with 12 mm x 6 mm finish groove as per design, Pressing shall be free of defects, Basic cost of Corian at Rs.900/sft without tax</t>
    </r>
  </si>
  <si>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</si>
  <si>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</si>
  <si>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</si>
  <si>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</si>
  <si>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</si>
  <si>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</si>
  <si>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</si>
  <si>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Built-in seating -Seat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</si>
  <si>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</si>
  <si>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</si>
  <si>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</si>
  <si>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</si>
  <si>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</si>
  <si>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</si>
  <si>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</si>
  <si>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</si>
  <si>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</si>
  <si>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</si>
  <si>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TOTAL AMOUNT - I TO VI</t>
  </si>
  <si>
    <t xml:space="preserve">Description </t>
  </si>
  <si>
    <t>Qty. of Items Tea Garden</t>
  </si>
  <si>
    <t>Total Quantity</t>
  </si>
  <si>
    <t>Terrazo Flooring</t>
  </si>
  <si>
    <t>10 mm thick Terrazo Flooring in Pattern</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</si>
  <si>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</si>
  <si>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COUNTER AND LEDGES</t>
  </si>
  <si>
    <t>CVL/FUR</t>
  </si>
  <si>
    <t>Bar Counter</t>
  </si>
  <si>
    <t>Tea  Bar counter in Curved  Profile</t>
  </si>
  <si>
    <t>Size : 9000mm length x 650 mm depth x 1100mm ht.</t>
  </si>
  <si>
    <t>Apron partition:</t>
  </si>
  <si>
    <r>
      <rPr>
        <sz val="10"/>
        <rFont val="Tahoma"/>
        <charset val="134"/>
      </rPr>
      <t xml:space="preserve">38 mm x 38 Aluminum Box framework made up thickness up to 100 mm wide, frame to be covered with 6+6 mm thick flexi </t>
    </r>
    <r>
      <rPr>
        <sz val="10"/>
        <color rgb="FFFF0000"/>
        <rFont val="Tahoma"/>
        <charset val="134"/>
      </rPr>
      <t>Fire rated</t>
    </r>
    <r>
      <rPr>
        <sz val="10"/>
        <rFont val="Tahoma"/>
        <charset val="134"/>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</si>
  <si>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t>Preparation counter:</t>
  </si>
  <si>
    <r>
      <rPr>
        <sz val="10"/>
        <rFont val="Tahoma"/>
        <charset val="134"/>
      </rPr>
      <t xml:space="preserve">Size up to 600 mm wide Preparation counter structure constructed out of 18 mm thk </t>
    </r>
    <r>
      <rPr>
        <sz val="10"/>
        <color rgb="FFFF0000"/>
        <rFont val="Tahoma"/>
        <charset val="134"/>
      </rPr>
      <t>Fire rated</t>
    </r>
    <r>
      <rPr>
        <sz val="10"/>
        <rFont val="Tahoma"/>
        <charset val="134"/>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</si>
  <si>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t>Serving counter top in profile:</t>
  </si>
  <si>
    <r>
      <rPr>
        <sz val="10"/>
        <rFont val="Tahoma"/>
        <charset val="134"/>
      </rPr>
      <t xml:space="preserve">Upto 350 mm wide Serving Counter top,75 mm facia Including provision for Led strip profile light, comprising of 38x38 mm Aluminium framework covered with </t>
    </r>
    <r>
      <rPr>
        <sz val="10"/>
        <color rgb="FFFF0000"/>
        <rFont val="Tahoma"/>
        <charset val="134"/>
      </rPr>
      <t>Fire rated</t>
    </r>
    <r>
      <rPr>
        <sz val="10"/>
        <rFont val="Tahoma"/>
        <charset val="134"/>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</si>
  <si>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Bar Back unit</t>
  </si>
  <si>
    <t>Terrazo finish Bar Back unit</t>
  </si>
  <si>
    <t>Size : 6500mm length x 600mm depth x 900 mm ht.</t>
  </si>
  <si>
    <r>
      <rPr>
        <sz val="10"/>
        <rFont val="Tahoma"/>
        <charset val="134"/>
      </rPr>
      <t xml:space="preserve">Back unit structure constructed out of 18 mm thk </t>
    </r>
    <r>
      <rPr>
        <sz val="10"/>
        <color rgb="FFFF0000"/>
        <rFont val="Tahoma"/>
        <charset val="134"/>
      </rPr>
      <t xml:space="preserve">Fire rated </t>
    </r>
    <r>
      <rPr>
        <sz val="10"/>
        <rFont val="Tahoma"/>
        <charset val="134"/>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</si>
  <si>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L.H. Partition</t>
  </si>
  <si>
    <t>Low height Curved Partition ( 1500 mm high ) Attached to  Built in Seating</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</si>
  <si>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charset val="134"/>
      </rPr>
      <t>Approved waterbase PU polish</t>
    </r>
    <r>
      <rPr>
        <sz val="10"/>
        <rFont val="Tahoma"/>
        <charset val="134"/>
      </rPr>
      <t>, including provision for pole light (Basic cost of veneer at Rs.150/sft)</t>
    </r>
  </si>
  <si>
    <t>Low height Curved Partition ( 1500 mm high ) with moulding panel behind counter</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</si>
  <si>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charset val="134"/>
      </rPr>
      <t>Approved waterbase PU polish</t>
    </r>
    <r>
      <rPr>
        <sz val="10"/>
        <rFont val="Tahoma"/>
        <charset val="134"/>
      </rPr>
      <t>, including provision for pole light (Basic cost of veneer at Rs.150/sft)</t>
    </r>
  </si>
  <si>
    <t xml:space="preserve">Low height Curved Partition ( 600 mm high ) for Planter </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</si>
  <si>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charset val="134"/>
      </rPr>
      <t>Approved waterbase PU polish</t>
    </r>
    <r>
      <rPr>
        <sz val="10"/>
        <rFont val="Tahoma"/>
        <charset val="134"/>
      </rPr>
      <t xml:space="preserve">,  (Basic cost of veneer at Rs.150/sft) (Basic cost of marble  at Rs.450/sft) </t>
    </r>
  </si>
  <si>
    <t>SS -WRK</t>
  </si>
  <si>
    <t>Foot Rail</t>
  </si>
  <si>
    <t>SS Foot Rail</t>
  </si>
  <si>
    <r>
      <rPr>
        <sz val="10"/>
        <rFont val="Tahoma"/>
        <charset val="134"/>
      </rPr>
      <t xml:space="preserve">up to 200 mm high -Providing and fixing in position 304 grade </t>
    </r>
    <r>
      <rPr>
        <b/>
        <sz val="10"/>
        <rFont val="Tahoma"/>
        <charset val="134"/>
      </rPr>
      <t>S.S</t>
    </r>
    <r>
      <rPr>
        <sz val="10"/>
        <rFont val="Tahoma"/>
        <charset val="134"/>
      </rPr>
      <t xml:space="preserve"> Satin Bronze finish </t>
    </r>
    <r>
      <rPr>
        <b/>
        <sz val="10"/>
        <rFont val="Tahoma"/>
        <charset val="134"/>
      </rPr>
      <t xml:space="preserve">foot rail </t>
    </r>
    <r>
      <rPr>
        <sz val="10"/>
        <rFont val="Tahoma"/>
        <charset val="134"/>
      </rPr>
      <t>of 38mm diameter with horizontal &amp; vertical members, Grouting in concrete, etc. complete, as specified and as directed by Architect</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</si>
  <si>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</si>
  <si>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</si>
  <si>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</si>
  <si>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</si>
  <si>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</si>
  <si>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</si>
  <si>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</si>
  <si>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</si>
  <si>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</si>
  <si>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</si>
  <si>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</si>
  <si>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</si>
  <si>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</si>
  <si>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SPROTS BAR</t>
  </si>
  <si>
    <t>Qty. of Items Sports bar</t>
  </si>
  <si>
    <t>Qty. of Items Relax lounge</t>
  </si>
  <si>
    <t xml:space="preserve">18 mm thick Italian Marble flooring </t>
  </si>
  <si>
    <r>
      <rPr>
        <sz val="10"/>
        <rFont val="Tahoma"/>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charset val="134"/>
      </rPr>
      <t>including Approved sealer to be applied on all sides</t>
    </r>
    <r>
      <rPr>
        <sz val="10"/>
        <rFont val="Tahoma"/>
        <charset val="134"/>
      </rPr>
      <t xml:space="preserve"> , with edge polish etc., complete, Including using plastic/Pvc  sheet and POP to protect on marble flooring  as  protection , Include removal and disposing of protection materials before handover, Basic cost of marble Rs 450/sft </t>
    </r>
  </si>
  <si>
    <t>18 mm thick Italian Marble flooring in Various Marble shade  and in Pattern - for Sports Bar</t>
  </si>
  <si>
    <r>
      <rPr>
        <sz val="10"/>
        <rFont val="Tahoma"/>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charset val="134"/>
      </rPr>
      <t>including Approved sealer to be applied on all sides</t>
    </r>
    <r>
      <rPr>
        <sz val="10"/>
        <rFont val="Tahoma"/>
        <charset val="134"/>
      </rPr>
      <t xml:space="preserve">, with edge polish etc., complete, Including using plastic/Pvc  sheet and POP to protect on marble flooring  as  protection , Include removal and disposing of protection materials before handover, Basic cost of marble Rs 450/sft </t>
    </r>
  </si>
  <si>
    <t>Vitrified tile Flooring for Bar &amp; Store room</t>
  </si>
  <si>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</si>
  <si>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Joint less ceramic tiles cladding ( behind Display screen and store room)</t>
  </si>
  <si>
    <r>
      <rPr>
        <sz val="10"/>
        <rFont val="Tahoma"/>
        <charset val="134"/>
      </rPr>
      <t xml:space="preserve">Cladding shall comprise of ceramic tile of 300 mm x 600 mm, Tiles to be fixed in ordinary Portland cement only, Tiles to be put with </t>
    </r>
    <r>
      <rPr>
        <sz val="10"/>
        <color rgb="FFFF0000"/>
        <rFont val="Tahoma"/>
        <charset val="134"/>
      </rPr>
      <t>Spacer required with Leticrete grout in  joints</t>
    </r>
    <r>
      <rPr>
        <sz val="10"/>
        <rFont val="Tahoma"/>
        <charset val="134"/>
      </rPr>
      <t xml:space="preserve"> , in plumb, Joints to be filled with  matching grout . (Basic cost of ceramic tiles at Rs.60/sft) make: Johnson / Somany / Kajaria / Nitco</t>
    </r>
  </si>
  <si>
    <t>Vitrified tile Cladding for Inside Bar wall</t>
  </si>
  <si>
    <r>
      <rPr>
        <sz val="10"/>
        <rFont val="Tahoma"/>
        <charset val="134"/>
      </rPr>
      <t xml:space="preserve">Cladding shall comprise of vitrified tile of 600 mm x 600 mm, Tiles to be fixed in ordinary Portland cement only, Tiles to be put with </t>
    </r>
    <r>
      <rPr>
        <sz val="10"/>
        <color rgb="FFFF0000"/>
        <rFont val="Tahoma"/>
        <charset val="134"/>
      </rPr>
      <t xml:space="preserve">Spacer required with Leticrete grout in  joints </t>
    </r>
    <r>
      <rPr>
        <sz val="10"/>
        <rFont val="Tahoma"/>
        <charset val="134"/>
      </rPr>
      <t>in plumb, Joints to be filled with  matching grout . (Basic cost of vitrified tiles at Rs.60/sft) make: Johnson / Somany / Kajaria / Nitco</t>
    </r>
  </si>
  <si>
    <r>
      <rPr>
        <sz val="10"/>
        <color indexed="8"/>
        <rFont val="Tahoma"/>
        <charset val="134"/>
      </rPr>
      <t xml:space="preserve">Clean existing wall surface before fixing wall cladding, Marble shall be minimum 18 mm thick fixed to </t>
    </r>
    <r>
      <rPr>
        <sz val="10"/>
        <color rgb="FFFF0000"/>
        <rFont val="Tahoma"/>
        <charset val="134"/>
      </rPr>
      <t>Fire rated</t>
    </r>
    <r>
      <rPr>
        <sz val="10"/>
        <color indexed="8"/>
        <rFont val="Tahoma"/>
        <charset val="134"/>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charset val="134"/>
      </rPr>
      <t xml:space="preserve">including Approved sealer to be applied on all sides </t>
    </r>
    <r>
      <rPr>
        <sz val="10"/>
        <color indexed="8"/>
        <rFont val="Tahoma"/>
        <charset val="134"/>
      </rPr>
      <t>(On site cost of Italian marble @ Rs.450/sft without tax)</t>
    </r>
  </si>
  <si>
    <t>Sports  Bar counter in Profile</t>
  </si>
  <si>
    <t>Size : 11500mm length x 1050mm depth x 1150mm ht.</t>
  </si>
  <si>
    <r>
      <rPr>
        <sz val="10"/>
        <rFont val="Tahoma"/>
        <charset val="134"/>
      </rPr>
      <t xml:space="preserve">50 mm x 50 Aluminum Box framework made up thickness up to 150 mm wide, frame to be covered with 18 mm thk </t>
    </r>
    <r>
      <rPr>
        <sz val="10"/>
        <color rgb="FFFF0000"/>
        <rFont val="Tahoma"/>
        <charset val="134"/>
      </rPr>
      <t>Fire rated</t>
    </r>
    <r>
      <rPr>
        <sz val="10"/>
        <rFont val="Tahoma"/>
        <charset val="134"/>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</si>
  <si>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rPr>
        <sz val="10"/>
        <rFont val="Tahoma"/>
        <charset val="134"/>
      </rPr>
      <t xml:space="preserve">Size up to 650 mm wide Preparation counter structure constructed out of 18 mm thk </t>
    </r>
    <r>
      <rPr>
        <sz val="10"/>
        <color rgb="FFFF0000"/>
        <rFont val="Tahoma"/>
        <charset val="134"/>
      </rPr>
      <t>Fire rated</t>
    </r>
    <r>
      <rPr>
        <sz val="10"/>
        <rFont val="Tahoma"/>
        <charset val="134"/>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</si>
  <si>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rPr>
        <sz val="10"/>
        <rFont val="Tahoma"/>
        <charset val="134"/>
      </rPr>
      <t xml:space="preserve">Upto 450 mm wide Serving Counter top, 100 mm facia Including provision for Led strip light, comprising of 1st quality CP teakwood framework with </t>
    </r>
    <r>
      <rPr>
        <sz val="10"/>
        <color rgb="FFFF0000"/>
        <rFont val="Tahoma"/>
        <charset val="134"/>
      </rPr>
      <t>Fire rated</t>
    </r>
    <r>
      <rPr>
        <sz val="10"/>
        <rFont val="Tahoma"/>
        <charset val="134"/>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</si>
  <si>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t>Marble finish Bar Back unit</t>
  </si>
  <si>
    <t>Size : 3500mm length x 750mm depth x 975 mm ht.</t>
  </si>
  <si>
    <r>
      <rPr>
        <sz val="10"/>
        <rFont val="Tahoma"/>
        <charset val="134"/>
      </rPr>
      <t xml:space="preserve">Back unit structure constructed out of 18 mm thk </t>
    </r>
    <r>
      <rPr>
        <sz val="10"/>
        <color rgb="FFFF0000"/>
        <rFont val="Tahoma"/>
        <charset val="134"/>
      </rPr>
      <t xml:space="preserve">Fire rated </t>
    </r>
    <r>
      <rPr>
        <sz val="10"/>
        <rFont val="Tahoma"/>
        <charset val="134"/>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</si>
  <si>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</si>
  <si>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</si>
  <si>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REFER DRAWING-00B01-TFS-DOM02-ID-07-03/11 &amp; 12</t>
  </si>
  <si>
    <t>PLY Paneling</t>
  </si>
  <si>
    <t>Ply Paneling</t>
  </si>
  <si>
    <r>
      <rPr>
        <sz val="10"/>
        <rFont val="Tahoma"/>
        <charset val="134"/>
      </rPr>
      <t xml:space="preserve">providing and fixing </t>
    </r>
    <r>
      <rPr>
        <sz val="10"/>
        <color rgb="FFFF0000"/>
        <rFont val="Tahoma"/>
        <charset val="134"/>
      </rPr>
      <t>Fire rated plywood</t>
    </r>
    <r>
      <rPr>
        <sz val="10"/>
        <rFont val="Tahoma"/>
        <charset val="134"/>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</si>
  <si>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rPr>
        <sz val="10"/>
        <rFont val="Tahoma"/>
        <charset val="134"/>
      </rPr>
      <t xml:space="preserve">12 mm thk </t>
    </r>
    <r>
      <rPr>
        <sz val="10"/>
        <color rgb="FFFF0000"/>
        <rFont val="Tahoma"/>
        <charset val="134"/>
      </rPr>
      <t>Fire rated</t>
    </r>
    <r>
      <rPr>
        <sz val="10"/>
        <rFont val="Tahoma"/>
        <charset val="134"/>
      </rPr>
      <t xml:space="preserve"> plywood</t>
    </r>
  </si>
  <si>
    <r>
      <rPr>
        <sz val="10"/>
        <rFont val="Tahoma"/>
        <charset val="134"/>
      </rPr>
      <t xml:space="preserve">15 mm thk </t>
    </r>
    <r>
      <rPr>
        <sz val="10"/>
        <color rgb="FFFF0000"/>
        <rFont val="Tahoma"/>
        <charset val="134"/>
      </rPr>
      <t>Fire rated</t>
    </r>
    <r>
      <rPr>
        <sz val="10"/>
        <rFont val="Tahoma"/>
        <charset val="134"/>
      </rPr>
      <t xml:space="preserve"> plywood</t>
    </r>
  </si>
  <si>
    <r>
      <rPr>
        <sz val="10"/>
        <rFont val="Tahoma"/>
        <charset val="134"/>
      </rPr>
      <t xml:space="preserve">18 mm thk </t>
    </r>
    <r>
      <rPr>
        <sz val="10"/>
        <color rgb="FFFF0000"/>
        <rFont val="Tahoma"/>
        <charset val="134"/>
      </rPr>
      <t>Fire rated</t>
    </r>
    <r>
      <rPr>
        <sz val="10"/>
        <rFont val="Tahoma"/>
        <charset val="134"/>
      </rPr>
      <t xml:space="preserve"> plywood</t>
    </r>
  </si>
  <si>
    <r>
      <rPr>
        <sz val="10"/>
        <rFont val="Tahoma"/>
        <charset val="134"/>
      </rPr>
      <t xml:space="preserve">6 mm thk Flexi </t>
    </r>
    <r>
      <rPr>
        <sz val="10"/>
        <color rgb="FFFF0000"/>
        <rFont val="Tahoma"/>
        <charset val="134"/>
      </rPr>
      <t>Fire rated</t>
    </r>
    <r>
      <rPr>
        <sz val="10"/>
        <rFont val="Tahoma"/>
        <charset val="134"/>
      </rPr>
      <t xml:space="preserve"> plywood</t>
    </r>
  </si>
  <si>
    <t>VENEER Skin</t>
  </si>
  <si>
    <t>Veneer skin for Straight &amp; curved surfaces</t>
  </si>
  <si>
    <r>
      <rPr>
        <sz val="10"/>
        <rFont val="Tahoma"/>
        <charset val="134"/>
      </rP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charset val="134"/>
      </rPr>
      <t>Finished in Approved waterbase PU polish</t>
    </r>
  </si>
  <si>
    <t>(Basic cost of veneer upto Rs. 150/-sft )</t>
  </si>
  <si>
    <r>
      <rPr>
        <sz val="10"/>
        <rFont val="Tahoma"/>
        <charset val="134"/>
      </rPr>
      <t xml:space="preserve">size up to 300 mm Deep- Providing and fixing 75  mm thick Veneer finish Capital including adequate MS frame and 12 mm thick </t>
    </r>
    <r>
      <rPr>
        <sz val="10"/>
        <color rgb="FFFF0000"/>
        <rFont val="Tahoma"/>
        <charset val="134"/>
      </rPr>
      <t>Fire rated</t>
    </r>
    <r>
      <rPr>
        <sz val="10"/>
        <rFont val="Tahoma"/>
        <charset val="134"/>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charset val="134"/>
      </rPr>
      <t>Approved waterbase PU polish</t>
    </r>
  </si>
  <si>
    <r>
      <rPr>
        <sz val="10"/>
        <rFont val="Tahoma"/>
        <charset val="134"/>
      </rPr>
      <t>Providing and fixing 50 to 100 mm wide batten form, Using 4 mm thk approved veneer sheet with 0.4 mm thick wooden face, pressed over 12 mm thick  backing</t>
    </r>
    <r>
      <rPr>
        <sz val="10"/>
        <color rgb="FFFF0000"/>
        <rFont val="Tahoma"/>
        <charset val="134"/>
      </rPr>
      <t xml:space="preserve"> fire rated</t>
    </r>
    <r>
      <rPr>
        <sz val="10"/>
        <rFont val="Tahoma"/>
        <charset val="134"/>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charset val="134"/>
      </rPr>
      <t>Approved waterbase PU polish</t>
    </r>
  </si>
  <si>
    <t>Low height Curved Partition ( 1100 mm high )</t>
  </si>
  <si>
    <r>
      <rPr>
        <sz val="10"/>
        <rFont val="Tahoma"/>
        <charset val="134"/>
      </rPr>
      <t xml:space="preserve">As per drawing, 50mm x 50 mm  MS framework, 6+6  mm thk Flexi </t>
    </r>
    <r>
      <rPr>
        <sz val="10"/>
        <color rgb="FFFF0000"/>
        <rFont val="Tahoma"/>
        <charset val="134"/>
      </rPr>
      <t>Fire rated</t>
    </r>
    <r>
      <rPr>
        <sz val="10"/>
        <rFont val="Tahoma"/>
        <charset val="134"/>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charset val="134"/>
      </rPr>
      <t>Approved waterbase PU polish</t>
    </r>
    <r>
      <rPr>
        <sz val="10"/>
        <rFont val="Tahoma"/>
        <charset val="134"/>
      </rPr>
      <t>, (Basic cost of veneer at Rs.125/sft)</t>
    </r>
  </si>
  <si>
    <t>Furniture</t>
  </si>
  <si>
    <t>Community Tabel</t>
  </si>
  <si>
    <t>Community table ( 1600 mm long  x 650 mm wide)</t>
  </si>
  <si>
    <r>
      <rPr>
        <sz val="10"/>
        <rFont val="Tahoma"/>
        <charset val="134"/>
      </rPr>
      <t xml:space="preserve">as per drawing Using 50 x 50 mm SS Base Frame in satin bronze finish,  Frame top to be covered with 18 mm thick sleeper wooden plank,  to beFinished in </t>
    </r>
    <r>
      <rPr>
        <sz val="10"/>
        <color rgb="FFFF0000"/>
        <rFont val="Tahoma"/>
        <charset val="134"/>
      </rPr>
      <t>Approved waterbase PU polish</t>
    </r>
  </si>
  <si>
    <t>SS Bronze Satin finish 50 mm high skirting</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</si>
  <si>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tiles at Rs.120/sft without tax</t>
  </si>
  <si>
    <t>Wicked Door</t>
  </si>
  <si>
    <t>Corian finish Wicked door</t>
  </si>
  <si>
    <r>
      <rPr>
        <sz val="10"/>
        <rFont val="Tahoma"/>
        <charset val="134"/>
      </rPr>
      <t xml:space="preserve">Door size 950mm wide x 1150 height, 50 mm x 50 Aluminum  framework for shutter, frame to be covered with 12 mm thk </t>
    </r>
    <r>
      <rPr>
        <sz val="10"/>
        <color rgb="FFFF0000"/>
        <rFont val="Tahoma"/>
        <charset val="134"/>
      </rPr>
      <t>Fire rated</t>
    </r>
    <r>
      <rPr>
        <sz val="10"/>
        <rFont val="Tahoma"/>
        <charset val="134"/>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</si>
  <si>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t>Size : 950mm x 2250mm</t>
  </si>
  <si>
    <r>
      <rPr>
        <sz val="10"/>
        <rFont val="Tahoma"/>
        <charset val="134"/>
      </rP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charset val="134"/>
      </rPr>
      <t>Approved waterbase PU polish</t>
    </r>
  </si>
  <si>
    <r>
      <rPr>
        <sz val="10"/>
        <rFont val="Tahoma"/>
        <charset val="134"/>
      </rP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charset val="134"/>
      </rPr>
      <t>approved waterbase PU polish</t>
    </r>
    <r>
      <rPr>
        <sz val="10"/>
        <rFont val="Tahoma"/>
        <charset val="134"/>
      </rPr>
      <t xml:space="preserve"> (basic cost of veneer up to Rs. 150/sft) &amp; (basic cost of laminate Rs 1600 / sheet)</t>
    </r>
  </si>
  <si>
    <r>
      <rPr>
        <sz val="10"/>
        <rFont val="Tahoma"/>
        <charset val="134"/>
      </rPr>
      <t xml:space="preserve">Frame &amp; entire door  to be  to be finish  in </t>
    </r>
    <r>
      <rPr>
        <sz val="10"/>
        <color rgb="FFFF0000"/>
        <rFont val="Tahoma"/>
        <charset val="134"/>
      </rPr>
      <t>Approved waterbase PU polish</t>
    </r>
  </si>
  <si>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</si>
  <si>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</si>
  <si>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SPA - Wet Works/civil &amp; Interior finishes</t>
  </si>
  <si>
    <t>Long  Item Description</t>
  </si>
  <si>
    <t>Units</t>
  </si>
  <si>
    <t>Building 200 mm thk. Aerocon block wall / Partition of 4300mm height up to Mother Slab .</t>
  </si>
  <si>
    <r>
      <rPr>
        <sz val="11"/>
        <rFont val="Calibri"/>
        <charset val="134"/>
      </rPr>
      <t xml:space="preserve">P&amp;C of </t>
    </r>
    <r>
      <rPr>
        <b/>
        <sz val="11"/>
        <rFont val="Calibri"/>
        <charset val="134"/>
      </rPr>
      <t>200mm</t>
    </r>
    <r>
      <rPr>
        <sz val="11"/>
        <rFont val="Calibri"/>
        <charset val="134"/>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charset val="134"/>
      </rPr>
      <t xml:space="preserve"> up to 4300mm ht</t>
    </r>
    <r>
      <rPr>
        <sz val="11"/>
        <rFont val="Calibri"/>
        <charset val="134"/>
      </rPr>
      <t xml:space="preserve"> up to mother slab level.                                                                                      </t>
    </r>
  </si>
  <si>
    <r>
      <rPr>
        <sz val="11"/>
        <rFont val="Calibri"/>
        <charset val="134"/>
      </rPr>
      <t>P&amp;C of</t>
    </r>
    <r>
      <rPr>
        <b/>
        <sz val="11"/>
        <rFont val="Calibri"/>
        <charset val="134"/>
      </rPr>
      <t xml:space="preserve"> 100mm</t>
    </r>
    <r>
      <rPr>
        <sz val="11"/>
        <rFont val="Calibri"/>
        <charset val="134"/>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charset val="134"/>
      </rPr>
      <t>up to 4300mm ht</t>
    </r>
    <r>
      <rPr>
        <sz val="11"/>
        <rFont val="Calibri"/>
        <charset val="134"/>
      </rPr>
      <t xml:space="preserve"> of internal divider walls at toilet area.                                                                                      </t>
    </r>
  </si>
  <si>
    <t>12/15mm thick Wall Plaster on the surfaces of Existing Masonry Works Surfaces up to 4300mm height .</t>
  </si>
  <si>
    <t>Brickbat Coba / Screeding</t>
  </si>
  <si>
    <t>150mm thick Brickbat Coba / Screeding at Raised flooring.</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</si>
  <si>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</si>
  <si>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</si>
  <si>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</si>
  <si>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</si>
  <si>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</si>
  <si>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</si>
  <si>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r>
      <rPr>
        <sz val="11"/>
        <rFont val="Calibri"/>
        <charset val="134"/>
      </rP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charset val="134"/>
      </rPr>
      <t>including Approved sealer to be applied on all sides</t>
    </r>
    <r>
      <rPr>
        <sz val="11"/>
        <rFont val="Calibri"/>
        <charset val="134"/>
      </rPr>
      <t>, Including sealer coat , Including using plastic/Pvc  sheet and POP to protect on marble flooring  as  protection , Include removal and disposing of protection materials before handover</t>
    </r>
  </si>
  <si>
    <t>Terrazzo Flooring</t>
  </si>
  <si>
    <t>10 mm thick Terrazzo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</si>
  <si>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</si>
  <si>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CLADDING</t>
  </si>
  <si>
    <t>Marble wall cladding</t>
  </si>
  <si>
    <t xml:space="preserve">Synthetic Marble Wall Cladding with Grooves </t>
  </si>
  <si>
    <r>
      <rPr>
        <sz val="11"/>
        <rFont val="Calibri"/>
        <charset val="134"/>
      </rP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charset val="134"/>
      </rPr>
      <t xml:space="preserve">including Approved sealer to be applied on all sides </t>
    </r>
    <r>
      <rPr>
        <sz val="11"/>
        <rFont val="Calibri"/>
        <charset val="134"/>
      </rPr>
      <t>(On site cost of Synthetic marble @ Rs.275/sft without tax)</t>
    </r>
  </si>
  <si>
    <r>
      <rPr>
        <sz val="11"/>
        <rFont val="Calibri"/>
        <charset val="134"/>
      </rPr>
      <t xml:space="preserve">Clean existing wall surface before fixing wall cladding, Marble shall be minimum 18 mm thick fixed to </t>
    </r>
    <r>
      <rPr>
        <sz val="11"/>
        <color rgb="FFFF0000"/>
        <rFont val="Calibri"/>
        <charset val="134"/>
      </rPr>
      <t>Fire rated</t>
    </r>
    <r>
      <rPr>
        <sz val="11"/>
        <rFont val="Calibri"/>
        <charset val="134"/>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charset val="134"/>
      </rPr>
      <t xml:space="preserve">including Approved sealer to be applied on all sides </t>
    </r>
    <r>
      <rPr>
        <sz val="11"/>
        <rFont val="Calibri"/>
        <charset val="134"/>
      </rPr>
      <t>(On site cost of Italian marble @ Rs.450/sft without tax)</t>
    </r>
  </si>
  <si>
    <t>.</t>
  </si>
  <si>
    <t>CVL/JAMB</t>
  </si>
  <si>
    <t>Door jamb line</t>
  </si>
  <si>
    <t>Synthetic Marble Jamb lining for common Toilet Door Openings</t>
  </si>
  <si>
    <r>
      <rPr>
        <sz val="11"/>
        <rFont val="Calibri"/>
        <charset val="134"/>
      </rP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charset val="134"/>
      </rPr>
      <t>including Approved sealer to be applied on all sides</t>
    </r>
    <r>
      <rPr>
        <sz val="11"/>
        <rFont val="Calibri"/>
        <charset val="134"/>
      </rPr>
      <t xml:space="preserve">  (Basic cost of Synthetic Marble at Rs.275/sft without tax)</t>
    </r>
  </si>
  <si>
    <t>CVL/CNTR</t>
  </si>
  <si>
    <t>Wash basin counter</t>
  </si>
  <si>
    <t>Italian Marble Finish Wash Basin Counter for toilet</t>
  </si>
  <si>
    <r>
      <rPr>
        <sz val="11"/>
        <rFont val="Calibri"/>
        <charset val="134"/>
      </rP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charset val="134"/>
      </rPr>
      <t>Approved sealer to be applied on all sides</t>
    </r>
    <r>
      <rPr>
        <sz val="11"/>
        <rFont val="Calibri"/>
        <charset val="134"/>
      </rPr>
      <t>.  Including all plumbing cutout as shown in drawing</t>
    </r>
  </si>
  <si>
    <t>(Basic cost of marble at Rs.450/sft including fibre filling &amp; polish)</t>
  </si>
  <si>
    <t>sink counter</t>
  </si>
  <si>
    <t xml:space="preserve">  Sink counter including under counter shutter </t>
  </si>
  <si>
    <t>Size : 1800mm length x 450mm depth x 850mm ht.</t>
  </si>
  <si>
    <r>
      <rPr>
        <sz val="11"/>
        <rFont val="Calibri"/>
        <charset val="134"/>
      </rP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charset val="134"/>
      </rPr>
      <t>Approved water base PU polish</t>
    </r>
    <r>
      <rPr>
        <sz val="11"/>
        <rFont val="Calibri"/>
        <charset val="134"/>
      </rPr>
      <t>, including 50 mm high SS skirting , as per  approved design. Including all cutouts for electrical points,  (Basic cost of Terrazzo at Rs. 750/sft ) (Basic cost of Veneer at Rs. 150/sft ) excluding sink</t>
    </r>
  </si>
  <si>
    <t>Marble Ledge</t>
  </si>
  <si>
    <t>Synthetic Marble  Portal 450 mm wide</t>
  </si>
  <si>
    <r>
      <rPr>
        <sz val="11"/>
        <rFont val="Calibri"/>
        <charset val="134"/>
      </rP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charset val="134"/>
      </rPr>
      <t xml:space="preserve"> Approved sealer to be applied on all sides.</t>
    </r>
    <r>
      <rPr>
        <sz val="11"/>
        <rFont val="Calibri"/>
        <charset val="134"/>
      </rPr>
      <t xml:space="preserve"> Special care to be taken to fix marble on horizontal surface. Shall rest over ply at one end and vertical marble on the other, The vertical marble over 50 mm shall be fixed using brass pins</t>
    </r>
  </si>
  <si>
    <t xml:space="preserve"> (Basic cost of Synthetic Marble at Rs.275/sft without tax)</t>
  </si>
  <si>
    <t>Ceiling</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</si>
  <si>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ceiling height is 4300 mm )</t>
    </r>
  </si>
  <si>
    <t>Ceiling drop</t>
  </si>
  <si>
    <t>Fire line Gypsum board Facia Band 50 mm TO 100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</si>
  <si>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</si>
  <si>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</si>
  <si>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</si>
  <si>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</si>
  <si>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slit</t>
  </si>
  <si>
    <t>Fire line Gypsum board slit 100 mm TO 150 mm wide</t>
  </si>
  <si>
    <t>Fire line Gypsum board slit 50 mm  wide for curtain</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</si>
  <si>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</si>
  <si>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</si>
  <si>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</si>
  <si>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CW</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</si>
  <si>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</si>
  <si>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</si>
  <si>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</si>
  <si>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</si>
  <si>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</si>
  <si>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</si>
  <si>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12 mm thk plywood</t>
  </si>
  <si>
    <t>15 mm thk plywood</t>
  </si>
  <si>
    <t>18 mm thk plywood</t>
  </si>
  <si>
    <t>6 mm thk Flexi plywood</t>
  </si>
  <si>
    <t>GL-SCR</t>
  </si>
  <si>
    <t>Glass Screen</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</si>
  <si>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</si>
  <si>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</si>
  <si>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providing and fixing 10 mm thick toughen fix glass panel with 12 mm wide SS Beading around glass</t>
  </si>
  <si>
    <t>Mirror</t>
  </si>
  <si>
    <t>Vanity Mirror</t>
  </si>
  <si>
    <t xml:space="preserve">Decorative Toilet Vanity Mirrors </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</si>
  <si>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</si>
  <si>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</si>
  <si>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</si>
  <si>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</si>
  <si>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</si>
  <si>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HDF wall Panelling</t>
  </si>
  <si>
    <t>Fluted Wall panelling in Duco paint finish</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</si>
  <si>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</si>
  <si>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Wooden strip panelling</t>
  </si>
  <si>
    <t xml:space="preserve">Providing and fixing 25 mm wide x 12mm thick NBTW wooden strip as shown in drawing, Fixing shall be free of defects, Wooden strip to be  Finished in Approved Melamine Polish </t>
  </si>
  <si>
    <t>Reception Display unit</t>
  </si>
  <si>
    <t>Veneer finish Retail Display Behind reception table ( 2600 L x450 D x3000 H)</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</si>
  <si>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</si>
  <si>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Salon wall unit</t>
  </si>
  <si>
    <t>Duco paint  finish Salon unit ( 3200 L x400 D x3000 H)</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</si>
  <si>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</si>
  <si>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Duco paint  finish Salon unit ( 2800 L x150 D x3000 H)</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</si>
  <si>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</si>
  <si>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CP-NICH</t>
  </si>
  <si>
    <t>SS Bronze finish niche for Nail bar  ( 1600 L x100 D x500 H)</t>
  </si>
  <si>
    <t xml:space="preserve">As per drawing, Carcase to be made out of 12 mm thick ply, Ply to be covered with 16g SS bronze finish with 50 mm wide cover border in SS bronze finish as shown in drawings, </t>
  </si>
  <si>
    <t>CP-FURN</t>
  </si>
  <si>
    <t>Nail bar counter</t>
  </si>
  <si>
    <t>Nail Bar counter in profile ( 1250 L x400 D x750 H)</t>
  </si>
  <si>
    <t xml:space="preserve">Providing and fixing  Nail Bar counter desk in profile  , up to 100 mm thick Top finish in Terrazzo , with SS bronze finish base  As per detail drawings. </t>
  </si>
  <si>
    <t>Reception table</t>
  </si>
  <si>
    <t>Spa reception table in profile ( 2500 L x 600 D x1100 H)</t>
  </si>
  <si>
    <t xml:space="preserve">Providing and fixing  Reception counter desk in profile  , SS bronze finish top , with Fluted Apron finish in Duco paint, including drawer and storage As per detail drawings. </t>
  </si>
  <si>
    <t>CP-LD</t>
  </si>
  <si>
    <t>Corian Ledge</t>
  </si>
  <si>
    <t>30 mm thick x 400 mm deep Corian finish ledge,</t>
  </si>
  <si>
    <t>Using 18 mm thick marine ply covered with 6 mm thick approved Corian on both side with 30 mm wide Facia.</t>
  </si>
  <si>
    <t>CP-FRM</t>
  </si>
  <si>
    <t>Picture Frame</t>
  </si>
  <si>
    <t>1000 mm dia Circular Picture frame in duco paint</t>
  </si>
  <si>
    <t>DOORS</t>
  </si>
  <si>
    <t>VNR/DOR</t>
  </si>
  <si>
    <t>Door</t>
  </si>
  <si>
    <t>Main Ent door -Wooden strip/fluted  panel door in Polish and Duco paint</t>
  </si>
  <si>
    <t>Size : 1000mm x 2400mm</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</si>
  <si>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</si>
  <si>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</si>
  <si>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</si>
  <si>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</si>
  <si>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</si>
  <si>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</si>
  <si>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</si>
  <si>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</si>
  <si>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</si>
  <si>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</si>
  <si>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SEAT</t>
  </si>
  <si>
    <t>Seating Bench</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</si>
  <si>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</si>
  <si>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SANITARY &amp; CP FITTINGS - ONLY FIXING</t>
  </si>
  <si>
    <t>COMMON LADIES AND GENTS TOILET</t>
  </si>
  <si>
    <t>SAN</t>
  </si>
  <si>
    <t>SAN/WR</t>
  </si>
  <si>
    <t>WC for  toilet</t>
  </si>
  <si>
    <t>Flush tank</t>
  </si>
  <si>
    <t>Flush plate</t>
  </si>
  <si>
    <t>Wash basin</t>
  </si>
  <si>
    <t>health faucet for WC</t>
  </si>
  <si>
    <t>wash basin faucet</t>
  </si>
  <si>
    <t>toilet paper holder</t>
  </si>
  <si>
    <t>hand dryer</t>
  </si>
  <si>
    <t>tissue paper holder</t>
  </si>
  <si>
    <t>Soap dispenser</t>
  </si>
  <si>
    <t>Robe hook</t>
  </si>
  <si>
    <t>Dust bin</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</si>
  <si>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</si>
  <si>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</si>
  <si>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</si>
  <si>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</si>
  <si>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</si>
  <si>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</si>
  <si>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</si>
  <si>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</si>
  <si>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</si>
  <si>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Surface Preparation</t>
  </si>
  <si>
    <t>Surface preparation for wall paper</t>
  </si>
  <si>
    <t>Include cement primer, 2 coats of putty, touch up putty and primer with water base, Surface to be made ready to receive wall paper</t>
  </si>
  <si>
    <t>WL/WP</t>
  </si>
  <si>
    <t>Wall paper</t>
  </si>
  <si>
    <t>Hand painted / Customised Wall paper</t>
  </si>
  <si>
    <t>Providing and fixing approved wall paper by -Marshal /Ego wall paper, as approved by architect, Include protection till handover,  (Basic cost of wall paper @ Rs.350/sft )</t>
  </si>
  <si>
    <t>TOTAL - I TO VII</t>
  </si>
  <si>
    <t>COMP - Wet Works/civil &amp; Interior finishes</t>
  </si>
  <si>
    <t>Zone  19</t>
  </si>
  <si>
    <r>
      <rPr>
        <sz val="11"/>
        <rFont val="Calibri"/>
        <charset val="134"/>
      </rPr>
      <t xml:space="preserve">P&amp;C of </t>
    </r>
    <r>
      <rPr>
        <b/>
        <sz val="11"/>
        <rFont val="Calibri"/>
        <charset val="134"/>
      </rPr>
      <t>150mm</t>
    </r>
    <r>
      <rPr>
        <sz val="11"/>
        <rFont val="Calibri"/>
        <charset val="134"/>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 xml:space="preserve">cement/Adhesive </t>
    </r>
    <r>
      <rPr>
        <sz val="11"/>
        <rFont val="Calibri"/>
        <charset val="134"/>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charset val="134"/>
      </rPr>
      <t>RCC Patli to be after every 5 layers</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</si>
  <si>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</si>
  <si>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</si>
  <si>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</si>
  <si>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</si>
  <si>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</si>
  <si>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</si>
  <si>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</si>
  <si>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Ramp-marble flooring</t>
  </si>
  <si>
    <t xml:space="preserve">Italian Marble Flooring on Ramp in Strip Form </t>
  </si>
  <si>
    <r>
      <rPr>
        <sz val="11"/>
        <rFont val="Calibri"/>
        <charset val="134"/>
      </rP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charset val="134"/>
      </rPr>
      <t xml:space="preserve"> including Approved sealer to be applied on all sides</t>
    </r>
    <r>
      <rPr>
        <sz val="11"/>
        <rFont val="Calibri"/>
        <charset val="134"/>
      </rPr>
      <t>, Including sealer coat, Including using plastic/Pvc  sheet and POP to protect on marble flooring  as  protection , Include removal and disposing of protection materials before handover</t>
    </r>
  </si>
  <si>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</si>
  <si>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</si>
  <si>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</si>
  <si>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</si>
  <si>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</si>
  <si>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</si>
  <si>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</si>
  <si>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</si>
  <si>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Italian Marble Wall Cladding for in strip format</t>
  </si>
  <si>
    <r>
      <rPr>
        <sz val="11"/>
        <rFont val="Calibri"/>
        <charset val="134"/>
      </rPr>
      <t xml:space="preserve">Clean existing wall surface before fixing wall cladding, Marble shall be minimum 18 mm thick fixed to </t>
    </r>
    <r>
      <rPr>
        <sz val="11"/>
        <color rgb="FFFF0000"/>
        <rFont val="Calibri"/>
        <charset val="134"/>
      </rPr>
      <t>Fire rated</t>
    </r>
    <r>
      <rPr>
        <sz val="11"/>
        <rFont val="Calibri"/>
        <charset val="134"/>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charset val="134"/>
      </rPr>
      <t xml:space="preserve">including Approved sealer to be applied on all sides </t>
    </r>
    <r>
      <rPr>
        <sz val="11"/>
        <rFont val="Calibri"/>
        <charset val="134"/>
      </rPr>
      <t>(On site cost of Italian marble @ Rs.450/sft without tax)</t>
    </r>
  </si>
  <si>
    <t>Jointless ceramic tiles cladding ( for staff toilet &amp; Service Corridor )</t>
  </si>
  <si>
    <r>
      <rPr>
        <sz val="11"/>
        <rFont val="Calibri"/>
        <charset val="134"/>
      </rPr>
      <t xml:space="preserve">Cladding shall comprise of ceramic tile of 600 mm x 300 mm, Tiles to be fixed in ordinary Portland cement only, Tiles to be put with </t>
    </r>
    <r>
      <rPr>
        <sz val="11"/>
        <color rgb="FFFF0000"/>
        <rFont val="Calibri"/>
        <charset val="134"/>
      </rPr>
      <t xml:space="preserve">Spacer required with Leticrete grout in  joints </t>
    </r>
    <r>
      <rPr>
        <sz val="11"/>
        <rFont val="Calibri"/>
        <charset val="134"/>
      </rPr>
      <t>in plumb, including levelling coat if any , Joints to be filled with  matching groute.(Basic cost of ceramic tiles at Rs.60/sft) make: Johnson / Somany / Kajaria / Nitco</t>
    </r>
  </si>
  <si>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</si>
  <si>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</si>
  <si>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</si>
  <si>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</si>
  <si>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</si>
  <si>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</si>
  <si>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</si>
  <si>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</si>
  <si>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</si>
  <si>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</si>
  <si>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</si>
  <si>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</si>
  <si>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</si>
  <si>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Italian Marble Finish Wash Basin Counter for Common toilet</t>
  </si>
  <si>
    <t>(Basic cost of marble at Rs.450/sft including fiber filling &amp; polish)</t>
  </si>
  <si>
    <t xml:space="preserve">Synthetic Marble  Ledges for all WC </t>
  </si>
  <si>
    <r>
      <rPr>
        <sz val="11"/>
        <rFont val="Calibri"/>
        <charset val="134"/>
      </rPr>
      <t>Using 18mm thick marble top, Including 2" high Marble fascia, Pre-polished finish marble shall be installed as per tech specs. Joint filling and finishing and mirror polishing as per tech specs. including</t>
    </r>
    <r>
      <rPr>
        <sz val="11"/>
        <color rgb="FFFF0000"/>
        <rFont val="Calibri"/>
        <charset val="134"/>
      </rPr>
      <t xml:space="preserve"> Approved sealer to be applied on all sides</t>
    </r>
    <r>
      <rPr>
        <sz val="11"/>
        <rFont val="Calibri"/>
        <charset val="134"/>
      </rPr>
      <t>.</t>
    </r>
  </si>
  <si>
    <t>Synthetic Marble  Dressing Vanity Ledge  in Common Ladies toilet</t>
  </si>
  <si>
    <r>
      <rPr>
        <sz val="11"/>
        <rFont val="Calibri"/>
        <charset val="134"/>
      </rPr>
      <t xml:space="preserve">Using 18 mm thick marble top, including  2" high Marble fascia, Pre-polished finish marble shall be installed as per tech specs. Joint filling and finishing and mirror polishing as per tech specs. </t>
    </r>
    <r>
      <rPr>
        <sz val="11"/>
        <color rgb="FFFF0000"/>
        <rFont val="Calibri"/>
        <charset val="134"/>
      </rPr>
      <t>including Approved sealer to be applied on all sides</t>
    </r>
  </si>
  <si>
    <t>CVL/DVR</t>
  </si>
  <si>
    <t>Marble divider</t>
  </si>
  <si>
    <t>Urinal Divider for Gents Toilet</t>
  </si>
  <si>
    <r>
      <rPr>
        <sz val="11"/>
        <rFont val="Calibri"/>
        <charset val="134"/>
      </rP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charset val="134"/>
      </rPr>
      <t>including Approved sealer to be applied on all sides</t>
    </r>
    <r>
      <rPr>
        <sz val="11"/>
        <rFont val="Calibri"/>
        <charset val="134"/>
      </rPr>
      <t xml:space="preserve"> (Basic cost of Marble at Rs.275/sft without tax)</t>
    </r>
  </si>
  <si>
    <t>Granite Ledge</t>
  </si>
  <si>
    <t>Granite Ledge  in Janitor room</t>
  </si>
  <si>
    <t xml:space="preserve"> (Basic cost of Synthetic Marble at Rs.200/sft without tax)</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</si>
  <si>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ceiling height is 4300 mm )</t>
    </r>
  </si>
  <si>
    <t xml:space="preserve"> </t>
  </si>
  <si>
    <t>Fire line 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</si>
  <si>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</si>
  <si>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</si>
  <si>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</si>
  <si>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</si>
  <si>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</si>
  <si>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</si>
  <si>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</si>
  <si>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</si>
  <si>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</si>
  <si>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</si>
  <si>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</si>
  <si>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</si>
  <si>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</si>
  <si>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</si>
  <si>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</si>
  <si>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</si>
  <si>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</si>
  <si>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</si>
  <si>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</si>
  <si>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</si>
  <si>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</si>
  <si>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</si>
  <si>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</si>
  <si>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</si>
  <si>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rPr>
        <sz val="11"/>
        <rFont val="Calibri"/>
        <charset val="134"/>
      </rPr>
      <t xml:space="preserve">Frame &amp; entire door  to be  Finished in </t>
    </r>
    <r>
      <rPr>
        <sz val="11"/>
        <color rgb="FFFF0000"/>
        <rFont val="Calibri"/>
        <charset val="134"/>
      </rPr>
      <t>Approved waterbase PU polish</t>
    </r>
  </si>
  <si>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</si>
  <si>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</si>
  <si>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</si>
  <si>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</si>
  <si>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</si>
  <si>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</si>
  <si>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</si>
  <si>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</si>
  <si>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</si>
  <si>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rPr>
        <sz val="11"/>
        <rFont val="Calibri"/>
        <charset val="134"/>
      </rPr>
      <t xml:space="preserve">Frame , All wood &amp; Veneer  to be Veneer to be Finished in </t>
    </r>
    <r>
      <rPr>
        <sz val="11"/>
        <color rgb="FFFF0000"/>
        <rFont val="Calibri"/>
        <charset val="134"/>
      </rPr>
      <t>Approved waterbase PU polish</t>
    </r>
  </si>
  <si>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</si>
  <si>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</si>
  <si>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</si>
  <si>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</si>
  <si>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</si>
  <si>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</si>
  <si>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</si>
  <si>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</si>
  <si>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</si>
  <si>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</si>
  <si>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</si>
  <si>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</si>
  <si>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</si>
  <si>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</si>
  <si>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</si>
  <si>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</si>
  <si>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</si>
  <si>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</si>
  <si>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</si>
  <si>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</si>
  <si>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</si>
  <si>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</si>
  <si>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</si>
  <si>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WC for common toilet</t>
  </si>
  <si>
    <t>Wash basin - Gents</t>
  </si>
  <si>
    <t>Wash basin - Ladies</t>
  </si>
  <si>
    <t>Napi change ledge</t>
  </si>
  <si>
    <t>Urinals</t>
  </si>
  <si>
    <t>Urinals censor plates</t>
  </si>
  <si>
    <t>handicap WC</t>
  </si>
  <si>
    <t>Wash basin - Handicap</t>
  </si>
  <si>
    <t>wash basin faucet for handicap</t>
  </si>
  <si>
    <t>Grab bar for handicap toilet</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</si>
  <si>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</si>
  <si>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</si>
  <si>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</si>
  <si>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</si>
  <si>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</si>
  <si>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</si>
  <si>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</si>
  <si>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</si>
  <si>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</si>
  <si>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</si>
  <si>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</si>
  <si>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</si>
  <si>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</si>
  <si>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</si>
  <si>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</si>
  <si>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</si>
  <si>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</si>
  <si>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</si>
  <si>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</si>
  <si>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</si>
  <si>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</si>
  <si>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rPr>
        <sz val="11"/>
        <rFont val="Helvetica"/>
        <charset val="134"/>
        <scheme val="minor"/>
      </rPr>
      <t xml:space="preserve">Only 43 or 53 grade </t>
    </r>
    <r>
      <rPr>
        <sz val="11"/>
        <color rgb="FFFF0000"/>
        <rFont val="Helvetica"/>
        <charset val="134"/>
        <scheme val="minor"/>
      </rPr>
      <t>Cement/Adhesive</t>
    </r>
    <r>
      <rPr>
        <sz val="11"/>
        <rFont val="Helvetica"/>
        <charset val="134"/>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</si>
  <si>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</si>
  <si>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</si>
  <si>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</si>
  <si>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</si>
  <si>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</si>
  <si>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</si>
  <si>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</si>
  <si>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rPr>
        <sz val="11"/>
        <rFont val="Helvetica"/>
        <charset val="134"/>
        <scheme val="minor"/>
      </rPr>
      <t xml:space="preserve">Include 200 mm high </t>
    </r>
    <r>
      <rPr>
        <sz val="11"/>
        <color rgb="FFFF0000"/>
        <rFont val="Helvetica"/>
        <charset val="134"/>
        <scheme val="minor"/>
      </rPr>
      <t>RCC Patli to be after every 5 layers</t>
    </r>
    <r>
      <rPr>
        <sz val="11"/>
        <rFont val="Helvetica"/>
        <charset val="134"/>
        <scheme val="minor"/>
      </rPr>
      <t xml:space="preserve"> &amp; above doors with 6nos x 8 mm MS twisted bars and 6 mm MS rod rings at 150 mm c/c. Concrete in 1:2:4 ratio, incl. shuttering. ( including door opening lintel )</t>
    </r>
  </si>
  <si>
    <r>
      <rPr>
        <sz val="11"/>
        <rFont val="Helvetica"/>
        <charset val="134"/>
        <scheme val="minor"/>
      </rPr>
      <t xml:space="preserve">Only 43 or 53 grade </t>
    </r>
    <r>
      <rPr>
        <sz val="11"/>
        <color rgb="FFFF0000"/>
        <rFont val="Helvetica"/>
        <charset val="134"/>
        <scheme val="minor"/>
      </rPr>
      <t>cement/Adhesive</t>
    </r>
    <r>
      <rPr>
        <sz val="11"/>
        <rFont val="Helvetica"/>
        <charset val="134"/>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</si>
  <si>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</si>
  <si>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</si>
  <si>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</si>
  <si>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rPr>
        <sz val="11"/>
        <rFont val="Helvetica"/>
        <charset val="134"/>
        <scheme val="minor"/>
      </rPr>
      <t xml:space="preserve">Include 150 mm high RCC </t>
    </r>
    <r>
      <rPr>
        <sz val="11"/>
        <color rgb="FFFF0000"/>
        <rFont val="Helvetica"/>
        <charset val="134"/>
        <scheme val="minor"/>
      </rPr>
      <t>Patli to be after every 5 layers</t>
    </r>
    <r>
      <rPr>
        <sz val="11"/>
        <rFont val="Helvetica"/>
        <charset val="134"/>
        <scheme val="minor"/>
      </rPr>
      <t xml:space="preserve"> &amp; above doors with 4nos x 8 mm MS twisted bars and 6 mm MS rod rings at 100 mm c/c. Concrete in 1:2:4 ratio, incl. shuttering. ( including door opening lintel )</t>
    </r>
  </si>
  <si>
    <t>Building 100 mm thk. Aerocon block wall</t>
  </si>
  <si>
    <t>*</t>
  </si>
  <si>
    <r>
      <rPr>
        <sz val="11"/>
        <rFont val="Helvetica"/>
        <charset val="134"/>
        <scheme val="minor"/>
      </rPr>
      <t xml:space="preserve">Include 100 mm high </t>
    </r>
    <r>
      <rPr>
        <sz val="11"/>
        <color rgb="FFFF0000"/>
        <rFont val="Helvetica"/>
        <charset val="134"/>
        <scheme val="minor"/>
      </rPr>
      <t>RCC Patli to be after every 5 layers</t>
    </r>
    <r>
      <rPr>
        <sz val="11"/>
        <rFont val="Helvetica"/>
        <charset val="134"/>
        <scheme val="minor"/>
      </rPr>
      <t xml:space="preserve"> &amp; above doors with 4nos x 8 mm MS twisted bars and 6 mm MS rod rings at 150 mm c/c. Concrete in 1:2:4 ratio, incl. shuttering. ( including door opening lintel )</t>
    </r>
  </si>
  <si>
    <r>
      <rPr>
        <sz val="11"/>
        <rFont val="Helvetica"/>
        <charset val="134"/>
        <scheme val="minor"/>
      </rPr>
      <t xml:space="preserve">Only 43 or 53 grade </t>
    </r>
    <r>
      <rPr>
        <sz val="11"/>
        <color rgb="FFFF0000"/>
        <rFont val="Helvetica"/>
        <charset val="134"/>
        <scheme val="minor"/>
      </rPr>
      <t xml:space="preserve">Cement/Adhesive </t>
    </r>
    <r>
      <rPr>
        <sz val="11"/>
        <rFont val="Helvetica"/>
        <charset val="134"/>
        <scheme val="minor"/>
      </rPr>
      <t>to be used</t>
    </r>
  </si>
  <si>
    <t>CVL-RFL</t>
  </si>
  <si>
    <t>Raised Flooring</t>
  </si>
  <si>
    <t>Raised flooring in Brick bat Coba</t>
  </si>
  <si>
    <r>
      <rPr>
        <sz val="11"/>
        <rFont val="Helvetica"/>
        <charset val="134"/>
        <scheme val="minor"/>
      </rPr>
      <t xml:space="preserve">Providing waterproofing treatment to Slab (India water proofing or alike) </t>
    </r>
    <r>
      <rPr>
        <sz val="11"/>
        <color rgb="FFFF0000"/>
        <rFont val="Helvetica"/>
        <charset val="134"/>
        <scheme val="minor"/>
      </rPr>
      <t>Light weight block filling with cement mortar. Top to be finished with 60-70mm 1:2:4 screed</t>
    </r>
    <r>
      <rPr>
        <sz val="11"/>
        <rFont val="Helvetica"/>
        <charset val="134"/>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</si>
  <si>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</si>
  <si>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</si>
  <si>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</si>
  <si>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</si>
  <si>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</si>
  <si>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</si>
  <si>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</si>
  <si>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</si>
  <si>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</si>
  <si>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</si>
  <si>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</si>
  <si>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</si>
  <si>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</si>
  <si>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</si>
  <si>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</si>
  <si>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</si>
  <si>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</si>
  <si>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</si>
  <si>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</si>
  <si>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</si>
  <si>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</si>
  <si>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</si>
  <si>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</si>
  <si>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</si>
  <si>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</si>
  <si>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</si>
  <si>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</si>
  <si>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</si>
  <si>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</si>
  <si>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</si>
  <si>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</si>
  <si>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</si>
  <si>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</si>
  <si>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</si>
  <si>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</si>
  <si>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</si>
  <si>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</si>
  <si>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</si>
  <si>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</si>
  <si>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</si>
  <si>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</si>
  <si>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</si>
  <si>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</si>
  <si>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</si>
  <si>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</si>
  <si>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</si>
  <si>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</si>
  <si>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</si>
  <si>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</si>
  <si>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</si>
  <si>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</si>
  <si>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</si>
  <si>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</si>
  <si>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rPr>
        <sz val="11"/>
        <rFont val="Helvetica"/>
        <charset val="134"/>
        <scheme val="minor"/>
      </rPr>
      <t xml:space="preserve">Cladding shall comprise of ceramic tile of 600 mm x 300 mm,Tiles to be fixed in ordinary Portland cement only, </t>
    </r>
    <r>
      <rPr>
        <sz val="11"/>
        <color rgb="FFFF0000"/>
        <rFont val="Helvetica"/>
        <charset val="134"/>
        <scheme val="minor"/>
      </rPr>
      <t>Spacer required with Leticrete grout in joints</t>
    </r>
    <r>
      <rPr>
        <sz val="11"/>
        <rFont val="Helvetica"/>
        <charset val="134"/>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</si>
  <si>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</si>
  <si>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</si>
  <si>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rPr>
        <sz val="11"/>
        <rFont val="Helvetica"/>
        <charset val="134"/>
        <scheme val="minor"/>
      </rPr>
      <t xml:space="preserve">P&amp;F of 304 grade 3mm thick SS Corner guard </t>
    </r>
    <r>
      <rPr>
        <sz val="11"/>
        <color rgb="FFFF0000"/>
        <rFont val="Helvetica"/>
        <charset val="134"/>
        <scheme val="minor"/>
      </rPr>
      <t>(50x50x2mmthick SS angles)</t>
    </r>
    <r>
      <rPr>
        <sz val="11"/>
        <rFont val="Helvetica"/>
        <charset val="134"/>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</si>
  <si>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</si>
  <si>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</si>
  <si>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</si>
  <si>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</si>
  <si>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</si>
  <si>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</si>
  <si>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</si>
  <si>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</si>
  <si>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</si>
  <si>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</si>
  <si>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</si>
  <si>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</si>
  <si>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</si>
  <si>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</si>
  <si>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</si>
  <si>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</si>
  <si>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</si>
  <si>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</si>
  <si>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</si>
  <si>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</si>
  <si>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</si>
  <si>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</si>
  <si>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</si>
  <si>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rPr>
        <sz val="11"/>
        <rFont val="Helvetica"/>
        <charset val="134"/>
        <scheme val="minor"/>
      </rPr>
      <t xml:space="preserve">up to 200 mm high -Providing and fixing in position 304 grade </t>
    </r>
    <r>
      <rPr>
        <b/>
        <sz val="11"/>
        <rFont val="Helvetica"/>
        <charset val="134"/>
        <scheme val="minor"/>
      </rPr>
      <t>S.S</t>
    </r>
    <r>
      <rPr>
        <sz val="11"/>
        <rFont val="Helvetica"/>
        <charset val="134"/>
        <scheme val="minor"/>
      </rPr>
      <t xml:space="preserve"> Satin Bronze finish </t>
    </r>
    <r>
      <rPr>
        <b/>
        <sz val="11"/>
        <rFont val="Helvetica"/>
        <charset val="134"/>
        <scheme val="minor"/>
      </rPr>
      <t xml:space="preserve">foot rail </t>
    </r>
    <r>
      <rPr>
        <sz val="11"/>
        <rFont val="Helvetica"/>
        <charset val="134"/>
        <scheme val="minor"/>
      </rPr>
      <t>of 38mm diameter with horizontal &amp; vertical members, Grouting in concrete, etc. complete, as specified and as directed by Architect</t>
    </r>
  </si>
  <si>
    <t>TOTAL - II</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</si>
</sst>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_(* #,##0.00_);_(* \(#,##0.00\);_(* &quot;-&quot;??_);_(@_)"/>
    <numFmt numFmtId="181" formatCode="_(* #,##0.00_);_(* \(#,##0.00\);_(* \-??_);_(@_)"/>
    <numFmt numFmtId="182" formatCode="0.0"/>
    <numFmt numFmtId="183" formatCode="_(* #,##0_);_(* \(#,##0\);_(* \-??_);_(@_)"/>
    <numFmt numFmtId="184" formatCode="&quot; &quot;* #,##0.00&quot; &quot;;&quot; &quot;* \(#,##0.00\);&quot; &quot;* &quot;-&quot;??&quot; &quot;"/>
    <numFmt numFmtId="185" formatCode="_ * #,##0_ ;_ * \-#,##0_ ;_ * &quot;-&quot;??_ ;_ @_ "/>
  </numFmts>
  <fonts count="54">
    <font>
      <sz val="10"/>
      <color indexed="8"/>
      <name val="Verdana"/>
      <charset val="134"/>
    </font>
    <font>
      <sz val="11"/>
      <name val="Helvetica"/>
      <charset val="134"/>
      <scheme val="minor"/>
    </font>
    <font>
      <b/>
      <sz val="11"/>
      <name val="Helvetica"/>
      <charset val="134"/>
      <scheme val="minor"/>
    </font>
    <font>
      <b/>
      <sz val="11"/>
      <color theme="1"/>
      <name val="Helvetica"/>
      <charset val="134"/>
      <scheme val="minor"/>
    </font>
    <font>
      <sz val="11"/>
      <color theme="1"/>
      <name val="Helvetica"/>
      <charset val="134"/>
      <scheme val="minor"/>
    </font>
    <font>
      <b/>
      <sz val="11"/>
      <color indexed="8"/>
      <name val="Helvetica"/>
      <charset val="134"/>
      <scheme val="minor"/>
    </font>
    <font>
      <sz val="11"/>
      <color indexed="8"/>
      <name val="Helvetica"/>
      <charset val="134"/>
      <scheme val="minor"/>
    </font>
    <font>
      <sz val="11"/>
      <color theme="1"/>
      <name val="Calibri"/>
      <charset val="134"/>
    </font>
    <font>
      <sz val="11"/>
      <name val="Calibri"/>
      <charset val="134"/>
    </font>
    <font>
      <b/>
      <sz val="12"/>
      <name val="Calibri"/>
      <charset val="134"/>
    </font>
    <font>
      <b/>
      <sz val="11"/>
      <name val="Calibri"/>
      <charset val="134"/>
    </font>
    <font>
      <sz val="11"/>
      <color indexed="8"/>
      <name val="Calibri"/>
      <charset val="134"/>
    </font>
    <font>
      <b/>
      <sz val="11"/>
      <color theme="1"/>
      <name val="Calibri"/>
      <charset val="134"/>
    </font>
    <font>
      <sz val="10"/>
      <name val="Tahoma"/>
      <charset val="134"/>
    </font>
    <font>
      <sz val="11"/>
      <color rgb="FF000000"/>
      <name val="Calibri"/>
      <charset val="134"/>
    </font>
    <font>
      <sz val="10"/>
      <name val="Calibri"/>
      <charset val="134"/>
    </font>
    <font>
      <b/>
      <sz val="10"/>
      <name val="Calibri"/>
      <charset val="134"/>
    </font>
    <font>
      <sz val="10"/>
      <color indexed="8"/>
      <name val="Calibri"/>
      <charset val="134"/>
    </font>
    <font>
      <b/>
      <sz val="10"/>
      <name val="Tahoma"/>
      <charset val="134"/>
    </font>
    <font>
      <sz val="10"/>
      <color rgb="FFFF0000"/>
      <name val="Tahoma"/>
      <charset val="134"/>
    </font>
    <font>
      <sz val="10"/>
      <color indexed="8"/>
      <name val="Tahoma"/>
      <charset val="134"/>
    </font>
    <font>
      <b/>
      <sz val="10"/>
      <color indexed="8"/>
      <name val="Tahoma"/>
      <charset val="134"/>
    </font>
    <font>
      <b/>
      <sz val="11"/>
      <name val="Tahoma"/>
      <charset val="134"/>
    </font>
    <font>
      <sz val="10.35"/>
      <color rgb="FF000000"/>
      <name val="Helvetica"/>
      <charset val="134"/>
      <scheme val="minor"/>
    </font>
    <font>
      <sz val="10"/>
      <color rgb="FFFF0000"/>
      <name val="Calibri"/>
      <charset val="134"/>
    </font>
    <font>
      <sz val="10"/>
      <color theme="1"/>
      <name val="Calibri"/>
      <charset val="134"/>
    </font>
    <font>
      <b/>
      <sz val="10"/>
      <color theme="1"/>
      <name val="Calibri"/>
      <charset val="134"/>
    </font>
    <font>
      <b/>
      <sz val="14"/>
      <color theme="1"/>
      <name val="Calibri"/>
      <charset val="134"/>
    </font>
    <font>
      <b/>
      <sz val="12"/>
      <color theme="1"/>
      <name val="Calibri"/>
      <charset val="134"/>
    </font>
    <font>
      <sz val="12"/>
      <color theme="1"/>
      <name val="Calibri"/>
      <charset val="134"/>
    </font>
    <font>
      <b/>
      <u/>
      <sz val="10"/>
      <color rgb="FFFF0000"/>
      <name val="Calibri"/>
      <charset val="134"/>
    </font>
    <font>
      <sz val="12"/>
      <color indexed="8"/>
      <name val="Verdana"/>
      <charset val="134"/>
    </font>
    <font>
      <u/>
      <sz val="11"/>
      <color rgb="FF0000FF"/>
      <name val="Helvetica"/>
      <charset val="0"/>
      <scheme val="minor"/>
    </font>
    <font>
      <u/>
      <sz val="11"/>
      <color rgb="FF800080"/>
      <name val="Helvetica"/>
      <charset val="0"/>
      <scheme val="minor"/>
    </font>
    <font>
      <sz val="11"/>
      <color rgb="FFFF0000"/>
      <name val="Helvetica"/>
      <charset val="0"/>
      <scheme val="minor"/>
    </font>
    <font>
      <b/>
      <sz val="18"/>
      <color theme="3"/>
      <name val="Helvetica"/>
      <charset val="134"/>
      <scheme val="minor"/>
    </font>
    <font>
      <i/>
      <sz val="11"/>
      <color rgb="FF7F7F7F"/>
      <name val="Helvetica"/>
      <charset val="0"/>
      <scheme val="minor"/>
    </font>
    <font>
      <b/>
      <sz val="15"/>
      <color theme="3"/>
      <name val="Helvetica"/>
      <charset val="134"/>
      <scheme val="minor"/>
    </font>
    <font>
      <b/>
      <sz val="13"/>
      <color theme="3"/>
      <name val="Helvetica"/>
      <charset val="134"/>
      <scheme val="minor"/>
    </font>
    <font>
      <b/>
      <sz val="11"/>
      <color theme="3"/>
      <name val="Helvetica"/>
      <charset val="134"/>
      <scheme val="minor"/>
    </font>
    <font>
      <sz val="11"/>
      <color rgb="FF3F3F76"/>
      <name val="Helvetica"/>
      <charset val="0"/>
      <scheme val="minor"/>
    </font>
    <font>
      <b/>
      <sz val="11"/>
      <color rgb="FF3F3F3F"/>
      <name val="Helvetica"/>
      <charset val="0"/>
      <scheme val="minor"/>
    </font>
    <font>
      <b/>
      <sz val="11"/>
      <color rgb="FFFA7D00"/>
      <name val="Helvetica"/>
      <charset val="0"/>
      <scheme val="minor"/>
    </font>
    <font>
      <b/>
      <sz val="11"/>
      <color rgb="FFFFFFFF"/>
      <name val="Helvetica"/>
      <charset val="0"/>
      <scheme val="minor"/>
    </font>
    <font>
      <sz val="11"/>
      <color rgb="FFFA7D00"/>
      <name val="Helvetica"/>
      <charset val="0"/>
      <scheme val="minor"/>
    </font>
    <font>
      <b/>
      <sz val="11"/>
      <color theme="1"/>
      <name val="Helvetica"/>
      <charset val="0"/>
      <scheme val="minor"/>
    </font>
    <font>
      <sz val="11"/>
      <color rgb="FF006100"/>
      <name val="Helvetica"/>
      <charset val="0"/>
      <scheme val="minor"/>
    </font>
    <font>
      <sz val="11"/>
      <color rgb="FF9C0006"/>
      <name val="Helvetica"/>
      <charset val="0"/>
      <scheme val="minor"/>
    </font>
    <font>
      <sz val="11"/>
      <color rgb="FF9C6500"/>
      <name val="Helvetica"/>
      <charset val="0"/>
      <scheme val="minor"/>
    </font>
    <font>
      <sz val="11"/>
      <color theme="0"/>
      <name val="Helvetica"/>
      <charset val="0"/>
      <scheme val="minor"/>
    </font>
    <font>
      <sz val="11"/>
      <color theme="1"/>
      <name val="Helvetica"/>
      <charset val="0"/>
      <scheme val="minor"/>
    </font>
    <font>
      <sz val="10"/>
      <name val="Arial"/>
      <charset val="134"/>
    </font>
    <font>
      <sz val="11"/>
      <color rgb="FFFF0000"/>
      <name val="Helvetica"/>
      <charset val="134"/>
      <scheme val="minor"/>
    </font>
    <font>
      <sz val="11"/>
      <color rgb="FFFF0000"/>
      <name val="Calibri"/>
      <charset val="134"/>
    </font>
  </fonts>
  <fills count="35">
    <fill>
      <patternFill patternType="none"/>
    </fill>
    <fill>
      <patternFill patternType="gray125"/>
    </fill>
    <fill>
      <patternFill patternType="solid">
        <fgColor theme="7" tint="0.79995117038483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pplyNumberFormat="0" applyFill="0" applyBorder="0" applyProtection="0">
      <alignment vertical="top" wrapText="1"/>
    </xf>
    <xf numFmtId="176" fontId="31" fillId="0" borderId="0" applyFont="0" applyFill="0" applyBorder="0" applyAlignment="0" applyProtection="0"/>
    <xf numFmtId="177" fontId="4" fillId="0" borderId="0" applyFont="0" applyFill="0" applyBorder="0" applyAlignment="0" applyProtection="0">
      <alignment vertical="center"/>
    </xf>
    <xf numFmtId="9" fontId="4" fillId="0" borderId="0" applyFont="0" applyFill="0" applyBorder="0" applyAlignment="0" applyProtection="0">
      <alignment vertical="center"/>
    </xf>
    <xf numFmtId="178" fontId="4" fillId="0" borderId="0" applyFont="0" applyFill="0" applyBorder="0" applyAlignment="0" applyProtection="0">
      <alignment vertical="center"/>
    </xf>
    <xf numFmtId="179" fontId="4"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 fillId="4" borderId="2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0" applyNumberFormat="0" applyFill="0" applyBorder="0" applyAlignment="0" applyProtection="0">
      <alignment vertical="center"/>
    </xf>
    <xf numFmtId="0" fontId="40" fillId="5" borderId="25" applyNumberFormat="0" applyAlignment="0" applyProtection="0">
      <alignment vertical="center"/>
    </xf>
    <xf numFmtId="0" fontId="41" fillId="6" borderId="26" applyNumberFormat="0" applyAlignment="0" applyProtection="0">
      <alignment vertical="center"/>
    </xf>
    <xf numFmtId="0" fontId="42" fillId="6" borderId="25" applyNumberFormat="0" applyAlignment="0" applyProtection="0">
      <alignment vertical="center"/>
    </xf>
    <xf numFmtId="0" fontId="43" fillId="7" borderId="27" applyNumberFormat="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180" fontId="4" fillId="0" borderId="0" applyFont="0" applyFill="0" applyBorder="0" applyAlignment="0" applyProtection="0"/>
    <xf numFmtId="181" fontId="51" fillId="0" borderId="0"/>
    <xf numFmtId="180" fontId="4" fillId="0" borderId="0" applyFont="0" applyFill="0" applyBorder="0" applyAlignment="0" applyProtection="0"/>
    <xf numFmtId="0" fontId="51" fillId="0" borderId="0"/>
    <xf numFmtId="0" fontId="51" fillId="0" borderId="0"/>
    <xf numFmtId="0" fontId="4" fillId="0" borderId="0"/>
    <xf numFmtId="0" fontId="51" fillId="0" borderId="0"/>
    <xf numFmtId="0" fontId="51" fillId="0" borderId="0"/>
    <xf numFmtId="0" fontId="4" fillId="0" borderId="0"/>
    <xf numFmtId="0" fontId="4" fillId="0" borderId="0"/>
    <xf numFmtId="0" fontId="51" fillId="0" borderId="0"/>
    <xf numFmtId="0" fontId="51" fillId="0" borderId="0"/>
  </cellStyleXfs>
  <cellXfs count="600">
    <xf numFmtId="0" fontId="0" fillId="0" borderId="0" xfId="0">
      <alignment vertical="top" wrapText="1"/>
    </xf>
    <xf numFmtId="0" fontId="1" fillId="0" borderId="0" xfId="0" applyFont="1" applyAlignment="1">
      <alignment wrapText="1"/>
    </xf>
    <xf numFmtId="0" fontId="1" fillId="0" borderId="0" xfId="0" applyFont="1" applyFill="1" applyAlignment="1"/>
    <xf numFmtId="0" fontId="2" fillId="0" borderId="0" xfId="0" applyNumberFormat="1" applyFont="1" applyAlignment="1">
      <alignment horizontal="center"/>
    </xf>
    <xf numFmtId="0" fontId="1" fillId="0" borderId="0" xfId="0" applyFont="1" applyAlignment="1">
      <alignment vertical="top"/>
    </xf>
    <xf numFmtId="0" fontId="1" fillId="0" borderId="0" xfId="0" applyFont="1" applyAlignment="1">
      <alignment horizontal="justify" vertical="top" wrapText="1"/>
    </xf>
    <xf numFmtId="0" fontId="1" fillId="0" borderId="0" xfId="0" applyFont="1" applyAlignment="1"/>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top" wrapText="1"/>
    </xf>
    <xf numFmtId="0" fontId="2" fillId="0" borderId="1" xfId="0" applyNumberFormat="1" applyFont="1" applyBorder="1" applyAlignment="1">
      <alignment horizontal="center" wrapText="1"/>
    </xf>
    <xf numFmtId="0" fontId="2" fillId="0" borderId="2" xfId="0" applyFont="1" applyBorder="1" applyAlignment="1">
      <alignment horizontal="center" vertical="top" wrapText="1"/>
    </xf>
    <xf numFmtId="0" fontId="3" fillId="2" borderId="2" xfId="58" applyFont="1" applyFill="1" applyBorder="1" applyAlignment="1">
      <alignment horizontal="center" vertical="center" wrapText="1"/>
    </xf>
    <xf numFmtId="0" fontId="2" fillId="0" borderId="3" xfId="0" applyNumberFormat="1" applyFont="1" applyBorder="1" applyAlignment="1">
      <alignment horizontal="center"/>
    </xf>
    <xf numFmtId="0" fontId="1" fillId="0" borderId="3" xfId="0" applyFont="1" applyBorder="1" applyAlignment="1">
      <alignment vertical="top"/>
    </xf>
    <xf numFmtId="0" fontId="1" fillId="0" borderId="3" xfId="0" applyFont="1" applyBorder="1" applyAlignment="1">
      <alignment horizontal="justify" vertical="top" wrapText="1"/>
    </xf>
    <xf numFmtId="0" fontId="2" fillId="0" borderId="3" xfId="0" applyNumberFormat="1" applyFont="1" applyBorder="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center"/>
    </xf>
    <xf numFmtId="0" fontId="2" fillId="0" borderId="4" xfId="0" applyNumberFormat="1" applyFont="1" applyBorder="1" applyAlignment="1">
      <alignment horizontal="center"/>
    </xf>
    <xf numFmtId="0" fontId="2" fillId="0" borderId="5" xfId="0" applyFont="1" applyBorder="1" applyAlignment="1">
      <alignment horizontal="center" vertical="top"/>
    </xf>
    <xf numFmtId="0" fontId="2" fillId="0" borderId="5" xfId="0" applyFont="1" applyBorder="1" applyAlignment="1">
      <alignment horizontal="justify" vertical="top" wrapText="1"/>
    </xf>
    <xf numFmtId="0" fontId="1" fillId="0" borderId="5" xfId="0" applyFont="1" applyBorder="1" applyAlignment="1">
      <alignment horizontal="center"/>
    </xf>
    <xf numFmtId="0" fontId="2" fillId="0" borderId="6" xfId="0" applyNumberFormat="1" applyFont="1" applyBorder="1" applyAlignment="1">
      <alignment horizontal="center" vertical="top"/>
    </xf>
    <xf numFmtId="0" fontId="1" fillId="0" borderId="6" xfId="0" applyFont="1" applyBorder="1" applyAlignment="1">
      <alignment horizontal="center" vertical="top"/>
    </xf>
    <xf numFmtId="0" fontId="1" fillId="0" borderId="6" xfId="0" applyFont="1" applyBorder="1" applyAlignment="1">
      <alignment horizontal="justify" vertical="top" wrapText="1"/>
    </xf>
    <xf numFmtId="0" fontId="1" fillId="0" borderId="6" xfId="0" applyFont="1" applyBorder="1" applyAlignment="1">
      <alignment horizontal="center"/>
    </xf>
    <xf numFmtId="0" fontId="1" fillId="0" borderId="6" xfId="0" applyNumberFormat="1" applyFont="1" applyBorder="1" applyAlignment="1">
      <alignment horizontal="center" vertical="top"/>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Fill="1" applyBorder="1" applyAlignment="1">
      <alignment vertical="center"/>
    </xf>
    <xf numFmtId="0" fontId="1" fillId="0" borderId="6" xfId="52" applyFont="1" applyBorder="1" applyAlignment="1">
      <alignment horizontal="justify" vertical="top"/>
    </xf>
    <xf numFmtId="0" fontId="1" fillId="0" borderId="6" xfId="0" applyFont="1" applyFill="1" applyBorder="1" applyAlignment="1">
      <alignment horizontal="left" vertical="top" wrapText="1"/>
    </xf>
    <xf numFmtId="0" fontId="1" fillId="0" borderId="6" xfId="0" applyFont="1" applyFill="1" applyBorder="1" applyAlignment="1">
      <alignment horizontal="justify" vertical="top"/>
    </xf>
    <xf numFmtId="0" fontId="1" fillId="0" borderId="6" xfId="0" applyFont="1" applyFill="1" applyBorder="1" applyAlignment="1">
      <alignment horizontal="left" vertical="top"/>
    </xf>
    <xf numFmtId="0" fontId="1" fillId="0" borderId="6" xfId="0" applyFont="1" applyBorder="1" applyAlignment="1">
      <alignment vertical="top"/>
    </xf>
    <xf numFmtId="0" fontId="1" fillId="0" borderId="6" xfId="0" applyFont="1" applyFill="1" applyBorder="1" applyAlignment="1">
      <alignment horizontal="justify" vertical="top" wrapText="1"/>
    </xf>
    <xf numFmtId="0" fontId="3" fillId="2" borderId="7" xfId="58" applyFont="1" applyFill="1" applyBorder="1" applyAlignment="1">
      <alignment horizontal="center" vertical="center" wrapText="1"/>
    </xf>
    <xf numFmtId="0" fontId="2" fillId="0" borderId="8" xfId="0" applyFont="1" applyBorder="1" applyAlignment="1">
      <alignment horizontal="justify" vertical="top" wrapText="1"/>
    </xf>
    <xf numFmtId="0" fontId="1" fillId="0" borderId="9" xfId="0" applyFont="1" applyBorder="1" applyAlignment="1">
      <alignment horizontal="justify" vertical="top" wrapText="1"/>
    </xf>
    <xf numFmtId="0" fontId="2" fillId="0" borderId="10" xfId="0" applyFont="1" applyBorder="1" applyAlignment="1">
      <alignment horizontal="justify" vertical="top" wrapText="1"/>
    </xf>
    <xf numFmtId="2" fontId="1" fillId="0" borderId="6" xfId="0" applyNumberFormat="1" applyFont="1" applyBorder="1" applyAlignment="1">
      <alignment horizontal="center"/>
    </xf>
    <xf numFmtId="0" fontId="1" fillId="0" borderId="6" xfId="0" applyFont="1" applyBorder="1" applyAlignment="1">
      <alignment horizontal="left" vertical="top" wrapText="1"/>
    </xf>
    <xf numFmtId="0" fontId="1" fillId="0" borderId="6" xfId="60" applyFont="1" applyBorder="1" applyAlignment="1">
      <alignment horizontal="left" vertical="top" wrapText="1"/>
    </xf>
    <xf numFmtId="0" fontId="2" fillId="0" borderId="6" xfId="0" applyFont="1" applyFill="1" applyBorder="1" applyAlignment="1">
      <alignment horizontal="justify" vertical="top" wrapText="1"/>
    </xf>
    <xf numFmtId="0" fontId="1" fillId="0" borderId="6" xfId="0" applyFont="1" applyBorder="1" applyAlignment="1"/>
    <xf numFmtId="0" fontId="2" fillId="0" borderId="6" xfId="0" applyFont="1" applyBorder="1" applyAlignment="1">
      <alignment vertical="top"/>
    </xf>
    <xf numFmtId="0" fontId="2" fillId="0" borderId="6" xfId="0" applyFont="1" applyBorder="1" applyAlignment="1">
      <alignment horizontal="justify" vertical="top" wrapText="1"/>
    </xf>
    <xf numFmtId="2" fontId="1" fillId="0" borderId="6" xfId="0" applyNumberFormat="1" applyFont="1" applyBorder="1" applyAlignment="1">
      <alignment horizontal="center" vertical="top"/>
    </xf>
    <xf numFmtId="0" fontId="1" fillId="0" borderId="6" xfId="0" applyFont="1" applyBorder="1" applyAlignment="1">
      <alignment horizontal="center" vertical="top" wrapText="1"/>
    </xf>
    <xf numFmtId="0" fontId="4" fillId="3" borderId="6" xfId="57" applyFont="1" applyFill="1" applyBorder="1" applyAlignment="1">
      <alignment horizontal="left" vertical="top" wrapText="1"/>
    </xf>
    <xf numFmtId="0" fontId="2" fillId="0" borderId="6" xfId="0" applyFont="1" applyBorder="1" applyAlignment="1">
      <alignment horizontal="center" vertical="top"/>
    </xf>
    <xf numFmtId="0" fontId="2" fillId="0" borderId="6" xfId="0" applyFont="1" applyFill="1" applyBorder="1" applyAlignment="1">
      <alignment vertical="center"/>
    </xf>
    <xf numFmtId="0" fontId="1" fillId="0" borderId="6" xfId="0" applyNumberFormat="1" applyFont="1" applyBorder="1" applyAlignment="1">
      <alignment horizontal="center"/>
    </xf>
    <xf numFmtId="0" fontId="1" fillId="0" borderId="6" xfId="0" applyFont="1" applyFill="1" applyBorder="1" applyAlignment="1">
      <alignment horizontal="center" vertical="center"/>
    </xf>
    <xf numFmtId="0" fontId="2" fillId="0" borderId="6" xfId="0" applyFont="1" applyFill="1" applyBorder="1" applyAlignment="1">
      <alignment horizontal="center" vertical="top"/>
    </xf>
    <xf numFmtId="0" fontId="2" fillId="0" borderId="6" xfId="0" applyFont="1" applyFill="1" applyBorder="1" applyAlignment="1">
      <alignment horizontal="left" vertical="top" wrapText="1"/>
    </xf>
    <xf numFmtId="0" fontId="1" fillId="0" borderId="6" xfId="0" applyFont="1" applyFill="1" applyBorder="1" applyAlignment="1">
      <alignment horizontal="center"/>
    </xf>
    <xf numFmtId="0" fontId="2" fillId="0" borderId="6" xfId="0" applyNumberFormat="1" applyFont="1" applyBorder="1" applyAlignment="1">
      <alignment horizontal="center"/>
    </xf>
    <xf numFmtId="0" fontId="1" fillId="0" borderId="6" xfId="0" applyFont="1" applyFill="1" applyBorder="1" applyAlignment="1">
      <alignment horizontal="center" vertical="top"/>
    </xf>
    <xf numFmtId="0" fontId="1" fillId="0" borderId="6" xfId="0" applyFont="1" applyFill="1" applyBorder="1" applyAlignment="1">
      <alignment vertical="top"/>
    </xf>
    <xf numFmtId="0" fontId="2" fillId="0" borderId="6" xfId="0" applyFont="1" applyFill="1" applyBorder="1" applyAlignment="1">
      <alignment horizontal="center" vertical="top" wrapText="1"/>
    </xf>
    <xf numFmtId="182" fontId="1" fillId="0" borderId="6" xfId="0" applyNumberFormat="1" applyFont="1" applyBorder="1" applyAlignment="1">
      <alignment horizontal="center" vertical="top"/>
    </xf>
    <xf numFmtId="0" fontId="5" fillId="0" borderId="6" xfId="55" applyFont="1" applyBorder="1" applyAlignment="1">
      <alignment horizontal="justify" vertical="justify" wrapText="1"/>
    </xf>
    <xf numFmtId="0" fontId="6" fillId="0" borderId="6" xfId="55" applyFont="1" applyBorder="1" applyAlignment="1">
      <alignment horizontal="justify" vertical="justify" wrapText="1"/>
    </xf>
    <xf numFmtId="0" fontId="2" fillId="0" borderId="6" xfId="0" applyFont="1" applyFill="1" applyBorder="1" applyAlignment="1">
      <alignment horizontal="justify" vertical="top"/>
    </xf>
    <xf numFmtId="182" fontId="1" fillId="0" borderId="6" xfId="52" applyNumberFormat="1" applyFont="1" applyBorder="1" applyAlignment="1">
      <alignment horizontal="center" vertical="center" wrapText="1"/>
    </xf>
    <xf numFmtId="1" fontId="1" fillId="0" borderId="6" xfId="52" applyNumberFormat="1" applyFont="1" applyBorder="1" applyAlignment="1">
      <alignment horizontal="center" vertical="center" wrapText="1"/>
    </xf>
    <xf numFmtId="0" fontId="2" fillId="0" borderId="6" xfId="57" applyFont="1" applyBorder="1" applyAlignment="1">
      <alignment horizontal="center" vertical="center" wrapText="1"/>
    </xf>
    <xf numFmtId="0" fontId="1" fillId="0" borderId="6" xfId="52" applyFont="1" applyBorder="1" applyAlignment="1">
      <alignment horizontal="center" vertical="center" wrapText="1"/>
    </xf>
    <xf numFmtId="0" fontId="1" fillId="0" borderId="6" xfId="57" applyFont="1" applyBorder="1" applyAlignment="1">
      <alignment horizontal="center" vertical="center" wrapText="1"/>
    </xf>
    <xf numFmtId="0" fontId="2" fillId="0" borderId="11" xfId="0" applyNumberFormat="1" applyFont="1" applyBorder="1" applyAlignment="1">
      <alignment horizontal="center" vertical="top"/>
    </xf>
    <xf numFmtId="0" fontId="1" fillId="0" borderId="11" xfId="0" applyFont="1" applyBorder="1" applyAlignment="1">
      <alignment horizontal="center" vertical="top"/>
    </xf>
    <xf numFmtId="0" fontId="1" fillId="0" borderId="11" xfId="0" applyFont="1" applyFill="1" applyBorder="1" applyAlignment="1">
      <alignment horizontal="justify" vertical="top" wrapText="1"/>
    </xf>
    <xf numFmtId="0" fontId="2" fillId="0" borderId="1" xfId="0" applyNumberFormat="1" applyFont="1" applyBorder="1" applyAlignment="1">
      <alignment horizontal="center" vertical="top"/>
    </xf>
    <xf numFmtId="0" fontId="1" fillId="0" borderId="2" xfId="0" applyFont="1" applyBorder="1" applyAlignment="1">
      <alignment horizontal="center" vertical="top"/>
    </xf>
    <xf numFmtId="0" fontId="2" fillId="0" borderId="2" xfId="0" applyFont="1" applyFill="1" applyBorder="1" applyAlignment="1">
      <alignment horizontal="justify" vertical="top" wrapText="1"/>
    </xf>
    <xf numFmtId="0" fontId="2" fillId="0" borderId="0" xfId="0" applyNumberFormat="1" applyFont="1" applyBorder="1" applyAlignment="1">
      <alignment horizontal="center" vertical="top"/>
    </xf>
    <xf numFmtId="0" fontId="1" fillId="0" borderId="0" xfId="0" applyFont="1" applyBorder="1" applyAlignment="1">
      <alignment horizontal="center" vertical="top"/>
    </xf>
    <xf numFmtId="0" fontId="1" fillId="0" borderId="0" xfId="0" applyFont="1" applyFill="1" applyBorder="1" applyAlignment="1">
      <alignment horizontal="justify" vertical="top" wrapText="1"/>
    </xf>
    <xf numFmtId="0" fontId="2" fillId="0" borderId="0" xfId="0" applyNumberFormat="1" applyFont="1" applyFill="1" applyAlignment="1">
      <alignment horizontal="center"/>
    </xf>
    <xf numFmtId="0" fontId="1" fillId="0" borderId="0" xfId="0" applyFont="1" applyFill="1" applyAlignment="1">
      <alignment vertical="top"/>
    </xf>
    <xf numFmtId="1" fontId="1" fillId="0" borderId="6" xfId="0" applyNumberFormat="1" applyFont="1" applyFill="1" applyBorder="1" applyAlignment="1">
      <alignment horizontal="justify" vertical="top" wrapText="1"/>
    </xf>
    <xf numFmtId="183" fontId="1" fillId="0" borderId="6" xfId="51" applyNumberFormat="1" applyFont="1" applyFill="1" applyBorder="1" applyAlignment="1" applyProtection="1">
      <alignment horizontal="center" vertical="center" wrapText="1"/>
    </xf>
    <xf numFmtId="183" fontId="1" fillId="0" borderId="6" xfId="1" applyNumberFormat="1" applyFont="1" applyFill="1" applyBorder="1" applyAlignment="1" applyProtection="1">
      <alignment horizontal="center" vertical="center" wrapText="1"/>
    </xf>
    <xf numFmtId="1" fontId="2" fillId="0" borderId="12" xfId="0" applyNumberFormat="1" applyFont="1" applyFill="1" applyBorder="1" applyAlignment="1">
      <alignment horizontal="justify" vertical="top" wrapText="1"/>
    </xf>
    <xf numFmtId="1" fontId="1" fillId="0" borderId="0" xfId="0" applyNumberFormat="1" applyFont="1" applyAlignment="1"/>
    <xf numFmtId="0" fontId="1" fillId="0" borderId="0" xfId="0" applyFont="1" applyFill="1" applyAlignment="1">
      <alignment horizontal="justify" vertical="top" wrapText="1"/>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8" fillId="0" borderId="17" xfId="0" applyFont="1" applyFill="1" applyBorder="1" applyAlignment="1">
      <alignment horizontal="center" vertical="top" wrapText="1"/>
    </xf>
    <xf numFmtId="0" fontId="8" fillId="0" borderId="18" xfId="0" applyNumberFormat="1" applyFont="1" applyBorder="1" applyAlignment="1">
      <alignment horizontal="center" vertical="top"/>
    </xf>
    <xf numFmtId="2" fontId="8" fillId="0" borderId="18" xfId="0" applyNumberFormat="1" applyFont="1" applyFill="1" applyBorder="1" applyAlignment="1">
      <alignment horizontal="center" vertical="top"/>
    </xf>
    <xf numFmtId="0" fontId="11" fillId="0" borderId="18" xfId="0" applyFont="1" applyFill="1" applyBorder="1" applyAlignment="1">
      <alignment horizontal="left" vertical="top" wrapText="1"/>
    </xf>
    <xf numFmtId="0" fontId="8" fillId="0" borderId="18" xfId="0" applyFont="1" applyFill="1" applyBorder="1" applyAlignment="1">
      <alignment horizontal="left" vertical="top"/>
    </xf>
    <xf numFmtId="0" fontId="11" fillId="0" borderId="18" xfId="0" applyFont="1" applyFill="1" applyBorder="1" applyAlignment="1">
      <alignment horizontal="center" vertical="top" wrapText="1"/>
    </xf>
    <xf numFmtId="0" fontId="10" fillId="0" borderId="18" xfId="0" applyFont="1" applyBorder="1" applyAlignment="1">
      <alignment horizontal="center" vertical="center" wrapText="1"/>
    </xf>
    <xf numFmtId="0" fontId="8" fillId="0" borderId="18" xfId="0" applyFont="1" applyFill="1" applyBorder="1" applyAlignment="1">
      <alignment horizontal="center" vertical="center"/>
    </xf>
    <xf numFmtId="176" fontId="8" fillId="0" borderId="18" xfId="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17" xfId="0" applyFont="1" applyFill="1" applyBorder="1" applyAlignment="1">
      <alignment horizontal="center" vertical="center" wrapText="1"/>
    </xf>
    <xf numFmtId="176" fontId="8" fillId="0" borderId="17" xfId="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top" wrapText="1"/>
    </xf>
    <xf numFmtId="0" fontId="8" fillId="0" borderId="6" xfId="0" applyFont="1" applyFill="1" applyBorder="1" applyAlignment="1">
      <alignment horizontal="center" vertical="center" wrapText="1"/>
    </xf>
    <xf numFmtId="176" fontId="8" fillId="0" borderId="6" xfId="1"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8" fillId="0" borderId="6" xfId="0" applyNumberFormat="1" applyFont="1" applyBorder="1" applyAlignment="1">
      <alignment horizontal="center" vertical="top"/>
    </xf>
    <xf numFmtId="0" fontId="8" fillId="0" borderId="6" xfId="0" applyFont="1" applyFill="1" applyBorder="1" applyAlignment="1">
      <alignment horizontal="center" vertical="top"/>
    </xf>
    <xf numFmtId="0" fontId="8" fillId="0" borderId="6" xfId="0" applyFont="1" applyFill="1" applyBorder="1" applyAlignment="1">
      <alignment horizontal="center"/>
    </xf>
    <xf numFmtId="0" fontId="8" fillId="0" borderId="6" xfId="0" applyFont="1" applyFill="1" applyBorder="1" applyAlignment="1">
      <alignment horizontal="center" vertical="center"/>
    </xf>
    <xf numFmtId="0" fontId="8" fillId="0" borderId="6" xfId="0" applyNumberFormat="1" applyFont="1" applyBorder="1" applyAlignment="1">
      <alignment vertical="top"/>
    </xf>
    <xf numFmtId="0" fontId="8" fillId="0" borderId="11" xfId="0" applyFont="1" applyFill="1" applyBorder="1" applyAlignment="1">
      <alignment horizontal="center" vertical="top" wrapText="1"/>
    </xf>
    <xf numFmtId="176" fontId="8" fillId="0" borderId="11" xfId="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3" xfId="0" applyNumberFormat="1" applyFont="1" applyBorder="1" applyAlignment="1">
      <alignment vertical="top"/>
    </xf>
    <xf numFmtId="0" fontId="8" fillId="0" borderId="3" xfId="0" applyNumberFormat="1" applyFont="1" applyBorder="1" applyAlignment="1">
      <alignment horizontal="center" vertical="center"/>
    </xf>
    <xf numFmtId="1" fontId="8" fillId="0" borderId="2"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1" fontId="8" fillId="0" borderId="17"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10" fillId="0" borderId="6" xfId="57" applyFont="1" applyBorder="1" applyAlignment="1">
      <alignment horizontal="center" vertical="center" wrapText="1"/>
    </xf>
    <xf numFmtId="0" fontId="8" fillId="0" borderId="6" xfId="57" applyFont="1" applyBorder="1" applyAlignment="1">
      <alignment horizontal="center" vertical="center"/>
    </xf>
    <xf numFmtId="183" fontId="8" fillId="0" borderId="6" xfId="51" applyNumberFormat="1" applyFont="1" applyFill="1" applyBorder="1" applyAlignment="1" applyProtection="1">
      <alignment horizontal="center" vertical="center" wrapText="1"/>
    </xf>
    <xf numFmtId="0" fontId="8" fillId="0" borderId="6" xfId="57" applyFont="1" applyBorder="1" applyAlignment="1">
      <alignment horizontal="left" vertical="center" wrapText="1"/>
    </xf>
    <xf numFmtId="182" fontId="8" fillId="0" borderId="6" xfId="0" applyNumberFormat="1" applyFont="1" applyBorder="1" applyAlignment="1">
      <alignment horizontal="left" vertical="top"/>
    </xf>
    <xf numFmtId="0" fontId="10" fillId="0" borderId="6" xfId="0" applyFont="1" applyFill="1" applyBorder="1" applyAlignment="1">
      <alignment horizontal="left" vertical="top"/>
    </xf>
    <xf numFmtId="0" fontId="8" fillId="0" borderId="6" xfId="0" applyFont="1" applyFill="1" applyBorder="1" applyAlignment="1">
      <alignment horizontal="left" vertical="top"/>
    </xf>
    <xf numFmtId="0" fontId="10" fillId="0" borderId="6" xfId="0" applyFont="1" applyFill="1" applyBorder="1" applyAlignment="1">
      <alignment horizontal="center" vertical="top"/>
    </xf>
    <xf numFmtId="0" fontId="7" fillId="0" borderId="6" xfId="0" applyFont="1" applyFill="1" applyBorder="1" applyAlignment="1">
      <alignment horizontal="center" vertical="top" wrapText="1"/>
    </xf>
    <xf numFmtId="0" fontId="7" fillId="0" borderId="6" xfId="0" applyFont="1" applyFill="1" applyBorder="1">
      <alignment vertical="top" wrapText="1"/>
    </xf>
    <xf numFmtId="0" fontId="12" fillId="0" borderId="6" xfId="0" applyFont="1" applyFill="1" applyBorder="1" applyAlignment="1">
      <alignment horizontal="center" vertical="top" wrapText="1"/>
    </xf>
    <xf numFmtId="0" fontId="7" fillId="0" borderId="6" xfId="0" applyFont="1" applyFill="1" applyBorder="1" applyAlignment="1">
      <alignment horizontal="center" vertical="top"/>
    </xf>
    <xf numFmtId="0" fontId="12" fillId="0" borderId="6" xfId="0" applyNumberFormat="1" applyFont="1" applyFill="1" applyBorder="1" applyAlignment="1">
      <alignment horizontal="center" vertical="top" wrapText="1"/>
    </xf>
    <xf numFmtId="1" fontId="10" fillId="0" borderId="6"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8" fillId="0" borderId="6"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6" xfId="0" applyNumberFormat="1" applyFont="1" applyBorder="1" applyAlignment="1">
      <alignment horizontal="left" vertical="top"/>
    </xf>
    <xf numFmtId="0" fontId="8" fillId="0" borderId="14" xfId="0"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 fontId="10" fillId="0" borderId="16" xfId="52" applyNumberFormat="1" applyFont="1" applyBorder="1" applyAlignment="1">
      <alignment horizontal="center" vertical="center"/>
    </xf>
    <xf numFmtId="1" fontId="10" fillId="0" borderId="20" xfId="52" applyNumberFormat="1" applyFont="1" applyBorder="1" applyAlignment="1">
      <alignment horizontal="center" vertical="center"/>
    </xf>
    <xf numFmtId="0" fontId="10" fillId="0" borderId="2" xfId="57" applyFont="1" applyBorder="1" applyAlignment="1">
      <alignment horizontal="center" vertical="center" wrapText="1"/>
    </xf>
    <xf numFmtId="0" fontId="10" fillId="0" borderId="12" xfId="57" applyFont="1" applyBorder="1" applyAlignment="1">
      <alignment horizontal="center" vertical="center" wrapText="1"/>
    </xf>
    <xf numFmtId="0" fontId="10" fillId="0" borderId="17" xfId="57" applyFont="1" applyBorder="1" applyAlignment="1">
      <alignment horizontal="center" vertical="center" wrapText="1"/>
    </xf>
    <xf numFmtId="0" fontId="8" fillId="0" borderId="3" xfId="57" applyFont="1" applyBorder="1" applyAlignment="1">
      <alignment horizontal="center" vertical="center" wrapText="1"/>
    </xf>
    <xf numFmtId="180" fontId="8" fillId="0" borderId="17" xfId="57" applyNumberFormat="1" applyFont="1" applyBorder="1" applyAlignment="1">
      <alignment horizontal="center" vertical="center" wrapText="1"/>
    </xf>
    <xf numFmtId="0" fontId="10" fillId="0" borderId="18" xfId="57" applyFont="1" applyBorder="1" applyAlignment="1">
      <alignment horizontal="center" vertical="center" wrapText="1"/>
    </xf>
    <xf numFmtId="0" fontId="8" fillId="3" borderId="17" xfId="57" applyFont="1" applyFill="1" applyBorder="1" applyAlignment="1">
      <alignment horizontal="center" vertical="center" wrapText="1"/>
    </xf>
    <xf numFmtId="0" fontId="8" fillId="3" borderId="6" xfId="57" applyFont="1" applyFill="1" applyBorder="1" applyAlignment="1">
      <alignment horizontal="center" vertical="center" wrapText="1"/>
    </xf>
    <xf numFmtId="0" fontId="8" fillId="0" borderId="6" xfId="57" applyFont="1" applyBorder="1" applyAlignment="1">
      <alignment horizontal="center" vertical="center" wrapText="1"/>
    </xf>
    <xf numFmtId="0" fontId="8" fillId="3" borderId="11" xfId="57" applyFont="1" applyFill="1" applyBorder="1" applyAlignment="1">
      <alignment horizontal="center" vertical="center" wrapText="1"/>
    </xf>
    <xf numFmtId="180" fontId="8" fillId="0" borderId="3" xfId="57" applyNumberFormat="1" applyFont="1" applyBorder="1" applyAlignment="1">
      <alignment horizontal="center" vertical="center" wrapText="1"/>
    </xf>
    <xf numFmtId="0" fontId="10" fillId="3" borderId="3" xfId="57" applyFont="1" applyFill="1" applyBorder="1" applyAlignment="1">
      <alignment horizontal="center" vertical="center" wrapText="1"/>
    </xf>
    <xf numFmtId="0" fontId="10" fillId="0" borderId="3" xfId="57" applyFont="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3" borderId="17" xfId="0" applyNumberFormat="1" applyFont="1" applyFill="1" applyBorder="1" applyAlignment="1">
      <alignment horizontal="center" vertical="center" wrapText="1"/>
    </xf>
    <xf numFmtId="183" fontId="8" fillId="3" borderId="6" xfId="51" applyNumberFormat="1" applyFont="1" applyFill="1" applyBorder="1" applyAlignment="1" applyProtection="1">
      <alignment horizontal="center" vertical="center" wrapText="1"/>
    </xf>
    <xf numFmtId="0" fontId="8" fillId="3" borderId="6" xfId="0" applyNumberFormat="1" applyFont="1" applyFill="1" applyBorder="1" applyAlignment="1">
      <alignment horizontal="center" vertical="center" wrapText="1"/>
    </xf>
    <xf numFmtId="0" fontId="8" fillId="0" borderId="6" xfId="52" applyFont="1" applyBorder="1" applyAlignment="1">
      <alignment vertical="center" wrapText="1"/>
    </xf>
    <xf numFmtId="0" fontId="8" fillId="0" borderId="6" xfId="52" applyFont="1" applyBorder="1" applyAlignment="1">
      <alignment horizontal="center" vertical="center" wrapText="1"/>
    </xf>
    <xf numFmtId="183" fontId="7" fillId="3" borderId="6" xfId="51" applyNumberFormat="1" applyFont="1" applyFill="1" applyBorder="1" applyAlignment="1" applyProtection="1">
      <alignment horizontal="center" vertical="top" wrapText="1"/>
    </xf>
    <xf numFmtId="0" fontId="7" fillId="0" borderId="6" xfId="52" applyFont="1" applyBorder="1" applyAlignment="1">
      <alignment vertical="top" wrapText="1"/>
    </xf>
    <xf numFmtId="0" fontId="7" fillId="0" borderId="0" xfId="0" applyNumberFormat="1" applyFont="1" applyFill="1" applyBorder="1" applyAlignment="1">
      <alignment horizontal="center" vertical="center" wrapText="1"/>
    </xf>
    <xf numFmtId="0" fontId="10" fillId="3" borderId="6" xfId="57"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17" xfId="0" applyNumberFormat="1" applyFont="1" applyFill="1" applyBorder="1" applyAlignment="1">
      <alignment horizontal="center" vertical="center" wrapText="1"/>
    </xf>
    <xf numFmtId="0" fontId="10" fillId="0" borderId="6" xfId="52" applyFont="1" applyBorder="1" applyAlignment="1">
      <alignment horizontal="center" vertical="center" wrapText="1"/>
    </xf>
    <xf numFmtId="184" fontId="8" fillId="0" borderId="6" xfId="0" applyNumberFormat="1" applyFont="1" applyFill="1" applyBorder="1" applyAlignment="1">
      <alignment horizontal="center" vertical="center" wrapText="1"/>
    </xf>
    <xf numFmtId="182" fontId="8" fillId="0" borderId="6" xfId="0" applyNumberFormat="1" applyFont="1" applyBorder="1" applyAlignment="1">
      <alignment horizontal="center" vertical="top"/>
    </xf>
    <xf numFmtId="0" fontId="8" fillId="0" borderId="6" xfId="0" applyFont="1" applyFill="1" applyBorder="1" applyAlignment="1">
      <alignment vertical="center"/>
    </xf>
    <xf numFmtId="0" fontId="10" fillId="0" borderId="6" xfId="0" applyNumberFormat="1" applyFont="1" applyBorder="1" applyAlignment="1">
      <alignment horizontal="center" vertical="top"/>
    </xf>
    <xf numFmtId="0" fontId="8" fillId="0" borderId="6" xfId="0" applyFont="1" applyFill="1" applyBorder="1" applyAlignment="1">
      <alignment horizontal="left" vertical="top" wrapText="1"/>
    </xf>
    <xf numFmtId="1" fontId="10" fillId="0" borderId="2" xfId="0" applyNumberFormat="1" applyFont="1" applyFill="1" applyBorder="1" applyAlignment="1">
      <alignment horizontal="center" vertical="center" wrapText="1"/>
    </xf>
    <xf numFmtId="0" fontId="7" fillId="0" borderId="6" xfId="0" applyNumberFormat="1" applyFont="1" applyBorder="1" applyAlignment="1">
      <alignment horizontal="center" vertical="top"/>
    </xf>
    <xf numFmtId="0" fontId="7" fillId="0" borderId="6" xfId="0" applyFont="1" applyFill="1" applyBorder="1" applyAlignment="1">
      <alignment horizontal="center" vertical="center" wrapText="1"/>
    </xf>
    <xf numFmtId="0" fontId="7" fillId="0" borderId="6" xfId="0" applyFont="1" applyFill="1" applyBorder="1" applyAlignment="1">
      <alignment horizontal="center"/>
    </xf>
    <xf numFmtId="0" fontId="7" fillId="0" borderId="6" xfId="0" applyNumberFormat="1" applyFont="1" applyFill="1" applyBorder="1" applyAlignment="1">
      <alignment horizontal="center" vertical="center" wrapText="1"/>
    </xf>
    <xf numFmtId="0" fontId="8" fillId="3" borderId="11" xfId="0" applyNumberFormat="1" applyFont="1" applyFill="1" applyBorder="1" applyAlignment="1">
      <alignment horizontal="center" vertical="center" wrapText="1"/>
    </xf>
    <xf numFmtId="180" fontId="8" fillId="0" borderId="11" xfId="0" applyNumberFormat="1" applyFont="1" applyFill="1" applyBorder="1" applyAlignment="1">
      <alignment horizontal="center" vertical="center" wrapText="1"/>
    </xf>
    <xf numFmtId="180" fontId="8" fillId="0" borderId="12" xfId="0" applyNumberFormat="1" applyFont="1" applyFill="1" applyBorder="1" applyAlignment="1">
      <alignment horizontal="center" vertical="center" wrapText="1"/>
    </xf>
    <xf numFmtId="180" fontId="8" fillId="0" borderId="17" xfId="0" applyNumberFormat="1" applyFont="1" applyFill="1" applyBorder="1" applyAlignment="1">
      <alignment horizontal="center" vertical="center" wrapText="1"/>
    </xf>
    <xf numFmtId="183" fontId="8" fillId="3" borderId="17" xfId="49" applyNumberFormat="1" applyFont="1" applyFill="1" applyBorder="1" applyAlignment="1" applyProtection="1">
      <alignment horizontal="center" vertical="center" wrapText="1"/>
    </xf>
    <xf numFmtId="183" fontId="8" fillId="3" borderId="6" xfId="49" applyNumberFormat="1" applyFont="1" applyFill="1" applyBorder="1" applyAlignment="1" applyProtection="1">
      <alignment horizontal="center" vertical="center" wrapText="1"/>
    </xf>
    <xf numFmtId="180" fontId="10" fillId="0" borderId="12" xfId="0" applyNumberFormat="1" applyFont="1" applyFill="1" applyBorder="1" applyAlignment="1">
      <alignment horizontal="center" vertical="center" wrapText="1"/>
    </xf>
    <xf numFmtId="0" fontId="7" fillId="0" borderId="6" xfId="57" applyFont="1" applyBorder="1" applyAlignment="1">
      <alignment horizontal="center" vertical="center" wrapText="1"/>
    </xf>
    <xf numFmtId="180" fontId="7" fillId="0" borderId="6" xfId="0" applyNumberFormat="1" applyFont="1" applyFill="1" applyBorder="1" applyAlignment="1">
      <alignment horizontal="center" vertical="center" wrapText="1"/>
    </xf>
    <xf numFmtId="182" fontId="8" fillId="0" borderId="6" xfId="0" applyNumberFormat="1" applyFont="1" applyFill="1" applyBorder="1" applyAlignment="1">
      <alignment horizontal="center" vertical="center" wrapText="1"/>
    </xf>
    <xf numFmtId="0" fontId="8" fillId="0" borderId="0" xfId="52" applyFont="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2"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84" fontId="8" fillId="0" borderId="0" xfId="0" applyNumberFormat="1" applyFont="1" applyFill="1" applyBorder="1" applyAlignment="1">
      <alignment horizontal="center" vertical="center" wrapText="1"/>
    </xf>
    <xf numFmtId="2" fontId="10" fillId="0" borderId="12" xfId="0" applyNumberFormat="1" applyFont="1" applyFill="1" applyBorder="1" applyAlignment="1">
      <alignment wrapText="1"/>
    </xf>
    <xf numFmtId="180" fontId="8" fillId="0" borderId="0"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13" fillId="0" borderId="6" xfId="52" applyFont="1" applyBorder="1" applyAlignment="1">
      <alignment horizontal="center" vertical="center" wrapText="1"/>
    </xf>
    <xf numFmtId="0" fontId="10" fillId="0" borderId="6" xfId="52" applyFont="1" applyBorder="1" applyAlignment="1">
      <alignment horizontal="left" vertical="center" wrapText="1"/>
    </xf>
    <xf numFmtId="183" fontId="13" fillId="0" borderId="6" xfId="51" applyNumberFormat="1" applyFont="1" applyFill="1" applyBorder="1" applyAlignment="1" applyProtection="1">
      <alignment horizontal="center" vertical="center" wrapText="1"/>
    </xf>
    <xf numFmtId="0" fontId="14" fillId="0" borderId="18" xfId="0" applyFont="1" applyBorder="1">
      <alignment vertical="top" wrapText="1"/>
    </xf>
    <xf numFmtId="0" fontId="10" fillId="0" borderId="6" xfId="53" applyFont="1" applyBorder="1" applyAlignment="1">
      <alignment horizontal="center" vertical="center" wrapText="1"/>
    </xf>
    <xf numFmtId="0" fontId="8" fillId="0" borderId="6" xfId="59" applyFont="1" applyBorder="1" applyAlignment="1">
      <alignment horizontal="center" vertical="center" wrapText="1"/>
    </xf>
    <xf numFmtId="0" fontId="8" fillId="0" borderId="6" xfId="55" applyFont="1" applyBorder="1" applyAlignment="1">
      <alignment horizontal="center" vertical="center" wrapText="1"/>
    </xf>
    <xf numFmtId="183" fontId="13" fillId="3" borderId="6" xfId="51"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xf>
    <xf numFmtId="183" fontId="8" fillId="0" borderId="17" xfId="49" applyNumberFormat="1" applyFont="1" applyFill="1" applyBorder="1" applyAlignment="1" applyProtection="1">
      <alignment horizontal="center" vertical="center" wrapText="1"/>
    </xf>
    <xf numFmtId="183" fontId="8" fillId="0" borderId="6" xfId="49" applyNumberFormat="1" applyFont="1" applyFill="1" applyBorder="1" applyAlignment="1" applyProtection="1">
      <alignment horizontal="center" vertical="center" wrapText="1"/>
    </xf>
    <xf numFmtId="0" fontId="8" fillId="0" borderId="6" xfId="53" applyFont="1" applyBorder="1" applyAlignment="1">
      <alignment horizontal="center" vertical="center" wrapText="1"/>
    </xf>
    <xf numFmtId="1" fontId="8" fillId="0" borderId="6" xfId="52" applyNumberFormat="1" applyFont="1" applyBorder="1" applyAlignment="1">
      <alignment horizontal="center" vertical="center" wrapText="1"/>
    </xf>
    <xf numFmtId="0" fontId="15" fillId="0" borderId="6" xfId="57" applyFont="1" applyBorder="1" applyAlignment="1">
      <alignment horizontal="center" vertical="center" wrapText="1"/>
    </xf>
    <xf numFmtId="0" fontId="15" fillId="0" borderId="6" xfId="57" applyFont="1" applyBorder="1" applyAlignment="1">
      <alignment vertical="center" wrapText="1"/>
    </xf>
    <xf numFmtId="0" fontId="16" fillId="0" borderId="6" xfId="52" applyFont="1" applyBorder="1" applyAlignment="1">
      <alignment horizontal="justify" vertical="center" wrapText="1"/>
    </xf>
    <xf numFmtId="0" fontId="15" fillId="0" borderId="6" xfId="52" applyFont="1" applyBorder="1" applyAlignment="1">
      <alignment horizontal="center" vertical="center" wrapText="1"/>
    </xf>
    <xf numFmtId="1" fontId="15" fillId="0" borderId="6" xfId="52" applyNumberFormat="1" applyFont="1" applyBorder="1" applyAlignment="1">
      <alignment horizontal="center" vertical="center" wrapText="1"/>
    </xf>
    <xf numFmtId="0" fontId="15" fillId="0" borderId="6" xfId="57" applyFont="1" applyBorder="1" applyAlignment="1">
      <alignment horizontal="left" vertical="center" wrapText="1"/>
    </xf>
    <xf numFmtId="0" fontId="8" fillId="0" borderId="6" xfId="54" applyFont="1" applyBorder="1" applyAlignment="1">
      <alignment horizontal="center" vertical="center" wrapText="1"/>
    </xf>
    <xf numFmtId="0" fontId="7" fillId="0" borderId="6" xfId="53" applyFont="1" applyBorder="1" applyAlignment="1">
      <alignment horizontal="center" vertical="center" wrapText="1"/>
    </xf>
    <xf numFmtId="0" fontId="17" fillId="0" borderId="6" xfId="56" applyFont="1" applyBorder="1" applyAlignment="1">
      <alignment horizontal="center" vertical="center" wrapText="1"/>
    </xf>
    <xf numFmtId="0" fontId="16" fillId="0" borderId="6" xfId="55" applyFont="1" applyBorder="1" applyAlignment="1">
      <alignment horizontal="justify" vertical="center" wrapText="1"/>
    </xf>
    <xf numFmtId="0" fontId="15" fillId="0" borderId="6" xfId="55" applyFont="1" applyBorder="1" applyAlignment="1">
      <alignment horizontal="justify" vertical="center" wrapText="1"/>
    </xf>
    <xf numFmtId="0" fontId="16" fillId="0" borderId="6" xfId="52" applyFont="1" applyBorder="1" applyAlignment="1">
      <alignment horizontal="center" vertical="center" wrapText="1"/>
    </xf>
    <xf numFmtId="0" fontId="15" fillId="0" borderId="6" xfId="57" applyFont="1" applyBorder="1" applyAlignment="1">
      <alignment horizontal="center" vertical="top" wrapText="1"/>
    </xf>
    <xf numFmtId="0" fontId="15" fillId="0" borderId="6" xfId="55" applyFont="1" applyBorder="1" applyAlignment="1">
      <alignment horizontal="center" vertical="center" wrapText="1"/>
    </xf>
    <xf numFmtId="0" fontId="15" fillId="0" borderId="6" xfId="52" applyFont="1" applyBorder="1" applyAlignment="1">
      <alignment vertical="center" wrapText="1"/>
    </xf>
    <xf numFmtId="183" fontId="13" fillId="0" borderId="6" xfId="51" applyNumberFormat="1" applyFont="1" applyFill="1" applyBorder="1" applyAlignment="1" applyProtection="1">
      <alignment horizontal="right" vertical="center" wrapText="1"/>
    </xf>
    <xf numFmtId="183" fontId="8" fillId="0" borderId="6" xfId="51" applyNumberFormat="1" applyFont="1" applyFill="1" applyBorder="1" applyAlignment="1" applyProtection="1">
      <alignment horizontal="center" vertical="center"/>
    </xf>
    <xf numFmtId="183" fontId="15" fillId="0" borderId="6" xfId="51" applyNumberFormat="1" applyFont="1" applyFill="1" applyBorder="1" applyAlignment="1" applyProtection="1">
      <alignment horizontal="center" vertical="center" wrapText="1"/>
    </xf>
    <xf numFmtId="0" fontId="10" fillId="0" borderId="6" xfId="55" applyFont="1" applyBorder="1" applyAlignment="1">
      <alignment horizontal="center" vertical="center" wrapText="1"/>
    </xf>
    <xf numFmtId="0" fontId="10" fillId="0" borderId="6" xfId="54" applyFont="1" applyBorder="1" applyAlignment="1">
      <alignment horizontal="center" vertical="center" wrapText="1"/>
    </xf>
    <xf numFmtId="1" fontId="8" fillId="0" borderId="11" xfId="52" applyNumberFormat="1" applyFont="1" applyBorder="1" applyAlignment="1">
      <alignment horizontal="center" vertical="center" wrapText="1"/>
    </xf>
    <xf numFmtId="0" fontId="8" fillId="0" borderId="11" xfId="52" applyFont="1" applyBorder="1" applyAlignment="1">
      <alignment horizontal="center" vertical="center" wrapText="1"/>
    </xf>
    <xf numFmtId="1" fontId="15" fillId="0" borderId="6" xfId="52" applyNumberFormat="1" applyFont="1" applyBorder="1" applyAlignment="1">
      <alignment horizontal="center" vertical="center"/>
    </xf>
    <xf numFmtId="0" fontId="16" fillId="0" borderId="6" xfId="57" applyFont="1" applyBorder="1" applyAlignment="1">
      <alignment horizontal="left" vertical="center" wrapText="1"/>
    </xf>
    <xf numFmtId="176" fontId="10" fillId="0" borderId="12" xfId="1" applyFont="1" applyFill="1" applyBorder="1" applyAlignment="1">
      <alignment wrapText="1"/>
    </xf>
    <xf numFmtId="0" fontId="18" fillId="0" borderId="0" xfId="52" applyFont="1" applyAlignment="1">
      <alignment horizontal="center" vertical="center" wrapText="1"/>
    </xf>
    <xf numFmtId="0" fontId="19" fillId="0" borderId="0" xfId="52" applyFont="1" applyAlignment="1">
      <alignment horizontal="center" vertical="center" wrapText="1"/>
    </xf>
    <xf numFmtId="0" fontId="13" fillId="0" borderId="0" xfId="52" applyFont="1" applyAlignment="1">
      <alignment horizontal="center" vertical="center" wrapText="1"/>
    </xf>
    <xf numFmtId="0" fontId="13" fillId="0" borderId="0" xfId="52" applyFont="1" applyAlignment="1">
      <alignment horizontal="left" vertical="center" wrapText="1"/>
    </xf>
    <xf numFmtId="185" fontId="13" fillId="0" borderId="0" xfId="1" applyNumberFormat="1" applyFont="1" applyFill="1" applyAlignment="1">
      <alignment horizontal="center" vertical="center" wrapText="1"/>
    </xf>
    <xf numFmtId="0" fontId="13" fillId="0" borderId="6" xfId="57" applyFont="1" applyBorder="1" applyAlignment="1">
      <alignment horizontal="center" vertical="center" wrapText="1"/>
    </xf>
    <xf numFmtId="0" fontId="18" fillId="0" borderId="6" xfId="57" applyFont="1" applyBorder="1" applyAlignment="1">
      <alignment horizontal="left" vertical="center" wrapText="1"/>
    </xf>
    <xf numFmtId="0" fontId="13" fillId="0" borderId="6" xfId="52" applyFont="1" applyBorder="1" applyAlignment="1">
      <alignment horizontal="left" vertical="center" wrapText="1"/>
    </xf>
    <xf numFmtId="182" fontId="18" fillId="0" borderId="6" xfId="52" applyNumberFormat="1" applyFont="1" applyBorder="1" applyAlignment="1">
      <alignment horizontal="center" vertical="center" wrapText="1"/>
    </xf>
    <xf numFmtId="0" fontId="18" fillId="0" borderId="6" xfId="57" applyFont="1" applyBorder="1" applyAlignment="1">
      <alignment horizontal="center" vertical="center" wrapText="1"/>
    </xf>
    <xf numFmtId="0" fontId="18" fillId="0" borderId="6" xfId="52" applyFont="1" applyBorder="1" applyAlignment="1">
      <alignment horizontal="left" vertical="center" wrapText="1"/>
    </xf>
    <xf numFmtId="0" fontId="18" fillId="0" borderId="6" xfId="52" applyFont="1" applyBorder="1" applyAlignment="1">
      <alignment horizontal="center" vertical="center" wrapText="1"/>
    </xf>
    <xf numFmtId="182" fontId="13" fillId="0" borderId="6" xfId="52" applyNumberFormat="1" applyFont="1" applyBorder="1" applyAlignment="1">
      <alignment horizontal="center" vertical="center" wrapText="1"/>
    </xf>
    <xf numFmtId="183" fontId="18" fillId="0" borderId="6" xfId="51" applyNumberFormat="1" applyFont="1" applyFill="1" applyBorder="1" applyAlignment="1" applyProtection="1">
      <alignment horizontal="center" vertical="center" wrapText="1"/>
    </xf>
    <xf numFmtId="0" fontId="13" fillId="0" borderId="6" xfId="57" applyFont="1" applyBorder="1" applyAlignment="1">
      <alignment horizontal="left" vertical="top" wrapText="1"/>
    </xf>
    <xf numFmtId="0" fontId="13" fillId="0" borderId="6" xfId="57" applyFont="1" applyBorder="1" applyAlignment="1">
      <alignment horizontal="left" vertical="center" wrapText="1"/>
    </xf>
    <xf numFmtId="0" fontId="13" fillId="0" borderId="6" xfId="57" applyFont="1" applyBorder="1" applyAlignment="1">
      <alignment horizontal="center" vertical="center"/>
    </xf>
    <xf numFmtId="182" fontId="13" fillId="0" borderId="6" xfId="57" applyNumberFormat="1" applyFont="1" applyBorder="1" applyAlignment="1">
      <alignment horizontal="center" vertical="center" wrapText="1"/>
    </xf>
    <xf numFmtId="0" fontId="18" fillId="0" borderId="6" xfId="57" applyFont="1" applyBorder="1" applyAlignment="1">
      <alignment horizontal="center" vertical="center"/>
    </xf>
    <xf numFmtId="0" fontId="20" fillId="0" borderId="6" xfId="0" applyNumberFormat="1" applyFont="1" applyFill="1" applyBorder="1" applyAlignment="1">
      <alignment horizontal="center" vertical="center" wrapText="1"/>
    </xf>
    <xf numFmtId="0" fontId="21" fillId="0" borderId="6" xfId="0" applyNumberFormat="1" applyFont="1" applyFill="1" applyBorder="1" applyAlignment="1">
      <alignment horizontal="left" vertical="center" wrapText="1"/>
    </xf>
    <xf numFmtId="2" fontId="20" fillId="0" borderId="6" xfId="0" applyNumberFormat="1" applyFont="1" applyFill="1" applyBorder="1" applyAlignment="1">
      <alignment horizontal="center" vertical="center" wrapText="1"/>
    </xf>
    <xf numFmtId="1"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left" vertical="top" wrapText="1"/>
    </xf>
    <xf numFmtId="1" fontId="13" fillId="0" borderId="6" xfId="52" applyNumberFormat="1" applyFont="1" applyBorder="1" applyAlignment="1">
      <alignment horizontal="center" vertical="center" wrapText="1"/>
    </xf>
    <xf numFmtId="182" fontId="19" fillId="0" borderId="6" xfId="52" applyNumberFormat="1" applyFont="1" applyBorder="1" applyAlignment="1">
      <alignment horizontal="center" vertical="center" wrapText="1"/>
    </xf>
    <xf numFmtId="1" fontId="19" fillId="0" borderId="6" xfId="52" applyNumberFormat="1" applyFont="1" applyBorder="1" applyAlignment="1">
      <alignment horizontal="center" vertical="center" wrapText="1"/>
    </xf>
    <xf numFmtId="0" fontId="19" fillId="0" borderId="6" xfId="52" applyFont="1" applyBorder="1" applyAlignment="1">
      <alignment horizontal="center" vertical="center" wrapText="1"/>
    </xf>
    <xf numFmtId="183" fontId="19" fillId="0" borderId="6" xfId="51" applyNumberFormat="1" applyFont="1" applyFill="1" applyBorder="1" applyAlignment="1" applyProtection="1">
      <alignment horizontal="center" vertical="center" wrapText="1"/>
    </xf>
    <xf numFmtId="1" fontId="18" fillId="0" borderId="6" xfId="52" applyNumberFormat="1" applyFont="1" applyBorder="1" applyAlignment="1">
      <alignment horizontal="center" vertical="center" wrapText="1"/>
    </xf>
    <xf numFmtId="0" fontId="13" fillId="0" borderId="6" xfId="53" applyFont="1" applyBorder="1" applyAlignment="1">
      <alignment horizontal="left" vertical="center" wrapText="1"/>
    </xf>
    <xf numFmtId="0" fontId="18" fillId="0" borderId="6" xfId="55" applyFont="1" applyBorder="1" applyAlignment="1">
      <alignment horizontal="left" vertical="center" wrapText="1"/>
    </xf>
    <xf numFmtId="2" fontId="13" fillId="0" borderId="6" xfId="52" applyNumberFormat="1" applyFont="1" applyBorder="1" applyAlignment="1">
      <alignment horizontal="center" vertical="center" wrapText="1"/>
    </xf>
    <xf numFmtId="0" fontId="13" fillId="0" borderId="6" xfId="55" applyFont="1" applyBorder="1" applyAlignment="1">
      <alignment horizontal="left" vertical="center" wrapText="1"/>
    </xf>
    <xf numFmtId="185" fontId="13" fillId="0" borderId="6" xfId="1" applyNumberFormat="1" applyFont="1" applyFill="1" applyBorder="1" applyAlignment="1">
      <alignment horizontal="center" vertical="center" wrapText="1"/>
    </xf>
    <xf numFmtId="1" fontId="22" fillId="0" borderId="6" xfId="52" applyNumberFormat="1" applyFont="1" applyBorder="1" applyAlignment="1">
      <alignment horizontal="center" vertical="center"/>
    </xf>
    <xf numFmtId="185" fontId="18" fillId="0" borderId="6" xfId="1" applyNumberFormat="1" applyFont="1" applyFill="1" applyBorder="1" applyAlignment="1">
      <alignment horizontal="center" vertical="center" wrapText="1"/>
    </xf>
    <xf numFmtId="180" fontId="18" fillId="0" borderId="6" xfId="51" applyFont="1" applyFill="1" applyBorder="1" applyAlignment="1" applyProtection="1">
      <alignment horizontal="center" vertical="center" wrapText="1"/>
    </xf>
    <xf numFmtId="183" fontId="18" fillId="3" borderId="6" xfId="51" applyNumberFormat="1" applyFont="1" applyFill="1" applyBorder="1" applyAlignment="1" applyProtection="1">
      <alignment horizontal="center" vertical="center" wrapText="1"/>
    </xf>
    <xf numFmtId="183" fontId="13" fillId="3" borderId="6" xfId="1" applyNumberFormat="1" applyFont="1" applyFill="1" applyBorder="1" applyAlignment="1" applyProtection="1">
      <alignment horizontal="center" vertical="center" wrapText="1"/>
    </xf>
    <xf numFmtId="176" fontId="13" fillId="0" borderId="0" xfId="52" applyNumberFormat="1" applyFont="1" applyAlignment="1">
      <alignment horizontal="center" vertical="center" wrapText="1"/>
    </xf>
    <xf numFmtId="183" fontId="19" fillId="3" borderId="6" xfId="51" applyNumberFormat="1" applyFont="1" applyFill="1" applyBorder="1" applyAlignment="1" applyProtection="1">
      <alignment horizontal="center" vertical="center" wrapText="1"/>
    </xf>
    <xf numFmtId="183" fontId="13" fillId="3" borderId="6" xfId="51" applyNumberFormat="1" applyFont="1" applyFill="1" applyBorder="1" applyAlignment="1" applyProtection="1">
      <alignment horizontal="right" vertical="center" wrapText="1"/>
    </xf>
    <xf numFmtId="180" fontId="13" fillId="3" borderId="6" xfId="51" applyFont="1" applyFill="1" applyBorder="1" applyAlignment="1" applyProtection="1">
      <alignment horizontal="center" vertical="center" wrapText="1"/>
    </xf>
    <xf numFmtId="183" fontId="13" fillId="0" borderId="6" xfId="51" applyNumberFormat="1" applyFont="1" applyFill="1" applyBorder="1" applyAlignment="1" applyProtection="1">
      <alignment horizontal="center" vertical="center"/>
    </xf>
    <xf numFmtId="0" fontId="13" fillId="0" borderId="6" xfId="52" applyFont="1" applyBorder="1" applyAlignment="1">
      <alignment horizontal="center" vertical="center"/>
    </xf>
    <xf numFmtId="1" fontId="13" fillId="0" borderId="6" xfId="52" applyNumberFormat="1" applyFont="1" applyBorder="1" applyAlignment="1">
      <alignment horizontal="center" vertical="center"/>
    </xf>
    <xf numFmtId="2" fontId="18" fillId="0" borderId="6" xfId="52" applyNumberFormat="1" applyFont="1" applyBorder="1" applyAlignment="1">
      <alignment horizontal="center" vertical="center" wrapText="1"/>
    </xf>
    <xf numFmtId="183" fontId="13" fillId="0" borderId="6" xfId="1" applyNumberFormat="1" applyFont="1" applyFill="1" applyBorder="1" applyAlignment="1" applyProtection="1">
      <alignment horizontal="center" vertical="center" wrapText="1"/>
    </xf>
    <xf numFmtId="180" fontId="13" fillId="0" borderId="6" xfId="51" applyFont="1" applyFill="1" applyBorder="1" applyAlignment="1" applyProtection="1">
      <alignment horizontal="center" vertical="center" wrapText="1"/>
    </xf>
    <xf numFmtId="0" fontId="23" fillId="0" borderId="18" xfId="0" applyFont="1" applyFill="1" applyBorder="1">
      <alignment vertical="top" wrapText="1"/>
    </xf>
    <xf numFmtId="0" fontId="8" fillId="0" borderId="6" xfId="55" applyFont="1" applyBorder="1" applyAlignment="1">
      <alignment horizontal="left" vertical="center" wrapText="1"/>
    </xf>
    <xf numFmtId="0" fontId="16" fillId="0" borderId="6" xfId="57" applyFont="1" applyBorder="1" applyAlignment="1">
      <alignment horizontal="center" vertical="center" wrapText="1"/>
    </xf>
    <xf numFmtId="0" fontId="16" fillId="0" borderId="0" xfId="52" applyFont="1" applyAlignment="1">
      <alignment horizontal="center" vertical="center" wrapText="1"/>
    </xf>
    <xf numFmtId="0" fontId="15" fillId="0" borderId="0" xfId="52" applyFont="1" applyAlignment="1">
      <alignment horizontal="center" vertical="center" wrapText="1"/>
    </xf>
    <xf numFmtId="1" fontId="15" fillId="0" borderId="0" xfId="52" applyNumberFormat="1" applyFont="1" applyAlignment="1">
      <alignment horizontal="center" vertical="center" wrapText="1"/>
    </xf>
    <xf numFmtId="0" fontId="16" fillId="0" borderId="0" xfId="57" applyFont="1" applyAlignment="1">
      <alignment horizontal="center" vertical="center" wrapText="1"/>
    </xf>
    <xf numFmtId="1" fontId="16" fillId="0" borderId="0" xfId="52" applyNumberFormat="1" applyFont="1" applyAlignment="1">
      <alignment horizontal="center" vertical="center" wrapText="1"/>
    </xf>
    <xf numFmtId="1" fontId="16" fillId="0" borderId="11" xfId="52" applyNumberFormat="1" applyFont="1" applyBorder="1" applyAlignment="1">
      <alignment horizontal="center" vertical="center" wrapText="1"/>
    </xf>
    <xf numFmtId="182" fontId="16" fillId="0" borderId="1" xfId="52" applyNumberFormat="1" applyFont="1" applyBorder="1" applyAlignment="1">
      <alignment horizontal="center" vertical="center" wrapText="1"/>
    </xf>
    <xf numFmtId="0" fontId="16" fillId="0" borderId="2" xfId="57" applyFont="1" applyBorder="1" applyAlignment="1">
      <alignment horizontal="center" vertical="center" wrapText="1"/>
    </xf>
    <xf numFmtId="0" fontId="16" fillId="0" borderId="2" xfId="52" applyFont="1" applyBorder="1" applyAlignment="1">
      <alignment horizontal="center" vertical="center" wrapText="1"/>
    </xf>
    <xf numFmtId="182" fontId="15" fillId="0" borderId="3" xfId="52" applyNumberFormat="1" applyFont="1" applyBorder="1" applyAlignment="1">
      <alignment horizontal="center" vertical="center" wrapText="1"/>
    </xf>
    <xf numFmtId="0" fontId="15" fillId="0" borderId="3" xfId="52" applyFont="1" applyBorder="1" applyAlignment="1">
      <alignment horizontal="center" vertical="center" wrapText="1"/>
    </xf>
    <xf numFmtId="0" fontId="16" fillId="0" borderId="3" xfId="52" applyFont="1" applyBorder="1" applyAlignment="1">
      <alignment horizontal="center" vertical="center" wrapText="1"/>
    </xf>
    <xf numFmtId="183" fontId="16" fillId="0" borderId="3" xfId="51" applyNumberFormat="1" applyFont="1" applyFill="1" applyBorder="1" applyAlignment="1" applyProtection="1">
      <alignment horizontal="center" vertical="center" wrapText="1"/>
    </xf>
    <xf numFmtId="183" fontId="16" fillId="0" borderId="2" xfId="51" applyNumberFormat="1" applyFont="1" applyFill="1" applyBorder="1" applyAlignment="1" applyProtection="1">
      <alignment horizontal="center" vertical="center" wrapText="1"/>
    </xf>
    <xf numFmtId="182" fontId="15" fillId="0" borderId="17" xfId="52" applyNumberFormat="1" applyFont="1" applyBorder="1" applyAlignment="1">
      <alignment horizontal="center" vertical="center" wrapText="1"/>
    </xf>
    <xf numFmtId="0" fontId="15" fillId="0" borderId="17" xfId="52" applyFont="1" applyBorder="1" applyAlignment="1">
      <alignment horizontal="center" vertical="center" wrapText="1"/>
    </xf>
    <xf numFmtId="0" fontId="16" fillId="0" borderId="17" xfId="52" applyFont="1" applyBorder="1" applyAlignment="1">
      <alignment horizontal="center" vertical="center" wrapText="1"/>
    </xf>
    <xf numFmtId="183" fontId="15" fillId="0" borderId="17" xfId="51" applyNumberFormat="1" applyFont="1" applyFill="1" applyBorder="1" applyAlignment="1" applyProtection="1">
      <alignment horizontal="center" vertical="center" wrapText="1"/>
    </xf>
    <xf numFmtId="182" fontId="15" fillId="0" borderId="6" xfId="52" applyNumberFormat="1" applyFont="1" applyBorder="1" applyAlignment="1">
      <alignment horizontal="center" vertical="center" wrapText="1"/>
    </xf>
    <xf numFmtId="0" fontId="15" fillId="0" borderId="6" xfId="57" applyFont="1" applyBorder="1" applyAlignment="1">
      <alignment horizontal="center" vertical="center"/>
    </xf>
    <xf numFmtId="182" fontId="15" fillId="0" borderId="6" xfId="57" applyNumberFormat="1" applyFont="1" applyBorder="1" applyAlignment="1">
      <alignment horizontal="center" vertical="center" wrapText="1"/>
    </xf>
    <xf numFmtId="182" fontId="16" fillId="0" borderId="6" xfId="57" applyNumberFormat="1" applyFont="1" applyBorder="1" applyAlignment="1">
      <alignment horizontal="center" vertical="center" wrapText="1"/>
    </xf>
    <xf numFmtId="0" fontId="16" fillId="0" borderId="6" xfId="57" applyFont="1" applyBorder="1" applyAlignment="1">
      <alignment horizontal="center" vertical="center"/>
    </xf>
    <xf numFmtId="0" fontId="17" fillId="0" borderId="6"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1" fontId="17" fillId="0" borderId="6" xfId="0" applyNumberFormat="1" applyFont="1" applyFill="1" applyBorder="1" applyAlignment="1">
      <alignment horizontal="center" vertical="center" wrapText="1"/>
    </xf>
    <xf numFmtId="0" fontId="15" fillId="0" borderId="6" xfId="53" applyFont="1" applyBorder="1" applyAlignment="1">
      <alignment horizontal="center" vertical="center" wrapText="1"/>
    </xf>
    <xf numFmtId="0" fontId="16" fillId="0" borderId="6" xfId="55" applyFont="1" applyBorder="1" applyAlignment="1">
      <alignment horizontal="center" vertical="center" wrapText="1"/>
    </xf>
    <xf numFmtId="183" fontId="15" fillId="0" borderId="6" xfId="50" applyNumberFormat="1" applyFont="1" applyBorder="1" applyAlignment="1">
      <alignment horizontal="center" vertical="center" wrapText="1"/>
    </xf>
    <xf numFmtId="1" fontId="16" fillId="0" borderId="6" xfId="57" applyNumberFormat="1" applyFont="1" applyBorder="1" applyAlignment="1">
      <alignment horizontal="left" vertical="center" wrapText="1"/>
    </xf>
    <xf numFmtId="0" fontId="15" fillId="0" borderId="6" xfId="52" applyFont="1" applyBorder="1" applyAlignment="1">
      <alignment horizontal="center" vertical="center"/>
    </xf>
    <xf numFmtId="183" fontId="15" fillId="0" borderId="6" xfId="51" applyNumberFormat="1" applyFont="1" applyFill="1" applyBorder="1" applyAlignment="1" applyProtection="1">
      <alignment horizontal="center" vertical="center"/>
    </xf>
    <xf numFmtId="0" fontId="15" fillId="0" borderId="6" xfId="52" applyFont="1" applyBorder="1" applyAlignment="1">
      <alignment horizontal="left" vertical="center" wrapText="1"/>
    </xf>
    <xf numFmtId="0" fontId="16" fillId="0" borderId="11" xfId="57" applyFont="1" applyBorder="1" applyAlignment="1">
      <alignment horizontal="center" vertical="center" wrapText="1"/>
    </xf>
    <xf numFmtId="0" fontId="15" fillId="0" borderId="11" xfId="57" applyFont="1" applyBorder="1" applyAlignment="1">
      <alignment horizontal="center" vertical="center" wrapText="1"/>
    </xf>
    <xf numFmtId="183" fontId="15" fillId="0" borderId="11" xfId="51" applyNumberFormat="1" applyFont="1" applyFill="1" applyBorder="1" applyAlignment="1" applyProtection="1">
      <alignment horizontal="center" vertical="center" wrapText="1"/>
    </xf>
    <xf numFmtId="182" fontId="10" fillId="0" borderId="1" xfId="52" applyNumberFormat="1" applyFont="1" applyBorder="1" applyAlignment="1">
      <alignment horizontal="center" vertical="center" wrapText="1"/>
    </xf>
    <xf numFmtId="1" fontId="10" fillId="0" borderId="2" xfId="52" applyNumberFormat="1" applyFont="1" applyBorder="1" applyAlignment="1">
      <alignment horizontal="center" vertical="center" wrapText="1"/>
    </xf>
    <xf numFmtId="0" fontId="10" fillId="0" borderId="2" xfId="52" applyFont="1" applyBorder="1" applyAlignment="1">
      <alignment horizontal="center" vertical="center" wrapText="1"/>
    </xf>
    <xf numFmtId="183" fontId="10" fillId="0" borderId="2" xfId="49" applyNumberFormat="1" applyFont="1" applyFill="1" applyBorder="1" applyAlignment="1" applyProtection="1">
      <alignment horizontal="center" vertical="center" wrapText="1"/>
    </xf>
    <xf numFmtId="182" fontId="8" fillId="0" borderId="17" xfId="52" applyNumberFormat="1" applyFont="1" applyBorder="1" applyAlignment="1">
      <alignment horizontal="center" vertical="center" wrapText="1"/>
    </xf>
    <xf numFmtId="1" fontId="8" fillId="0" borderId="17" xfId="52" applyNumberFormat="1" applyFont="1" applyBorder="1" applyAlignment="1">
      <alignment horizontal="center" vertical="center" wrapText="1"/>
    </xf>
    <xf numFmtId="0" fontId="10" fillId="0" borderId="17" xfId="52" applyFont="1" applyBorder="1" applyAlignment="1">
      <alignment horizontal="center" vertical="center" wrapText="1"/>
    </xf>
    <xf numFmtId="0" fontId="8" fillId="0" borderId="17" xfId="52" applyFont="1" applyBorder="1" applyAlignment="1">
      <alignment horizontal="center" vertical="center" wrapText="1"/>
    </xf>
    <xf numFmtId="182" fontId="8" fillId="0" borderId="6" xfId="52" applyNumberFormat="1" applyFont="1" applyBorder="1" applyAlignment="1">
      <alignment horizontal="center" vertical="center" wrapText="1"/>
    </xf>
    <xf numFmtId="0" fontId="15" fillId="0" borderId="6" xfId="54" applyFont="1" applyBorder="1" applyAlignment="1">
      <alignment horizontal="center" vertical="center" wrapText="1"/>
    </xf>
    <xf numFmtId="182" fontId="8" fillId="0" borderId="21" xfId="52" applyNumberFormat="1" applyFont="1" applyBorder="1" applyAlignment="1">
      <alignment horizontal="center" vertical="center" wrapText="1"/>
    </xf>
    <xf numFmtId="1" fontId="8" fillId="0" borderId="3" xfId="52" applyNumberFormat="1" applyFont="1" applyBorder="1" applyAlignment="1">
      <alignment horizontal="center" vertical="center" wrapText="1"/>
    </xf>
    <xf numFmtId="0" fontId="8" fillId="0" borderId="3" xfId="52" applyFont="1" applyBorder="1" applyAlignment="1">
      <alignment horizontal="center" vertical="center" wrapText="1"/>
    </xf>
    <xf numFmtId="0" fontId="8" fillId="0" borderId="3" xfId="54" applyFont="1" applyBorder="1" applyAlignment="1">
      <alignment horizontal="center" vertical="center" wrapText="1"/>
    </xf>
    <xf numFmtId="183" fontId="8" fillId="0" borderId="3" xfId="49" applyNumberFormat="1" applyFont="1" applyFill="1" applyBorder="1" applyAlignment="1" applyProtection="1">
      <alignment horizontal="center" vertical="center" wrapText="1"/>
    </xf>
    <xf numFmtId="182" fontId="8" fillId="0" borderId="11" xfId="52" applyNumberFormat="1" applyFont="1" applyBorder="1" applyAlignment="1">
      <alignment horizontal="center" vertical="center" wrapText="1"/>
    </xf>
    <xf numFmtId="0" fontId="8" fillId="0" borderId="11" xfId="54" applyFont="1" applyBorder="1" applyAlignment="1">
      <alignment horizontal="center" vertical="center" wrapText="1"/>
    </xf>
    <xf numFmtId="183" fontId="8" fillId="0" borderId="11" xfId="49" applyNumberFormat="1" applyFont="1" applyFill="1" applyBorder="1" applyAlignment="1" applyProtection="1">
      <alignment horizontal="center" vertical="center" wrapText="1"/>
    </xf>
    <xf numFmtId="182" fontId="16" fillId="0" borderId="17" xfId="52" applyNumberFormat="1" applyFont="1" applyBorder="1" applyAlignment="1">
      <alignment horizontal="center" vertical="center" wrapText="1"/>
    </xf>
    <xf numFmtId="1" fontId="16" fillId="0" borderId="17" xfId="52" applyNumberFormat="1" applyFont="1" applyBorder="1" applyAlignment="1">
      <alignment horizontal="center" vertical="center" wrapText="1"/>
    </xf>
    <xf numFmtId="183" fontId="16" fillId="0" borderId="17" xfId="51" applyNumberFormat="1" applyFont="1" applyFill="1" applyBorder="1" applyAlignment="1" applyProtection="1">
      <alignment horizontal="center" vertical="center" wrapText="1"/>
    </xf>
    <xf numFmtId="0" fontId="2" fillId="0" borderId="6" xfId="54" applyFont="1" applyBorder="1" applyAlignment="1">
      <alignment horizontal="center" vertical="center" wrapText="1"/>
    </xf>
    <xf numFmtId="0" fontId="1" fillId="0" borderId="6" xfId="54" applyFont="1" applyBorder="1" applyAlignment="1">
      <alignment horizontal="center" vertical="center" wrapText="1"/>
    </xf>
    <xf numFmtId="182" fontId="16" fillId="0" borderId="6" xfId="52" applyNumberFormat="1" applyFont="1" applyBorder="1" applyAlignment="1">
      <alignment horizontal="center" vertical="center" wrapText="1"/>
    </xf>
    <xf numFmtId="1" fontId="16" fillId="0" borderId="6" xfId="52" applyNumberFormat="1" applyFont="1" applyBorder="1" applyAlignment="1">
      <alignment horizontal="center" vertical="center" wrapText="1"/>
    </xf>
    <xf numFmtId="183" fontId="16" fillId="0" borderId="6" xfId="51" applyNumberFormat="1" applyFont="1" applyFill="1" applyBorder="1" applyAlignment="1" applyProtection="1">
      <alignment horizontal="center" vertical="center" wrapText="1"/>
    </xf>
    <xf numFmtId="1" fontId="24" fillId="0" borderId="6" xfId="52" applyNumberFormat="1" applyFont="1" applyBorder="1" applyAlignment="1">
      <alignment horizontal="center" vertical="center" wrapText="1"/>
    </xf>
    <xf numFmtId="0" fontId="15" fillId="0" borderId="6" xfId="59" applyFont="1" applyBorder="1" applyAlignment="1">
      <alignment horizontal="center" vertical="center" wrapText="1"/>
    </xf>
    <xf numFmtId="1" fontId="10" fillId="0" borderId="11" xfId="52" applyNumberFormat="1" applyFont="1" applyBorder="1" applyAlignment="1">
      <alignment horizontal="center" vertical="center"/>
    </xf>
    <xf numFmtId="1" fontId="16" fillId="0" borderId="12" xfId="57" applyNumberFormat="1" applyFont="1" applyBorder="1" applyAlignment="1">
      <alignment horizontal="center" vertical="center" wrapText="1"/>
    </xf>
    <xf numFmtId="180" fontId="16" fillId="0" borderId="3" xfId="51" applyFont="1" applyFill="1" applyBorder="1" applyAlignment="1" applyProtection="1">
      <alignment horizontal="center" vertical="center" wrapText="1"/>
    </xf>
    <xf numFmtId="1" fontId="15" fillId="0" borderId="3" xfId="52" applyNumberFormat="1" applyFont="1" applyBorder="1" applyAlignment="1">
      <alignment horizontal="center" vertical="center" wrapText="1"/>
    </xf>
    <xf numFmtId="180" fontId="16" fillId="0" borderId="2" xfId="51" applyFont="1" applyFill="1" applyBorder="1" applyAlignment="1" applyProtection="1">
      <alignment horizontal="center" vertical="center" wrapText="1"/>
    </xf>
    <xf numFmtId="1" fontId="16" fillId="0" borderId="12" xfId="52" applyNumberFormat="1" applyFont="1" applyBorder="1" applyAlignment="1">
      <alignment horizontal="center" vertical="center" wrapText="1"/>
    </xf>
    <xf numFmtId="180" fontId="15" fillId="0" borderId="17" xfId="51" applyFont="1" applyFill="1" applyBorder="1" applyAlignment="1" applyProtection="1">
      <alignment horizontal="center" vertical="center" wrapText="1"/>
    </xf>
    <xf numFmtId="1" fontId="15" fillId="0" borderId="17" xfId="52" applyNumberFormat="1" applyFont="1" applyBorder="1" applyAlignment="1">
      <alignment horizontal="center" vertical="center" wrapText="1"/>
    </xf>
    <xf numFmtId="183" fontId="15" fillId="3" borderId="6" xfId="51" applyNumberFormat="1" applyFont="1" applyFill="1" applyBorder="1" applyAlignment="1" applyProtection="1">
      <alignment horizontal="center" vertical="center" wrapText="1"/>
    </xf>
    <xf numFmtId="183" fontId="15" fillId="3" borderId="6" xfId="50" applyNumberFormat="1" applyFont="1" applyFill="1" applyBorder="1" applyAlignment="1">
      <alignment horizontal="center" vertical="center" wrapText="1"/>
    </xf>
    <xf numFmtId="1" fontId="15" fillId="0" borderId="6" xfId="52" applyNumberFormat="1" applyFont="1" applyBorder="1" applyAlignment="1">
      <alignment vertical="center" wrapText="1"/>
    </xf>
    <xf numFmtId="183" fontId="15" fillId="3" borderId="6" xfId="51" applyNumberFormat="1" applyFont="1" applyFill="1" applyBorder="1" applyAlignment="1" applyProtection="1">
      <alignment horizontal="center" vertical="center"/>
    </xf>
    <xf numFmtId="183" fontId="15" fillId="3" borderId="11" xfId="51" applyNumberFormat="1" applyFont="1" applyFill="1" applyBorder="1" applyAlignment="1" applyProtection="1">
      <alignment horizontal="center" vertical="center" wrapText="1"/>
    </xf>
    <xf numFmtId="1" fontId="15" fillId="0" borderId="11" xfId="52" applyNumberFormat="1" applyFont="1" applyBorder="1" applyAlignment="1">
      <alignment horizontal="center" vertical="center" wrapText="1"/>
    </xf>
    <xf numFmtId="183" fontId="10" fillId="3" borderId="2" xfId="49" applyNumberFormat="1" applyFont="1" applyFill="1" applyBorder="1" applyAlignment="1" applyProtection="1">
      <alignment horizontal="center" vertical="center" wrapText="1"/>
    </xf>
    <xf numFmtId="0" fontId="8" fillId="0" borderId="12" xfId="52" applyFont="1" applyBorder="1" applyAlignment="1">
      <alignment horizontal="center" vertical="center" wrapText="1"/>
    </xf>
    <xf numFmtId="0" fontId="8" fillId="0" borderId="9" xfId="52" applyFont="1" applyBorder="1" applyAlignment="1">
      <alignment horizontal="center" vertical="center" wrapText="1"/>
    </xf>
    <xf numFmtId="183" fontId="15" fillId="0" borderId="6" xfId="51" applyNumberFormat="1" applyFont="1" applyFill="1" applyBorder="1" applyAlignment="1" applyProtection="1">
      <alignment horizontal="right" vertical="center" wrapText="1"/>
    </xf>
    <xf numFmtId="183" fontId="15" fillId="0" borderId="6" xfId="1" applyNumberFormat="1" applyFont="1" applyFill="1" applyBorder="1" applyAlignment="1" applyProtection="1">
      <alignment horizontal="center" vertical="center" wrapText="1"/>
    </xf>
    <xf numFmtId="176" fontId="15" fillId="0" borderId="0" xfId="52" applyNumberFormat="1" applyFont="1" applyAlignment="1">
      <alignment horizontal="center" vertical="center" wrapText="1"/>
    </xf>
    <xf numFmtId="2" fontId="15" fillId="0" borderId="6" xfId="52" applyNumberFormat="1" applyFont="1" applyBorder="1" applyAlignment="1">
      <alignment horizontal="center" vertical="center" wrapText="1"/>
    </xf>
    <xf numFmtId="0" fontId="15" fillId="0" borderId="6" xfId="56" applyFont="1" applyBorder="1" applyAlignment="1">
      <alignment horizontal="center" vertical="center" wrapText="1"/>
    </xf>
    <xf numFmtId="182" fontId="15" fillId="0" borderId="11" xfId="52" applyNumberFormat="1" applyFont="1" applyBorder="1" applyAlignment="1">
      <alignment horizontal="center" vertical="center" wrapText="1"/>
    </xf>
    <xf numFmtId="0" fontId="15" fillId="0" borderId="11" xfId="52" applyFont="1" applyBorder="1" applyAlignment="1">
      <alignment horizontal="center" vertical="center" wrapText="1"/>
    </xf>
    <xf numFmtId="2" fontId="15" fillId="0" borderId="11" xfId="52" applyNumberFormat="1" applyFont="1" applyBorder="1" applyAlignment="1">
      <alignment horizontal="center" vertical="center" wrapText="1"/>
    </xf>
    <xf numFmtId="0" fontId="16" fillId="0" borderId="6" xfId="52" applyFont="1" applyBorder="1" applyAlignment="1">
      <alignment horizontal="left" vertical="center" wrapText="1"/>
    </xf>
    <xf numFmtId="0" fontId="15" fillId="0" borderId="6" xfId="55" applyFont="1" applyBorder="1" applyAlignment="1">
      <alignment horizontal="left" vertical="center" wrapText="1"/>
    </xf>
    <xf numFmtId="0" fontId="16" fillId="0" borderId="6" xfId="55" applyFont="1" applyBorder="1" applyAlignment="1">
      <alignment horizontal="left" vertical="center" wrapText="1"/>
    </xf>
    <xf numFmtId="2" fontId="16" fillId="0" borderId="6" xfId="52" applyNumberFormat="1" applyFont="1" applyBorder="1" applyAlignment="1">
      <alignment horizontal="center" vertical="center" wrapText="1"/>
    </xf>
    <xf numFmtId="182" fontId="16" fillId="0" borderId="11" xfId="52" applyNumberFormat="1" applyFont="1" applyBorder="1" applyAlignment="1">
      <alignment horizontal="center" vertical="center" wrapText="1"/>
    </xf>
    <xf numFmtId="0" fontId="15" fillId="0" borderId="11" xfId="57" applyFont="1" applyBorder="1" applyAlignment="1">
      <alignment horizontal="left" vertical="center" wrapText="1"/>
    </xf>
    <xf numFmtId="0" fontId="15" fillId="0" borderId="11" xfId="55" applyFont="1" applyBorder="1" applyAlignment="1">
      <alignment horizontal="center" vertical="center" wrapText="1"/>
    </xf>
    <xf numFmtId="2" fontId="16" fillId="0" borderId="11" xfId="52" applyNumberFormat="1" applyFont="1" applyBorder="1" applyAlignment="1">
      <alignment horizontal="center" vertical="center" wrapText="1"/>
    </xf>
    <xf numFmtId="2" fontId="10" fillId="0" borderId="1" xfId="52" applyNumberFormat="1" applyFont="1" applyBorder="1" applyAlignment="1">
      <alignment horizontal="center" vertical="center" wrapText="1"/>
    </xf>
    <xf numFmtId="0" fontId="24" fillId="0" borderId="0" xfId="52" applyFont="1" applyAlignment="1">
      <alignment horizontal="center" vertical="center" wrapText="1"/>
    </xf>
    <xf numFmtId="1" fontId="15" fillId="0" borderId="11" xfId="52" applyNumberFormat="1" applyFont="1" applyBorder="1" applyAlignment="1">
      <alignment vertical="center" wrapText="1"/>
    </xf>
    <xf numFmtId="0" fontId="15" fillId="0" borderId="11" xfId="52" applyFont="1" applyBorder="1" applyAlignment="1">
      <alignment vertical="center" wrapText="1"/>
    </xf>
    <xf numFmtId="180" fontId="10" fillId="0" borderId="2" xfId="49" applyFont="1" applyFill="1" applyBorder="1" applyAlignment="1" applyProtection="1">
      <alignment horizontal="center" vertical="center" wrapText="1"/>
    </xf>
    <xf numFmtId="2" fontId="8" fillId="0" borderId="17" xfId="52" applyNumberFormat="1" applyFont="1" applyBorder="1" applyAlignment="1">
      <alignment horizontal="center" vertical="center" wrapText="1"/>
    </xf>
    <xf numFmtId="182" fontId="15" fillId="0" borderId="1" xfId="52" applyNumberFormat="1" applyFont="1" applyBorder="1" applyAlignment="1">
      <alignment horizontal="center" vertical="center" wrapText="1"/>
    </xf>
    <xf numFmtId="1" fontId="15" fillId="0" borderId="2" xfId="52" applyNumberFormat="1" applyFont="1" applyBorder="1" applyAlignment="1">
      <alignment horizontal="center" vertical="center" wrapText="1"/>
    </xf>
    <xf numFmtId="0" fontId="15" fillId="0" borderId="2" xfId="52" applyFont="1" applyBorder="1" applyAlignment="1">
      <alignment horizontal="center" vertical="center" wrapText="1"/>
    </xf>
    <xf numFmtId="183" fontId="15" fillId="0" borderId="2" xfId="51" applyNumberFormat="1" applyFont="1" applyFill="1" applyBorder="1" applyAlignment="1" applyProtection="1">
      <alignment horizontal="center" vertical="center" wrapText="1"/>
    </xf>
    <xf numFmtId="180" fontId="8" fillId="0" borderId="17" xfId="49" applyFont="1" applyFill="1" applyBorder="1" applyAlignment="1" applyProtection="1">
      <alignment horizontal="center" vertical="center" wrapText="1"/>
    </xf>
    <xf numFmtId="180" fontId="8" fillId="0" borderId="6" xfId="49" applyFont="1" applyFill="1" applyBorder="1" applyAlignment="1" applyProtection="1">
      <alignment horizontal="center" vertical="center" wrapText="1"/>
    </xf>
    <xf numFmtId="0" fontId="16" fillId="0" borderId="0" xfId="52" applyFont="1" applyAlignment="1">
      <alignment vertical="center" wrapText="1"/>
    </xf>
    <xf numFmtId="0" fontId="25" fillId="0" borderId="0" xfId="52" applyFont="1" applyAlignment="1">
      <alignment vertical="center" wrapText="1"/>
    </xf>
    <xf numFmtId="0" fontId="25" fillId="3" borderId="0" xfId="52" applyFont="1" applyFill="1" applyAlignment="1">
      <alignment vertical="center" wrapText="1"/>
    </xf>
    <xf numFmtId="0" fontId="15" fillId="0" borderId="0" xfId="52" applyFont="1" applyAlignment="1">
      <alignment vertical="center" wrapText="1"/>
    </xf>
    <xf numFmtId="1" fontId="15" fillId="0" borderId="0" xfId="52" applyNumberFormat="1" applyFont="1" applyAlignment="1">
      <alignment vertical="center" wrapText="1"/>
    </xf>
    <xf numFmtId="1" fontId="16" fillId="0" borderId="2" xfId="57" applyNumberFormat="1" applyFont="1" applyBorder="1" applyAlignment="1">
      <alignment horizontal="center" vertical="center" wrapText="1"/>
    </xf>
    <xf numFmtId="182" fontId="16" fillId="0" borderId="3" xfId="52" applyNumberFormat="1" applyFont="1" applyBorder="1" applyAlignment="1">
      <alignment horizontal="center" vertical="center" wrapText="1"/>
    </xf>
    <xf numFmtId="0" fontId="16" fillId="0" borderId="3" xfId="57" applyFont="1" applyBorder="1" applyAlignment="1">
      <alignment horizontal="center" vertical="center" wrapText="1"/>
    </xf>
    <xf numFmtId="1" fontId="16" fillId="0" borderId="3" xfId="57" applyNumberFormat="1" applyFont="1" applyBorder="1" applyAlignment="1">
      <alignment horizontal="center" vertical="center" wrapText="1"/>
    </xf>
    <xf numFmtId="0" fontId="10" fillId="0" borderId="2" xfId="0" applyFont="1" applyBorder="1" applyAlignment="1">
      <alignment horizontal="center" vertical="center" wrapText="1"/>
    </xf>
    <xf numFmtId="176" fontId="8" fillId="0" borderId="2" xfId="1" applyFont="1" applyFill="1" applyBorder="1" applyAlignment="1">
      <alignment horizontal="center" vertical="center" wrapText="1"/>
    </xf>
    <xf numFmtId="0" fontId="10" fillId="0" borderId="17" xfId="0" applyFont="1" applyBorder="1" applyAlignment="1">
      <alignment horizontal="center" vertical="center" wrapText="1"/>
    </xf>
    <xf numFmtId="1" fontId="10" fillId="0" borderId="17" xfId="0" applyNumberFormat="1" applyFont="1" applyFill="1" applyBorder="1" applyAlignment="1">
      <alignment horizontal="center" vertical="center" wrapText="1"/>
    </xf>
    <xf numFmtId="0" fontId="16" fillId="0" borderId="11" xfId="52" applyFont="1" applyBorder="1" applyAlignment="1">
      <alignment horizontal="center" vertical="center" wrapText="1"/>
    </xf>
    <xf numFmtId="1" fontId="16" fillId="0" borderId="11" xfId="57" applyNumberFormat="1" applyFont="1" applyBorder="1" applyAlignment="1">
      <alignment horizontal="center" vertical="center" wrapText="1"/>
    </xf>
    <xf numFmtId="1" fontId="16" fillId="0" borderId="3" xfId="51" applyNumberFormat="1" applyFont="1" applyFill="1" applyBorder="1" applyAlignment="1" applyProtection="1">
      <alignment horizontal="center" vertical="center" wrapText="1"/>
    </xf>
    <xf numFmtId="0" fontId="16" fillId="0" borderId="2" xfId="52" applyFont="1" applyBorder="1" applyAlignment="1">
      <alignment horizontal="justify" vertical="center" wrapText="1"/>
    </xf>
    <xf numFmtId="1" fontId="15" fillId="0" borderId="2" xfId="51" applyNumberFormat="1" applyFont="1" applyFill="1" applyBorder="1" applyAlignment="1" applyProtection="1">
      <alignment horizontal="center" vertical="center" wrapText="1"/>
    </xf>
    <xf numFmtId="0" fontId="16" fillId="0" borderId="17" xfId="52" applyFont="1" applyBorder="1" applyAlignment="1">
      <alignment horizontal="justify" vertical="center" wrapText="1"/>
    </xf>
    <xf numFmtId="1" fontId="15" fillId="0" borderId="17" xfId="51" applyNumberFormat="1" applyFont="1" applyFill="1" applyBorder="1" applyAlignment="1" applyProtection="1">
      <alignment horizontal="center" vertical="center" wrapText="1"/>
    </xf>
    <xf numFmtId="0" fontId="16" fillId="0" borderId="6" xfId="52" applyFont="1" applyBorder="1" applyAlignment="1">
      <alignment vertical="center" wrapText="1"/>
    </xf>
    <xf numFmtId="1" fontId="15" fillId="0" borderId="6" xfId="51" applyNumberFormat="1" applyFont="1" applyFill="1" applyBorder="1" applyAlignment="1" applyProtection="1">
      <alignment horizontal="center" vertical="center" wrapText="1"/>
    </xf>
    <xf numFmtId="0" fontId="15" fillId="0" borderId="6" xfId="0" applyFont="1" applyFill="1" applyBorder="1" applyAlignment="1">
      <alignment horizontal="left" vertical="center" wrapText="1"/>
    </xf>
    <xf numFmtId="1" fontId="15" fillId="0" borderId="11" xfId="51" applyNumberFormat="1" applyFont="1" applyFill="1" applyBorder="1" applyAlignment="1" applyProtection="1">
      <alignment horizontal="center" vertical="center" wrapText="1"/>
    </xf>
    <xf numFmtId="1" fontId="16" fillId="0" borderId="2" xfId="52" applyNumberFormat="1" applyFont="1" applyBorder="1" applyAlignment="1">
      <alignment horizontal="center" vertical="center" wrapText="1"/>
    </xf>
    <xf numFmtId="1" fontId="16" fillId="0" borderId="2" xfId="51" applyNumberFormat="1" applyFont="1" applyFill="1" applyBorder="1" applyAlignment="1" applyProtection="1">
      <alignment horizontal="center" vertical="center" wrapText="1"/>
    </xf>
    <xf numFmtId="0" fontId="8" fillId="0" borderId="6" xfId="54" applyFont="1" applyBorder="1" applyAlignment="1">
      <alignment horizontal="left" vertical="center" wrapText="1"/>
    </xf>
    <xf numFmtId="182" fontId="25" fillId="0" borderId="6" xfId="52" applyNumberFormat="1" applyFont="1" applyBorder="1" applyAlignment="1">
      <alignment horizontal="center" vertical="center" wrapText="1"/>
    </xf>
    <xf numFmtId="1" fontId="25" fillId="0" borderId="6" xfId="52" applyNumberFormat="1" applyFont="1" applyBorder="1" applyAlignment="1">
      <alignment horizontal="center" vertical="center" wrapText="1"/>
    </xf>
    <xf numFmtId="1" fontId="7" fillId="0" borderId="6" xfId="52" applyNumberFormat="1" applyFont="1" applyBorder="1" applyAlignment="1">
      <alignment horizontal="center" vertical="center" wrapText="1"/>
    </xf>
    <xf numFmtId="0" fontId="7" fillId="0" borderId="6" xfId="52" applyFont="1" applyBorder="1" applyAlignment="1">
      <alignment horizontal="center" vertical="center" wrapText="1"/>
    </xf>
    <xf numFmtId="0" fontId="7" fillId="0" borderId="6" xfId="54" applyFont="1" applyBorder="1" applyAlignment="1">
      <alignment horizontal="center" vertical="center" wrapText="1"/>
    </xf>
    <xf numFmtId="1" fontId="25" fillId="0" borderId="6" xfId="51" applyNumberFormat="1" applyFont="1" applyFill="1" applyBorder="1" applyAlignment="1" applyProtection="1">
      <alignment horizontal="center" vertical="center" wrapText="1"/>
    </xf>
    <xf numFmtId="0" fontId="16" fillId="0" borderId="2" xfId="52" applyFont="1" applyBorder="1" applyAlignment="1">
      <alignment horizontal="left" vertical="center" wrapText="1"/>
    </xf>
    <xf numFmtId="0" fontId="16" fillId="0" borderId="17" xfId="52" applyFont="1" applyBorder="1" applyAlignment="1">
      <alignment horizontal="left" vertical="center" wrapText="1"/>
    </xf>
    <xf numFmtId="1" fontId="9" fillId="0" borderId="0" xfId="52" applyNumberFormat="1" applyFont="1" applyAlignment="1">
      <alignment horizontal="center" vertical="center" wrapText="1"/>
    </xf>
    <xf numFmtId="0" fontId="16" fillId="0" borderId="12" xfId="57" applyFont="1" applyBorder="1" applyAlignment="1">
      <alignment horizontal="center" vertical="center" wrapText="1"/>
    </xf>
    <xf numFmtId="182" fontId="8" fillId="0" borderId="2" xfId="0" applyNumberFormat="1" applyFont="1" applyFill="1" applyBorder="1" applyAlignment="1">
      <alignment horizontal="center" vertical="center" wrapText="1"/>
    </xf>
    <xf numFmtId="0" fontId="8" fillId="0" borderId="2" xfId="57" applyFont="1" applyBorder="1" applyAlignment="1">
      <alignment horizontal="center" vertical="center" wrapText="1"/>
    </xf>
    <xf numFmtId="3" fontId="16" fillId="0" borderId="2" xfId="52" applyNumberFormat="1" applyFont="1" applyBorder="1" applyAlignment="1">
      <alignment horizontal="center" vertical="center" wrapText="1"/>
    </xf>
    <xf numFmtId="3" fontId="16" fillId="0" borderId="12" xfId="52" applyNumberFormat="1" applyFont="1" applyBorder="1" applyAlignment="1">
      <alignment horizontal="center" vertical="center" wrapText="1"/>
    </xf>
    <xf numFmtId="0" fontId="16" fillId="0" borderId="17" xfId="57" applyFont="1" applyBorder="1" applyAlignment="1">
      <alignment horizontal="center" vertical="center" wrapText="1"/>
    </xf>
    <xf numFmtId="0" fontId="8" fillId="0" borderId="17" xfId="57" applyFont="1" applyBorder="1" applyAlignment="1">
      <alignment horizontal="center" vertical="center" wrapText="1"/>
    </xf>
    <xf numFmtId="3" fontId="16" fillId="0" borderId="17" xfId="52" applyNumberFormat="1" applyFont="1" applyBorder="1" applyAlignment="1">
      <alignment horizontal="center" vertical="center" wrapText="1"/>
    </xf>
    <xf numFmtId="3" fontId="16" fillId="0" borderId="6" xfId="52" applyNumberFormat="1" applyFont="1" applyBorder="1" applyAlignment="1">
      <alignment horizontal="center" vertical="center" wrapText="1"/>
    </xf>
    <xf numFmtId="3" fontId="16" fillId="0" borderId="11" xfId="52" applyNumberFormat="1" applyFont="1" applyBorder="1" applyAlignment="1">
      <alignment horizontal="center" vertical="center" wrapText="1"/>
    </xf>
    <xf numFmtId="3" fontId="16" fillId="3" borderId="3" xfId="52" applyNumberFormat="1" applyFont="1" applyFill="1" applyBorder="1" applyAlignment="1">
      <alignment horizontal="center" vertical="center" wrapText="1"/>
    </xf>
    <xf numFmtId="3" fontId="16" fillId="0" borderId="3" xfId="52" applyNumberFormat="1" applyFont="1" applyBorder="1" applyAlignment="1">
      <alignment horizontal="center" vertical="center" wrapText="1"/>
    </xf>
    <xf numFmtId="3" fontId="15" fillId="3" borderId="2" xfId="52" applyNumberFormat="1" applyFont="1" applyFill="1" applyBorder="1" applyAlignment="1">
      <alignment horizontal="center" vertical="center" wrapText="1"/>
    </xf>
    <xf numFmtId="3" fontId="15" fillId="0" borderId="2" xfId="52" applyNumberFormat="1" applyFont="1" applyBorder="1" applyAlignment="1">
      <alignment horizontal="center" vertical="center" wrapText="1"/>
    </xf>
    <xf numFmtId="3" fontId="15" fillId="0" borderId="12" xfId="52" applyNumberFormat="1" applyFont="1" applyBorder="1" applyAlignment="1">
      <alignment horizontal="center" vertical="center" wrapText="1"/>
    </xf>
    <xf numFmtId="3" fontId="15" fillId="3" borderId="17" xfId="52" applyNumberFormat="1" applyFont="1" applyFill="1" applyBorder="1" applyAlignment="1">
      <alignment horizontal="center" vertical="center" wrapText="1"/>
    </xf>
    <xf numFmtId="3" fontId="15" fillId="0" borderId="17" xfId="52" applyNumberFormat="1" applyFont="1" applyBorder="1" applyAlignment="1">
      <alignment horizontal="center" vertical="center" wrapText="1"/>
    </xf>
    <xf numFmtId="3" fontId="15" fillId="3" borderId="6" xfId="52" applyNumberFormat="1" applyFont="1" applyFill="1" applyBorder="1" applyAlignment="1">
      <alignment horizontal="center" vertical="center" wrapText="1"/>
    </xf>
    <xf numFmtId="3" fontId="15" fillId="0" borderId="6" xfId="52" applyNumberFormat="1" applyFont="1" applyBorder="1" applyAlignment="1">
      <alignment horizontal="center" vertical="center" wrapText="1"/>
    </xf>
    <xf numFmtId="3" fontId="15" fillId="0" borderId="11" xfId="52" applyNumberFormat="1" applyFont="1" applyBorder="1" applyAlignment="1">
      <alignment horizontal="center" vertical="center" wrapText="1"/>
    </xf>
    <xf numFmtId="1" fontId="15" fillId="0" borderId="12" xfId="52" applyNumberFormat="1" applyFont="1" applyBorder="1" applyAlignment="1">
      <alignment horizontal="center" vertical="center" wrapText="1"/>
    </xf>
    <xf numFmtId="1" fontId="7" fillId="0" borderId="17" xfId="0" applyNumberFormat="1" applyFont="1" applyFill="1" applyBorder="1" applyAlignment="1">
      <alignment horizontal="center" vertical="center" wrapText="1"/>
    </xf>
    <xf numFmtId="3" fontId="25" fillId="0" borderId="6" xfId="52" applyNumberFormat="1" applyFont="1" applyBorder="1" applyAlignment="1">
      <alignment horizontal="center" vertical="center" wrapText="1"/>
    </xf>
    <xf numFmtId="3" fontId="26" fillId="0" borderId="17" xfId="52" applyNumberFormat="1" applyFont="1" applyBorder="1" applyAlignment="1">
      <alignment horizontal="center" vertical="center" wrapText="1"/>
    </xf>
    <xf numFmtId="182" fontId="25" fillId="3" borderId="6" xfId="52" applyNumberFormat="1" applyFont="1" applyFill="1" applyBorder="1" applyAlignment="1">
      <alignment horizontal="center" vertical="center" wrapText="1"/>
    </xf>
    <xf numFmtId="1" fontId="25" fillId="3" borderId="6" xfId="52" applyNumberFormat="1" applyFont="1" applyFill="1" applyBorder="1" applyAlignment="1">
      <alignment horizontal="center" vertical="center" wrapText="1"/>
    </xf>
    <xf numFmtId="0" fontId="25" fillId="3" borderId="6" xfId="57" applyFont="1" applyFill="1" applyBorder="1" applyAlignment="1">
      <alignment horizontal="center" vertical="center" wrapText="1"/>
    </xf>
    <xf numFmtId="0" fontId="25" fillId="3" borderId="6" xfId="57" applyFont="1" applyFill="1" applyBorder="1" applyAlignment="1">
      <alignment vertical="center" wrapText="1"/>
    </xf>
    <xf numFmtId="0" fontId="26" fillId="3" borderId="6" xfId="52" applyFont="1" applyFill="1" applyBorder="1" applyAlignment="1">
      <alignment horizontal="justify" vertical="center" wrapText="1"/>
    </xf>
    <xf numFmtId="0" fontId="25" fillId="3" borderId="6" xfId="52" applyFont="1" applyFill="1" applyBorder="1" applyAlignment="1">
      <alignment horizontal="center" vertical="center" wrapText="1"/>
    </xf>
    <xf numFmtId="1" fontId="25" fillId="3" borderId="6" xfId="51" applyNumberFormat="1" applyFont="1" applyFill="1" applyBorder="1" applyAlignment="1" applyProtection="1">
      <alignment horizontal="center" vertical="center" wrapText="1"/>
    </xf>
    <xf numFmtId="0" fontId="15" fillId="0" borderId="6" xfId="53" applyFont="1" applyBorder="1" applyAlignment="1">
      <alignment horizontal="left" vertical="center" wrapText="1"/>
    </xf>
    <xf numFmtId="0" fontId="15" fillId="0" borderId="6" xfId="52" applyFont="1" applyBorder="1" applyAlignment="1">
      <alignment horizontal="justify" vertical="center" wrapText="1"/>
    </xf>
    <xf numFmtId="1" fontId="15" fillId="0" borderId="6" xfId="57" applyNumberFormat="1" applyFont="1" applyBorder="1" applyAlignment="1">
      <alignment horizontal="center" vertical="center" wrapText="1"/>
    </xf>
    <xf numFmtId="1" fontId="7" fillId="3" borderId="17" xfId="0" applyNumberFormat="1" applyFont="1" applyFill="1" applyBorder="1" applyAlignment="1">
      <alignment horizontal="center" vertical="center" wrapText="1"/>
    </xf>
    <xf numFmtId="3" fontId="25" fillId="3" borderId="6" xfId="52" applyNumberFormat="1" applyFont="1" applyFill="1" applyBorder="1" applyAlignment="1">
      <alignment horizontal="center" vertical="center" wrapText="1"/>
    </xf>
    <xf numFmtId="3" fontId="26" fillId="3" borderId="17" xfId="52" applyNumberFormat="1" applyFont="1" applyFill="1" applyBorder="1" applyAlignment="1">
      <alignment horizontal="center" vertical="center" wrapText="1"/>
    </xf>
    <xf numFmtId="1" fontId="15" fillId="0" borderId="11" xfId="57" applyNumberFormat="1" applyFont="1" applyBorder="1" applyAlignment="1">
      <alignment horizontal="center" vertical="center" wrapText="1"/>
    </xf>
    <xf numFmtId="1" fontId="15" fillId="0" borderId="6" xfId="57" applyNumberFormat="1" applyFont="1" applyBorder="1" applyAlignment="1">
      <alignment horizontal="left" vertical="center" wrapText="1"/>
    </xf>
    <xf numFmtId="2" fontId="16" fillId="0" borderId="1" xfId="52" applyNumberFormat="1" applyFont="1" applyBorder="1" applyAlignment="1">
      <alignment horizontal="center" vertical="center" wrapText="1"/>
    </xf>
    <xf numFmtId="0" fontId="15" fillId="0" borderId="17" xfId="57" applyFont="1" applyBorder="1" applyAlignment="1">
      <alignment horizontal="left" vertical="center" wrapText="1"/>
    </xf>
    <xf numFmtId="0" fontId="16" fillId="0" borderId="11" xfId="57" applyFont="1" applyBorder="1" applyAlignment="1">
      <alignment horizontal="left" vertical="center" wrapText="1"/>
    </xf>
    <xf numFmtId="0" fontId="15" fillId="0" borderId="1" xfId="52" applyFont="1" applyBorder="1" applyAlignment="1">
      <alignment vertical="center" wrapText="1"/>
    </xf>
    <xf numFmtId="0" fontId="15" fillId="0" borderId="2" xfId="52" applyFont="1" applyBorder="1" applyAlignment="1">
      <alignment vertical="center" wrapText="1"/>
    </xf>
    <xf numFmtId="1" fontId="15" fillId="0" borderId="2" xfId="52" applyNumberFormat="1" applyFont="1" applyBorder="1" applyAlignment="1">
      <alignment vertical="center" wrapText="1"/>
    </xf>
    <xf numFmtId="180" fontId="15" fillId="0" borderId="6" xfId="51" applyFont="1" applyFill="1" applyBorder="1" applyAlignment="1" applyProtection="1">
      <alignment horizontal="right" vertical="center" wrapText="1"/>
    </xf>
    <xf numFmtId="3" fontId="16" fillId="0" borderId="2" xfId="52" applyNumberFormat="1" applyFont="1" applyBorder="1" applyAlignment="1">
      <alignment vertical="center" wrapText="1"/>
    </xf>
    <xf numFmtId="0" fontId="15" fillId="0" borderId="12" xfId="52" applyFont="1" applyBorder="1" applyAlignment="1">
      <alignment vertical="center" wrapText="1"/>
    </xf>
    <xf numFmtId="0" fontId="15" fillId="3" borderId="0" xfId="52" applyFont="1" applyFill="1" applyAlignment="1">
      <alignment horizontal="center" vertical="center"/>
    </xf>
    <xf numFmtId="0" fontId="15" fillId="0" borderId="0" xfId="52" applyFont="1" applyAlignment="1">
      <alignment horizontal="center" vertical="center"/>
    </xf>
    <xf numFmtId="0" fontId="15" fillId="0" borderId="0" xfId="52" applyFont="1" applyAlignment="1">
      <alignment horizontal="left" vertical="center" wrapText="1"/>
    </xf>
    <xf numFmtId="0" fontId="16" fillId="0" borderId="0" xfId="57" applyFont="1" applyAlignment="1">
      <alignment horizontal="center" vertical="center"/>
    </xf>
    <xf numFmtId="1" fontId="16" fillId="0" borderId="0" xfId="52" applyNumberFormat="1" applyFont="1" applyAlignment="1">
      <alignment horizontal="center" vertical="center"/>
    </xf>
    <xf numFmtId="1" fontId="10" fillId="0" borderId="11" xfId="52" applyNumberFormat="1" applyFont="1" applyBorder="1" applyAlignment="1">
      <alignment horizontal="left" vertical="center" wrapText="1"/>
    </xf>
    <xf numFmtId="0" fontId="10" fillId="0" borderId="2" xfId="52" applyFont="1" applyBorder="1" applyAlignment="1">
      <alignment horizontal="left" vertical="center" wrapText="1"/>
    </xf>
    <xf numFmtId="182" fontId="8" fillId="0" borderId="3" xfId="52" applyNumberFormat="1" applyFont="1" applyBorder="1" applyAlignment="1">
      <alignment horizontal="center" vertical="center"/>
    </xf>
    <xf numFmtId="0" fontId="8" fillId="0" borderId="3" xfId="52" applyFont="1" applyBorder="1" applyAlignment="1">
      <alignment horizontal="center" vertical="center"/>
    </xf>
    <xf numFmtId="0" fontId="10" fillId="0" borderId="3" xfId="52" applyFont="1" applyBorder="1" applyAlignment="1">
      <alignment horizontal="left" vertical="center" wrapText="1"/>
    </xf>
    <xf numFmtId="0" fontId="10" fillId="0" borderId="3" xfId="52" applyFont="1" applyBorder="1" applyAlignment="1">
      <alignment horizontal="center" vertical="center"/>
    </xf>
    <xf numFmtId="183" fontId="10" fillId="0" borderId="3" xfId="51" applyNumberFormat="1" applyFont="1" applyFill="1" applyBorder="1" applyAlignment="1" applyProtection="1">
      <alignment horizontal="center" vertical="center"/>
    </xf>
    <xf numFmtId="182" fontId="8" fillId="0" borderId="1" xfId="52" applyNumberFormat="1" applyFont="1" applyBorder="1" applyAlignment="1">
      <alignment horizontal="center" vertical="center"/>
    </xf>
    <xf numFmtId="0" fontId="8" fillId="0" borderId="2" xfId="52" applyFont="1" applyBorder="1" applyAlignment="1">
      <alignment horizontal="center" vertical="center"/>
    </xf>
    <xf numFmtId="183" fontId="8" fillId="0" borderId="2" xfId="51" applyNumberFormat="1" applyFont="1" applyFill="1" applyBorder="1" applyAlignment="1" applyProtection="1">
      <alignment horizontal="center" vertical="center"/>
    </xf>
    <xf numFmtId="182" fontId="8" fillId="0" borderId="17" xfId="52" applyNumberFormat="1" applyFont="1" applyBorder="1" applyAlignment="1">
      <alignment horizontal="center" vertical="center"/>
    </xf>
    <xf numFmtId="0" fontId="8" fillId="0" borderId="17" xfId="52" applyFont="1" applyBorder="1" applyAlignment="1">
      <alignment horizontal="center" vertical="center"/>
    </xf>
    <xf numFmtId="0" fontId="10" fillId="0" borderId="17" xfId="52" applyFont="1" applyBorder="1" applyAlignment="1">
      <alignment horizontal="left" vertical="center" wrapText="1"/>
    </xf>
    <xf numFmtId="183" fontId="8" fillId="0" borderId="17" xfId="51" applyNumberFormat="1" applyFont="1" applyFill="1" applyBorder="1" applyAlignment="1" applyProtection="1">
      <alignment horizontal="center" vertical="center"/>
    </xf>
    <xf numFmtId="182" fontId="8" fillId="0" borderId="6" xfId="52" applyNumberFormat="1" applyFont="1" applyBorder="1" applyAlignment="1">
      <alignment horizontal="center" vertical="center"/>
    </xf>
    <xf numFmtId="0" fontId="8" fillId="0" borderId="6" xfId="52" applyFont="1" applyBorder="1" applyAlignment="1">
      <alignment horizontal="center" vertical="center"/>
    </xf>
    <xf numFmtId="0" fontId="8" fillId="0" borderId="6" xfId="52" applyFont="1" applyBorder="1" applyAlignment="1">
      <alignment horizontal="left" vertical="center" wrapText="1"/>
    </xf>
    <xf numFmtId="0" fontId="10" fillId="0" borderId="6" xfId="52" applyFont="1" applyBorder="1" applyAlignment="1">
      <alignment vertical="center" wrapText="1"/>
    </xf>
    <xf numFmtId="1" fontId="8" fillId="0" borderId="6" xfId="51" applyNumberFormat="1" applyFont="1" applyFill="1" applyBorder="1" applyAlignment="1" applyProtection="1">
      <alignment horizontal="center" vertical="center" wrapText="1"/>
    </xf>
    <xf numFmtId="1" fontId="8" fillId="0" borderId="6" xfId="57" applyNumberFormat="1" applyFont="1" applyBorder="1" applyAlignment="1">
      <alignment horizontal="left" vertical="center" wrapText="1"/>
    </xf>
    <xf numFmtId="1" fontId="8" fillId="0" borderId="6" xfId="52" applyNumberFormat="1" applyFont="1" applyBorder="1" applyAlignment="1">
      <alignment horizontal="center" vertical="center"/>
    </xf>
    <xf numFmtId="0" fontId="10" fillId="0" borderId="6" xfId="55" applyFont="1" applyBorder="1" applyAlignment="1">
      <alignment horizontal="left" vertical="center" wrapText="1"/>
    </xf>
    <xf numFmtId="1" fontId="10" fillId="0" borderId="6" xfId="57" applyNumberFormat="1" applyFont="1" applyBorder="1" applyAlignment="1">
      <alignment horizontal="left" vertical="center" wrapText="1"/>
    </xf>
    <xf numFmtId="182" fontId="8" fillId="0" borderId="11" xfId="52" applyNumberFormat="1" applyFont="1" applyBorder="1" applyAlignment="1">
      <alignment horizontal="center" vertical="center"/>
    </xf>
    <xf numFmtId="0" fontId="8" fillId="0" borderId="11" xfId="52" applyFont="1" applyBorder="1" applyAlignment="1">
      <alignment horizontal="center" vertical="center"/>
    </xf>
    <xf numFmtId="0" fontId="8" fillId="0" borderId="11" xfId="52" applyFont="1" applyBorder="1" applyAlignment="1">
      <alignment horizontal="left" vertical="center" wrapText="1"/>
    </xf>
    <xf numFmtId="183" fontId="8" fillId="0" borderId="11" xfId="51" applyNumberFormat="1" applyFont="1" applyFill="1" applyBorder="1" applyAlignment="1" applyProtection="1">
      <alignment horizontal="center" vertical="center"/>
    </xf>
    <xf numFmtId="182" fontId="10" fillId="0" borderId="1" xfId="52" applyNumberFormat="1" applyFont="1" applyBorder="1" applyAlignment="1">
      <alignment horizontal="center" vertical="center"/>
    </xf>
    <xf numFmtId="1" fontId="10" fillId="0" borderId="2" xfId="52" applyNumberFormat="1" applyFont="1" applyBorder="1" applyAlignment="1">
      <alignment horizontal="center" vertical="center"/>
    </xf>
    <xf numFmtId="0" fontId="10" fillId="0" borderId="2" xfId="52" applyFont="1" applyBorder="1" applyAlignment="1">
      <alignment horizontal="center" vertical="center"/>
    </xf>
    <xf numFmtId="183" fontId="10" fillId="0" borderId="2" xfId="51" applyNumberFormat="1" applyFont="1" applyFill="1" applyBorder="1" applyAlignment="1" applyProtection="1">
      <alignment horizontal="center" vertical="center"/>
    </xf>
    <xf numFmtId="1" fontId="8" fillId="0" borderId="17" xfId="52" applyNumberFormat="1" applyFont="1" applyBorder="1" applyAlignment="1">
      <alignment horizontal="center" vertical="center"/>
    </xf>
    <xf numFmtId="0" fontId="8" fillId="0" borderId="6" xfId="57" applyFont="1" applyBorder="1" applyAlignment="1">
      <alignment vertical="center" wrapText="1"/>
    </xf>
    <xf numFmtId="0" fontId="10" fillId="0" borderId="6" xfId="52" applyFont="1" applyBorder="1" applyAlignment="1">
      <alignment horizontal="justify" vertical="center" wrapText="1"/>
    </xf>
    <xf numFmtId="1" fontId="8" fillId="0" borderId="11" xfId="52" applyNumberFormat="1" applyFont="1" applyBorder="1" applyAlignment="1">
      <alignment horizontal="center" vertical="center"/>
    </xf>
    <xf numFmtId="0" fontId="8" fillId="0" borderId="11" xfId="57" applyFont="1" applyBorder="1" applyAlignment="1">
      <alignment horizontal="left" vertical="center" wrapText="1"/>
    </xf>
    <xf numFmtId="0" fontId="8" fillId="0" borderId="6" xfId="53" applyFont="1" applyBorder="1" applyAlignment="1">
      <alignment horizontal="left" vertical="center" wrapText="1"/>
    </xf>
    <xf numFmtId="2" fontId="8" fillId="0" borderId="6" xfId="52" applyNumberFormat="1" applyFont="1" applyBorder="1" applyAlignment="1">
      <alignment horizontal="center" vertical="center"/>
    </xf>
    <xf numFmtId="1" fontId="8" fillId="0" borderId="11" xfId="57" applyNumberFormat="1" applyFont="1" applyBorder="1" applyAlignment="1">
      <alignment horizontal="left" vertical="center" wrapText="1"/>
    </xf>
    <xf numFmtId="1" fontId="10" fillId="0" borderId="15" xfId="52" applyNumberFormat="1" applyFont="1" applyBorder="1" applyAlignment="1">
      <alignment vertical="center"/>
    </xf>
    <xf numFmtId="1" fontId="10" fillId="0" borderId="16" xfId="52" applyNumberFormat="1" applyFont="1" applyBorder="1" applyAlignment="1">
      <alignment vertical="center"/>
    </xf>
    <xf numFmtId="180" fontId="10" fillId="0" borderId="3" xfId="51" applyFont="1" applyFill="1" applyBorder="1" applyAlignment="1" applyProtection="1">
      <alignment horizontal="center" vertical="center"/>
    </xf>
    <xf numFmtId="180" fontId="8" fillId="0" borderId="2" xfId="51" applyFont="1" applyFill="1" applyBorder="1" applyAlignment="1" applyProtection="1">
      <alignment horizontal="center" vertical="center"/>
    </xf>
    <xf numFmtId="0" fontId="8" fillId="0" borderId="12" xfId="52" applyFont="1" applyBorder="1" applyAlignment="1">
      <alignment horizontal="center" vertical="center"/>
    </xf>
    <xf numFmtId="180" fontId="8" fillId="0" borderId="17" xfId="51" applyFont="1" applyFill="1" applyBorder="1" applyAlignment="1" applyProtection="1">
      <alignment horizontal="center" vertical="center"/>
    </xf>
    <xf numFmtId="1" fontId="8" fillId="0" borderId="6" xfId="52" applyNumberFormat="1" applyFont="1" applyBorder="1" applyAlignment="1">
      <alignment vertical="center" wrapText="1"/>
    </xf>
    <xf numFmtId="3" fontId="8" fillId="3" borderId="6" xfId="52" applyNumberFormat="1" applyFont="1" applyFill="1" applyBorder="1" applyAlignment="1">
      <alignment horizontal="center" vertical="center" wrapText="1"/>
    </xf>
    <xf numFmtId="3" fontId="8" fillId="0" borderId="6" xfId="52" applyNumberFormat="1" applyFont="1" applyBorder="1" applyAlignment="1">
      <alignment horizontal="center" vertical="center" wrapText="1"/>
    </xf>
    <xf numFmtId="1" fontId="8" fillId="3" borderId="6" xfId="51" applyNumberFormat="1" applyFont="1" applyFill="1" applyBorder="1" applyAlignment="1" applyProtection="1">
      <alignment horizontal="center" vertical="center" wrapText="1"/>
    </xf>
    <xf numFmtId="183" fontId="8" fillId="3" borderId="6" xfId="51" applyNumberFormat="1" applyFont="1" applyFill="1" applyBorder="1" applyAlignment="1" applyProtection="1">
      <alignment horizontal="center" vertical="center"/>
    </xf>
    <xf numFmtId="0" fontId="10" fillId="0" borderId="12" xfId="52" applyFont="1" applyBorder="1" applyAlignment="1">
      <alignment horizontal="center" vertical="center"/>
    </xf>
    <xf numFmtId="180" fontId="8" fillId="0" borderId="6" xfId="51" applyFont="1" applyFill="1" applyBorder="1" applyAlignment="1" applyProtection="1">
      <alignment horizontal="center" vertical="center"/>
    </xf>
    <xf numFmtId="182" fontId="8" fillId="3" borderId="6" xfId="52" applyNumberFormat="1" applyFont="1" applyFill="1" applyBorder="1" applyAlignment="1">
      <alignment horizontal="center" vertical="center"/>
    </xf>
    <xf numFmtId="1" fontId="8" fillId="3" borderId="6" xfId="52" applyNumberFormat="1" applyFont="1" applyFill="1" applyBorder="1" applyAlignment="1">
      <alignment horizontal="center" vertical="center"/>
    </xf>
    <xf numFmtId="0" fontId="10" fillId="3" borderId="6" xfId="52" applyFont="1" applyFill="1" applyBorder="1" applyAlignment="1">
      <alignment horizontal="left" vertical="center" wrapText="1"/>
    </xf>
    <xf numFmtId="0" fontId="8" fillId="3" borderId="6" xfId="52" applyFont="1" applyFill="1" applyBorder="1" applyAlignment="1">
      <alignment horizontal="center" vertical="center"/>
    </xf>
    <xf numFmtId="0" fontId="8" fillId="3" borderId="6" xfId="52" applyFont="1" applyFill="1" applyBorder="1" applyAlignment="1">
      <alignment horizontal="left" vertical="center" wrapText="1"/>
    </xf>
    <xf numFmtId="0" fontId="8" fillId="3" borderId="6" xfId="57" applyFont="1" applyFill="1" applyBorder="1" applyAlignment="1">
      <alignment horizontal="left" vertical="center" wrapText="1"/>
    </xf>
    <xf numFmtId="2" fontId="8" fillId="0" borderId="11" xfId="52" applyNumberFormat="1" applyFont="1" applyBorder="1" applyAlignment="1">
      <alignment horizontal="center" vertical="center"/>
    </xf>
    <xf numFmtId="2" fontId="10" fillId="0" borderId="1" xfId="52" applyNumberFormat="1" applyFont="1" applyBorder="1" applyAlignment="1">
      <alignment horizontal="center" vertical="center"/>
    </xf>
    <xf numFmtId="2" fontId="8" fillId="0" borderId="17" xfId="52" applyNumberFormat="1" applyFont="1" applyBorder="1" applyAlignment="1">
      <alignment horizontal="center" vertical="center"/>
    </xf>
    <xf numFmtId="0" fontId="10" fillId="0" borderId="6" xfId="57" applyFont="1" applyBorder="1" applyAlignment="1">
      <alignment horizontal="left" vertical="center" wrapText="1"/>
    </xf>
    <xf numFmtId="0" fontId="19" fillId="0" borderId="0" xfId="52" applyFont="1" applyAlignment="1">
      <alignment horizontal="left" vertical="center"/>
    </xf>
    <xf numFmtId="0" fontId="8" fillId="3" borderId="6" xfId="52" applyFont="1" applyFill="1" applyBorder="1" applyAlignment="1">
      <alignment vertical="center" wrapText="1"/>
    </xf>
    <xf numFmtId="0" fontId="15" fillId="3" borderId="0" xfId="52" applyFont="1" applyFill="1" applyAlignment="1">
      <alignment horizontal="left" vertical="center"/>
    </xf>
    <xf numFmtId="180" fontId="8" fillId="3" borderId="6" xfId="51" applyFont="1" applyFill="1" applyBorder="1" applyAlignment="1" applyProtection="1">
      <alignment horizontal="center" vertical="center"/>
    </xf>
    <xf numFmtId="180" fontId="8" fillId="0" borderId="11" xfId="51" applyFont="1" applyFill="1" applyBorder="1" applyAlignment="1" applyProtection="1">
      <alignment horizontal="center" vertical="center"/>
    </xf>
    <xf numFmtId="180" fontId="10" fillId="0" borderId="2" xfId="51" applyFont="1" applyFill="1" applyBorder="1" applyAlignment="1" applyProtection="1">
      <alignment horizontal="center" vertical="center"/>
    </xf>
    <xf numFmtId="0" fontId="15" fillId="0" borderId="0" xfId="52" applyFont="1" applyAlignment="1">
      <alignment horizontal="left" vertical="center"/>
    </xf>
    <xf numFmtId="180" fontId="8" fillId="0" borderId="6" xfId="51" applyFont="1" applyFill="1" applyBorder="1" applyAlignment="1" applyProtection="1">
      <alignment horizontal="right" vertical="center" wrapText="1"/>
    </xf>
    <xf numFmtId="185" fontId="10" fillId="3" borderId="6" xfId="1" applyNumberFormat="1" applyFont="1" applyFill="1" applyBorder="1" applyAlignment="1">
      <alignment horizontal="center" vertical="center"/>
    </xf>
    <xf numFmtId="0" fontId="25" fillId="0" borderId="0" xfId="58" applyFont="1"/>
    <xf numFmtId="0" fontId="27" fillId="0" borderId="6" xfId="58" applyFont="1" applyBorder="1" applyAlignment="1">
      <alignment horizontal="center" vertical="center"/>
    </xf>
    <xf numFmtId="0" fontId="28" fillId="0" borderId="11" xfId="58" applyFont="1" applyBorder="1" applyAlignment="1">
      <alignment horizontal="center" vertical="center"/>
    </xf>
    <xf numFmtId="0" fontId="29" fillId="0" borderId="11" xfId="58" applyFont="1" applyBorder="1" applyAlignment="1">
      <alignment horizontal="center" vertical="center"/>
    </xf>
    <xf numFmtId="0" fontId="28" fillId="0" borderId="1" xfId="58" applyFont="1" applyBorder="1" applyAlignment="1">
      <alignment horizontal="center" vertical="center"/>
    </xf>
    <xf numFmtId="0" fontId="28" fillId="0" borderId="2" xfId="58" applyFont="1" applyBorder="1" applyAlignment="1">
      <alignment horizontal="center" vertical="center"/>
    </xf>
    <xf numFmtId="0" fontId="28" fillId="0" borderId="12" xfId="58" applyFont="1" applyBorder="1" applyAlignment="1">
      <alignment horizontal="center" vertical="center"/>
    </xf>
    <xf numFmtId="0" fontId="25" fillId="0" borderId="17" xfId="58" applyFont="1" applyBorder="1" applyAlignment="1">
      <alignment horizontal="center" vertical="center"/>
    </xf>
    <xf numFmtId="0" fontId="25" fillId="0" borderId="6" xfId="58" applyFont="1" applyBorder="1" applyAlignment="1">
      <alignment horizontal="center" vertical="center"/>
    </xf>
    <xf numFmtId="176" fontId="25" fillId="0" borderId="6" xfId="1" applyFont="1" applyFill="1" applyBorder="1" applyAlignment="1" applyProtection="1">
      <alignment horizontal="center" vertical="center"/>
    </xf>
    <xf numFmtId="176" fontId="0" fillId="0" borderId="6" xfId="1" applyFont="1" applyBorder="1" applyAlignment="1">
      <alignment horizontal="center" vertical="center" wrapText="1"/>
    </xf>
    <xf numFmtId="0" fontId="25" fillId="0" borderId="11" xfId="58" applyFont="1" applyBorder="1" applyAlignment="1">
      <alignment horizontal="center" vertical="center"/>
    </xf>
    <xf numFmtId="176" fontId="0" fillId="0" borderId="11" xfId="1" applyFont="1" applyBorder="1" applyAlignment="1">
      <alignment horizontal="center" vertical="center" wrapText="1"/>
    </xf>
    <xf numFmtId="176" fontId="25" fillId="0" borderId="11" xfId="1" applyFont="1" applyFill="1" applyBorder="1" applyAlignment="1" applyProtection="1">
      <alignment horizontal="center" vertical="center"/>
    </xf>
    <xf numFmtId="0" fontId="12" fillId="0" borderId="1" xfId="58" applyFont="1" applyBorder="1" applyAlignment="1">
      <alignment horizontal="center" vertical="center"/>
    </xf>
    <xf numFmtId="0" fontId="12" fillId="0" borderId="2" xfId="58" applyFont="1" applyBorder="1" applyAlignment="1">
      <alignment horizontal="center" vertical="center"/>
    </xf>
    <xf numFmtId="176" fontId="12" fillId="0" borderId="12" xfId="1" applyFont="1" applyFill="1" applyBorder="1" applyAlignment="1" applyProtection="1">
      <alignment horizontal="center" vertical="center"/>
    </xf>
    <xf numFmtId="0" fontId="12" fillId="0" borderId="17" xfId="58" applyFont="1" applyBorder="1" applyAlignment="1">
      <alignment horizontal="center" vertical="center"/>
    </xf>
    <xf numFmtId="176" fontId="12" fillId="0" borderId="17" xfId="1" applyFont="1" applyFill="1" applyBorder="1" applyAlignment="1" applyProtection="1">
      <alignment horizontal="center" vertical="center"/>
    </xf>
    <xf numFmtId="0" fontId="12" fillId="0" borderId="3" xfId="58" applyFont="1" applyBorder="1" applyAlignment="1">
      <alignment horizontal="center" vertical="center"/>
    </xf>
    <xf numFmtId="0" fontId="7" fillId="0" borderId="3" xfId="58" applyFont="1" applyBorder="1" applyAlignment="1">
      <alignment horizontal="center" vertical="center"/>
    </xf>
    <xf numFmtId="176" fontId="7" fillId="0" borderId="3" xfId="1" applyFont="1" applyFill="1" applyBorder="1" applyAlignment="1" applyProtection="1">
      <alignment horizontal="center" vertical="center"/>
    </xf>
    <xf numFmtId="0" fontId="25" fillId="0" borderId="0" xfId="58" applyFont="1" applyAlignment="1">
      <alignment horizontal="center" vertical="center"/>
    </xf>
    <xf numFmtId="1" fontId="25" fillId="0" borderId="0" xfId="58" applyNumberFormat="1" applyFont="1" applyAlignment="1">
      <alignment horizontal="center" vertical="center"/>
    </xf>
    <xf numFmtId="0" fontId="30" fillId="0" borderId="0" xfId="58" applyFont="1"/>
    <xf numFmtId="0" fontId="24" fillId="0" borderId="0" xfId="58" applyFont="1"/>
    <xf numFmtId="0" fontId="24" fillId="0" borderId="0" xfId="58" applyFont="1" applyAlignment="1">
      <alignment horizontal="left" wrapText="1"/>
    </xf>
  </cellXfs>
  <cellStyles count="61">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2" xfId="49"/>
    <cellStyle name="Comma 3" xfId="50"/>
    <cellStyle name="Comma 4" xfId="51"/>
    <cellStyle name="Excel Built-in Normal" xfId="52"/>
    <cellStyle name="Normal 10" xfId="53"/>
    <cellStyle name="Normal 2" xfId="54"/>
    <cellStyle name="Normal 2 2" xfId="55"/>
    <cellStyle name="Normal 2 3" xfId="56"/>
    <cellStyle name="Normal 3" xfId="57"/>
    <cellStyle name="Normal 4" xfId="58"/>
    <cellStyle name="Normal 6" xfId="59"/>
    <cellStyle name="Normal 9" xfId="60"/>
  </cellStyles>
  <dxfs count="1">
    <dxf>
      <font>
        <color rgb="FF9C0006"/>
      </font>
      <fill>
        <patternFill patternType="solid">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FF2600"/>
      <rgbColor rgb="00AAAAAA"/>
      <rgbColor rgb="004D5D2C"/>
      <rgbColor rgb="00CE222B"/>
      <rgbColor rgb="00FF0000"/>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38"/>
  <sheetViews>
    <sheetView workbookViewId="0">
      <selection activeCell="D16" sqref="D16:E16"/>
    </sheetView>
  </sheetViews>
  <sheetFormatPr defaultColWidth="9" defaultRowHeight="12.75" outlineLevelCol="2"/>
  <cols>
    <col min="1" max="1" width="6.375" style="573" customWidth="1"/>
    <col min="2" max="2" width="44.125" style="573" customWidth="1"/>
    <col min="3" max="3" width="17.625" style="573" customWidth="1"/>
    <col min="4" max="16384" width="9" style="573"/>
  </cols>
  <sheetData>
    <row r="2" ht="23.25" customHeight="1" spans="1:3">
      <c r="A2" s="574" t="s">
        <v>0</v>
      </c>
      <c r="B2" s="574"/>
      <c r="C2" s="574"/>
    </row>
    <row r="4" ht="21" customHeight="1" spans="1:3">
      <c r="A4" s="575" t="s">
        <v>1</v>
      </c>
      <c r="B4" s="576"/>
      <c r="C4" s="575" t="s">
        <v>2</v>
      </c>
    </row>
    <row r="5" ht="21" customHeight="1" spans="1:3">
      <c r="A5" s="577" t="s">
        <v>3</v>
      </c>
      <c r="B5" s="578" t="s">
        <v>4</v>
      </c>
      <c r="C5" s="579" t="s">
        <v>5</v>
      </c>
    </row>
    <row r="6" ht="13.5" customHeight="1" spans="1:3">
      <c r="A6" s="580"/>
      <c r="B6" s="580"/>
      <c r="C6" s="580"/>
    </row>
    <row r="7" ht="23.25" customHeight="1" spans="1:3">
      <c r="A7" s="581">
        <v>1</v>
      </c>
      <c r="B7" s="581" t="s">
        <v>6</v>
      </c>
      <c r="C7" s="582">
        <f>'0 Overall'!J91</f>
        <v>5630163</v>
      </c>
    </row>
    <row r="8" ht="23.25" customHeight="1" spans="1:3">
      <c r="A8" s="581">
        <v>2</v>
      </c>
      <c r="B8" s="581" t="s">
        <v>7</v>
      </c>
      <c r="C8" s="582">
        <f>'welcome zone'!O159</f>
        <v>6816555</v>
      </c>
    </row>
    <row r="9" ht="23.25" customHeight="1" spans="1:3">
      <c r="A9" s="581">
        <v>3</v>
      </c>
      <c r="B9" s="581" t="s">
        <v>8</v>
      </c>
      <c r="C9" s="582">
        <f>'fine dine &amp; live kitchen'!J139</f>
        <v>6132040</v>
      </c>
    </row>
    <row r="10" ht="23.25" customHeight="1" spans="1:3">
      <c r="A10" s="581">
        <v>4</v>
      </c>
      <c r="B10" s="581" t="s">
        <v>9</v>
      </c>
      <c r="C10" s="582">
        <f>'tea lounge'!K51</f>
        <v>4104300</v>
      </c>
    </row>
    <row r="11" ht="23.25" customHeight="1" spans="1:3">
      <c r="A11" s="581">
        <v>5</v>
      </c>
      <c r="B11" s="581" t="s">
        <v>10</v>
      </c>
      <c r="C11" s="582">
        <f>'sports &amp; relax lounge'!L103</f>
        <v>6068873</v>
      </c>
    </row>
    <row r="12" ht="23.25" customHeight="1" spans="1:3">
      <c r="A12" s="581">
        <v>6</v>
      </c>
      <c r="B12" s="581" t="s">
        <v>11</v>
      </c>
      <c r="C12" s="582">
        <f>SPA!J194</f>
        <v>4190567.5</v>
      </c>
    </row>
    <row r="13" ht="23.25" customHeight="1" spans="1:3">
      <c r="A13" s="581">
        <v>7</v>
      </c>
      <c r="B13" s="581" t="s">
        <v>12</v>
      </c>
      <c r="C13" s="583">
        <f>'Water Lounge'!J243</f>
        <v>8833020</v>
      </c>
    </row>
    <row r="14" ht="23.25" customHeight="1" spans="1:3">
      <c r="A14" s="584">
        <v>8</v>
      </c>
      <c r="B14" s="584" t="s">
        <v>13</v>
      </c>
      <c r="C14" s="585">
        <f>'CIVIL-WET WORK'!N171</f>
        <v>7975686.5</v>
      </c>
    </row>
    <row r="15" ht="23.25" customHeight="1" spans="1:3">
      <c r="A15" s="584"/>
      <c r="B15" s="584"/>
      <c r="C15" s="586"/>
    </row>
    <row r="16" ht="23.25" customHeight="1" spans="1:3">
      <c r="A16" s="587"/>
      <c r="B16" s="588" t="s">
        <v>14</v>
      </c>
      <c r="C16" s="589">
        <f>SUM(C7:C15)</f>
        <v>49751205</v>
      </c>
    </row>
    <row r="17" ht="23.25" customHeight="1" spans="1:3">
      <c r="A17" s="590"/>
      <c r="B17" s="590"/>
      <c r="C17" s="591"/>
    </row>
    <row r="18" ht="23.25" customHeight="1" spans="1:3">
      <c r="A18" s="592"/>
      <c r="B18" s="593" t="s">
        <v>15</v>
      </c>
      <c r="C18" s="594">
        <f>SUM(C16*10%)</f>
        <v>4975120.5</v>
      </c>
    </row>
    <row r="19" ht="23.25" customHeight="1" spans="1:3">
      <c r="A19" s="587"/>
      <c r="B19" s="588" t="s">
        <v>16</v>
      </c>
      <c r="C19" s="589">
        <f>SUM(C16:C18)</f>
        <v>54726325.5</v>
      </c>
    </row>
    <row r="20" ht="23.25" customHeight="1" spans="1:3">
      <c r="A20" s="595"/>
      <c r="B20" s="595"/>
      <c r="C20" s="596"/>
    </row>
    <row r="21" ht="13.5" customHeight="1" spans="1:2">
      <c r="A21" s="597" t="s">
        <v>17</v>
      </c>
      <c r="B21" s="598"/>
    </row>
    <row r="22" spans="1:2">
      <c r="A22" s="598" t="s">
        <v>18</v>
      </c>
      <c r="B22" s="598"/>
    </row>
    <row r="23" spans="1:2">
      <c r="A23" s="598" t="s">
        <v>19</v>
      </c>
      <c r="B23" s="598"/>
    </row>
    <row r="24" spans="1:2">
      <c r="A24" s="598" t="s">
        <v>20</v>
      </c>
      <c r="B24" s="598"/>
    </row>
    <row r="25" spans="1:2">
      <c r="A25" s="598" t="s">
        <v>21</v>
      </c>
      <c r="B25" s="598"/>
    </row>
    <row r="26" spans="1:2">
      <c r="A26" s="598"/>
      <c r="B26" s="598"/>
    </row>
    <row r="27" spans="1:2">
      <c r="A27" s="597" t="s">
        <v>22</v>
      </c>
      <c r="B27" s="598"/>
    </row>
    <row r="28" spans="1:2">
      <c r="A28" s="598" t="s">
        <v>23</v>
      </c>
      <c r="B28" s="598"/>
    </row>
    <row r="29" spans="1:2">
      <c r="A29" s="598" t="s">
        <v>24</v>
      </c>
      <c r="B29" s="598"/>
    </row>
    <row r="30" ht="30" customHeight="1" spans="1:3">
      <c r="A30" s="599" t="s">
        <v>25</v>
      </c>
      <c r="B30" s="599"/>
      <c r="C30" s="599"/>
    </row>
    <row r="31" spans="1:2">
      <c r="A31" s="598" t="s">
        <v>26</v>
      </c>
      <c r="B31" s="598"/>
    </row>
    <row r="32" spans="1:2">
      <c r="A32" s="598" t="s">
        <v>27</v>
      </c>
      <c r="B32" s="598"/>
    </row>
    <row r="33" spans="1:2">
      <c r="A33" s="598" t="s">
        <v>28</v>
      </c>
      <c r="B33" s="598"/>
    </row>
    <row r="34" spans="1:2">
      <c r="A34" s="598" t="s">
        <v>29</v>
      </c>
      <c r="B34" s="598"/>
    </row>
    <row r="35" spans="1:2">
      <c r="A35" s="598" t="s">
        <v>30</v>
      </c>
      <c r="B35" s="598"/>
    </row>
    <row r="36" spans="1:2">
      <c r="A36" s="598" t="s">
        <v>31</v>
      </c>
      <c r="B36" s="598"/>
    </row>
    <row r="37" spans="1:1">
      <c r="A37" s="598" t="s">
        <v>32</v>
      </c>
    </row>
    <row r="38" spans="1:1">
      <c r="A38" s="598" t="s">
        <v>33</v>
      </c>
    </row>
  </sheetData>
  <mergeCells count="2">
    <mergeCell ref="A2:C2"/>
    <mergeCell ref="A30:C3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
  <sheetViews>
    <sheetView topLeftCell="A3" workbookViewId="0">
      <pane ySplit="3" topLeftCell="A6" activePane="bottomLeft" state="frozen"/>
      <selection/>
      <selection pane="bottomLeft" activeCell="Q63" sqref="Q63"/>
    </sheetView>
  </sheetViews>
  <sheetFormatPr defaultColWidth="6.125" defaultRowHeight="12.75"/>
  <cols>
    <col min="1" max="3" width="3.5" style="498" customWidth="1"/>
    <col min="4" max="4" width="10.625" style="498" customWidth="1"/>
    <col min="5" max="5" width="11.75" style="498" customWidth="1"/>
    <col min="6" max="6" width="52.125" style="499" customWidth="1"/>
    <col min="7" max="7" width="4.375" style="498" customWidth="1"/>
    <col min="8" max="8" width="6.125" style="498" customWidth="1"/>
    <col min="9" max="9" width="12.75" style="498" customWidth="1"/>
    <col min="10" max="10" width="10.25" style="498" customWidth="1"/>
    <col min="11" max="11" width="7.375" style="498" customWidth="1"/>
    <col min="12" max="12" width="9.5" style="498" customWidth="1"/>
    <col min="13" max="247" width="6.125" style="498"/>
    <col min="248" max="248" width="5" style="498" customWidth="1"/>
    <col min="249" max="249" width="8.875" style="498" customWidth="1"/>
    <col min="250" max="250" width="5" style="498" customWidth="1"/>
    <col min="251" max="251" width="8.25" style="498" customWidth="1"/>
    <col min="252" max="252" width="16.125" style="498" customWidth="1"/>
    <col min="253" max="253" width="86" style="498" customWidth="1"/>
    <col min="254" max="254" width="5" style="498" customWidth="1"/>
    <col min="255" max="255" width="11.125" style="498" customWidth="1"/>
    <col min="256" max="256" width="10.375" style="498" customWidth="1"/>
    <col min="257" max="257" width="10.875" style="498" customWidth="1"/>
    <col min="258" max="258" width="7.75" style="498" customWidth="1"/>
    <col min="259" max="259" width="9.875" style="498" customWidth="1"/>
    <col min="260" max="260" width="10.625" style="498" customWidth="1"/>
    <col min="261" max="503" width="6.125" style="498"/>
    <col min="504" max="504" width="5" style="498" customWidth="1"/>
    <col min="505" max="505" width="8.875" style="498" customWidth="1"/>
    <col min="506" max="506" width="5" style="498" customWidth="1"/>
    <col min="507" max="507" width="8.25" style="498" customWidth="1"/>
    <col min="508" max="508" width="16.125" style="498" customWidth="1"/>
    <col min="509" max="509" width="86" style="498" customWidth="1"/>
    <col min="510" max="510" width="5" style="498" customWidth="1"/>
    <col min="511" max="511" width="11.125" style="498" customWidth="1"/>
    <col min="512" max="512" width="10.375" style="498" customWidth="1"/>
    <col min="513" max="513" width="10.875" style="498" customWidth="1"/>
    <col min="514" max="514" width="7.75" style="498" customWidth="1"/>
    <col min="515" max="515" width="9.875" style="498" customWidth="1"/>
    <col min="516" max="516" width="10.625" style="498" customWidth="1"/>
    <col min="517" max="759" width="6.125" style="498"/>
    <col min="760" max="760" width="5" style="498" customWidth="1"/>
    <col min="761" max="761" width="8.875" style="498" customWidth="1"/>
    <col min="762" max="762" width="5" style="498" customWidth="1"/>
    <col min="763" max="763" width="8.25" style="498" customWidth="1"/>
    <col min="764" max="764" width="16.125" style="498" customWidth="1"/>
    <col min="765" max="765" width="86" style="498" customWidth="1"/>
    <col min="766" max="766" width="5" style="498" customWidth="1"/>
    <col min="767" max="767" width="11.125" style="498" customWidth="1"/>
    <col min="768" max="768" width="10.375" style="498" customWidth="1"/>
    <col min="769" max="769" width="10.875" style="498" customWidth="1"/>
    <col min="770" max="770" width="7.75" style="498" customWidth="1"/>
    <col min="771" max="771" width="9.875" style="498" customWidth="1"/>
    <col min="772" max="772" width="10.625" style="498" customWidth="1"/>
    <col min="773" max="1015" width="6.125" style="498"/>
    <col min="1016" max="1016" width="5" style="498" customWidth="1"/>
    <col min="1017" max="1017" width="8.875" style="498" customWidth="1"/>
    <col min="1018" max="1018" width="5" style="498" customWidth="1"/>
    <col min="1019" max="1019" width="8.25" style="498" customWidth="1"/>
    <col min="1020" max="1020" width="16.125" style="498" customWidth="1"/>
    <col min="1021" max="1021" width="86" style="498" customWidth="1"/>
    <col min="1022" max="1022" width="5" style="498" customWidth="1"/>
    <col min="1023" max="1023" width="11.125" style="498" customWidth="1"/>
    <col min="1024" max="1024" width="10.375" style="498" customWidth="1"/>
    <col min="1025" max="1025" width="10.875" style="498" customWidth="1"/>
    <col min="1026" max="1026" width="7.75" style="498" customWidth="1"/>
    <col min="1027" max="1027" width="9.875" style="498" customWidth="1"/>
    <col min="1028" max="1028" width="10.625" style="498" customWidth="1"/>
    <col min="1029" max="1271" width="6.125" style="498"/>
    <col min="1272" max="1272" width="5" style="498" customWidth="1"/>
    <col min="1273" max="1273" width="8.875" style="498" customWidth="1"/>
    <col min="1274" max="1274" width="5" style="498" customWidth="1"/>
    <col min="1275" max="1275" width="8.25" style="498" customWidth="1"/>
    <col min="1276" max="1276" width="16.125" style="498" customWidth="1"/>
    <col min="1277" max="1277" width="86" style="498" customWidth="1"/>
    <col min="1278" max="1278" width="5" style="498" customWidth="1"/>
    <col min="1279" max="1279" width="11.125" style="498" customWidth="1"/>
    <col min="1280" max="1280" width="10.375" style="498" customWidth="1"/>
    <col min="1281" max="1281" width="10.875" style="498" customWidth="1"/>
    <col min="1282" max="1282" width="7.75" style="498" customWidth="1"/>
    <col min="1283" max="1283" width="9.875" style="498" customWidth="1"/>
    <col min="1284" max="1284" width="10.625" style="498" customWidth="1"/>
    <col min="1285" max="1527" width="6.125" style="498"/>
    <col min="1528" max="1528" width="5" style="498" customWidth="1"/>
    <col min="1529" max="1529" width="8.875" style="498" customWidth="1"/>
    <col min="1530" max="1530" width="5" style="498" customWidth="1"/>
    <col min="1531" max="1531" width="8.25" style="498" customWidth="1"/>
    <col min="1532" max="1532" width="16.125" style="498" customWidth="1"/>
    <col min="1533" max="1533" width="86" style="498" customWidth="1"/>
    <col min="1534" max="1534" width="5" style="498" customWidth="1"/>
    <col min="1535" max="1535" width="11.125" style="498" customWidth="1"/>
    <col min="1536" max="1536" width="10.375" style="498" customWidth="1"/>
    <col min="1537" max="1537" width="10.875" style="498" customWidth="1"/>
    <col min="1538" max="1538" width="7.75" style="498" customWidth="1"/>
    <col min="1539" max="1539" width="9.875" style="498" customWidth="1"/>
    <col min="1540" max="1540" width="10.625" style="498" customWidth="1"/>
    <col min="1541" max="1783" width="6.125" style="498"/>
    <col min="1784" max="1784" width="5" style="498" customWidth="1"/>
    <col min="1785" max="1785" width="8.875" style="498" customWidth="1"/>
    <col min="1786" max="1786" width="5" style="498" customWidth="1"/>
    <col min="1787" max="1787" width="8.25" style="498" customWidth="1"/>
    <col min="1788" max="1788" width="16.125" style="498" customWidth="1"/>
    <col min="1789" max="1789" width="86" style="498" customWidth="1"/>
    <col min="1790" max="1790" width="5" style="498" customWidth="1"/>
    <col min="1791" max="1791" width="11.125" style="498" customWidth="1"/>
    <col min="1792" max="1792" width="10.375" style="498" customWidth="1"/>
    <col min="1793" max="1793" width="10.875" style="498" customWidth="1"/>
    <col min="1794" max="1794" width="7.75" style="498" customWidth="1"/>
    <col min="1795" max="1795" width="9.875" style="498" customWidth="1"/>
    <col min="1796" max="1796" width="10.625" style="498" customWidth="1"/>
    <col min="1797" max="2039" width="6.125" style="498"/>
    <col min="2040" max="2040" width="5" style="498" customWidth="1"/>
    <col min="2041" max="2041" width="8.875" style="498" customWidth="1"/>
    <col min="2042" max="2042" width="5" style="498" customWidth="1"/>
    <col min="2043" max="2043" width="8.25" style="498" customWidth="1"/>
    <col min="2044" max="2044" width="16.125" style="498" customWidth="1"/>
    <col min="2045" max="2045" width="86" style="498" customWidth="1"/>
    <col min="2046" max="2046" width="5" style="498" customWidth="1"/>
    <col min="2047" max="2047" width="11.125" style="498" customWidth="1"/>
    <col min="2048" max="2048" width="10.375" style="498" customWidth="1"/>
    <col min="2049" max="2049" width="10.875" style="498" customWidth="1"/>
    <col min="2050" max="2050" width="7.75" style="498" customWidth="1"/>
    <col min="2051" max="2051" width="9.875" style="498" customWidth="1"/>
    <col min="2052" max="2052" width="10.625" style="498" customWidth="1"/>
    <col min="2053" max="2295" width="6.125" style="498"/>
    <col min="2296" max="2296" width="5" style="498" customWidth="1"/>
    <col min="2297" max="2297" width="8.875" style="498" customWidth="1"/>
    <col min="2298" max="2298" width="5" style="498" customWidth="1"/>
    <col min="2299" max="2299" width="8.25" style="498" customWidth="1"/>
    <col min="2300" max="2300" width="16.125" style="498" customWidth="1"/>
    <col min="2301" max="2301" width="86" style="498" customWidth="1"/>
    <col min="2302" max="2302" width="5" style="498" customWidth="1"/>
    <col min="2303" max="2303" width="11.125" style="498" customWidth="1"/>
    <col min="2304" max="2304" width="10.375" style="498" customWidth="1"/>
    <col min="2305" max="2305" width="10.875" style="498" customWidth="1"/>
    <col min="2306" max="2306" width="7.75" style="498" customWidth="1"/>
    <col min="2307" max="2307" width="9.875" style="498" customWidth="1"/>
    <col min="2308" max="2308" width="10.625" style="498" customWidth="1"/>
    <col min="2309" max="2551" width="6.125" style="498"/>
    <col min="2552" max="2552" width="5" style="498" customWidth="1"/>
    <col min="2553" max="2553" width="8.875" style="498" customWidth="1"/>
    <col min="2554" max="2554" width="5" style="498" customWidth="1"/>
    <col min="2555" max="2555" width="8.25" style="498" customWidth="1"/>
    <col min="2556" max="2556" width="16.125" style="498" customWidth="1"/>
    <col min="2557" max="2557" width="86" style="498" customWidth="1"/>
    <col min="2558" max="2558" width="5" style="498" customWidth="1"/>
    <col min="2559" max="2559" width="11.125" style="498" customWidth="1"/>
    <col min="2560" max="2560" width="10.375" style="498" customWidth="1"/>
    <col min="2561" max="2561" width="10.875" style="498" customWidth="1"/>
    <col min="2562" max="2562" width="7.75" style="498" customWidth="1"/>
    <col min="2563" max="2563" width="9.875" style="498" customWidth="1"/>
    <col min="2564" max="2564" width="10.625" style="498" customWidth="1"/>
    <col min="2565" max="2807" width="6.125" style="498"/>
    <col min="2808" max="2808" width="5" style="498" customWidth="1"/>
    <col min="2809" max="2809" width="8.875" style="498" customWidth="1"/>
    <col min="2810" max="2810" width="5" style="498" customWidth="1"/>
    <col min="2811" max="2811" width="8.25" style="498" customWidth="1"/>
    <col min="2812" max="2812" width="16.125" style="498" customWidth="1"/>
    <col min="2813" max="2813" width="86" style="498" customWidth="1"/>
    <col min="2814" max="2814" width="5" style="498" customWidth="1"/>
    <col min="2815" max="2815" width="11.125" style="498" customWidth="1"/>
    <col min="2816" max="2816" width="10.375" style="498" customWidth="1"/>
    <col min="2817" max="2817" width="10.875" style="498" customWidth="1"/>
    <col min="2818" max="2818" width="7.75" style="498" customWidth="1"/>
    <col min="2819" max="2819" width="9.875" style="498" customWidth="1"/>
    <col min="2820" max="2820" width="10.625" style="498" customWidth="1"/>
    <col min="2821" max="3063" width="6.125" style="498"/>
    <col min="3064" max="3064" width="5" style="498" customWidth="1"/>
    <col min="3065" max="3065" width="8.875" style="498" customWidth="1"/>
    <col min="3066" max="3066" width="5" style="498" customWidth="1"/>
    <col min="3067" max="3067" width="8.25" style="498" customWidth="1"/>
    <col min="3068" max="3068" width="16.125" style="498" customWidth="1"/>
    <col min="3069" max="3069" width="86" style="498" customWidth="1"/>
    <col min="3070" max="3070" width="5" style="498" customWidth="1"/>
    <col min="3071" max="3071" width="11.125" style="498" customWidth="1"/>
    <col min="3072" max="3072" width="10.375" style="498" customWidth="1"/>
    <col min="3073" max="3073" width="10.875" style="498" customWidth="1"/>
    <col min="3074" max="3074" width="7.75" style="498" customWidth="1"/>
    <col min="3075" max="3075" width="9.875" style="498" customWidth="1"/>
    <col min="3076" max="3076" width="10.625" style="498" customWidth="1"/>
    <col min="3077" max="3319" width="6.125" style="498"/>
    <col min="3320" max="3320" width="5" style="498" customWidth="1"/>
    <col min="3321" max="3321" width="8.875" style="498" customWidth="1"/>
    <col min="3322" max="3322" width="5" style="498" customWidth="1"/>
    <col min="3323" max="3323" width="8.25" style="498" customWidth="1"/>
    <col min="3324" max="3324" width="16.125" style="498" customWidth="1"/>
    <col min="3325" max="3325" width="86" style="498" customWidth="1"/>
    <col min="3326" max="3326" width="5" style="498" customWidth="1"/>
    <col min="3327" max="3327" width="11.125" style="498" customWidth="1"/>
    <col min="3328" max="3328" width="10.375" style="498" customWidth="1"/>
    <col min="3329" max="3329" width="10.875" style="498" customWidth="1"/>
    <col min="3330" max="3330" width="7.75" style="498" customWidth="1"/>
    <col min="3331" max="3331" width="9.875" style="498" customWidth="1"/>
    <col min="3332" max="3332" width="10.625" style="498" customWidth="1"/>
    <col min="3333" max="3575" width="6.125" style="498"/>
    <col min="3576" max="3576" width="5" style="498" customWidth="1"/>
    <col min="3577" max="3577" width="8.875" style="498" customWidth="1"/>
    <col min="3578" max="3578" width="5" style="498" customWidth="1"/>
    <col min="3579" max="3579" width="8.25" style="498" customWidth="1"/>
    <col min="3580" max="3580" width="16.125" style="498" customWidth="1"/>
    <col min="3581" max="3581" width="86" style="498" customWidth="1"/>
    <col min="3582" max="3582" width="5" style="498" customWidth="1"/>
    <col min="3583" max="3583" width="11.125" style="498" customWidth="1"/>
    <col min="3584" max="3584" width="10.375" style="498" customWidth="1"/>
    <col min="3585" max="3585" width="10.875" style="498" customWidth="1"/>
    <col min="3586" max="3586" width="7.75" style="498" customWidth="1"/>
    <col min="3587" max="3587" width="9.875" style="498" customWidth="1"/>
    <col min="3588" max="3588" width="10.625" style="498" customWidth="1"/>
    <col min="3589" max="3831" width="6.125" style="498"/>
    <col min="3832" max="3832" width="5" style="498" customWidth="1"/>
    <col min="3833" max="3833" width="8.875" style="498" customWidth="1"/>
    <col min="3834" max="3834" width="5" style="498" customWidth="1"/>
    <col min="3835" max="3835" width="8.25" style="498" customWidth="1"/>
    <col min="3836" max="3836" width="16.125" style="498" customWidth="1"/>
    <col min="3837" max="3837" width="86" style="498" customWidth="1"/>
    <col min="3838" max="3838" width="5" style="498" customWidth="1"/>
    <col min="3839" max="3839" width="11.125" style="498" customWidth="1"/>
    <col min="3840" max="3840" width="10.375" style="498" customWidth="1"/>
    <col min="3841" max="3841" width="10.875" style="498" customWidth="1"/>
    <col min="3842" max="3842" width="7.75" style="498" customWidth="1"/>
    <col min="3843" max="3843" width="9.875" style="498" customWidth="1"/>
    <col min="3844" max="3844" width="10.625" style="498" customWidth="1"/>
    <col min="3845" max="4087" width="6.125" style="498"/>
    <col min="4088" max="4088" width="5" style="498" customWidth="1"/>
    <col min="4089" max="4089" width="8.875" style="498" customWidth="1"/>
    <col min="4090" max="4090" width="5" style="498" customWidth="1"/>
    <col min="4091" max="4091" width="8.25" style="498" customWidth="1"/>
    <col min="4092" max="4092" width="16.125" style="498" customWidth="1"/>
    <col min="4093" max="4093" width="86" style="498" customWidth="1"/>
    <col min="4094" max="4094" width="5" style="498" customWidth="1"/>
    <col min="4095" max="4095" width="11.125" style="498" customWidth="1"/>
    <col min="4096" max="4096" width="10.375" style="498" customWidth="1"/>
    <col min="4097" max="4097" width="10.875" style="498" customWidth="1"/>
    <col min="4098" max="4098" width="7.75" style="498" customWidth="1"/>
    <col min="4099" max="4099" width="9.875" style="498" customWidth="1"/>
    <col min="4100" max="4100" width="10.625" style="498" customWidth="1"/>
    <col min="4101" max="4343" width="6.125" style="498"/>
    <col min="4344" max="4344" width="5" style="498" customWidth="1"/>
    <col min="4345" max="4345" width="8.875" style="498" customWidth="1"/>
    <col min="4346" max="4346" width="5" style="498" customWidth="1"/>
    <col min="4347" max="4347" width="8.25" style="498" customWidth="1"/>
    <col min="4348" max="4348" width="16.125" style="498" customWidth="1"/>
    <col min="4349" max="4349" width="86" style="498" customWidth="1"/>
    <col min="4350" max="4350" width="5" style="498" customWidth="1"/>
    <col min="4351" max="4351" width="11.125" style="498" customWidth="1"/>
    <col min="4352" max="4352" width="10.375" style="498" customWidth="1"/>
    <col min="4353" max="4353" width="10.875" style="498" customWidth="1"/>
    <col min="4354" max="4354" width="7.75" style="498" customWidth="1"/>
    <col min="4355" max="4355" width="9.875" style="498" customWidth="1"/>
    <col min="4356" max="4356" width="10.625" style="498" customWidth="1"/>
    <col min="4357" max="4599" width="6.125" style="498"/>
    <col min="4600" max="4600" width="5" style="498" customWidth="1"/>
    <col min="4601" max="4601" width="8.875" style="498" customWidth="1"/>
    <col min="4602" max="4602" width="5" style="498" customWidth="1"/>
    <col min="4603" max="4603" width="8.25" style="498" customWidth="1"/>
    <col min="4604" max="4604" width="16.125" style="498" customWidth="1"/>
    <col min="4605" max="4605" width="86" style="498" customWidth="1"/>
    <col min="4606" max="4606" width="5" style="498" customWidth="1"/>
    <col min="4607" max="4607" width="11.125" style="498" customWidth="1"/>
    <col min="4608" max="4608" width="10.375" style="498" customWidth="1"/>
    <col min="4609" max="4609" width="10.875" style="498" customWidth="1"/>
    <col min="4610" max="4610" width="7.75" style="498" customWidth="1"/>
    <col min="4611" max="4611" width="9.875" style="498" customWidth="1"/>
    <col min="4612" max="4612" width="10.625" style="498" customWidth="1"/>
    <col min="4613" max="4855" width="6.125" style="498"/>
    <col min="4856" max="4856" width="5" style="498" customWidth="1"/>
    <col min="4857" max="4857" width="8.875" style="498" customWidth="1"/>
    <col min="4858" max="4858" width="5" style="498" customWidth="1"/>
    <col min="4859" max="4859" width="8.25" style="498" customWidth="1"/>
    <col min="4860" max="4860" width="16.125" style="498" customWidth="1"/>
    <col min="4861" max="4861" width="86" style="498" customWidth="1"/>
    <col min="4862" max="4862" width="5" style="498" customWidth="1"/>
    <col min="4863" max="4863" width="11.125" style="498" customWidth="1"/>
    <col min="4864" max="4864" width="10.375" style="498" customWidth="1"/>
    <col min="4865" max="4865" width="10.875" style="498" customWidth="1"/>
    <col min="4866" max="4866" width="7.75" style="498" customWidth="1"/>
    <col min="4867" max="4867" width="9.875" style="498" customWidth="1"/>
    <col min="4868" max="4868" width="10.625" style="498" customWidth="1"/>
    <col min="4869" max="5111" width="6.125" style="498"/>
    <col min="5112" max="5112" width="5" style="498" customWidth="1"/>
    <col min="5113" max="5113" width="8.875" style="498" customWidth="1"/>
    <col min="5114" max="5114" width="5" style="498" customWidth="1"/>
    <col min="5115" max="5115" width="8.25" style="498" customWidth="1"/>
    <col min="5116" max="5116" width="16.125" style="498" customWidth="1"/>
    <col min="5117" max="5117" width="86" style="498" customWidth="1"/>
    <col min="5118" max="5118" width="5" style="498" customWidth="1"/>
    <col min="5119" max="5119" width="11.125" style="498" customWidth="1"/>
    <col min="5120" max="5120" width="10.375" style="498" customWidth="1"/>
    <col min="5121" max="5121" width="10.875" style="498" customWidth="1"/>
    <col min="5122" max="5122" width="7.75" style="498" customWidth="1"/>
    <col min="5123" max="5123" width="9.875" style="498" customWidth="1"/>
    <col min="5124" max="5124" width="10.625" style="498" customWidth="1"/>
    <col min="5125" max="5367" width="6.125" style="498"/>
    <col min="5368" max="5368" width="5" style="498" customWidth="1"/>
    <col min="5369" max="5369" width="8.875" style="498" customWidth="1"/>
    <col min="5370" max="5370" width="5" style="498" customWidth="1"/>
    <col min="5371" max="5371" width="8.25" style="498" customWidth="1"/>
    <col min="5372" max="5372" width="16.125" style="498" customWidth="1"/>
    <col min="5373" max="5373" width="86" style="498" customWidth="1"/>
    <col min="5374" max="5374" width="5" style="498" customWidth="1"/>
    <col min="5375" max="5375" width="11.125" style="498" customWidth="1"/>
    <col min="5376" max="5376" width="10.375" style="498" customWidth="1"/>
    <col min="5377" max="5377" width="10.875" style="498" customWidth="1"/>
    <col min="5378" max="5378" width="7.75" style="498" customWidth="1"/>
    <col min="5379" max="5379" width="9.875" style="498" customWidth="1"/>
    <col min="5380" max="5380" width="10.625" style="498" customWidth="1"/>
    <col min="5381" max="5623" width="6.125" style="498"/>
    <col min="5624" max="5624" width="5" style="498" customWidth="1"/>
    <col min="5625" max="5625" width="8.875" style="498" customWidth="1"/>
    <col min="5626" max="5626" width="5" style="498" customWidth="1"/>
    <col min="5627" max="5627" width="8.25" style="498" customWidth="1"/>
    <col min="5628" max="5628" width="16.125" style="498" customWidth="1"/>
    <col min="5629" max="5629" width="86" style="498" customWidth="1"/>
    <col min="5630" max="5630" width="5" style="498" customWidth="1"/>
    <col min="5631" max="5631" width="11.125" style="498" customWidth="1"/>
    <col min="5632" max="5632" width="10.375" style="498" customWidth="1"/>
    <col min="5633" max="5633" width="10.875" style="498" customWidth="1"/>
    <col min="5634" max="5634" width="7.75" style="498" customWidth="1"/>
    <col min="5635" max="5635" width="9.875" style="498" customWidth="1"/>
    <col min="5636" max="5636" width="10.625" style="498" customWidth="1"/>
    <col min="5637" max="5879" width="6.125" style="498"/>
    <col min="5880" max="5880" width="5" style="498" customWidth="1"/>
    <col min="5881" max="5881" width="8.875" style="498" customWidth="1"/>
    <col min="5882" max="5882" width="5" style="498" customWidth="1"/>
    <col min="5883" max="5883" width="8.25" style="498" customWidth="1"/>
    <col min="5884" max="5884" width="16.125" style="498" customWidth="1"/>
    <col min="5885" max="5885" width="86" style="498" customWidth="1"/>
    <col min="5886" max="5886" width="5" style="498" customWidth="1"/>
    <col min="5887" max="5887" width="11.125" style="498" customWidth="1"/>
    <col min="5888" max="5888" width="10.375" style="498" customWidth="1"/>
    <col min="5889" max="5889" width="10.875" style="498" customWidth="1"/>
    <col min="5890" max="5890" width="7.75" style="498" customWidth="1"/>
    <col min="5891" max="5891" width="9.875" style="498" customWidth="1"/>
    <col min="5892" max="5892" width="10.625" style="498" customWidth="1"/>
    <col min="5893" max="6135" width="6.125" style="498"/>
    <col min="6136" max="6136" width="5" style="498" customWidth="1"/>
    <col min="6137" max="6137" width="8.875" style="498" customWidth="1"/>
    <col min="6138" max="6138" width="5" style="498" customWidth="1"/>
    <col min="6139" max="6139" width="8.25" style="498" customWidth="1"/>
    <col min="6140" max="6140" width="16.125" style="498" customWidth="1"/>
    <col min="6141" max="6141" width="86" style="498" customWidth="1"/>
    <col min="6142" max="6142" width="5" style="498" customWidth="1"/>
    <col min="6143" max="6143" width="11.125" style="498" customWidth="1"/>
    <col min="6144" max="6144" width="10.375" style="498" customWidth="1"/>
    <col min="6145" max="6145" width="10.875" style="498" customWidth="1"/>
    <col min="6146" max="6146" width="7.75" style="498" customWidth="1"/>
    <col min="6147" max="6147" width="9.875" style="498" customWidth="1"/>
    <col min="6148" max="6148" width="10.625" style="498" customWidth="1"/>
    <col min="6149" max="6391" width="6.125" style="498"/>
    <col min="6392" max="6392" width="5" style="498" customWidth="1"/>
    <col min="6393" max="6393" width="8.875" style="498" customWidth="1"/>
    <col min="6394" max="6394" width="5" style="498" customWidth="1"/>
    <col min="6395" max="6395" width="8.25" style="498" customWidth="1"/>
    <col min="6396" max="6396" width="16.125" style="498" customWidth="1"/>
    <col min="6397" max="6397" width="86" style="498" customWidth="1"/>
    <col min="6398" max="6398" width="5" style="498" customWidth="1"/>
    <col min="6399" max="6399" width="11.125" style="498" customWidth="1"/>
    <col min="6400" max="6400" width="10.375" style="498" customWidth="1"/>
    <col min="6401" max="6401" width="10.875" style="498" customWidth="1"/>
    <col min="6402" max="6402" width="7.75" style="498" customWidth="1"/>
    <col min="6403" max="6403" width="9.875" style="498" customWidth="1"/>
    <col min="6404" max="6404" width="10.625" style="498" customWidth="1"/>
    <col min="6405" max="6647" width="6.125" style="498"/>
    <col min="6648" max="6648" width="5" style="498" customWidth="1"/>
    <col min="6649" max="6649" width="8.875" style="498" customWidth="1"/>
    <col min="6650" max="6650" width="5" style="498" customWidth="1"/>
    <col min="6651" max="6651" width="8.25" style="498" customWidth="1"/>
    <col min="6652" max="6652" width="16.125" style="498" customWidth="1"/>
    <col min="6653" max="6653" width="86" style="498" customWidth="1"/>
    <col min="6654" max="6654" width="5" style="498" customWidth="1"/>
    <col min="6655" max="6655" width="11.125" style="498" customWidth="1"/>
    <col min="6656" max="6656" width="10.375" style="498" customWidth="1"/>
    <col min="6657" max="6657" width="10.875" style="498" customWidth="1"/>
    <col min="6658" max="6658" width="7.75" style="498" customWidth="1"/>
    <col min="6659" max="6659" width="9.875" style="498" customWidth="1"/>
    <col min="6660" max="6660" width="10.625" style="498" customWidth="1"/>
    <col min="6661" max="6903" width="6.125" style="498"/>
    <col min="6904" max="6904" width="5" style="498" customWidth="1"/>
    <col min="6905" max="6905" width="8.875" style="498" customWidth="1"/>
    <col min="6906" max="6906" width="5" style="498" customWidth="1"/>
    <col min="6907" max="6907" width="8.25" style="498" customWidth="1"/>
    <col min="6908" max="6908" width="16.125" style="498" customWidth="1"/>
    <col min="6909" max="6909" width="86" style="498" customWidth="1"/>
    <col min="6910" max="6910" width="5" style="498" customWidth="1"/>
    <col min="6911" max="6911" width="11.125" style="498" customWidth="1"/>
    <col min="6912" max="6912" width="10.375" style="498" customWidth="1"/>
    <col min="6913" max="6913" width="10.875" style="498" customWidth="1"/>
    <col min="6914" max="6914" width="7.75" style="498" customWidth="1"/>
    <col min="6915" max="6915" width="9.875" style="498" customWidth="1"/>
    <col min="6916" max="6916" width="10.625" style="498" customWidth="1"/>
    <col min="6917" max="7159" width="6.125" style="498"/>
    <col min="7160" max="7160" width="5" style="498" customWidth="1"/>
    <col min="7161" max="7161" width="8.875" style="498" customWidth="1"/>
    <col min="7162" max="7162" width="5" style="498" customWidth="1"/>
    <col min="7163" max="7163" width="8.25" style="498" customWidth="1"/>
    <col min="7164" max="7164" width="16.125" style="498" customWidth="1"/>
    <col min="7165" max="7165" width="86" style="498" customWidth="1"/>
    <col min="7166" max="7166" width="5" style="498" customWidth="1"/>
    <col min="7167" max="7167" width="11.125" style="498" customWidth="1"/>
    <col min="7168" max="7168" width="10.375" style="498" customWidth="1"/>
    <col min="7169" max="7169" width="10.875" style="498" customWidth="1"/>
    <col min="7170" max="7170" width="7.75" style="498" customWidth="1"/>
    <col min="7171" max="7171" width="9.875" style="498" customWidth="1"/>
    <col min="7172" max="7172" width="10.625" style="498" customWidth="1"/>
    <col min="7173" max="7415" width="6.125" style="498"/>
    <col min="7416" max="7416" width="5" style="498" customWidth="1"/>
    <col min="7417" max="7417" width="8.875" style="498" customWidth="1"/>
    <col min="7418" max="7418" width="5" style="498" customWidth="1"/>
    <col min="7419" max="7419" width="8.25" style="498" customWidth="1"/>
    <col min="7420" max="7420" width="16.125" style="498" customWidth="1"/>
    <col min="7421" max="7421" width="86" style="498" customWidth="1"/>
    <col min="7422" max="7422" width="5" style="498" customWidth="1"/>
    <col min="7423" max="7423" width="11.125" style="498" customWidth="1"/>
    <col min="7424" max="7424" width="10.375" style="498" customWidth="1"/>
    <col min="7425" max="7425" width="10.875" style="498" customWidth="1"/>
    <col min="7426" max="7426" width="7.75" style="498" customWidth="1"/>
    <col min="7427" max="7427" width="9.875" style="498" customWidth="1"/>
    <col min="7428" max="7428" width="10.625" style="498" customWidth="1"/>
    <col min="7429" max="7671" width="6.125" style="498"/>
    <col min="7672" max="7672" width="5" style="498" customWidth="1"/>
    <col min="7673" max="7673" width="8.875" style="498" customWidth="1"/>
    <col min="7674" max="7674" width="5" style="498" customWidth="1"/>
    <col min="7675" max="7675" width="8.25" style="498" customWidth="1"/>
    <col min="7676" max="7676" width="16.125" style="498" customWidth="1"/>
    <col min="7677" max="7677" width="86" style="498" customWidth="1"/>
    <col min="7678" max="7678" width="5" style="498" customWidth="1"/>
    <col min="7679" max="7679" width="11.125" style="498" customWidth="1"/>
    <col min="7680" max="7680" width="10.375" style="498" customWidth="1"/>
    <col min="7681" max="7681" width="10.875" style="498" customWidth="1"/>
    <col min="7682" max="7682" width="7.75" style="498" customWidth="1"/>
    <col min="7683" max="7683" width="9.875" style="498" customWidth="1"/>
    <col min="7684" max="7684" width="10.625" style="498" customWidth="1"/>
    <col min="7685" max="7927" width="6.125" style="498"/>
    <col min="7928" max="7928" width="5" style="498" customWidth="1"/>
    <col min="7929" max="7929" width="8.875" style="498" customWidth="1"/>
    <col min="7930" max="7930" width="5" style="498" customWidth="1"/>
    <col min="7931" max="7931" width="8.25" style="498" customWidth="1"/>
    <col min="7932" max="7932" width="16.125" style="498" customWidth="1"/>
    <col min="7933" max="7933" width="86" style="498" customWidth="1"/>
    <col min="7934" max="7934" width="5" style="498" customWidth="1"/>
    <col min="7935" max="7935" width="11.125" style="498" customWidth="1"/>
    <col min="7936" max="7936" width="10.375" style="498" customWidth="1"/>
    <col min="7937" max="7937" width="10.875" style="498" customWidth="1"/>
    <col min="7938" max="7938" width="7.75" style="498" customWidth="1"/>
    <col min="7939" max="7939" width="9.875" style="498" customWidth="1"/>
    <col min="7940" max="7940" width="10.625" style="498" customWidth="1"/>
    <col min="7941" max="8183" width="6.125" style="498"/>
    <col min="8184" max="8184" width="5" style="498" customWidth="1"/>
    <col min="8185" max="8185" width="8.875" style="498" customWidth="1"/>
    <col min="8186" max="8186" width="5" style="498" customWidth="1"/>
    <col min="8187" max="8187" width="8.25" style="498" customWidth="1"/>
    <col min="8188" max="8188" width="16.125" style="498" customWidth="1"/>
    <col min="8189" max="8189" width="86" style="498" customWidth="1"/>
    <col min="8190" max="8190" width="5" style="498" customWidth="1"/>
    <col min="8191" max="8191" width="11.125" style="498" customWidth="1"/>
    <col min="8192" max="8192" width="10.375" style="498" customWidth="1"/>
    <col min="8193" max="8193" width="10.875" style="498" customWidth="1"/>
    <col min="8194" max="8194" width="7.75" style="498" customWidth="1"/>
    <col min="8195" max="8195" width="9.875" style="498" customWidth="1"/>
    <col min="8196" max="8196" width="10.625" style="498" customWidth="1"/>
    <col min="8197" max="8439" width="6.125" style="498"/>
    <col min="8440" max="8440" width="5" style="498" customWidth="1"/>
    <col min="8441" max="8441" width="8.875" style="498" customWidth="1"/>
    <col min="8442" max="8442" width="5" style="498" customWidth="1"/>
    <col min="8443" max="8443" width="8.25" style="498" customWidth="1"/>
    <col min="8444" max="8444" width="16.125" style="498" customWidth="1"/>
    <col min="8445" max="8445" width="86" style="498" customWidth="1"/>
    <col min="8446" max="8446" width="5" style="498" customWidth="1"/>
    <col min="8447" max="8447" width="11.125" style="498" customWidth="1"/>
    <col min="8448" max="8448" width="10.375" style="498" customWidth="1"/>
    <col min="8449" max="8449" width="10.875" style="498" customWidth="1"/>
    <col min="8450" max="8450" width="7.75" style="498" customWidth="1"/>
    <col min="8451" max="8451" width="9.875" style="498" customWidth="1"/>
    <col min="8452" max="8452" width="10.625" style="498" customWidth="1"/>
    <col min="8453" max="8695" width="6.125" style="498"/>
    <col min="8696" max="8696" width="5" style="498" customWidth="1"/>
    <col min="8697" max="8697" width="8.875" style="498" customWidth="1"/>
    <col min="8698" max="8698" width="5" style="498" customWidth="1"/>
    <col min="8699" max="8699" width="8.25" style="498" customWidth="1"/>
    <col min="8700" max="8700" width="16.125" style="498" customWidth="1"/>
    <col min="8701" max="8701" width="86" style="498" customWidth="1"/>
    <col min="8702" max="8702" width="5" style="498" customWidth="1"/>
    <col min="8703" max="8703" width="11.125" style="498" customWidth="1"/>
    <col min="8704" max="8704" width="10.375" style="498" customWidth="1"/>
    <col min="8705" max="8705" width="10.875" style="498" customWidth="1"/>
    <col min="8706" max="8706" width="7.75" style="498" customWidth="1"/>
    <col min="8707" max="8707" width="9.875" style="498" customWidth="1"/>
    <col min="8708" max="8708" width="10.625" style="498" customWidth="1"/>
    <col min="8709" max="8951" width="6.125" style="498"/>
    <col min="8952" max="8952" width="5" style="498" customWidth="1"/>
    <col min="8953" max="8953" width="8.875" style="498" customWidth="1"/>
    <col min="8954" max="8954" width="5" style="498" customWidth="1"/>
    <col min="8955" max="8955" width="8.25" style="498" customWidth="1"/>
    <col min="8956" max="8956" width="16.125" style="498" customWidth="1"/>
    <col min="8957" max="8957" width="86" style="498" customWidth="1"/>
    <col min="8958" max="8958" width="5" style="498" customWidth="1"/>
    <col min="8959" max="8959" width="11.125" style="498" customWidth="1"/>
    <col min="8960" max="8960" width="10.375" style="498" customWidth="1"/>
    <col min="8961" max="8961" width="10.875" style="498" customWidth="1"/>
    <col min="8962" max="8962" width="7.75" style="498" customWidth="1"/>
    <col min="8963" max="8963" width="9.875" style="498" customWidth="1"/>
    <col min="8964" max="8964" width="10.625" style="498" customWidth="1"/>
    <col min="8965" max="9207" width="6.125" style="498"/>
    <col min="9208" max="9208" width="5" style="498" customWidth="1"/>
    <col min="9209" max="9209" width="8.875" style="498" customWidth="1"/>
    <col min="9210" max="9210" width="5" style="498" customWidth="1"/>
    <col min="9211" max="9211" width="8.25" style="498" customWidth="1"/>
    <col min="9212" max="9212" width="16.125" style="498" customWidth="1"/>
    <col min="9213" max="9213" width="86" style="498" customWidth="1"/>
    <col min="9214" max="9214" width="5" style="498" customWidth="1"/>
    <col min="9215" max="9215" width="11.125" style="498" customWidth="1"/>
    <col min="9216" max="9216" width="10.375" style="498" customWidth="1"/>
    <col min="9217" max="9217" width="10.875" style="498" customWidth="1"/>
    <col min="9218" max="9218" width="7.75" style="498" customWidth="1"/>
    <col min="9219" max="9219" width="9.875" style="498" customWidth="1"/>
    <col min="9220" max="9220" width="10.625" style="498" customWidth="1"/>
    <col min="9221" max="9463" width="6.125" style="498"/>
    <col min="9464" max="9464" width="5" style="498" customWidth="1"/>
    <col min="9465" max="9465" width="8.875" style="498" customWidth="1"/>
    <col min="9466" max="9466" width="5" style="498" customWidth="1"/>
    <col min="9467" max="9467" width="8.25" style="498" customWidth="1"/>
    <col min="9468" max="9468" width="16.125" style="498" customWidth="1"/>
    <col min="9469" max="9469" width="86" style="498" customWidth="1"/>
    <col min="9470" max="9470" width="5" style="498" customWidth="1"/>
    <col min="9471" max="9471" width="11.125" style="498" customWidth="1"/>
    <col min="9472" max="9472" width="10.375" style="498" customWidth="1"/>
    <col min="9473" max="9473" width="10.875" style="498" customWidth="1"/>
    <col min="9474" max="9474" width="7.75" style="498" customWidth="1"/>
    <col min="9475" max="9475" width="9.875" style="498" customWidth="1"/>
    <col min="9476" max="9476" width="10.625" style="498" customWidth="1"/>
    <col min="9477" max="9719" width="6.125" style="498"/>
    <col min="9720" max="9720" width="5" style="498" customWidth="1"/>
    <col min="9721" max="9721" width="8.875" style="498" customWidth="1"/>
    <col min="9722" max="9722" width="5" style="498" customWidth="1"/>
    <col min="9723" max="9723" width="8.25" style="498" customWidth="1"/>
    <col min="9724" max="9724" width="16.125" style="498" customWidth="1"/>
    <col min="9725" max="9725" width="86" style="498" customWidth="1"/>
    <col min="9726" max="9726" width="5" style="498" customWidth="1"/>
    <col min="9727" max="9727" width="11.125" style="498" customWidth="1"/>
    <col min="9728" max="9728" width="10.375" style="498" customWidth="1"/>
    <col min="9729" max="9729" width="10.875" style="498" customWidth="1"/>
    <col min="9730" max="9730" width="7.75" style="498" customWidth="1"/>
    <col min="9731" max="9731" width="9.875" style="498" customWidth="1"/>
    <col min="9732" max="9732" width="10.625" style="498" customWidth="1"/>
    <col min="9733" max="9975" width="6.125" style="498"/>
    <col min="9976" max="9976" width="5" style="498" customWidth="1"/>
    <col min="9977" max="9977" width="8.875" style="498" customWidth="1"/>
    <col min="9978" max="9978" width="5" style="498" customWidth="1"/>
    <col min="9979" max="9979" width="8.25" style="498" customWidth="1"/>
    <col min="9980" max="9980" width="16.125" style="498" customWidth="1"/>
    <col min="9981" max="9981" width="86" style="498" customWidth="1"/>
    <col min="9982" max="9982" width="5" style="498" customWidth="1"/>
    <col min="9983" max="9983" width="11.125" style="498" customWidth="1"/>
    <col min="9984" max="9984" width="10.375" style="498" customWidth="1"/>
    <col min="9985" max="9985" width="10.875" style="498" customWidth="1"/>
    <col min="9986" max="9986" width="7.75" style="498" customWidth="1"/>
    <col min="9987" max="9987" width="9.875" style="498" customWidth="1"/>
    <col min="9988" max="9988" width="10.625" style="498" customWidth="1"/>
    <col min="9989" max="10231" width="6.125" style="498"/>
    <col min="10232" max="10232" width="5" style="498" customWidth="1"/>
    <col min="10233" max="10233" width="8.875" style="498" customWidth="1"/>
    <col min="10234" max="10234" width="5" style="498" customWidth="1"/>
    <col min="10235" max="10235" width="8.25" style="498" customWidth="1"/>
    <col min="10236" max="10236" width="16.125" style="498" customWidth="1"/>
    <col min="10237" max="10237" width="86" style="498" customWidth="1"/>
    <col min="10238" max="10238" width="5" style="498" customWidth="1"/>
    <col min="10239" max="10239" width="11.125" style="498" customWidth="1"/>
    <col min="10240" max="10240" width="10.375" style="498" customWidth="1"/>
    <col min="10241" max="10241" width="10.875" style="498" customWidth="1"/>
    <col min="10242" max="10242" width="7.75" style="498" customWidth="1"/>
    <col min="10243" max="10243" width="9.875" style="498" customWidth="1"/>
    <col min="10244" max="10244" width="10.625" style="498" customWidth="1"/>
    <col min="10245" max="10487" width="6.125" style="498"/>
    <col min="10488" max="10488" width="5" style="498" customWidth="1"/>
    <col min="10489" max="10489" width="8.875" style="498" customWidth="1"/>
    <col min="10490" max="10490" width="5" style="498" customWidth="1"/>
    <col min="10491" max="10491" width="8.25" style="498" customWidth="1"/>
    <col min="10492" max="10492" width="16.125" style="498" customWidth="1"/>
    <col min="10493" max="10493" width="86" style="498" customWidth="1"/>
    <col min="10494" max="10494" width="5" style="498" customWidth="1"/>
    <col min="10495" max="10495" width="11.125" style="498" customWidth="1"/>
    <col min="10496" max="10496" width="10.375" style="498" customWidth="1"/>
    <col min="10497" max="10497" width="10.875" style="498" customWidth="1"/>
    <col min="10498" max="10498" width="7.75" style="498" customWidth="1"/>
    <col min="10499" max="10499" width="9.875" style="498" customWidth="1"/>
    <col min="10500" max="10500" width="10.625" style="498" customWidth="1"/>
    <col min="10501" max="10743" width="6.125" style="498"/>
    <col min="10744" max="10744" width="5" style="498" customWidth="1"/>
    <col min="10745" max="10745" width="8.875" style="498" customWidth="1"/>
    <col min="10746" max="10746" width="5" style="498" customWidth="1"/>
    <col min="10747" max="10747" width="8.25" style="498" customWidth="1"/>
    <col min="10748" max="10748" width="16.125" style="498" customWidth="1"/>
    <col min="10749" max="10749" width="86" style="498" customWidth="1"/>
    <col min="10750" max="10750" width="5" style="498" customWidth="1"/>
    <col min="10751" max="10751" width="11.125" style="498" customWidth="1"/>
    <col min="10752" max="10752" width="10.375" style="498" customWidth="1"/>
    <col min="10753" max="10753" width="10.875" style="498" customWidth="1"/>
    <col min="10754" max="10754" width="7.75" style="498" customWidth="1"/>
    <col min="10755" max="10755" width="9.875" style="498" customWidth="1"/>
    <col min="10756" max="10756" width="10.625" style="498" customWidth="1"/>
    <col min="10757" max="10999" width="6.125" style="498"/>
    <col min="11000" max="11000" width="5" style="498" customWidth="1"/>
    <col min="11001" max="11001" width="8.875" style="498" customWidth="1"/>
    <col min="11002" max="11002" width="5" style="498" customWidth="1"/>
    <col min="11003" max="11003" width="8.25" style="498" customWidth="1"/>
    <col min="11004" max="11004" width="16.125" style="498" customWidth="1"/>
    <col min="11005" max="11005" width="86" style="498" customWidth="1"/>
    <col min="11006" max="11006" width="5" style="498" customWidth="1"/>
    <col min="11007" max="11007" width="11.125" style="498" customWidth="1"/>
    <col min="11008" max="11008" width="10.375" style="498" customWidth="1"/>
    <col min="11009" max="11009" width="10.875" style="498" customWidth="1"/>
    <col min="11010" max="11010" width="7.75" style="498" customWidth="1"/>
    <col min="11011" max="11011" width="9.875" style="498" customWidth="1"/>
    <col min="11012" max="11012" width="10.625" style="498" customWidth="1"/>
    <col min="11013" max="11255" width="6.125" style="498"/>
    <col min="11256" max="11256" width="5" style="498" customWidth="1"/>
    <col min="11257" max="11257" width="8.875" style="498" customWidth="1"/>
    <col min="11258" max="11258" width="5" style="498" customWidth="1"/>
    <col min="11259" max="11259" width="8.25" style="498" customWidth="1"/>
    <col min="11260" max="11260" width="16.125" style="498" customWidth="1"/>
    <col min="11261" max="11261" width="86" style="498" customWidth="1"/>
    <col min="11262" max="11262" width="5" style="498" customWidth="1"/>
    <col min="11263" max="11263" width="11.125" style="498" customWidth="1"/>
    <col min="11264" max="11264" width="10.375" style="498" customWidth="1"/>
    <col min="11265" max="11265" width="10.875" style="498" customWidth="1"/>
    <col min="11266" max="11266" width="7.75" style="498" customWidth="1"/>
    <col min="11267" max="11267" width="9.875" style="498" customWidth="1"/>
    <col min="11268" max="11268" width="10.625" style="498" customWidth="1"/>
    <col min="11269" max="11511" width="6.125" style="498"/>
    <col min="11512" max="11512" width="5" style="498" customWidth="1"/>
    <col min="11513" max="11513" width="8.875" style="498" customWidth="1"/>
    <col min="11514" max="11514" width="5" style="498" customWidth="1"/>
    <col min="11515" max="11515" width="8.25" style="498" customWidth="1"/>
    <col min="11516" max="11516" width="16.125" style="498" customWidth="1"/>
    <col min="11517" max="11517" width="86" style="498" customWidth="1"/>
    <col min="11518" max="11518" width="5" style="498" customWidth="1"/>
    <col min="11519" max="11519" width="11.125" style="498" customWidth="1"/>
    <col min="11520" max="11520" width="10.375" style="498" customWidth="1"/>
    <col min="11521" max="11521" width="10.875" style="498" customWidth="1"/>
    <col min="11522" max="11522" width="7.75" style="498" customWidth="1"/>
    <col min="11523" max="11523" width="9.875" style="498" customWidth="1"/>
    <col min="11524" max="11524" width="10.625" style="498" customWidth="1"/>
    <col min="11525" max="11767" width="6.125" style="498"/>
    <col min="11768" max="11768" width="5" style="498" customWidth="1"/>
    <col min="11769" max="11769" width="8.875" style="498" customWidth="1"/>
    <col min="11770" max="11770" width="5" style="498" customWidth="1"/>
    <col min="11771" max="11771" width="8.25" style="498" customWidth="1"/>
    <col min="11772" max="11772" width="16.125" style="498" customWidth="1"/>
    <col min="11773" max="11773" width="86" style="498" customWidth="1"/>
    <col min="11774" max="11774" width="5" style="498" customWidth="1"/>
    <col min="11775" max="11775" width="11.125" style="498" customWidth="1"/>
    <col min="11776" max="11776" width="10.375" style="498" customWidth="1"/>
    <col min="11777" max="11777" width="10.875" style="498" customWidth="1"/>
    <col min="11778" max="11778" width="7.75" style="498" customWidth="1"/>
    <col min="11779" max="11779" width="9.875" style="498" customWidth="1"/>
    <col min="11780" max="11780" width="10.625" style="498" customWidth="1"/>
    <col min="11781" max="12023" width="6.125" style="498"/>
    <col min="12024" max="12024" width="5" style="498" customWidth="1"/>
    <col min="12025" max="12025" width="8.875" style="498" customWidth="1"/>
    <col min="12026" max="12026" width="5" style="498" customWidth="1"/>
    <col min="12027" max="12027" width="8.25" style="498" customWidth="1"/>
    <col min="12028" max="12028" width="16.125" style="498" customWidth="1"/>
    <col min="12029" max="12029" width="86" style="498" customWidth="1"/>
    <col min="12030" max="12030" width="5" style="498" customWidth="1"/>
    <col min="12031" max="12031" width="11.125" style="498" customWidth="1"/>
    <col min="12032" max="12032" width="10.375" style="498" customWidth="1"/>
    <col min="12033" max="12033" width="10.875" style="498" customWidth="1"/>
    <col min="12034" max="12034" width="7.75" style="498" customWidth="1"/>
    <col min="12035" max="12035" width="9.875" style="498" customWidth="1"/>
    <col min="12036" max="12036" width="10.625" style="498" customWidth="1"/>
    <col min="12037" max="12279" width="6.125" style="498"/>
    <col min="12280" max="12280" width="5" style="498" customWidth="1"/>
    <col min="12281" max="12281" width="8.875" style="498" customWidth="1"/>
    <col min="12282" max="12282" width="5" style="498" customWidth="1"/>
    <col min="12283" max="12283" width="8.25" style="498" customWidth="1"/>
    <col min="12284" max="12284" width="16.125" style="498" customWidth="1"/>
    <col min="12285" max="12285" width="86" style="498" customWidth="1"/>
    <col min="12286" max="12286" width="5" style="498" customWidth="1"/>
    <col min="12287" max="12287" width="11.125" style="498" customWidth="1"/>
    <col min="12288" max="12288" width="10.375" style="498" customWidth="1"/>
    <col min="12289" max="12289" width="10.875" style="498" customWidth="1"/>
    <col min="12290" max="12290" width="7.75" style="498" customWidth="1"/>
    <col min="12291" max="12291" width="9.875" style="498" customWidth="1"/>
    <col min="12292" max="12292" width="10.625" style="498" customWidth="1"/>
    <col min="12293" max="12535" width="6.125" style="498"/>
    <col min="12536" max="12536" width="5" style="498" customWidth="1"/>
    <col min="12537" max="12537" width="8.875" style="498" customWidth="1"/>
    <col min="12538" max="12538" width="5" style="498" customWidth="1"/>
    <col min="12539" max="12539" width="8.25" style="498" customWidth="1"/>
    <col min="12540" max="12540" width="16.125" style="498" customWidth="1"/>
    <col min="12541" max="12541" width="86" style="498" customWidth="1"/>
    <col min="12542" max="12542" width="5" style="498" customWidth="1"/>
    <col min="12543" max="12543" width="11.125" style="498" customWidth="1"/>
    <col min="12544" max="12544" width="10.375" style="498" customWidth="1"/>
    <col min="12545" max="12545" width="10.875" style="498" customWidth="1"/>
    <col min="12546" max="12546" width="7.75" style="498" customWidth="1"/>
    <col min="12547" max="12547" width="9.875" style="498" customWidth="1"/>
    <col min="12548" max="12548" width="10.625" style="498" customWidth="1"/>
    <col min="12549" max="12791" width="6.125" style="498"/>
    <col min="12792" max="12792" width="5" style="498" customWidth="1"/>
    <col min="12793" max="12793" width="8.875" style="498" customWidth="1"/>
    <col min="12794" max="12794" width="5" style="498" customWidth="1"/>
    <col min="12795" max="12795" width="8.25" style="498" customWidth="1"/>
    <col min="12796" max="12796" width="16.125" style="498" customWidth="1"/>
    <col min="12797" max="12797" width="86" style="498" customWidth="1"/>
    <col min="12798" max="12798" width="5" style="498" customWidth="1"/>
    <col min="12799" max="12799" width="11.125" style="498" customWidth="1"/>
    <col min="12800" max="12800" width="10.375" style="498" customWidth="1"/>
    <col min="12801" max="12801" width="10.875" style="498" customWidth="1"/>
    <col min="12802" max="12802" width="7.75" style="498" customWidth="1"/>
    <col min="12803" max="12803" width="9.875" style="498" customWidth="1"/>
    <col min="12804" max="12804" width="10.625" style="498" customWidth="1"/>
    <col min="12805" max="13047" width="6.125" style="498"/>
    <col min="13048" max="13048" width="5" style="498" customWidth="1"/>
    <col min="13049" max="13049" width="8.875" style="498" customWidth="1"/>
    <col min="13050" max="13050" width="5" style="498" customWidth="1"/>
    <col min="13051" max="13051" width="8.25" style="498" customWidth="1"/>
    <col min="13052" max="13052" width="16.125" style="498" customWidth="1"/>
    <col min="13053" max="13053" width="86" style="498" customWidth="1"/>
    <col min="13054" max="13054" width="5" style="498" customWidth="1"/>
    <col min="13055" max="13055" width="11.125" style="498" customWidth="1"/>
    <col min="13056" max="13056" width="10.375" style="498" customWidth="1"/>
    <col min="13057" max="13057" width="10.875" style="498" customWidth="1"/>
    <col min="13058" max="13058" width="7.75" style="498" customWidth="1"/>
    <col min="13059" max="13059" width="9.875" style="498" customWidth="1"/>
    <col min="13060" max="13060" width="10.625" style="498" customWidth="1"/>
    <col min="13061" max="13303" width="6.125" style="498"/>
    <col min="13304" max="13304" width="5" style="498" customWidth="1"/>
    <col min="13305" max="13305" width="8.875" style="498" customWidth="1"/>
    <col min="13306" max="13306" width="5" style="498" customWidth="1"/>
    <col min="13307" max="13307" width="8.25" style="498" customWidth="1"/>
    <col min="13308" max="13308" width="16.125" style="498" customWidth="1"/>
    <col min="13309" max="13309" width="86" style="498" customWidth="1"/>
    <col min="13310" max="13310" width="5" style="498" customWidth="1"/>
    <col min="13311" max="13311" width="11.125" style="498" customWidth="1"/>
    <col min="13312" max="13312" width="10.375" style="498" customWidth="1"/>
    <col min="13313" max="13313" width="10.875" style="498" customWidth="1"/>
    <col min="13314" max="13314" width="7.75" style="498" customWidth="1"/>
    <col min="13315" max="13315" width="9.875" style="498" customWidth="1"/>
    <col min="13316" max="13316" width="10.625" style="498" customWidth="1"/>
    <col min="13317" max="13559" width="6.125" style="498"/>
    <col min="13560" max="13560" width="5" style="498" customWidth="1"/>
    <col min="13561" max="13561" width="8.875" style="498" customWidth="1"/>
    <col min="13562" max="13562" width="5" style="498" customWidth="1"/>
    <col min="13563" max="13563" width="8.25" style="498" customWidth="1"/>
    <col min="13564" max="13564" width="16.125" style="498" customWidth="1"/>
    <col min="13565" max="13565" width="86" style="498" customWidth="1"/>
    <col min="13566" max="13566" width="5" style="498" customWidth="1"/>
    <col min="13567" max="13567" width="11.125" style="498" customWidth="1"/>
    <col min="13568" max="13568" width="10.375" style="498" customWidth="1"/>
    <col min="13569" max="13569" width="10.875" style="498" customWidth="1"/>
    <col min="13570" max="13570" width="7.75" style="498" customWidth="1"/>
    <col min="13571" max="13571" width="9.875" style="498" customWidth="1"/>
    <col min="13572" max="13572" width="10.625" style="498" customWidth="1"/>
    <col min="13573" max="13815" width="6.125" style="498"/>
    <col min="13816" max="13816" width="5" style="498" customWidth="1"/>
    <col min="13817" max="13817" width="8.875" style="498" customWidth="1"/>
    <col min="13818" max="13818" width="5" style="498" customWidth="1"/>
    <col min="13819" max="13819" width="8.25" style="498" customWidth="1"/>
    <col min="13820" max="13820" width="16.125" style="498" customWidth="1"/>
    <col min="13821" max="13821" width="86" style="498" customWidth="1"/>
    <col min="13822" max="13822" width="5" style="498" customWidth="1"/>
    <col min="13823" max="13823" width="11.125" style="498" customWidth="1"/>
    <col min="13824" max="13824" width="10.375" style="498" customWidth="1"/>
    <col min="13825" max="13825" width="10.875" style="498" customWidth="1"/>
    <col min="13826" max="13826" width="7.75" style="498" customWidth="1"/>
    <col min="13827" max="13827" width="9.875" style="498" customWidth="1"/>
    <col min="13828" max="13828" width="10.625" style="498" customWidth="1"/>
    <col min="13829" max="14071" width="6.125" style="498"/>
    <col min="14072" max="14072" width="5" style="498" customWidth="1"/>
    <col min="14073" max="14073" width="8.875" style="498" customWidth="1"/>
    <col min="14074" max="14074" width="5" style="498" customWidth="1"/>
    <col min="14075" max="14075" width="8.25" style="498" customWidth="1"/>
    <col min="14076" max="14076" width="16.125" style="498" customWidth="1"/>
    <col min="14077" max="14077" width="86" style="498" customWidth="1"/>
    <col min="14078" max="14078" width="5" style="498" customWidth="1"/>
    <col min="14079" max="14079" width="11.125" style="498" customWidth="1"/>
    <col min="14080" max="14080" width="10.375" style="498" customWidth="1"/>
    <col min="14081" max="14081" width="10.875" style="498" customWidth="1"/>
    <col min="14082" max="14082" width="7.75" style="498" customWidth="1"/>
    <col min="14083" max="14083" width="9.875" style="498" customWidth="1"/>
    <col min="14084" max="14084" width="10.625" style="498" customWidth="1"/>
    <col min="14085" max="14327" width="6.125" style="498"/>
    <col min="14328" max="14328" width="5" style="498" customWidth="1"/>
    <col min="14329" max="14329" width="8.875" style="498" customWidth="1"/>
    <col min="14330" max="14330" width="5" style="498" customWidth="1"/>
    <col min="14331" max="14331" width="8.25" style="498" customWidth="1"/>
    <col min="14332" max="14332" width="16.125" style="498" customWidth="1"/>
    <col min="14333" max="14333" width="86" style="498" customWidth="1"/>
    <col min="14334" max="14334" width="5" style="498" customWidth="1"/>
    <col min="14335" max="14335" width="11.125" style="498" customWidth="1"/>
    <col min="14336" max="14336" width="10.375" style="498" customWidth="1"/>
    <col min="14337" max="14337" width="10.875" style="498" customWidth="1"/>
    <col min="14338" max="14338" width="7.75" style="498" customWidth="1"/>
    <col min="14339" max="14339" width="9.875" style="498" customWidth="1"/>
    <col min="14340" max="14340" width="10.625" style="498" customWidth="1"/>
    <col min="14341" max="14583" width="6.125" style="498"/>
    <col min="14584" max="14584" width="5" style="498" customWidth="1"/>
    <col min="14585" max="14585" width="8.875" style="498" customWidth="1"/>
    <col min="14586" max="14586" width="5" style="498" customWidth="1"/>
    <col min="14587" max="14587" width="8.25" style="498" customWidth="1"/>
    <col min="14588" max="14588" width="16.125" style="498" customWidth="1"/>
    <col min="14589" max="14589" width="86" style="498" customWidth="1"/>
    <col min="14590" max="14590" width="5" style="498" customWidth="1"/>
    <col min="14591" max="14591" width="11.125" style="498" customWidth="1"/>
    <col min="14592" max="14592" width="10.375" style="498" customWidth="1"/>
    <col min="14593" max="14593" width="10.875" style="498" customWidth="1"/>
    <col min="14594" max="14594" width="7.75" style="498" customWidth="1"/>
    <col min="14595" max="14595" width="9.875" style="498" customWidth="1"/>
    <col min="14596" max="14596" width="10.625" style="498" customWidth="1"/>
    <col min="14597" max="14839" width="6.125" style="498"/>
    <col min="14840" max="14840" width="5" style="498" customWidth="1"/>
    <col min="14841" max="14841" width="8.875" style="498" customWidth="1"/>
    <col min="14842" max="14842" width="5" style="498" customWidth="1"/>
    <col min="14843" max="14843" width="8.25" style="498" customWidth="1"/>
    <col min="14844" max="14844" width="16.125" style="498" customWidth="1"/>
    <col min="14845" max="14845" width="86" style="498" customWidth="1"/>
    <col min="14846" max="14846" width="5" style="498" customWidth="1"/>
    <col min="14847" max="14847" width="11.125" style="498" customWidth="1"/>
    <col min="14848" max="14848" width="10.375" style="498" customWidth="1"/>
    <col min="14849" max="14849" width="10.875" style="498" customWidth="1"/>
    <col min="14850" max="14850" width="7.75" style="498" customWidth="1"/>
    <col min="14851" max="14851" width="9.875" style="498" customWidth="1"/>
    <col min="14852" max="14852" width="10.625" style="498" customWidth="1"/>
    <col min="14853" max="15095" width="6.125" style="498"/>
    <col min="15096" max="15096" width="5" style="498" customWidth="1"/>
    <col min="15097" max="15097" width="8.875" style="498" customWidth="1"/>
    <col min="15098" max="15098" width="5" style="498" customWidth="1"/>
    <col min="15099" max="15099" width="8.25" style="498" customWidth="1"/>
    <col min="15100" max="15100" width="16.125" style="498" customWidth="1"/>
    <col min="15101" max="15101" width="86" style="498" customWidth="1"/>
    <col min="15102" max="15102" width="5" style="498" customWidth="1"/>
    <col min="15103" max="15103" width="11.125" style="498" customWidth="1"/>
    <col min="15104" max="15104" width="10.375" style="498" customWidth="1"/>
    <col min="15105" max="15105" width="10.875" style="498" customWidth="1"/>
    <col min="15106" max="15106" width="7.75" style="498" customWidth="1"/>
    <col min="15107" max="15107" width="9.875" style="498" customWidth="1"/>
    <col min="15108" max="15108" width="10.625" style="498" customWidth="1"/>
    <col min="15109" max="15351" width="6.125" style="498"/>
    <col min="15352" max="15352" width="5" style="498" customWidth="1"/>
    <col min="15353" max="15353" width="8.875" style="498" customWidth="1"/>
    <col min="15354" max="15354" width="5" style="498" customWidth="1"/>
    <col min="15355" max="15355" width="8.25" style="498" customWidth="1"/>
    <col min="15356" max="15356" width="16.125" style="498" customWidth="1"/>
    <col min="15357" max="15357" width="86" style="498" customWidth="1"/>
    <col min="15358" max="15358" width="5" style="498" customWidth="1"/>
    <col min="15359" max="15359" width="11.125" style="498" customWidth="1"/>
    <col min="15360" max="15360" width="10.375" style="498" customWidth="1"/>
    <col min="15361" max="15361" width="10.875" style="498" customWidth="1"/>
    <col min="15362" max="15362" width="7.75" style="498" customWidth="1"/>
    <col min="15363" max="15363" width="9.875" style="498" customWidth="1"/>
    <col min="15364" max="15364" width="10.625" style="498" customWidth="1"/>
    <col min="15365" max="15607" width="6.125" style="498"/>
    <col min="15608" max="15608" width="5" style="498" customWidth="1"/>
    <col min="15609" max="15609" width="8.875" style="498" customWidth="1"/>
    <col min="15610" max="15610" width="5" style="498" customWidth="1"/>
    <col min="15611" max="15611" width="8.25" style="498" customWidth="1"/>
    <col min="15612" max="15612" width="16.125" style="498" customWidth="1"/>
    <col min="15613" max="15613" width="86" style="498" customWidth="1"/>
    <col min="15614" max="15614" width="5" style="498" customWidth="1"/>
    <col min="15615" max="15615" width="11.125" style="498" customWidth="1"/>
    <col min="15616" max="15616" width="10.375" style="498" customWidth="1"/>
    <col min="15617" max="15617" width="10.875" style="498" customWidth="1"/>
    <col min="15618" max="15618" width="7.75" style="498" customWidth="1"/>
    <col min="15619" max="15619" width="9.875" style="498" customWidth="1"/>
    <col min="15620" max="15620" width="10.625" style="498" customWidth="1"/>
    <col min="15621" max="15863" width="6.125" style="498"/>
    <col min="15864" max="15864" width="5" style="498" customWidth="1"/>
    <col min="15865" max="15865" width="8.875" style="498" customWidth="1"/>
    <col min="15866" max="15866" width="5" style="498" customWidth="1"/>
    <col min="15867" max="15867" width="8.25" style="498" customWidth="1"/>
    <col min="15868" max="15868" width="16.125" style="498" customWidth="1"/>
    <col min="15869" max="15869" width="86" style="498" customWidth="1"/>
    <col min="15870" max="15870" width="5" style="498" customWidth="1"/>
    <col min="15871" max="15871" width="11.125" style="498" customWidth="1"/>
    <col min="15872" max="15872" width="10.375" style="498" customWidth="1"/>
    <col min="15873" max="15873" width="10.875" style="498" customWidth="1"/>
    <col min="15874" max="15874" width="7.75" style="498" customWidth="1"/>
    <col min="15875" max="15875" width="9.875" style="498" customWidth="1"/>
    <col min="15876" max="15876" width="10.625" style="498" customWidth="1"/>
    <col min="15877" max="16119" width="6.125" style="498"/>
    <col min="16120" max="16120" width="5" style="498" customWidth="1"/>
    <col min="16121" max="16121" width="8.875" style="498" customWidth="1"/>
    <col min="16122" max="16122" width="5" style="498" customWidth="1"/>
    <col min="16123" max="16123" width="8.25" style="498" customWidth="1"/>
    <col min="16124" max="16124" width="16.125" style="498" customWidth="1"/>
    <col min="16125" max="16125" width="86" style="498" customWidth="1"/>
    <col min="16126" max="16126" width="5" style="498" customWidth="1"/>
    <col min="16127" max="16127" width="11.125" style="498" customWidth="1"/>
    <col min="16128" max="16128" width="10.375" style="498" customWidth="1"/>
    <col min="16129" max="16129" width="10.875" style="498" customWidth="1"/>
    <col min="16130" max="16130" width="7.75" style="498" customWidth="1"/>
    <col min="16131" max="16131" width="9.875" style="498" customWidth="1"/>
    <col min="16132" max="16132" width="10.625" style="498" customWidth="1"/>
    <col min="16133" max="16384" width="6.125" style="498"/>
  </cols>
  <sheetData>
    <row r="1" ht="24" customHeight="1" spans="1:8">
      <c r="A1" s="500" t="s">
        <v>34</v>
      </c>
      <c r="B1" s="500"/>
      <c r="C1" s="500"/>
      <c r="D1" s="500"/>
      <c r="E1" s="500"/>
      <c r="F1" s="500"/>
      <c r="G1" s="500"/>
      <c r="H1" s="500"/>
    </row>
    <row r="2" customHeight="1" spans="1:9">
      <c r="A2" s="501"/>
      <c r="B2" s="501"/>
      <c r="C2" s="501"/>
      <c r="D2" s="501"/>
      <c r="E2" s="501"/>
      <c r="F2" s="501"/>
      <c r="G2" s="501"/>
      <c r="H2" s="501"/>
      <c r="I2" s="501"/>
    </row>
    <row r="3" ht="32.25" customHeight="1" spans="1:12">
      <c r="A3" s="368"/>
      <c r="B3" s="368"/>
      <c r="C3" s="368"/>
      <c r="D3" s="368"/>
      <c r="E3" s="368"/>
      <c r="F3" s="502"/>
      <c r="G3" s="368"/>
      <c r="H3" s="368"/>
      <c r="I3" s="541" t="s">
        <v>35</v>
      </c>
      <c r="J3" s="542"/>
      <c r="K3" s="541"/>
      <c r="L3" s="542"/>
    </row>
    <row r="4" s="304" customFormat="1" ht="65.25" customHeight="1" spans="1:12">
      <c r="A4" s="340" t="s">
        <v>36</v>
      </c>
      <c r="B4" s="155" t="s">
        <v>37</v>
      </c>
      <c r="C4" s="155" t="s">
        <v>38</v>
      </c>
      <c r="D4" s="155" t="s">
        <v>39</v>
      </c>
      <c r="E4" s="155" t="s">
        <v>40</v>
      </c>
      <c r="F4" s="503" t="s">
        <v>41</v>
      </c>
      <c r="G4" s="342" t="s">
        <v>42</v>
      </c>
      <c r="H4" s="155" t="s">
        <v>43</v>
      </c>
      <c r="I4" s="155" t="s">
        <v>44</v>
      </c>
      <c r="J4" s="155" t="s">
        <v>45</v>
      </c>
      <c r="K4" s="155"/>
      <c r="L4" s="156"/>
    </row>
    <row r="5" ht="15.75" spans="1:12">
      <c r="A5" s="504"/>
      <c r="B5" s="505"/>
      <c r="C5" s="505"/>
      <c r="D5" s="505"/>
      <c r="E5" s="505"/>
      <c r="F5" s="506"/>
      <c r="G5" s="507"/>
      <c r="H5" s="508"/>
      <c r="I5" s="543"/>
      <c r="J5" s="505"/>
      <c r="K5" s="505"/>
      <c r="L5" s="505"/>
    </row>
    <row r="6" ht="15.75" spans="1:12">
      <c r="A6" s="509" t="s">
        <v>46</v>
      </c>
      <c r="B6" s="510"/>
      <c r="C6" s="510"/>
      <c r="D6" s="510"/>
      <c r="E6" s="510"/>
      <c r="F6" s="503" t="s">
        <v>47</v>
      </c>
      <c r="G6" s="510"/>
      <c r="H6" s="511"/>
      <c r="I6" s="544"/>
      <c r="J6" s="510"/>
      <c r="K6" s="510"/>
      <c r="L6" s="545"/>
    </row>
    <row r="7" ht="15" spans="1:12">
      <c r="A7" s="512"/>
      <c r="B7" s="513"/>
      <c r="C7" s="513"/>
      <c r="D7" s="513"/>
      <c r="E7" s="513"/>
      <c r="F7" s="514"/>
      <c r="G7" s="513"/>
      <c r="H7" s="515"/>
      <c r="I7" s="546"/>
      <c r="J7" s="513"/>
      <c r="K7" s="513"/>
      <c r="L7" s="513"/>
    </row>
    <row r="8" s="305" customFormat="1" ht="30" spans="1:12">
      <c r="A8" s="516">
        <v>1.1</v>
      </c>
      <c r="B8" s="517"/>
      <c r="C8" s="517"/>
      <c r="D8" s="133" t="s">
        <v>48</v>
      </c>
      <c r="E8" s="174" t="s">
        <v>49</v>
      </c>
      <c r="F8" s="214" t="s">
        <v>50</v>
      </c>
      <c r="G8" s="517" t="s">
        <v>51</v>
      </c>
      <c r="H8" s="242">
        <v>190</v>
      </c>
      <c r="I8" s="171">
        <v>8950</v>
      </c>
      <c r="J8" s="547">
        <f>SUM(H8*I8)</f>
        <v>1700500</v>
      </c>
      <c r="K8" s="174"/>
      <c r="L8" s="174"/>
    </row>
    <row r="9" s="305" customFormat="1" ht="150" spans="1:12">
      <c r="A9" s="516"/>
      <c r="B9" s="517"/>
      <c r="C9" s="517"/>
      <c r="D9" s="517"/>
      <c r="E9" s="517"/>
      <c r="F9" s="135" t="s">
        <v>52</v>
      </c>
      <c r="G9" s="517"/>
      <c r="H9" s="242"/>
      <c r="I9" s="171"/>
      <c r="J9" s="174"/>
      <c r="K9" s="174"/>
      <c r="L9" s="174"/>
    </row>
    <row r="10" s="305" customFormat="1" ht="15" spans="1:12">
      <c r="A10" s="348"/>
      <c r="B10" s="174"/>
      <c r="C10" s="174"/>
      <c r="D10" s="174"/>
      <c r="E10" s="174"/>
      <c r="F10" s="518"/>
      <c r="G10" s="174"/>
      <c r="H10" s="134"/>
      <c r="I10" s="171"/>
      <c r="J10" s="174"/>
      <c r="K10" s="174"/>
      <c r="L10" s="174"/>
    </row>
    <row r="11" s="305" customFormat="1" ht="15" spans="1:12">
      <c r="A11" s="348"/>
      <c r="B11" s="174"/>
      <c r="C11" s="174"/>
      <c r="D11" s="174"/>
      <c r="E11" s="174"/>
      <c r="F11" s="518"/>
      <c r="G11" s="174"/>
      <c r="H11" s="134"/>
      <c r="I11" s="171"/>
      <c r="J11" s="174"/>
      <c r="K11" s="174"/>
      <c r="L11" s="174"/>
    </row>
    <row r="12" s="305" customFormat="1" ht="30" spans="1:12">
      <c r="A12" s="348">
        <v>1.2</v>
      </c>
      <c r="B12" s="174"/>
      <c r="C12" s="174"/>
      <c r="D12" s="135" t="s">
        <v>53</v>
      </c>
      <c r="E12" s="174" t="s">
        <v>54</v>
      </c>
      <c r="F12" s="519" t="s">
        <v>55</v>
      </c>
      <c r="G12" s="174" t="s">
        <v>51</v>
      </c>
      <c r="H12" s="520">
        <f>(3.8*3)*3.6</f>
        <v>41.04</v>
      </c>
      <c r="I12" s="548">
        <v>8950</v>
      </c>
      <c r="J12" s="547">
        <f>SUM(H12*I12)</f>
        <v>367308</v>
      </c>
      <c r="K12" s="549"/>
      <c r="L12" s="225"/>
    </row>
    <row r="13" s="305" customFormat="1" ht="120" spans="1:12">
      <c r="A13" s="348"/>
      <c r="B13" s="174"/>
      <c r="C13" s="174"/>
      <c r="D13" s="174"/>
      <c r="E13" s="174"/>
      <c r="F13" s="135" t="s">
        <v>56</v>
      </c>
      <c r="G13" s="174"/>
      <c r="H13" s="520"/>
      <c r="I13" s="550"/>
      <c r="J13" s="520"/>
      <c r="K13" s="549"/>
      <c r="L13" s="225"/>
    </row>
    <row r="14" s="305" customFormat="1" ht="15" spans="1:12">
      <c r="A14" s="348"/>
      <c r="B14" s="174"/>
      <c r="C14" s="174"/>
      <c r="D14" s="174"/>
      <c r="E14" s="174"/>
      <c r="F14" s="518"/>
      <c r="G14" s="174"/>
      <c r="H14" s="134"/>
      <c r="I14" s="171"/>
      <c r="J14" s="174"/>
      <c r="K14" s="174"/>
      <c r="L14" s="174"/>
    </row>
    <row r="15" s="305" customFormat="1" ht="30" spans="1:12">
      <c r="A15" s="516">
        <v>1.3</v>
      </c>
      <c r="B15" s="517"/>
      <c r="C15" s="517"/>
      <c r="D15" s="133" t="s">
        <v>53</v>
      </c>
      <c r="E15" s="174" t="s">
        <v>57</v>
      </c>
      <c r="F15" s="214" t="s">
        <v>58</v>
      </c>
      <c r="G15" s="517" t="s">
        <v>51</v>
      </c>
      <c r="H15" s="134">
        <f>7*3.6</f>
        <v>25.2</v>
      </c>
      <c r="I15" s="171">
        <v>8150</v>
      </c>
      <c r="J15" s="547">
        <f>SUM(H15*I15)</f>
        <v>205380</v>
      </c>
      <c r="K15" s="174"/>
      <c r="L15" s="174"/>
    </row>
    <row r="16" s="305" customFormat="1" ht="75" spans="1:12">
      <c r="A16" s="516"/>
      <c r="B16" s="174"/>
      <c r="C16" s="517"/>
      <c r="D16" s="517"/>
      <c r="E16" s="517"/>
      <c r="F16" s="135" t="s">
        <v>59</v>
      </c>
      <c r="G16" s="517"/>
      <c r="H16" s="134"/>
      <c r="I16" s="171"/>
      <c r="J16" s="174"/>
      <c r="K16" s="174"/>
      <c r="L16" s="174"/>
    </row>
    <row r="17" s="305" customFormat="1" ht="15" spans="1:12">
      <c r="A17" s="516"/>
      <c r="B17" s="517"/>
      <c r="C17" s="517"/>
      <c r="D17" s="517"/>
      <c r="E17" s="517"/>
      <c r="F17" s="521"/>
      <c r="G17" s="517"/>
      <c r="H17" s="134"/>
      <c r="I17" s="171"/>
      <c r="J17" s="174"/>
      <c r="K17" s="174"/>
      <c r="L17" s="174"/>
    </row>
    <row r="18" s="305" customFormat="1" ht="15" spans="1:12">
      <c r="A18" s="516"/>
      <c r="B18" s="522"/>
      <c r="C18" s="522"/>
      <c r="D18" s="522"/>
      <c r="E18" s="522"/>
      <c r="F18" s="518"/>
      <c r="G18" s="517"/>
      <c r="H18" s="134"/>
      <c r="I18" s="171"/>
      <c r="J18" s="174"/>
      <c r="K18" s="174"/>
      <c r="L18" s="174"/>
    </row>
    <row r="19" s="305" customFormat="1" ht="15" spans="1:12">
      <c r="A19" s="516">
        <v>1.4</v>
      </c>
      <c r="B19" s="522"/>
      <c r="C19" s="522"/>
      <c r="D19" s="133" t="s">
        <v>60</v>
      </c>
      <c r="E19" s="174" t="s">
        <v>61</v>
      </c>
      <c r="F19" s="523" t="s">
        <v>62</v>
      </c>
      <c r="G19" s="517" t="s">
        <v>63</v>
      </c>
      <c r="H19" s="134">
        <f>7.5*3</f>
        <v>22.5</v>
      </c>
      <c r="I19" s="171">
        <v>2750</v>
      </c>
      <c r="J19" s="173">
        <f>SUM(H19*I19)</f>
        <v>61875</v>
      </c>
      <c r="K19" s="174"/>
      <c r="L19" s="174"/>
    </row>
    <row r="20" s="305" customFormat="1" ht="150" spans="1:12">
      <c r="A20" s="516"/>
      <c r="B20" s="522"/>
      <c r="C20" s="522"/>
      <c r="D20" s="522"/>
      <c r="E20" s="517"/>
      <c r="F20" s="302" t="s">
        <v>64</v>
      </c>
      <c r="G20" s="517"/>
      <c r="H20" s="134"/>
      <c r="I20" s="171"/>
      <c r="J20" s="174"/>
      <c r="K20" s="174"/>
      <c r="L20" s="174"/>
    </row>
    <row r="21" s="305" customFormat="1" ht="15" spans="1:12">
      <c r="A21" s="516"/>
      <c r="B21" s="522"/>
      <c r="C21" s="522"/>
      <c r="D21" s="522"/>
      <c r="E21" s="522"/>
      <c r="F21" s="518"/>
      <c r="G21" s="517"/>
      <c r="H21" s="134"/>
      <c r="I21" s="171"/>
      <c r="J21" s="174"/>
      <c r="K21" s="174"/>
      <c r="L21" s="174"/>
    </row>
    <row r="22" s="305" customFormat="1" ht="15" spans="1:12">
      <c r="A22" s="516"/>
      <c r="B22" s="517"/>
      <c r="C22" s="517"/>
      <c r="D22" s="517"/>
      <c r="E22" s="517"/>
      <c r="F22" s="521"/>
      <c r="G22" s="174"/>
      <c r="H22" s="134"/>
      <c r="I22" s="171"/>
      <c r="J22" s="174"/>
      <c r="K22" s="174"/>
      <c r="L22" s="174"/>
    </row>
    <row r="23" s="305" customFormat="1" ht="30" spans="1:12">
      <c r="A23" s="516">
        <v>1.5</v>
      </c>
      <c r="B23" s="517"/>
      <c r="C23" s="517"/>
      <c r="D23" s="133" t="s">
        <v>65</v>
      </c>
      <c r="E23" s="174" t="s">
        <v>66</v>
      </c>
      <c r="F23" s="524" t="s">
        <v>67</v>
      </c>
      <c r="G23" s="517" t="s">
        <v>63</v>
      </c>
      <c r="H23" s="242">
        <v>60</v>
      </c>
      <c r="I23" s="171">
        <v>2650</v>
      </c>
      <c r="J23" s="173">
        <f>SUM(H23*I23)</f>
        <v>159000</v>
      </c>
      <c r="K23" s="174"/>
      <c r="L23" s="174"/>
    </row>
    <row r="24" ht="105" spans="1:12">
      <c r="A24" s="516"/>
      <c r="B24" s="517"/>
      <c r="C24" s="517"/>
      <c r="D24" s="517"/>
      <c r="E24" s="517"/>
      <c r="F24" s="518" t="s">
        <v>68</v>
      </c>
      <c r="G24" s="517"/>
      <c r="H24" s="242"/>
      <c r="I24" s="551"/>
      <c r="J24" s="517"/>
      <c r="K24" s="517"/>
      <c r="L24" s="517"/>
    </row>
    <row r="25" ht="15.75" spans="1:12">
      <c r="A25" s="525"/>
      <c r="B25" s="526"/>
      <c r="C25" s="526"/>
      <c r="D25" s="526"/>
      <c r="E25" s="526"/>
      <c r="F25" s="527"/>
      <c r="G25" s="526"/>
      <c r="H25" s="528"/>
      <c r="I25" s="528"/>
      <c r="J25" s="526"/>
      <c r="K25" s="526"/>
      <c r="L25" s="526"/>
    </row>
    <row r="26" ht="15.75" spans="1:12">
      <c r="A26" s="529" t="s">
        <v>69</v>
      </c>
      <c r="B26" s="530"/>
      <c r="C26" s="530"/>
      <c r="D26" s="530"/>
      <c r="E26" s="530"/>
      <c r="F26" s="503" t="s">
        <v>70</v>
      </c>
      <c r="G26" s="531"/>
      <c r="H26" s="532"/>
      <c r="I26" s="532"/>
      <c r="J26" s="531"/>
      <c r="K26" s="531"/>
      <c r="L26" s="552"/>
    </row>
    <row r="27" ht="15" spans="1:12">
      <c r="A27" s="512"/>
      <c r="B27" s="533"/>
      <c r="C27" s="533"/>
      <c r="D27" s="533"/>
      <c r="E27" s="533"/>
      <c r="F27" s="514"/>
      <c r="G27" s="513"/>
      <c r="H27" s="515"/>
      <c r="I27" s="515"/>
      <c r="J27" s="513"/>
      <c r="K27" s="513"/>
      <c r="L27" s="513"/>
    </row>
    <row r="28" ht="15" spans="1:12">
      <c r="A28" s="348">
        <v>2.1</v>
      </c>
      <c r="B28" s="225"/>
      <c r="C28" s="225"/>
      <c r="D28" s="163" t="s">
        <v>71</v>
      </c>
      <c r="E28" s="534" t="s">
        <v>72</v>
      </c>
      <c r="F28" s="535" t="s">
        <v>73</v>
      </c>
      <c r="G28" s="174" t="s">
        <v>51</v>
      </c>
      <c r="H28" s="130">
        <v>20</v>
      </c>
      <c r="I28" s="549">
        <v>2050</v>
      </c>
      <c r="J28" s="173">
        <f>SUM(H28*I28)</f>
        <v>41000</v>
      </c>
      <c r="K28" s="225"/>
      <c r="L28" s="225"/>
    </row>
    <row r="29" ht="150" spans="1:12">
      <c r="A29" s="348"/>
      <c r="B29" s="225"/>
      <c r="C29" s="225"/>
      <c r="D29" s="225"/>
      <c r="E29" s="174"/>
      <c r="F29" s="232" t="s">
        <v>74</v>
      </c>
      <c r="G29" s="174"/>
      <c r="H29" s="242"/>
      <c r="I29" s="242"/>
      <c r="J29" s="517"/>
      <c r="K29" s="517"/>
      <c r="L29" s="517"/>
    </row>
    <row r="30" ht="15" spans="1:12">
      <c r="A30" s="516"/>
      <c r="B30" s="522"/>
      <c r="C30" s="522"/>
      <c r="D30" s="522"/>
      <c r="E30" s="522"/>
      <c r="F30" s="214"/>
      <c r="G30" s="517"/>
      <c r="H30" s="242"/>
      <c r="I30" s="242"/>
      <c r="J30" s="517"/>
      <c r="K30" s="517"/>
      <c r="L30" s="517"/>
    </row>
    <row r="31" ht="15" spans="1:12">
      <c r="A31" s="516">
        <v>2.2</v>
      </c>
      <c r="B31" s="522"/>
      <c r="C31" s="522"/>
      <c r="D31" s="133" t="s">
        <v>71</v>
      </c>
      <c r="E31" s="133" t="s">
        <v>72</v>
      </c>
      <c r="F31" s="214" t="s">
        <v>75</v>
      </c>
      <c r="G31" s="517" t="s">
        <v>63</v>
      </c>
      <c r="H31" s="242">
        <v>30</v>
      </c>
      <c r="I31" s="551">
        <v>10600</v>
      </c>
      <c r="J31" s="173">
        <f>SUM(H31*I31)</f>
        <v>318000</v>
      </c>
      <c r="K31" s="517"/>
      <c r="L31" s="517"/>
    </row>
    <row r="32" ht="195" spans="1:12">
      <c r="A32" s="516"/>
      <c r="B32" s="522"/>
      <c r="C32" s="522"/>
      <c r="D32" s="522"/>
      <c r="E32" s="517"/>
      <c r="F32" s="135" t="s">
        <v>76</v>
      </c>
      <c r="G32" s="517"/>
      <c r="H32" s="242"/>
      <c r="I32" s="242"/>
      <c r="J32" s="517"/>
      <c r="K32" s="517"/>
      <c r="L32" s="517"/>
    </row>
    <row r="33" ht="15" spans="1:12">
      <c r="A33" s="516"/>
      <c r="B33" s="522"/>
      <c r="C33" s="522"/>
      <c r="D33" s="522"/>
      <c r="E33" s="522"/>
      <c r="F33" s="521" t="s">
        <v>77</v>
      </c>
      <c r="G33" s="517"/>
      <c r="H33" s="242"/>
      <c r="I33" s="242"/>
      <c r="J33" s="517"/>
      <c r="K33" s="517"/>
      <c r="L33" s="517"/>
    </row>
    <row r="34" ht="15" spans="1:12">
      <c r="A34" s="516"/>
      <c r="B34" s="522"/>
      <c r="C34" s="522"/>
      <c r="D34" s="522"/>
      <c r="E34" s="522"/>
      <c r="F34" s="518"/>
      <c r="G34" s="517"/>
      <c r="H34" s="242"/>
      <c r="I34" s="242"/>
      <c r="J34" s="517"/>
      <c r="K34" s="517"/>
      <c r="L34" s="517"/>
    </row>
    <row r="35" ht="15" spans="1:12">
      <c r="A35" s="516">
        <v>2.3</v>
      </c>
      <c r="B35" s="522"/>
      <c r="C35" s="522"/>
      <c r="D35" s="133" t="s">
        <v>71</v>
      </c>
      <c r="E35" s="133" t="s">
        <v>78</v>
      </c>
      <c r="F35" s="214" t="s">
        <v>79</v>
      </c>
      <c r="G35" s="517" t="s">
        <v>51</v>
      </c>
      <c r="H35" s="242">
        <v>50</v>
      </c>
      <c r="I35" s="242">
        <v>475</v>
      </c>
      <c r="J35" s="173">
        <f>SUM(H35*I35)</f>
        <v>23750</v>
      </c>
      <c r="K35" s="517"/>
      <c r="L35" s="517"/>
    </row>
    <row r="36" ht="90" spans="1:12">
      <c r="A36" s="516"/>
      <c r="B36" s="522"/>
      <c r="C36" s="522"/>
      <c r="D36" s="522"/>
      <c r="E36" s="522"/>
      <c r="F36" s="135" t="s">
        <v>80</v>
      </c>
      <c r="G36" s="517"/>
      <c r="H36" s="242"/>
      <c r="I36" s="242"/>
      <c r="J36" s="517"/>
      <c r="K36" s="517"/>
      <c r="L36" s="517"/>
    </row>
    <row r="37" ht="15.75" spans="1:12">
      <c r="A37" s="525"/>
      <c r="B37" s="536"/>
      <c r="C37" s="536"/>
      <c r="D37" s="536"/>
      <c r="E37" s="536"/>
      <c r="F37" s="537"/>
      <c r="G37" s="526"/>
      <c r="H37" s="528"/>
      <c r="I37" s="528"/>
      <c r="J37" s="526"/>
      <c r="K37" s="526"/>
      <c r="L37" s="526"/>
    </row>
    <row r="38" ht="15.75" spans="1:12">
      <c r="A38" s="529" t="s">
        <v>81</v>
      </c>
      <c r="B38" s="530"/>
      <c r="C38" s="530"/>
      <c r="D38" s="530"/>
      <c r="E38" s="530"/>
      <c r="F38" s="503" t="s">
        <v>82</v>
      </c>
      <c r="G38" s="531"/>
      <c r="H38" s="532"/>
      <c r="I38" s="532"/>
      <c r="J38" s="531"/>
      <c r="K38" s="531"/>
      <c r="L38" s="552"/>
    </row>
    <row r="39" ht="15" spans="1:12">
      <c r="A39" s="512"/>
      <c r="B39" s="533"/>
      <c r="C39" s="533"/>
      <c r="D39" s="533"/>
      <c r="E39" s="533"/>
      <c r="F39" s="514"/>
      <c r="G39" s="513"/>
      <c r="H39" s="515"/>
      <c r="I39" s="515"/>
      <c r="J39" s="513"/>
      <c r="K39" s="513"/>
      <c r="L39" s="513"/>
    </row>
    <row r="40" ht="15" spans="1:12">
      <c r="A40" s="516"/>
      <c r="B40" s="522"/>
      <c r="C40" s="522"/>
      <c r="D40" s="522"/>
      <c r="E40" s="522"/>
      <c r="F40" s="135"/>
      <c r="G40" s="517"/>
      <c r="H40" s="242"/>
      <c r="I40" s="242"/>
      <c r="J40" s="517"/>
      <c r="K40" s="517"/>
      <c r="L40" s="517"/>
    </row>
    <row r="41" ht="15" spans="1:12">
      <c r="A41" s="516">
        <v>3.1</v>
      </c>
      <c r="B41" s="522"/>
      <c r="C41" s="522"/>
      <c r="D41" s="522" t="s">
        <v>83</v>
      </c>
      <c r="E41" s="522" t="s">
        <v>84</v>
      </c>
      <c r="F41" s="214" t="s">
        <v>85</v>
      </c>
      <c r="G41" s="517"/>
      <c r="H41" s="242"/>
      <c r="I41" s="553"/>
      <c r="J41" s="517"/>
      <c r="K41" s="517"/>
      <c r="L41" s="517"/>
    </row>
    <row r="42" ht="75" spans="1:12">
      <c r="A42" s="516"/>
      <c r="B42" s="522"/>
      <c r="C42" s="522"/>
      <c r="D42" s="522"/>
      <c r="E42" s="522"/>
      <c r="F42" s="135" t="s">
        <v>86</v>
      </c>
      <c r="G42" s="517"/>
      <c r="H42" s="242"/>
      <c r="I42" s="242"/>
      <c r="J42" s="517"/>
      <c r="K42" s="517"/>
      <c r="L42" s="517"/>
    </row>
    <row r="43" ht="15" spans="1:12">
      <c r="A43" s="516"/>
      <c r="B43" s="522"/>
      <c r="C43" s="522"/>
      <c r="D43" s="522"/>
      <c r="E43" s="522"/>
      <c r="F43" s="538" t="s">
        <v>87</v>
      </c>
      <c r="G43" s="517" t="s">
        <v>51</v>
      </c>
      <c r="H43" s="242">
        <v>10</v>
      </c>
      <c r="I43" s="242">
        <v>1890</v>
      </c>
      <c r="J43" s="173">
        <f>SUM(H43*I43)</f>
        <v>18900</v>
      </c>
      <c r="K43" s="517"/>
      <c r="L43" s="517"/>
    </row>
    <row r="44" ht="15" spans="1:12">
      <c r="A44" s="516"/>
      <c r="B44" s="522"/>
      <c r="C44" s="522"/>
      <c r="D44" s="522"/>
      <c r="E44" s="522"/>
      <c r="F44" s="538" t="s">
        <v>88</v>
      </c>
      <c r="G44" s="517" t="s">
        <v>51</v>
      </c>
      <c r="H44" s="242">
        <v>10</v>
      </c>
      <c r="I44" s="242">
        <v>2100</v>
      </c>
      <c r="J44" s="547">
        <f>SUM(H44*I44)</f>
        <v>21000</v>
      </c>
      <c r="K44" s="517"/>
      <c r="L44" s="517"/>
    </row>
    <row r="45" ht="15" spans="1:12">
      <c r="A45" s="516"/>
      <c r="B45" s="522"/>
      <c r="C45" s="522"/>
      <c r="D45" s="522"/>
      <c r="E45" s="522"/>
      <c r="F45" s="538" t="s">
        <v>89</v>
      </c>
      <c r="G45" s="517" t="s">
        <v>51</v>
      </c>
      <c r="H45" s="242">
        <v>10</v>
      </c>
      <c r="I45" s="242">
        <v>2300</v>
      </c>
      <c r="J45" s="547">
        <f>SUM(H45*I45)</f>
        <v>23000</v>
      </c>
      <c r="K45" s="517"/>
      <c r="L45" s="517"/>
    </row>
    <row r="46" ht="15" spans="1:12">
      <c r="A46" s="516"/>
      <c r="B46" s="522"/>
      <c r="C46" s="522"/>
      <c r="D46" s="522"/>
      <c r="E46" s="522"/>
      <c r="F46" s="538" t="s">
        <v>90</v>
      </c>
      <c r="G46" s="517" t="s">
        <v>51</v>
      </c>
      <c r="H46" s="242">
        <v>10</v>
      </c>
      <c r="I46" s="242">
        <v>1280</v>
      </c>
      <c r="J46" s="547">
        <f>SUM(H46*I46)</f>
        <v>12800</v>
      </c>
      <c r="K46" s="517"/>
      <c r="L46" s="517"/>
    </row>
    <row r="47" ht="15" spans="1:12">
      <c r="A47" s="516"/>
      <c r="B47" s="522"/>
      <c r="C47" s="522"/>
      <c r="D47" s="522"/>
      <c r="E47" s="522"/>
      <c r="F47" s="521"/>
      <c r="G47" s="517"/>
      <c r="H47" s="242"/>
      <c r="I47" s="242"/>
      <c r="J47" s="517"/>
      <c r="K47" s="517"/>
      <c r="L47" s="517"/>
    </row>
    <row r="48" ht="15" spans="1:12">
      <c r="A48" s="516">
        <v>3.2</v>
      </c>
      <c r="B48" s="522"/>
      <c r="C48" s="522"/>
      <c r="D48" s="522" t="s">
        <v>83</v>
      </c>
      <c r="E48" s="522" t="s">
        <v>91</v>
      </c>
      <c r="F48" s="214" t="s">
        <v>92</v>
      </c>
      <c r="G48" s="517" t="s">
        <v>51</v>
      </c>
      <c r="H48" s="242">
        <v>10</v>
      </c>
      <c r="I48" s="242">
        <v>6890</v>
      </c>
      <c r="J48" s="173">
        <f>SUM(H48*I48)</f>
        <v>68900</v>
      </c>
      <c r="K48" s="517"/>
      <c r="L48" s="517"/>
    </row>
    <row r="49" ht="90" spans="1:12">
      <c r="A49" s="516"/>
      <c r="B49" s="522"/>
      <c r="C49" s="522"/>
      <c r="D49" s="522"/>
      <c r="E49" s="522"/>
      <c r="F49" s="135" t="s">
        <v>93</v>
      </c>
      <c r="G49" s="517"/>
      <c r="H49" s="242"/>
      <c r="I49" s="242"/>
      <c r="J49" s="517"/>
      <c r="K49" s="517"/>
      <c r="L49" s="517"/>
    </row>
    <row r="50" ht="15" spans="1:12">
      <c r="A50" s="516"/>
      <c r="B50" s="522"/>
      <c r="C50" s="522"/>
      <c r="D50" s="522"/>
      <c r="E50" s="522"/>
      <c r="F50" s="135" t="s">
        <v>94</v>
      </c>
      <c r="G50" s="517"/>
      <c r="H50" s="242"/>
      <c r="I50" s="242"/>
      <c r="J50" s="517"/>
      <c r="K50" s="517"/>
      <c r="L50" s="517"/>
    </row>
    <row r="51" ht="15" spans="1:12">
      <c r="A51" s="516"/>
      <c r="B51" s="522"/>
      <c r="C51" s="522"/>
      <c r="D51" s="522"/>
      <c r="E51" s="522"/>
      <c r="F51" s="521" t="s">
        <v>77</v>
      </c>
      <c r="G51" s="517"/>
      <c r="H51" s="242"/>
      <c r="I51" s="242"/>
      <c r="J51" s="517"/>
      <c r="K51" s="517"/>
      <c r="L51" s="517"/>
    </row>
    <row r="52" ht="15" spans="1:12">
      <c r="A52" s="539"/>
      <c r="B52" s="522"/>
      <c r="C52" s="522"/>
      <c r="D52" s="133"/>
      <c r="E52" s="163"/>
      <c r="F52" s="518"/>
      <c r="G52" s="517"/>
      <c r="H52" s="242"/>
      <c r="I52" s="242"/>
      <c r="J52" s="517"/>
      <c r="K52" s="517"/>
      <c r="L52" s="517"/>
    </row>
    <row r="53" ht="15" spans="1:12">
      <c r="A53" s="516">
        <v>3.3</v>
      </c>
      <c r="B53" s="522"/>
      <c r="C53" s="522"/>
      <c r="D53" s="522" t="s">
        <v>95</v>
      </c>
      <c r="E53" s="522" t="s">
        <v>96</v>
      </c>
      <c r="F53" s="214" t="s">
        <v>97</v>
      </c>
      <c r="G53" s="517" t="s">
        <v>98</v>
      </c>
      <c r="H53" s="242">
        <v>150</v>
      </c>
      <c r="I53" s="242">
        <v>800</v>
      </c>
      <c r="J53" s="173">
        <f>SUM(H53*I53)</f>
        <v>120000</v>
      </c>
      <c r="K53" s="517"/>
      <c r="L53" s="517"/>
    </row>
    <row r="54" ht="30" spans="1:12">
      <c r="A54" s="516"/>
      <c r="B54" s="522"/>
      <c r="C54" s="522"/>
      <c r="D54" s="522"/>
      <c r="E54" s="522"/>
      <c r="F54" s="518" t="s">
        <v>99</v>
      </c>
      <c r="G54" s="517"/>
      <c r="H54" s="242"/>
      <c r="I54" s="242"/>
      <c r="J54" s="517"/>
      <c r="K54" s="517"/>
      <c r="L54" s="517"/>
    </row>
    <row r="55" ht="15" spans="1:12">
      <c r="A55" s="516"/>
      <c r="B55" s="522"/>
      <c r="C55" s="522"/>
      <c r="D55" s="522"/>
      <c r="E55" s="517"/>
      <c r="F55" s="518"/>
      <c r="G55" s="517"/>
      <c r="H55" s="242"/>
      <c r="I55" s="242"/>
      <c r="J55" s="517"/>
      <c r="K55" s="517"/>
      <c r="L55" s="517"/>
    </row>
    <row r="56" ht="15" spans="1:12">
      <c r="A56" s="516">
        <v>3.4</v>
      </c>
      <c r="B56" s="522"/>
      <c r="C56" s="522"/>
      <c r="D56" s="522" t="s">
        <v>95</v>
      </c>
      <c r="E56" s="522" t="s">
        <v>100</v>
      </c>
      <c r="F56" s="523" t="s">
        <v>101</v>
      </c>
      <c r="G56" s="517" t="s">
        <v>98</v>
      </c>
      <c r="H56" s="242">
        <v>10</v>
      </c>
      <c r="I56" s="134">
        <v>1350</v>
      </c>
      <c r="J56" s="173">
        <f>SUM(H56*I56)</f>
        <v>13500</v>
      </c>
      <c r="K56" s="517"/>
      <c r="L56" s="517"/>
    </row>
    <row r="57" ht="30" spans="1:12">
      <c r="A57" s="516"/>
      <c r="B57" s="522"/>
      <c r="C57" s="522"/>
      <c r="D57" s="522"/>
      <c r="E57" s="517"/>
      <c r="F57" s="302" t="s">
        <v>102</v>
      </c>
      <c r="G57" s="517"/>
      <c r="H57" s="242"/>
      <c r="I57" s="242"/>
      <c r="J57" s="517"/>
      <c r="K57" s="517"/>
      <c r="L57" s="517"/>
    </row>
    <row r="58" ht="15" spans="1:12">
      <c r="A58" s="516"/>
      <c r="B58" s="522"/>
      <c r="C58" s="522"/>
      <c r="D58" s="522"/>
      <c r="E58" s="517"/>
      <c r="F58" s="521" t="s">
        <v>77</v>
      </c>
      <c r="G58" s="517"/>
      <c r="H58" s="242"/>
      <c r="I58" s="242"/>
      <c r="J58" s="517"/>
      <c r="K58" s="517"/>
      <c r="L58" s="517"/>
    </row>
    <row r="59" ht="15" spans="1:12">
      <c r="A59" s="525"/>
      <c r="B59" s="536"/>
      <c r="C59" s="536"/>
      <c r="D59" s="536"/>
      <c r="E59" s="526"/>
      <c r="F59" s="540"/>
      <c r="G59" s="526"/>
      <c r="H59" s="528"/>
      <c r="I59" s="528"/>
      <c r="J59" s="526"/>
      <c r="K59" s="526"/>
      <c r="L59" s="526"/>
    </row>
    <row r="60" ht="15" spans="1:12">
      <c r="A60" s="516">
        <v>3.5</v>
      </c>
      <c r="B60" s="522"/>
      <c r="C60" s="522"/>
      <c r="D60" s="522" t="s">
        <v>103</v>
      </c>
      <c r="E60" s="522" t="s">
        <v>104</v>
      </c>
      <c r="F60" s="523" t="s">
        <v>105</v>
      </c>
      <c r="G60" s="517" t="s">
        <v>106</v>
      </c>
      <c r="H60" s="242">
        <f>30*3</f>
        <v>90</v>
      </c>
      <c r="I60" s="134">
        <v>3850</v>
      </c>
      <c r="J60" s="173">
        <f>SUM(H60*I60)</f>
        <v>346500</v>
      </c>
      <c r="K60" s="517"/>
      <c r="L60" s="517"/>
    </row>
    <row r="61" ht="75" spans="1:12">
      <c r="A61" s="516"/>
      <c r="B61" s="522"/>
      <c r="C61" s="522"/>
      <c r="D61" s="522"/>
      <c r="E61" s="517"/>
      <c r="F61" s="302" t="s">
        <v>107</v>
      </c>
      <c r="G61" s="517"/>
      <c r="H61" s="242"/>
      <c r="I61" s="242"/>
      <c r="J61" s="517"/>
      <c r="K61" s="517"/>
      <c r="L61" s="517"/>
    </row>
    <row r="62" ht="15.75" spans="1:12">
      <c r="A62" s="525"/>
      <c r="B62" s="536"/>
      <c r="C62" s="536"/>
      <c r="D62" s="536"/>
      <c r="E62" s="536"/>
      <c r="F62" s="527"/>
      <c r="G62" s="526"/>
      <c r="H62" s="528"/>
      <c r="I62" s="528"/>
      <c r="J62" s="526"/>
      <c r="K62" s="526"/>
      <c r="L62" s="526"/>
    </row>
    <row r="63" ht="15.75" spans="1:12">
      <c r="A63" s="529" t="s">
        <v>108</v>
      </c>
      <c r="B63" s="530"/>
      <c r="C63" s="530"/>
      <c r="D63" s="530"/>
      <c r="E63" s="530"/>
      <c r="F63" s="503" t="s">
        <v>109</v>
      </c>
      <c r="G63" s="531"/>
      <c r="H63" s="532"/>
      <c r="I63" s="532"/>
      <c r="J63" s="531"/>
      <c r="K63" s="531"/>
      <c r="L63" s="552"/>
    </row>
    <row r="64" ht="15" spans="1:12">
      <c r="A64" s="512"/>
      <c r="B64" s="533"/>
      <c r="C64" s="533"/>
      <c r="D64" s="533"/>
      <c r="E64" s="533"/>
      <c r="F64" s="514"/>
      <c r="G64" s="513"/>
      <c r="H64" s="515"/>
      <c r="I64" s="515"/>
      <c r="J64" s="513"/>
      <c r="K64" s="513"/>
      <c r="L64" s="513"/>
    </row>
    <row r="65" s="497" customFormat="1" ht="15" spans="1:13">
      <c r="A65" s="554">
        <v>4.1</v>
      </c>
      <c r="B65" s="555"/>
      <c r="C65" s="555"/>
      <c r="D65" s="555" t="s">
        <v>110</v>
      </c>
      <c r="E65" s="555" t="s">
        <v>111</v>
      </c>
      <c r="F65" s="556" t="s">
        <v>112</v>
      </c>
      <c r="G65" s="557" t="s">
        <v>113</v>
      </c>
      <c r="H65" s="551">
        <v>1</v>
      </c>
      <c r="I65" s="565">
        <v>500000</v>
      </c>
      <c r="J65" s="565">
        <f t="shared" ref="J65:J69" si="0">SUM(H65*I65)</f>
        <v>500000</v>
      </c>
      <c r="K65" s="557"/>
      <c r="L65" s="557"/>
      <c r="M65" s="566"/>
    </row>
    <row r="66" s="497" customFormat="1" ht="15" spans="1:13">
      <c r="A66" s="554"/>
      <c r="B66" s="555"/>
      <c r="C66" s="555"/>
      <c r="D66" s="555"/>
      <c r="E66" s="555"/>
      <c r="F66" s="556"/>
      <c r="G66" s="557"/>
      <c r="H66" s="551"/>
      <c r="I66" s="557"/>
      <c r="J66" s="565"/>
      <c r="K66" s="557"/>
      <c r="L66" s="557"/>
      <c r="M66" s="566"/>
    </row>
    <row r="67" s="497" customFormat="1" ht="15" spans="1:13">
      <c r="A67" s="554">
        <v>4.2</v>
      </c>
      <c r="B67" s="555"/>
      <c r="C67" s="555"/>
      <c r="D67" s="555" t="s">
        <v>110</v>
      </c>
      <c r="E67" s="555" t="s">
        <v>114</v>
      </c>
      <c r="F67" s="556" t="s">
        <v>115</v>
      </c>
      <c r="G67" s="557" t="s">
        <v>113</v>
      </c>
      <c r="H67" s="551">
        <v>1</v>
      </c>
      <c r="I67" s="565">
        <v>500000</v>
      </c>
      <c r="J67" s="565">
        <f t="shared" si="0"/>
        <v>500000</v>
      </c>
      <c r="K67" s="557"/>
      <c r="L67" s="557"/>
      <c r="M67" s="566"/>
    </row>
    <row r="68" s="497" customFormat="1" ht="15" spans="1:13">
      <c r="A68" s="554"/>
      <c r="B68" s="555"/>
      <c r="C68" s="555"/>
      <c r="D68" s="555"/>
      <c r="E68" s="555"/>
      <c r="F68" s="558"/>
      <c r="G68" s="557"/>
      <c r="H68" s="551"/>
      <c r="I68" s="557"/>
      <c r="J68" s="565"/>
      <c r="K68" s="557"/>
      <c r="L68" s="557"/>
      <c r="M68" s="566"/>
    </row>
    <row r="69" s="497" customFormat="1" ht="15" spans="1:13">
      <c r="A69" s="554">
        <v>4.3</v>
      </c>
      <c r="B69" s="555"/>
      <c r="C69" s="555"/>
      <c r="D69" s="555" t="s">
        <v>110</v>
      </c>
      <c r="E69" s="555" t="s">
        <v>116</v>
      </c>
      <c r="F69" s="556" t="s">
        <v>117</v>
      </c>
      <c r="G69" s="557" t="s">
        <v>113</v>
      </c>
      <c r="H69" s="551">
        <v>1</v>
      </c>
      <c r="I69" s="565">
        <v>800000</v>
      </c>
      <c r="J69" s="565">
        <f t="shared" si="0"/>
        <v>800000</v>
      </c>
      <c r="K69" s="557"/>
      <c r="L69" s="557"/>
      <c r="M69" s="566"/>
    </row>
    <row r="70" s="497" customFormat="1" ht="15" spans="1:13">
      <c r="A70" s="554"/>
      <c r="B70" s="555"/>
      <c r="C70" s="555"/>
      <c r="D70" s="555"/>
      <c r="E70" s="555"/>
      <c r="F70" s="559" t="s">
        <v>118</v>
      </c>
      <c r="G70" s="557"/>
      <c r="H70" s="551"/>
      <c r="I70" s="567"/>
      <c r="J70" s="565"/>
      <c r="K70" s="557"/>
      <c r="L70" s="557"/>
      <c r="M70" s="566"/>
    </row>
    <row r="71" s="497" customFormat="1" ht="15" spans="1:12">
      <c r="A71" s="554"/>
      <c r="B71" s="555"/>
      <c r="C71" s="555"/>
      <c r="D71" s="555"/>
      <c r="E71" s="555"/>
      <c r="F71" s="559" t="s">
        <v>119</v>
      </c>
      <c r="G71" s="557"/>
      <c r="H71" s="551"/>
      <c r="I71" s="567"/>
      <c r="J71" s="557"/>
      <c r="K71" s="557"/>
      <c r="L71" s="557"/>
    </row>
    <row r="72" s="497" customFormat="1" ht="15" spans="1:12">
      <c r="A72" s="554"/>
      <c r="B72" s="555"/>
      <c r="C72" s="555"/>
      <c r="D72" s="555"/>
      <c r="E72" s="555"/>
      <c r="F72" s="559" t="s">
        <v>120</v>
      </c>
      <c r="G72" s="557"/>
      <c r="H72" s="551"/>
      <c r="I72" s="567"/>
      <c r="J72" s="557"/>
      <c r="K72" s="557"/>
      <c r="L72" s="557"/>
    </row>
    <row r="73" s="497" customFormat="1" ht="15" spans="1:12">
      <c r="A73" s="554"/>
      <c r="B73" s="555"/>
      <c r="C73" s="555"/>
      <c r="D73" s="555"/>
      <c r="E73" s="555"/>
      <c r="F73" s="559" t="s">
        <v>121</v>
      </c>
      <c r="G73" s="557"/>
      <c r="H73" s="551"/>
      <c r="I73" s="567"/>
      <c r="J73" s="557"/>
      <c r="K73" s="557"/>
      <c r="L73" s="557"/>
    </row>
    <row r="74" s="497" customFormat="1" ht="15" spans="1:12">
      <c r="A74" s="554"/>
      <c r="B74" s="555"/>
      <c r="C74" s="555"/>
      <c r="D74" s="555"/>
      <c r="E74" s="555"/>
      <c r="F74" s="559" t="s">
        <v>122</v>
      </c>
      <c r="G74" s="557"/>
      <c r="H74" s="551"/>
      <c r="I74" s="567"/>
      <c r="J74" s="557"/>
      <c r="K74" s="557"/>
      <c r="L74" s="557"/>
    </row>
    <row r="75" s="497" customFormat="1" ht="15" spans="1:12">
      <c r="A75" s="554"/>
      <c r="B75" s="555"/>
      <c r="C75" s="555"/>
      <c r="D75" s="555"/>
      <c r="E75" s="555"/>
      <c r="F75" s="559" t="s">
        <v>123</v>
      </c>
      <c r="G75" s="557"/>
      <c r="H75" s="551"/>
      <c r="I75" s="567"/>
      <c r="J75" s="557"/>
      <c r="K75" s="557"/>
      <c r="L75" s="557"/>
    </row>
    <row r="76" s="497" customFormat="1" ht="15" spans="1:12">
      <c r="A76" s="554"/>
      <c r="B76" s="555"/>
      <c r="C76" s="555"/>
      <c r="D76" s="555"/>
      <c r="E76" s="555"/>
      <c r="F76" s="559" t="s">
        <v>124</v>
      </c>
      <c r="G76" s="557"/>
      <c r="H76" s="551"/>
      <c r="I76" s="567"/>
      <c r="J76" s="557"/>
      <c r="K76" s="557"/>
      <c r="L76" s="557"/>
    </row>
    <row r="77" ht="15.75" spans="1:12">
      <c r="A77" s="560"/>
      <c r="B77" s="536"/>
      <c r="C77" s="536"/>
      <c r="D77" s="536"/>
      <c r="E77" s="536"/>
      <c r="F77" s="527"/>
      <c r="G77" s="526"/>
      <c r="H77" s="528"/>
      <c r="I77" s="568"/>
      <c r="J77" s="526"/>
      <c r="K77" s="526"/>
      <c r="L77" s="526"/>
    </row>
    <row r="78" ht="15.75" spans="1:12">
      <c r="A78" s="561" t="s">
        <v>125</v>
      </c>
      <c r="B78" s="530"/>
      <c r="C78" s="530"/>
      <c r="D78" s="530"/>
      <c r="E78" s="530"/>
      <c r="F78" s="503" t="s">
        <v>126</v>
      </c>
      <c r="G78" s="531"/>
      <c r="H78" s="532"/>
      <c r="I78" s="569"/>
      <c r="J78" s="531"/>
      <c r="K78" s="531"/>
      <c r="L78" s="552"/>
    </row>
    <row r="79" ht="15" spans="1:12">
      <c r="A79" s="562"/>
      <c r="B79" s="533"/>
      <c r="C79" s="533"/>
      <c r="D79" s="533"/>
      <c r="E79" s="533"/>
      <c r="F79" s="514"/>
      <c r="G79" s="513"/>
      <c r="H79" s="515"/>
      <c r="I79" s="546"/>
      <c r="J79" s="513"/>
      <c r="K79" s="513"/>
      <c r="L79" s="513"/>
    </row>
    <row r="80" ht="15" spans="1:13">
      <c r="A80" s="516">
        <v>5.1</v>
      </c>
      <c r="B80" s="522"/>
      <c r="C80" s="522"/>
      <c r="D80" s="522" t="s">
        <v>127</v>
      </c>
      <c r="E80" s="522" t="s">
        <v>128</v>
      </c>
      <c r="F80" s="563" t="s">
        <v>129</v>
      </c>
      <c r="G80" s="517" t="s">
        <v>130</v>
      </c>
      <c r="H80" s="242">
        <v>50</v>
      </c>
      <c r="I80" s="553">
        <v>600</v>
      </c>
      <c r="J80" s="173">
        <f>SUM(H80*I80)</f>
        <v>30000</v>
      </c>
      <c r="K80" s="517"/>
      <c r="L80" s="517"/>
      <c r="M80" s="570"/>
    </row>
    <row r="81" ht="60" spans="1:12">
      <c r="A81" s="516"/>
      <c r="B81" s="522"/>
      <c r="C81" s="522"/>
      <c r="D81" s="522"/>
      <c r="E81" s="522"/>
      <c r="F81" s="135" t="s">
        <v>131</v>
      </c>
      <c r="G81" s="517"/>
      <c r="H81" s="242"/>
      <c r="I81" s="553"/>
      <c r="J81" s="517"/>
      <c r="K81" s="517"/>
      <c r="L81" s="517"/>
    </row>
    <row r="82" ht="15" spans="1:12">
      <c r="A82" s="516"/>
      <c r="B82" s="522"/>
      <c r="C82" s="522"/>
      <c r="D82" s="522"/>
      <c r="E82" s="522"/>
      <c r="F82" s="135"/>
      <c r="G82" s="517"/>
      <c r="H82" s="242"/>
      <c r="I82" s="553"/>
      <c r="J82" s="517"/>
      <c r="K82" s="517"/>
      <c r="L82" s="517"/>
    </row>
    <row r="83" ht="15" spans="1:12">
      <c r="A83" s="516">
        <v>5.2</v>
      </c>
      <c r="B83" s="522"/>
      <c r="C83" s="522"/>
      <c r="D83" s="522" t="s">
        <v>127</v>
      </c>
      <c r="E83" s="522" t="s">
        <v>128</v>
      </c>
      <c r="F83" s="563" t="s">
        <v>132</v>
      </c>
      <c r="G83" s="517" t="s">
        <v>130</v>
      </c>
      <c r="H83" s="242">
        <v>50</v>
      </c>
      <c r="I83" s="553">
        <v>2095</v>
      </c>
      <c r="J83" s="173">
        <f>SUM(H83*I83)</f>
        <v>104750</v>
      </c>
      <c r="K83" s="517"/>
      <c r="L83" s="517"/>
    </row>
    <row r="84" ht="30" spans="1:12">
      <c r="A84" s="516"/>
      <c r="B84" s="522"/>
      <c r="C84" s="522"/>
      <c r="D84" s="522"/>
      <c r="E84" s="522"/>
      <c r="F84" s="135" t="s">
        <v>133</v>
      </c>
      <c r="G84" s="517"/>
      <c r="H84" s="242"/>
      <c r="I84" s="553"/>
      <c r="J84" s="517"/>
      <c r="K84" s="517"/>
      <c r="L84" s="517"/>
    </row>
    <row r="85" ht="15" spans="1:12">
      <c r="A85" s="516"/>
      <c r="B85" s="522"/>
      <c r="C85" s="522"/>
      <c r="D85" s="522"/>
      <c r="E85" s="522"/>
      <c r="F85" s="135"/>
      <c r="G85" s="517"/>
      <c r="H85" s="242"/>
      <c r="I85" s="553"/>
      <c r="J85" s="517"/>
      <c r="K85" s="517"/>
      <c r="L85" s="517"/>
    </row>
    <row r="86" ht="15" spans="1:12">
      <c r="A86" s="516">
        <v>5.3</v>
      </c>
      <c r="B86" s="522"/>
      <c r="C86" s="522"/>
      <c r="D86" s="522" t="s">
        <v>127</v>
      </c>
      <c r="E86" s="522" t="s">
        <v>134</v>
      </c>
      <c r="F86" s="563" t="s">
        <v>135</v>
      </c>
      <c r="G86" s="517" t="s">
        <v>130</v>
      </c>
      <c r="H86" s="242">
        <v>50</v>
      </c>
      <c r="I86" s="553">
        <v>380</v>
      </c>
      <c r="J86" s="173">
        <f>SUM(H86*I86)</f>
        <v>19000</v>
      </c>
      <c r="K86" s="517"/>
      <c r="L86" s="517"/>
    </row>
    <row r="87" ht="60" spans="1:12">
      <c r="A87" s="516"/>
      <c r="B87" s="522"/>
      <c r="C87" s="522"/>
      <c r="D87" s="522"/>
      <c r="E87" s="522"/>
      <c r="F87" s="135" t="s">
        <v>136</v>
      </c>
      <c r="G87" s="517"/>
      <c r="H87" s="242"/>
      <c r="I87" s="553"/>
      <c r="J87" s="517"/>
      <c r="K87" s="517"/>
      <c r="L87" s="517"/>
    </row>
    <row r="88" ht="15" spans="1:12">
      <c r="A88" s="516"/>
      <c r="B88" s="522"/>
      <c r="C88" s="522"/>
      <c r="D88" s="522"/>
      <c r="E88" s="522"/>
      <c r="F88" s="135"/>
      <c r="G88" s="517"/>
      <c r="H88" s="242"/>
      <c r="I88" s="553"/>
      <c r="J88" s="517"/>
      <c r="K88" s="517"/>
      <c r="L88" s="517"/>
    </row>
    <row r="89" ht="15" spans="1:12">
      <c r="A89" s="516">
        <v>5.4</v>
      </c>
      <c r="B89" s="522"/>
      <c r="C89" s="522"/>
      <c r="D89" s="522" t="s">
        <v>127</v>
      </c>
      <c r="E89" s="522" t="s">
        <v>137</v>
      </c>
      <c r="F89" s="563" t="s">
        <v>138</v>
      </c>
      <c r="G89" s="517" t="s">
        <v>130</v>
      </c>
      <c r="H89" s="242">
        <v>50</v>
      </c>
      <c r="I89" s="571">
        <v>3500</v>
      </c>
      <c r="J89" s="173">
        <f>SUM(H89*I89)</f>
        <v>175000</v>
      </c>
      <c r="K89" s="517"/>
      <c r="L89" s="517"/>
    </row>
    <row r="90" ht="15" spans="1:12">
      <c r="A90" s="516"/>
      <c r="B90" s="522"/>
      <c r="C90" s="522"/>
      <c r="D90" s="522"/>
      <c r="E90" s="522"/>
      <c r="F90" s="135" t="s">
        <v>139</v>
      </c>
      <c r="G90" s="517"/>
      <c r="H90" s="242"/>
      <c r="I90" s="553"/>
      <c r="J90" s="517"/>
      <c r="K90" s="517"/>
      <c r="L90" s="517"/>
    </row>
    <row r="91" ht="27.75" customHeight="1" spans="1:12">
      <c r="A91" s="516"/>
      <c r="B91" s="522"/>
      <c r="C91" s="522"/>
      <c r="D91" s="522"/>
      <c r="E91" s="522"/>
      <c r="F91" s="135"/>
      <c r="G91" s="517"/>
      <c r="H91" s="242"/>
      <c r="I91" s="553"/>
      <c r="J91" s="572">
        <f>SUM(J7:J90)</f>
        <v>5630163</v>
      </c>
      <c r="K91" s="517"/>
      <c r="L91" s="517"/>
    </row>
    <row r="93" ht="25.5" customHeight="1" spans="2:2">
      <c r="B93" s="564" t="s">
        <v>140</v>
      </c>
    </row>
    <row r="94" spans="2:2">
      <c r="B94" s="564" t="s">
        <v>141</v>
      </c>
    </row>
    <row r="95" spans="2:2">
      <c r="B95" s="564" t="s">
        <v>142</v>
      </c>
    </row>
    <row r="96" spans="2:2">
      <c r="B96" s="564" t="s">
        <v>143</v>
      </c>
    </row>
    <row r="97" spans="2:2">
      <c r="B97" s="564" t="s">
        <v>144</v>
      </c>
    </row>
    <row r="98" spans="2:2">
      <c r="B98" s="564" t="s">
        <v>145</v>
      </c>
    </row>
  </sheetData>
  <mergeCells count="2">
    <mergeCell ref="A1:H1"/>
    <mergeCell ref="A2:H2"/>
  </mergeCell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9"/>
  <sheetViews>
    <sheetView workbookViewId="0">
      <selection activeCell="F59" sqref="F59"/>
    </sheetView>
  </sheetViews>
  <sheetFormatPr defaultColWidth="6.125" defaultRowHeight="12.75"/>
  <cols>
    <col min="1" max="4" width="7.75" style="416" customWidth="1"/>
    <col min="5" max="5" width="10.875" style="416" customWidth="1"/>
    <col min="6" max="6" width="56" style="416" customWidth="1"/>
    <col min="7" max="7" width="6.75" style="416" customWidth="1"/>
    <col min="8" max="10" width="7.75" style="417" customWidth="1"/>
    <col min="11" max="11" width="10.125" style="416" customWidth="1"/>
    <col min="12" max="14" width="7.5" style="416" hidden="1" customWidth="1"/>
    <col min="15" max="15" width="10.875" style="416" customWidth="1"/>
    <col min="16" max="16" width="11.25" style="416" customWidth="1"/>
    <col min="17" max="17" width="8.5" style="416" customWidth="1"/>
    <col min="18" max="244" width="6.125" style="416"/>
    <col min="245" max="245" width="5" style="416" customWidth="1"/>
    <col min="246" max="246" width="8.875" style="416" customWidth="1"/>
    <col min="247" max="247" width="5" style="416" customWidth="1"/>
    <col min="248" max="248" width="8.25" style="416" customWidth="1"/>
    <col min="249" max="249" width="16.125" style="416" customWidth="1"/>
    <col min="250" max="250" width="86" style="416" customWidth="1"/>
    <col min="251" max="251" width="5" style="416" customWidth="1"/>
    <col min="252" max="252" width="11.125" style="416" customWidth="1"/>
    <col min="253" max="253" width="10.375" style="416" customWidth="1"/>
    <col min="254" max="254" width="10.875" style="416" customWidth="1"/>
    <col min="255" max="255" width="7.75" style="416" customWidth="1"/>
    <col min="256" max="256" width="9.875" style="416" customWidth="1"/>
    <col min="257" max="257" width="10.625" style="416" customWidth="1"/>
    <col min="258" max="500" width="6.125" style="416"/>
    <col min="501" max="501" width="5" style="416" customWidth="1"/>
    <col min="502" max="502" width="8.875" style="416" customWidth="1"/>
    <col min="503" max="503" width="5" style="416" customWidth="1"/>
    <col min="504" max="504" width="8.25" style="416" customWidth="1"/>
    <col min="505" max="505" width="16.125" style="416" customWidth="1"/>
    <col min="506" max="506" width="86" style="416" customWidth="1"/>
    <col min="507" max="507" width="5" style="416" customWidth="1"/>
    <col min="508" max="508" width="11.125" style="416" customWidth="1"/>
    <col min="509" max="509" width="10.375" style="416" customWidth="1"/>
    <col min="510" max="510" width="10.875" style="416" customWidth="1"/>
    <col min="511" max="511" width="7.75" style="416" customWidth="1"/>
    <col min="512" max="512" width="9.875" style="416" customWidth="1"/>
    <col min="513" max="513" width="10.625" style="416" customWidth="1"/>
    <col min="514" max="756" width="6.125" style="416"/>
    <col min="757" max="757" width="5" style="416" customWidth="1"/>
    <col min="758" max="758" width="8.875" style="416" customWidth="1"/>
    <col min="759" max="759" width="5" style="416" customWidth="1"/>
    <col min="760" max="760" width="8.25" style="416" customWidth="1"/>
    <col min="761" max="761" width="16.125" style="416" customWidth="1"/>
    <col min="762" max="762" width="86" style="416" customWidth="1"/>
    <col min="763" max="763" width="5" style="416" customWidth="1"/>
    <col min="764" max="764" width="11.125" style="416" customWidth="1"/>
    <col min="765" max="765" width="10.375" style="416" customWidth="1"/>
    <col min="766" max="766" width="10.875" style="416" customWidth="1"/>
    <col min="767" max="767" width="7.75" style="416" customWidth="1"/>
    <col min="768" max="768" width="9.875" style="416" customWidth="1"/>
    <col min="769" max="769" width="10.625" style="416" customWidth="1"/>
    <col min="770" max="1012" width="6.125" style="416"/>
    <col min="1013" max="1013" width="5" style="416" customWidth="1"/>
    <col min="1014" max="1014" width="8.875" style="416" customWidth="1"/>
    <col min="1015" max="1015" width="5" style="416" customWidth="1"/>
    <col min="1016" max="1016" width="8.25" style="416" customWidth="1"/>
    <col min="1017" max="1017" width="16.125" style="416" customWidth="1"/>
    <col min="1018" max="1018" width="86" style="416" customWidth="1"/>
    <col min="1019" max="1019" width="5" style="416" customWidth="1"/>
    <col min="1020" max="1020" width="11.125" style="416" customWidth="1"/>
    <col min="1021" max="1021" width="10.375" style="416" customWidth="1"/>
    <col min="1022" max="1022" width="10.875" style="416" customWidth="1"/>
    <col min="1023" max="1023" width="7.75" style="416" customWidth="1"/>
    <col min="1024" max="1024" width="9.875" style="416" customWidth="1"/>
    <col min="1025" max="1025" width="10.625" style="416" customWidth="1"/>
    <col min="1026" max="1268" width="6.125" style="416"/>
    <col min="1269" max="1269" width="5" style="416" customWidth="1"/>
    <col min="1270" max="1270" width="8.875" style="416" customWidth="1"/>
    <col min="1271" max="1271" width="5" style="416" customWidth="1"/>
    <col min="1272" max="1272" width="8.25" style="416" customWidth="1"/>
    <col min="1273" max="1273" width="16.125" style="416" customWidth="1"/>
    <col min="1274" max="1274" width="86" style="416" customWidth="1"/>
    <col min="1275" max="1275" width="5" style="416" customWidth="1"/>
    <col min="1276" max="1276" width="11.125" style="416" customWidth="1"/>
    <col min="1277" max="1277" width="10.375" style="416" customWidth="1"/>
    <col min="1278" max="1278" width="10.875" style="416" customWidth="1"/>
    <col min="1279" max="1279" width="7.75" style="416" customWidth="1"/>
    <col min="1280" max="1280" width="9.875" style="416" customWidth="1"/>
    <col min="1281" max="1281" width="10.625" style="416" customWidth="1"/>
    <col min="1282" max="1524" width="6.125" style="416"/>
    <col min="1525" max="1525" width="5" style="416" customWidth="1"/>
    <col min="1526" max="1526" width="8.875" style="416" customWidth="1"/>
    <col min="1527" max="1527" width="5" style="416" customWidth="1"/>
    <col min="1528" max="1528" width="8.25" style="416" customWidth="1"/>
    <col min="1529" max="1529" width="16.125" style="416" customWidth="1"/>
    <col min="1530" max="1530" width="86" style="416" customWidth="1"/>
    <col min="1531" max="1531" width="5" style="416" customWidth="1"/>
    <col min="1532" max="1532" width="11.125" style="416" customWidth="1"/>
    <col min="1533" max="1533" width="10.375" style="416" customWidth="1"/>
    <col min="1534" max="1534" width="10.875" style="416" customWidth="1"/>
    <col min="1535" max="1535" width="7.75" style="416" customWidth="1"/>
    <col min="1536" max="1536" width="9.875" style="416" customWidth="1"/>
    <col min="1537" max="1537" width="10.625" style="416" customWidth="1"/>
    <col min="1538" max="1780" width="6.125" style="416"/>
    <col min="1781" max="1781" width="5" style="416" customWidth="1"/>
    <col min="1782" max="1782" width="8.875" style="416" customWidth="1"/>
    <col min="1783" max="1783" width="5" style="416" customWidth="1"/>
    <col min="1784" max="1784" width="8.25" style="416" customWidth="1"/>
    <col min="1785" max="1785" width="16.125" style="416" customWidth="1"/>
    <col min="1786" max="1786" width="86" style="416" customWidth="1"/>
    <col min="1787" max="1787" width="5" style="416" customWidth="1"/>
    <col min="1788" max="1788" width="11.125" style="416" customWidth="1"/>
    <col min="1789" max="1789" width="10.375" style="416" customWidth="1"/>
    <col min="1790" max="1790" width="10.875" style="416" customWidth="1"/>
    <col min="1791" max="1791" width="7.75" style="416" customWidth="1"/>
    <col min="1792" max="1792" width="9.875" style="416" customWidth="1"/>
    <col min="1793" max="1793" width="10.625" style="416" customWidth="1"/>
    <col min="1794" max="2036" width="6.125" style="416"/>
    <col min="2037" max="2037" width="5" style="416" customWidth="1"/>
    <col min="2038" max="2038" width="8.875" style="416" customWidth="1"/>
    <col min="2039" max="2039" width="5" style="416" customWidth="1"/>
    <col min="2040" max="2040" width="8.25" style="416" customWidth="1"/>
    <col min="2041" max="2041" width="16.125" style="416" customWidth="1"/>
    <col min="2042" max="2042" width="86" style="416" customWidth="1"/>
    <col min="2043" max="2043" width="5" style="416" customWidth="1"/>
    <col min="2044" max="2044" width="11.125" style="416" customWidth="1"/>
    <col min="2045" max="2045" width="10.375" style="416" customWidth="1"/>
    <col min="2046" max="2046" width="10.875" style="416" customWidth="1"/>
    <col min="2047" max="2047" width="7.75" style="416" customWidth="1"/>
    <col min="2048" max="2048" width="9.875" style="416" customWidth="1"/>
    <col min="2049" max="2049" width="10.625" style="416" customWidth="1"/>
    <col min="2050" max="2292" width="6.125" style="416"/>
    <col min="2293" max="2293" width="5" style="416" customWidth="1"/>
    <col min="2294" max="2294" width="8.875" style="416" customWidth="1"/>
    <col min="2295" max="2295" width="5" style="416" customWidth="1"/>
    <col min="2296" max="2296" width="8.25" style="416" customWidth="1"/>
    <col min="2297" max="2297" width="16.125" style="416" customWidth="1"/>
    <col min="2298" max="2298" width="86" style="416" customWidth="1"/>
    <col min="2299" max="2299" width="5" style="416" customWidth="1"/>
    <col min="2300" max="2300" width="11.125" style="416" customWidth="1"/>
    <col min="2301" max="2301" width="10.375" style="416" customWidth="1"/>
    <col min="2302" max="2302" width="10.875" style="416" customWidth="1"/>
    <col min="2303" max="2303" width="7.75" style="416" customWidth="1"/>
    <col min="2304" max="2304" width="9.875" style="416" customWidth="1"/>
    <col min="2305" max="2305" width="10.625" style="416" customWidth="1"/>
    <col min="2306" max="2548" width="6.125" style="416"/>
    <col min="2549" max="2549" width="5" style="416" customWidth="1"/>
    <col min="2550" max="2550" width="8.875" style="416" customWidth="1"/>
    <col min="2551" max="2551" width="5" style="416" customWidth="1"/>
    <col min="2552" max="2552" width="8.25" style="416" customWidth="1"/>
    <col min="2553" max="2553" width="16.125" style="416" customWidth="1"/>
    <col min="2554" max="2554" width="86" style="416" customWidth="1"/>
    <col min="2555" max="2555" width="5" style="416" customWidth="1"/>
    <col min="2556" max="2556" width="11.125" style="416" customWidth="1"/>
    <col min="2557" max="2557" width="10.375" style="416" customWidth="1"/>
    <col min="2558" max="2558" width="10.875" style="416" customWidth="1"/>
    <col min="2559" max="2559" width="7.75" style="416" customWidth="1"/>
    <col min="2560" max="2560" width="9.875" style="416" customWidth="1"/>
    <col min="2561" max="2561" width="10.625" style="416" customWidth="1"/>
    <col min="2562" max="2804" width="6.125" style="416"/>
    <col min="2805" max="2805" width="5" style="416" customWidth="1"/>
    <col min="2806" max="2806" width="8.875" style="416" customWidth="1"/>
    <col min="2807" max="2807" width="5" style="416" customWidth="1"/>
    <col min="2808" max="2808" width="8.25" style="416" customWidth="1"/>
    <col min="2809" max="2809" width="16.125" style="416" customWidth="1"/>
    <col min="2810" max="2810" width="86" style="416" customWidth="1"/>
    <col min="2811" max="2811" width="5" style="416" customWidth="1"/>
    <col min="2812" max="2812" width="11.125" style="416" customWidth="1"/>
    <col min="2813" max="2813" width="10.375" style="416" customWidth="1"/>
    <col min="2814" max="2814" width="10.875" style="416" customWidth="1"/>
    <col min="2815" max="2815" width="7.75" style="416" customWidth="1"/>
    <col min="2816" max="2816" width="9.875" style="416" customWidth="1"/>
    <col min="2817" max="2817" width="10.625" style="416" customWidth="1"/>
    <col min="2818" max="3060" width="6.125" style="416"/>
    <col min="3061" max="3061" width="5" style="416" customWidth="1"/>
    <col min="3062" max="3062" width="8.875" style="416" customWidth="1"/>
    <col min="3063" max="3063" width="5" style="416" customWidth="1"/>
    <col min="3064" max="3064" width="8.25" style="416" customWidth="1"/>
    <col min="3065" max="3065" width="16.125" style="416" customWidth="1"/>
    <col min="3066" max="3066" width="86" style="416" customWidth="1"/>
    <col min="3067" max="3067" width="5" style="416" customWidth="1"/>
    <col min="3068" max="3068" width="11.125" style="416" customWidth="1"/>
    <col min="3069" max="3069" width="10.375" style="416" customWidth="1"/>
    <col min="3070" max="3070" width="10.875" style="416" customWidth="1"/>
    <col min="3071" max="3071" width="7.75" style="416" customWidth="1"/>
    <col min="3072" max="3072" width="9.875" style="416" customWidth="1"/>
    <col min="3073" max="3073" width="10.625" style="416" customWidth="1"/>
    <col min="3074" max="3316" width="6.125" style="416"/>
    <col min="3317" max="3317" width="5" style="416" customWidth="1"/>
    <col min="3318" max="3318" width="8.875" style="416" customWidth="1"/>
    <col min="3319" max="3319" width="5" style="416" customWidth="1"/>
    <col min="3320" max="3320" width="8.25" style="416" customWidth="1"/>
    <col min="3321" max="3321" width="16.125" style="416" customWidth="1"/>
    <col min="3322" max="3322" width="86" style="416" customWidth="1"/>
    <col min="3323" max="3323" width="5" style="416" customWidth="1"/>
    <col min="3324" max="3324" width="11.125" style="416" customWidth="1"/>
    <col min="3325" max="3325" width="10.375" style="416" customWidth="1"/>
    <col min="3326" max="3326" width="10.875" style="416" customWidth="1"/>
    <col min="3327" max="3327" width="7.75" style="416" customWidth="1"/>
    <col min="3328" max="3328" width="9.875" style="416" customWidth="1"/>
    <col min="3329" max="3329" width="10.625" style="416" customWidth="1"/>
    <col min="3330" max="3572" width="6.125" style="416"/>
    <col min="3573" max="3573" width="5" style="416" customWidth="1"/>
    <col min="3574" max="3574" width="8.875" style="416" customWidth="1"/>
    <col min="3575" max="3575" width="5" style="416" customWidth="1"/>
    <col min="3576" max="3576" width="8.25" style="416" customWidth="1"/>
    <col min="3577" max="3577" width="16.125" style="416" customWidth="1"/>
    <col min="3578" max="3578" width="86" style="416" customWidth="1"/>
    <col min="3579" max="3579" width="5" style="416" customWidth="1"/>
    <col min="3580" max="3580" width="11.125" style="416" customWidth="1"/>
    <col min="3581" max="3581" width="10.375" style="416" customWidth="1"/>
    <col min="3582" max="3582" width="10.875" style="416" customWidth="1"/>
    <col min="3583" max="3583" width="7.75" style="416" customWidth="1"/>
    <col min="3584" max="3584" width="9.875" style="416" customWidth="1"/>
    <col min="3585" max="3585" width="10.625" style="416" customWidth="1"/>
    <col min="3586" max="3828" width="6.125" style="416"/>
    <col min="3829" max="3829" width="5" style="416" customWidth="1"/>
    <col min="3830" max="3830" width="8.875" style="416" customWidth="1"/>
    <col min="3831" max="3831" width="5" style="416" customWidth="1"/>
    <col min="3832" max="3832" width="8.25" style="416" customWidth="1"/>
    <col min="3833" max="3833" width="16.125" style="416" customWidth="1"/>
    <col min="3834" max="3834" width="86" style="416" customWidth="1"/>
    <col min="3835" max="3835" width="5" style="416" customWidth="1"/>
    <col min="3836" max="3836" width="11.125" style="416" customWidth="1"/>
    <col min="3837" max="3837" width="10.375" style="416" customWidth="1"/>
    <col min="3838" max="3838" width="10.875" style="416" customWidth="1"/>
    <col min="3839" max="3839" width="7.75" style="416" customWidth="1"/>
    <col min="3840" max="3840" width="9.875" style="416" customWidth="1"/>
    <col min="3841" max="3841" width="10.625" style="416" customWidth="1"/>
    <col min="3842" max="4084" width="6.125" style="416"/>
    <col min="4085" max="4085" width="5" style="416" customWidth="1"/>
    <col min="4086" max="4086" width="8.875" style="416" customWidth="1"/>
    <col min="4087" max="4087" width="5" style="416" customWidth="1"/>
    <col min="4088" max="4088" width="8.25" style="416" customWidth="1"/>
    <col min="4089" max="4089" width="16.125" style="416" customWidth="1"/>
    <col min="4090" max="4090" width="86" style="416" customWidth="1"/>
    <col min="4091" max="4091" width="5" style="416" customWidth="1"/>
    <col min="4092" max="4092" width="11.125" style="416" customWidth="1"/>
    <col min="4093" max="4093" width="10.375" style="416" customWidth="1"/>
    <col min="4094" max="4094" width="10.875" style="416" customWidth="1"/>
    <col min="4095" max="4095" width="7.75" style="416" customWidth="1"/>
    <col min="4096" max="4096" width="9.875" style="416" customWidth="1"/>
    <col min="4097" max="4097" width="10.625" style="416" customWidth="1"/>
    <col min="4098" max="4340" width="6.125" style="416"/>
    <col min="4341" max="4341" width="5" style="416" customWidth="1"/>
    <col min="4342" max="4342" width="8.875" style="416" customWidth="1"/>
    <col min="4343" max="4343" width="5" style="416" customWidth="1"/>
    <col min="4344" max="4344" width="8.25" style="416" customWidth="1"/>
    <col min="4345" max="4345" width="16.125" style="416" customWidth="1"/>
    <col min="4346" max="4346" width="86" style="416" customWidth="1"/>
    <col min="4347" max="4347" width="5" style="416" customWidth="1"/>
    <col min="4348" max="4348" width="11.125" style="416" customWidth="1"/>
    <col min="4349" max="4349" width="10.375" style="416" customWidth="1"/>
    <col min="4350" max="4350" width="10.875" style="416" customWidth="1"/>
    <col min="4351" max="4351" width="7.75" style="416" customWidth="1"/>
    <col min="4352" max="4352" width="9.875" style="416" customWidth="1"/>
    <col min="4353" max="4353" width="10.625" style="416" customWidth="1"/>
    <col min="4354" max="4596" width="6.125" style="416"/>
    <col min="4597" max="4597" width="5" style="416" customWidth="1"/>
    <col min="4598" max="4598" width="8.875" style="416" customWidth="1"/>
    <col min="4599" max="4599" width="5" style="416" customWidth="1"/>
    <col min="4600" max="4600" width="8.25" style="416" customWidth="1"/>
    <col min="4601" max="4601" width="16.125" style="416" customWidth="1"/>
    <col min="4602" max="4602" width="86" style="416" customWidth="1"/>
    <col min="4603" max="4603" width="5" style="416" customWidth="1"/>
    <col min="4604" max="4604" width="11.125" style="416" customWidth="1"/>
    <col min="4605" max="4605" width="10.375" style="416" customWidth="1"/>
    <col min="4606" max="4606" width="10.875" style="416" customWidth="1"/>
    <col min="4607" max="4607" width="7.75" style="416" customWidth="1"/>
    <col min="4608" max="4608" width="9.875" style="416" customWidth="1"/>
    <col min="4609" max="4609" width="10.625" style="416" customWidth="1"/>
    <col min="4610" max="4852" width="6.125" style="416"/>
    <col min="4853" max="4853" width="5" style="416" customWidth="1"/>
    <col min="4854" max="4854" width="8.875" style="416" customWidth="1"/>
    <col min="4855" max="4855" width="5" style="416" customWidth="1"/>
    <col min="4856" max="4856" width="8.25" style="416" customWidth="1"/>
    <col min="4857" max="4857" width="16.125" style="416" customWidth="1"/>
    <col min="4858" max="4858" width="86" style="416" customWidth="1"/>
    <col min="4859" max="4859" width="5" style="416" customWidth="1"/>
    <col min="4860" max="4860" width="11.125" style="416" customWidth="1"/>
    <col min="4861" max="4861" width="10.375" style="416" customWidth="1"/>
    <col min="4862" max="4862" width="10.875" style="416" customWidth="1"/>
    <col min="4863" max="4863" width="7.75" style="416" customWidth="1"/>
    <col min="4864" max="4864" width="9.875" style="416" customWidth="1"/>
    <col min="4865" max="4865" width="10.625" style="416" customWidth="1"/>
    <col min="4866" max="5108" width="6.125" style="416"/>
    <col min="5109" max="5109" width="5" style="416" customWidth="1"/>
    <col min="5110" max="5110" width="8.875" style="416" customWidth="1"/>
    <col min="5111" max="5111" width="5" style="416" customWidth="1"/>
    <col min="5112" max="5112" width="8.25" style="416" customWidth="1"/>
    <col min="5113" max="5113" width="16.125" style="416" customWidth="1"/>
    <col min="5114" max="5114" width="86" style="416" customWidth="1"/>
    <col min="5115" max="5115" width="5" style="416" customWidth="1"/>
    <col min="5116" max="5116" width="11.125" style="416" customWidth="1"/>
    <col min="5117" max="5117" width="10.375" style="416" customWidth="1"/>
    <col min="5118" max="5118" width="10.875" style="416" customWidth="1"/>
    <col min="5119" max="5119" width="7.75" style="416" customWidth="1"/>
    <col min="5120" max="5120" width="9.875" style="416" customWidth="1"/>
    <col min="5121" max="5121" width="10.625" style="416" customWidth="1"/>
    <col min="5122" max="5364" width="6.125" style="416"/>
    <col min="5365" max="5365" width="5" style="416" customWidth="1"/>
    <col min="5366" max="5366" width="8.875" style="416" customWidth="1"/>
    <col min="5367" max="5367" width="5" style="416" customWidth="1"/>
    <col min="5368" max="5368" width="8.25" style="416" customWidth="1"/>
    <col min="5369" max="5369" width="16.125" style="416" customWidth="1"/>
    <col min="5370" max="5370" width="86" style="416" customWidth="1"/>
    <col min="5371" max="5371" width="5" style="416" customWidth="1"/>
    <col min="5372" max="5372" width="11.125" style="416" customWidth="1"/>
    <col min="5373" max="5373" width="10.375" style="416" customWidth="1"/>
    <col min="5374" max="5374" width="10.875" style="416" customWidth="1"/>
    <col min="5375" max="5375" width="7.75" style="416" customWidth="1"/>
    <col min="5376" max="5376" width="9.875" style="416" customWidth="1"/>
    <col min="5377" max="5377" width="10.625" style="416" customWidth="1"/>
    <col min="5378" max="5620" width="6.125" style="416"/>
    <col min="5621" max="5621" width="5" style="416" customWidth="1"/>
    <col min="5622" max="5622" width="8.875" style="416" customWidth="1"/>
    <col min="5623" max="5623" width="5" style="416" customWidth="1"/>
    <col min="5624" max="5624" width="8.25" style="416" customWidth="1"/>
    <col min="5625" max="5625" width="16.125" style="416" customWidth="1"/>
    <col min="5626" max="5626" width="86" style="416" customWidth="1"/>
    <col min="5627" max="5627" width="5" style="416" customWidth="1"/>
    <col min="5628" max="5628" width="11.125" style="416" customWidth="1"/>
    <col min="5629" max="5629" width="10.375" style="416" customWidth="1"/>
    <col min="5630" max="5630" width="10.875" style="416" customWidth="1"/>
    <col min="5631" max="5631" width="7.75" style="416" customWidth="1"/>
    <col min="5632" max="5632" width="9.875" style="416" customWidth="1"/>
    <col min="5633" max="5633" width="10.625" style="416" customWidth="1"/>
    <col min="5634" max="5876" width="6.125" style="416"/>
    <col min="5877" max="5877" width="5" style="416" customWidth="1"/>
    <col min="5878" max="5878" width="8.875" style="416" customWidth="1"/>
    <col min="5879" max="5879" width="5" style="416" customWidth="1"/>
    <col min="5880" max="5880" width="8.25" style="416" customWidth="1"/>
    <col min="5881" max="5881" width="16.125" style="416" customWidth="1"/>
    <col min="5882" max="5882" width="86" style="416" customWidth="1"/>
    <col min="5883" max="5883" width="5" style="416" customWidth="1"/>
    <col min="5884" max="5884" width="11.125" style="416" customWidth="1"/>
    <col min="5885" max="5885" width="10.375" style="416" customWidth="1"/>
    <col min="5886" max="5886" width="10.875" style="416" customWidth="1"/>
    <col min="5887" max="5887" width="7.75" style="416" customWidth="1"/>
    <col min="5888" max="5888" width="9.875" style="416" customWidth="1"/>
    <col min="5889" max="5889" width="10.625" style="416" customWidth="1"/>
    <col min="5890" max="6132" width="6.125" style="416"/>
    <col min="6133" max="6133" width="5" style="416" customWidth="1"/>
    <col min="6134" max="6134" width="8.875" style="416" customWidth="1"/>
    <col min="6135" max="6135" width="5" style="416" customWidth="1"/>
    <col min="6136" max="6136" width="8.25" style="416" customWidth="1"/>
    <col min="6137" max="6137" width="16.125" style="416" customWidth="1"/>
    <col min="6138" max="6138" width="86" style="416" customWidth="1"/>
    <col min="6139" max="6139" width="5" style="416" customWidth="1"/>
    <col min="6140" max="6140" width="11.125" style="416" customWidth="1"/>
    <col min="6141" max="6141" width="10.375" style="416" customWidth="1"/>
    <col min="6142" max="6142" width="10.875" style="416" customWidth="1"/>
    <col min="6143" max="6143" width="7.75" style="416" customWidth="1"/>
    <col min="6144" max="6144" width="9.875" style="416" customWidth="1"/>
    <col min="6145" max="6145" width="10.625" style="416" customWidth="1"/>
    <col min="6146" max="6388" width="6.125" style="416"/>
    <col min="6389" max="6389" width="5" style="416" customWidth="1"/>
    <col min="6390" max="6390" width="8.875" style="416" customWidth="1"/>
    <col min="6391" max="6391" width="5" style="416" customWidth="1"/>
    <col min="6392" max="6392" width="8.25" style="416" customWidth="1"/>
    <col min="6393" max="6393" width="16.125" style="416" customWidth="1"/>
    <col min="6394" max="6394" width="86" style="416" customWidth="1"/>
    <col min="6395" max="6395" width="5" style="416" customWidth="1"/>
    <col min="6396" max="6396" width="11.125" style="416" customWidth="1"/>
    <col min="6397" max="6397" width="10.375" style="416" customWidth="1"/>
    <col min="6398" max="6398" width="10.875" style="416" customWidth="1"/>
    <col min="6399" max="6399" width="7.75" style="416" customWidth="1"/>
    <col min="6400" max="6400" width="9.875" style="416" customWidth="1"/>
    <col min="6401" max="6401" width="10.625" style="416" customWidth="1"/>
    <col min="6402" max="6644" width="6.125" style="416"/>
    <col min="6645" max="6645" width="5" style="416" customWidth="1"/>
    <col min="6646" max="6646" width="8.875" style="416" customWidth="1"/>
    <col min="6647" max="6647" width="5" style="416" customWidth="1"/>
    <col min="6648" max="6648" width="8.25" style="416" customWidth="1"/>
    <col min="6649" max="6649" width="16.125" style="416" customWidth="1"/>
    <col min="6650" max="6650" width="86" style="416" customWidth="1"/>
    <col min="6651" max="6651" width="5" style="416" customWidth="1"/>
    <col min="6652" max="6652" width="11.125" style="416" customWidth="1"/>
    <col min="6653" max="6653" width="10.375" style="416" customWidth="1"/>
    <col min="6654" max="6654" width="10.875" style="416" customWidth="1"/>
    <col min="6655" max="6655" width="7.75" style="416" customWidth="1"/>
    <col min="6656" max="6656" width="9.875" style="416" customWidth="1"/>
    <col min="6657" max="6657" width="10.625" style="416" customWidth="1"/>
    <col min="6658" max="6900" width="6.125" style="416"/>
    <col min="6901" max="6901" width="5" style="416" customWidth="1"/>
    <col min="6902" max="6902" width="8.875" style="416" customWidth="1"/>
    <col min="6903" max="6903" width="5" style="416" customWidth="1"/>
    <col min="6904" max="6904" width="8.25" style="416" customWidth="1"/>
    <col min="6905" max="6905" width="16.125" style="416" customWidth="1"/>
    <col min="6906" max="6906" width="86" style="416" customWidth="1"/>
    <col min="6907" max="6907" width="5" style="416" customWidth="1"/>
    <col min="6908" max="6908" width="11.125" style="416" customWidth="1"/>
    <col min="6909" max="6909" width="10.375" style="416" customWidth="1"/>
    <col min="6910" max="6910" width="10.875" style="416" customWidth="1"/>
    <col min="6911" max="6911" width="7.75" style="416" customWidth="1"/>
    <col min="6912" max="6912" width="9.875" style="416" customWidth="1"/>
    <col min="6913" max="6913" width="10.625" style="416" customWidth="1"/>
    <col min="6914" max="7156" width="6.125" style="416"/>
    <col min="7157" max="7157" width="5" style="416" customWidth="1"/>
    <col min="7158" max="7158" width="8.875" style="416" customWidth="1"/>
    <col min="7159" max="7159" width="5" style="416" customWidth="1"/>
    <col min="7160" max="7160" width="8.25" style="416" customWidth="1"/>
    <col min="7161" max="7161" width="16.125" style="416" customWidth="1"/>
    <col min="7162" max="7162" width="86" style="416" customWidth="1"/>
    <col min="7163" max="7163" width="5" style="416" customWidth="1"/>
    <col min="7164" max="7164" width="11.125" style="416" customWidth="1"/>
    <col min="7165" max="7165" width="10.375" style="416" customWidth="1"/>
    <col min="7166" max="7166" width="10.875" style="416" customWidth="1"/>
    <col min="7167" max="7167" width="7.75" style="416" customWidth="1"/>
    <col min="7168" max="7168" width="9.875" style="416" customWidth="1"/>
    <col min="7169" max="7169" width="10.625" style="416" customWidth="1"/>
    <col min="7170" max="7412" width="6.125" style="416"/>
    <col min="7413" max="7413" width="5" style="416" customWidth="1"/>
    <col min="7414" max="7414" width="8.875" style="416" customWidth="1"/>
    <col min="7415" max="7415" width="5" style="416" customWidth="1"/>
    <col min="7416" max="7416" width="8.25" style="416" customWidth="1"/>
    <col min="7417" max="7417" width="16.125" style="416" customWidth="1"/>
    <col min="7418" max="7418" width="86" style="416" customWidth="1"/>
    <col min="7419" max="7419" width="5" style="416" customWidth="1"/>
    <col min="7420" max="7420" width="11.125" style="416" customWidth="1"/>
    <col min="7421" max="7421" width="10.375" style="416" customWidth="1"/>
    <col min="7422" max="7422" width="10.875" style="416" customWidth="1"/>
    <col min="7423" max="7423" width="7.75" style="416" customWidth="1"/>
    <col min="7424" max="7424" width="9.875" style="416" customWidth="1"/>
    <col min="7425" max="7425" width="10.625" style="416" customWidth="1"/>
    <col min="7426" max="7668" width="6.125" style="416"/>
    <col min="7669" max="7669" width="5" style="416" customWidth="1"/>
    <col min="7670" max="7670" width="8.875" style="416" customWidth="1"/>
    <col min="7671" max="7671" width="5" style="416" customWidth="1"/>
    <col min="7672" max="7672" width="8.25" style="416" customWidth="1"/>
    <col min="7673" max="7673" width="16.125" style="416" customWidth="1"/>
    <col min="7674" max="7674" width="86" style="416" customWidth="1"/>
    <col min="7675" max="7675" width="5" style="416" customWidth="1"/>
    <col min="7676" max="7676" width="11.125" style="416" customWidth="1"/>
    <col min="7677" max="7677" width="10.375" style="416" customWidth="1"/>
    <col min="7678" max="7678" width="10.875" style="416" customWidth="1"/>
    <col min="7679" max="7679" width="7.75" style="416" customWidth="1"/>
    <col min="7680" max="7680" width="9.875" style="416" customWidth="1"/>
    <col min="7681" max="7681" width="10.625" style="416" customWidth="1"/>
    <col min="7682" max="7924" width="6.125" style="416"/>
    <col min="7925" max="7925" width="5" style="416" customWidth="1"/>
    <col min="7926" max="7926" width="8.875" style="416" customWidth="1"/>
    <col min="7927" max="7927" width="5" style="416" customWidth="1"/>
    <col min="7928" max="7928" width="8.25" style="416" customWidth="1"/>
    <col min="7929" max="7929" width="16.125" style="416" customWidth="1"/>
    <col min="7930" max="7930" width="86" style="416" customWidth="1"/>
    <col min="7931" max="7931" width="5" style="416" customWidth="1"/>
    <col min="7932" max="7932" width="11.125" style="416" customWidth="1"/>
    <col min="7933" max="7933" width="10.375" style="416" customWidth="1"/>
    <col min="7934" max="7934" width="10.875" style="416" customWidth="1"/>
    <col min="7935" max="7935" width="7.75" style="416" customWidth="1"/>
    <col min="7936" max="7936" width="9.875" style="416" customWidth="1"/>
    <col min="7937" max="7937" width="10.625" style="416" customWidth="1"/>
    <col min="7938" max="8180" width="6.125" style="416"/>
    <col min="8181" max="8181" width="5" style="416" customWidth="1"/>
    <col min="8182" max="8182" width="8.875" style="416" customWidth="1"/>
    <col min="8183" max="8183" width="5" style="416" customWidth="1"/>
    <col min="8184" max="8184" width="8.25" style="416" customWidth="1"/>
    <col min="8185" max="8185" width="16.125" style="416" customWidth="1"/>
    <col min="8186" max="8186" width="86" style="416" customWidth="1"/>
    <col min="8187" max="8187" width="5" style="416" customWidth="1"/>
    <col min="8188" max="8188" width="11.125" style="416" customWidth="1"/>
    <col min="8189" max="8189" width="10.375" style="416" customWidth="1"/>
    <col min="8190" max="8190" width="10.875" style="416" customWidth="1"/>
    <col min="8191" max="8191" width="7.75" style="416" customWidth="1"/>
    <col min="8192" max="8192" width="9.875" style="416" customWidth="1"/>
    <col min="8193" max="8193" width="10.625" style="416" customWidth="1"/>
    <col min="8194" max="8436" width="6.125" style="416"/>
    <col min="8437" max="8437" width="5" style="416" customWidth="1"/>
    <col min="8438" max="8438" width="8.875" style="416" customWidth="1"/>
    <col min="8439" max="8439" width="5" style="416" customWidth="1"/>
    <col min="8440" max="8440" width="8.25" style="416" customWidth="1"/>
    <col min="8441" max="8441" width="16.125" style="416" customWidth="1"/>
    <col min="8442" max="8442" width="86" style="416" customWidth="1"/>
    <col min="8443" max="8443" width="5" style="416" customWidth="1"/>
    <col min="8444" max="8444" width="11.125" style="416" customWidth="1"/>
    <col min="8445" max="8445" width="10.375" style="416" customWidth="1"/>
    <col min="8446" max="8446" width="10.875" style="416" customWidth="1"/>
    <col min="8447" max="8447" width="7.75" style="416" customWidth="1"/>
    <col min="8448" max="8448" width="9.875" style="416" customWidth="1"/>
    <col min="8449" max="8449" width="10.625" style="416" customWidth="1"/>
    <col min="8450" max="8692" width="6.125" style="416"/>
    <col min="8693" max="8693" width="5" style="416" customWidth="1"/>
    <col min="8694" max="8694" width="8.875" style="416" customWidth="1"/>
    <col min="8695" max="8695" width="5" style="416" customWidth="1"/>
    <col min="8696" max="8696" width="8.25" style="416" customWidth="1"/>
    <col min="8697" max="8697" width="16.125" style="416" customWidth="1"/>
    <col min="8698" max="8698" width="86" style="416" customWidth="1"/>
    <col min="8699" max="8699" width="5" style="416" customWidth="1"/>
    <col min="8700" max="8700" width="11.125" style="416" customWidth="1"/>
    <col min="8701" max="8701" width="10.375" style="416" customWidth="1"/>
    <col min="8702" max="8702" width="10.875" style="416" customWidth="1"/>
    <col min="8703" max="8703" width="7.75" style="416" customWidth="1"/>
    <col min="8704" max="8704" width="9.875" style="416" customWidth="1"/>
    <col min="8705" max="8705" width="10.625" style="416" customWidth="1"/>
    <col min="8706" max="8948" width="6.125" style="416"/>
    <col min="8949" max="8949" width="5" style="416" customWidth="1"/>
    <col min="8950" max="8950" width="8.875" style="416" customWidth="1"/>
    <col min="8951" max="8951" width="5" style="416" customWidth="1"/>
    <col min="8952" max="8952" width="8.25" style="416" customWidth="1"/>
    <col min="8953" max="8953" width="16.125" style="416" customWidth="1"/>
    <col min="8954" max="8954" width="86" style="416" customWidth="1"/>
    <col min="8955" max="8955" width="5" style="416" customWidth="1"/>
    <col min="8956" max="8956" width="11.125" style="416" customWidth="1"/>
    <col min="8957" max="8957" width="10.375" style="416" customWidth="1"/>
    <col min="8958" max="8958" width="10.875" style="416" customWidth="1"/>
    <col min="8959" max="8959" width="7.75" style="416" customWidth="1"/>
    <col min="8960" max="8960" width="9.875" style="416" customWidth="1"/>
    <col min="8961" max="8961" width="10.625" style="416" customWidth="1"/>
    <col min="8962" max="9204" width="6.125" style="416"/>
    <col min="9205" max="9205" width="5" style="416" customWidth="1"/>
    <col min="9206" max="9206" width="8.875" style="416" customWidth="1"/>
    <col min="9207" max="9207" width="5" style="416" customWidth="1"/>
    <col min="9208" max="9208" width="8.25" style="416" customWidth="1"/>
    <col min="9209" max="9209" width="16.125" style="416" customWidth="1"/>
    <col min="9210" max="9210" width="86" style="416" customWidth="1"/>
    <col min="9211" max="9211" width="5" style="416" customWidth="1"/>
    <col min="9212" max="9212" width="11.125" style="416" customWidth="1"/>
    <col min="9213" max="9213" width="10.375" style="416" customWidth="1"/>
    <col min="9214" max="9214" width="10.875" style="416" customWidth="1"/>
    <col min="9215" max="9215" width="7.75" style="416" customWidth="1"/>
    <col min="9216" max="9216" width="9.875" style="416" customWidth="1"/>
    <col min="9217" max="9217" width="10.625" style="416" customWidth="1"/>
    <col min="9218" max="9460" width="6.125" style="416"/>
    <col min="9461" max="9461" width="5" style="416" customWidth="1"/>
    <col min="9462" max="9462" width="8.875" style="416" customWidth="1"/>
    <col min="9463" max="9463" width="5" style="416" customWidth="1"/>
    <col min="9464" max="9464" width="8.25" style="416" customWidth="1"/>
    <col min="9465" max="9465" width="16.125" style="416" customWidth="1"/>
    <col min="9466" max="9466" width="86" style="416" customWidth="1"/>
    <col min="9467" max="9467" width="5" style="416" customWidth="1"/>
    <col min="9468" max="9468" width="11.125" style="416" customWidth="1"/>
    <col min="9469" max="9469" width="10.375" style="416" customWidth="1"/>
    <col min="9470" max="9470" width="10.875" style="416" customWidth="1"/>
    <col min="9471" max="9471" width="7.75" style="416" customWidth="1"/>
    <col min="9472" max="9472" width="9.875" style="416" customWidth="1"/>
    <col min="9473" max="9473" width="10.625" style="416" customWidth="1"/>
    <col min="9474" max="9716" width="6.125" style="416"/>
    <col min="9717" max="9717" width="5" style="416" customWidth="1"/>
    <col min="9718" max="9718" width="8.875" style="416" customWidth="1"/>
    <col min="9719" max="9719" width="5" style="416" customWidth="1"/>
    <col min="9720" max="9720" width="8.25" style="416" customWidth="1"/>
    <col min="9721" max="9721" width="16.125" style="416" customWidth="1"/>
    <col min="9722" max="9722" width="86" style="416" customWidth="1"/>
    <col min="9723" max="9723" width="5" style="416" customWidth="1"/>
    <col min="9724" max="9724" width="11.125" style="416" customWidth="1"/>
    <col min="9725" max="9725" width="10.375" style="416" customWidth="1"/>
    <col min="9726" max="9726" width="10.875" style="416" customWidth="1"/>
    <col min="9727" max="9727" width="7.75" style="416" customWidth="1"/>
    <col min="9728" max="9728" width="9.875" style="416" customWidth="1"/>
    <col min="9729" max="9729" width="10.625" style="416" customWidth="1"/>
    <col min="9730" max="9972" width="6.125" style="416"/>
    <col min="9973" max="9973" width="5" style="416" customWidth="1"/>
    <col min="9974" max="9974" width="8.875" style="416" customWidth="1"/>
    <col min="9975" max="9975" width="5" style="416" customWidth="1"/>
    <col min="9976" max="9976" width="8.25" style="416" customWidth="1"/>
    <col min="9977" max="9977" width="16.125" style="416" customWidth="1"/>
    <col min="9978" max="9978" width="86" style="416" customWidth="1"/>
    <col min="9979" max="9979" width="5" style="416" customWidth="1"/>
    <col min="9980" max="9980" width="11.125" style="416" customWidth="1"/>
    <col min="9981" max="9981" width="10.375" style="416" customWidth="1"/>
    <col min="9982" max="9982" width="10.875" style="416" customWidth="1"/>
    <col min="9983" max="9983" width="7.75" style="416" customWidth="1"/>
    <col min="9984" max="9984" width="9.875" style="416" customWidth="1"/>
    <col min="9985" max="9985" width="10.625" style="416" customWidth="1"/>
    <col min="9986" max="10228" width="6.125" style="416"/>
    <col min="10229" max="10229" width="5" style="416" customWidth="1"/>
    <col min="10230" max="10230" width="8.875" style="416" customWidth="1"/>
    <col min="10231" max="10231" width="5" style="416" customWidth="1"/>
    <col min="10232" max="10232" width="8.25" style="416" customWidth="1"/>
    <col min="10233" max="10233" width="16.125" style="416" customWidth="1"/>
    <col min="10234" max="10234" width="86" style="416" customWidth="1"/>
    <col min="10235" max="10235" width="5" style="416" customWidth="1"/>
    <col min="10236" max="10236" width="11.125" style="416" customWidth="1"/>
    <col min="10237" max="10237" width="10.375" style="416" customWidth="1"/>
    <col min="10238" max="10238" width="10.875" style="416" customWidth="1"/>
    <col min="10239" max="10239" width="7.75" style="416" customWidth="1"/>
    <col min="10240" max="10240" width="9.875" style="416" customWidth="1"/>
    <col min="10241" max="10241" width="10.625" style="416" customWidth="1"/>
    <col min="10242" max="10484" width="6.125" style="416"/>
    <col min="10485" max="10485" width="5" style="416" customWidth="1"/>
    <col min="10486" max="10486" width="8.875" style="416" customWidth="1"/>
    <col min="10487" max="10487" width="5" style="416" customWidth="1"/>
    <col min="10488" max="10488" width="8.25" style="416" customWidth="1"/>
    <col min="10489" max="10489" width="16.125" style="416" customWidth="1"/>
    <col min="10490" max="10490" width="86" style="416" customWidth="1"/>
    <col min="10491" max="10491" width="5" style="416" customWidth="1"/>
    <col min="10492" max="10492" width="11.125" style="416" customWidth="1"/>
    <col min="10493" max="10493" width="10.375" style="416" customWidth="1"/>
    <col min="10494" max="10494" width="10.875" style="416" customWidth="1"/>
    <col min="10495" max="10495" width="7.75" style="416" customWidth="1"/>
    <col min="10496" max="10496" width="9.875" style="416" customWidth="1"/>
    <col min="10497" max="10497" width="10.625" style="416" customWidth="1"/>
    <col min="10498" max="10740" width="6.125" style="416"/>
    <col min="10741" max="10741" width="5" style="416" customWidth="1"/>
    <col min="10742" max="10742" width="8.875" style="416" customWidth="1"/>
    <col min="10743" max="10743" width="5" style="416" customWidth="1"/>
    <col min="10744" max="10744" width="8.25" style="416" customWidth="1"/>
    <col min="10745" max="10745" width="16.125" style="416" customWidth="1"/>
    <col min="10746" max="10746" width="86" style="416" customWidth="1"/>
    <col min="10747" max="10747" width="5" style="416" customWidth="1"/>
    <col min="10748" max="10748" width="11.125" style="416" customWidth="1"/>
    <col min="10749" max="10749" width="10.375" style="416" customWidth="1"/>
    <col min="10750" max="10750" width="10.875" style="416" customWidth="1"/>
    <col min="10751" max="10751" width="7.75" style="416" customWidth="1"/>
    <col min="10752" max="10752" width="9.875" style="416" customWidth="1"/>
    <col min="10753" max="10753" width="10.625" style="416" customWidth="1"/>
    <col min="10754" max="10996" width="6.125" style="416"/>
    <col min="10997" max="10997" width="5" style="416" customWidth="1"/>
    <col min="10998" max="10998" width="8.875" style="416" customWidth="1"/>
    <col min="10999" max="10999" width="5" style="416" customWidth="1"/>
    <col min="11000" max="11000" width="8.25" style="416" customWidth="1"/>
    <col min="11001" max="11001" width="16.125" style="416" customWidth="1"/>
    <col min="11002" max="11002" width="86" style="416" customWidth="1"/>
    <col min="11003" max="11003" width="5" style="416" customWidth="1"/>
    <col min="11004" max="11004" width="11.125" style="416" customWidth="1"/>
    <col min="11005" max="11005" width="10.375" style="416" customWidth="1"/>
    <col min="11006" max="11006" width="10.875" style="416" customWidth="1"/>
    <col min="11007" max="11007" width="7.75" style="416" customWidth="1"/>
    <col min="11008" max="11008" width="9.875" style="416" customWidth="1"/>
    <col min="11009" max="11009" width="10.625" style="416" customWidth="1"/>
    <col min="11010" max="11252" width="6.125" style="416"/>
    <col min="11253" max="11253" width="5" style="416" customWidth="1"/>
    <col min="11254" max="11254" width="8.875" style="416" customWidth="1"/>
    <col min="11255" max="11255" width="5" style="416" customWidth="1"/>
    <col min="11256" max="11256" width="8.25" style="416" customWidth="1"/>
    <col min="11257" max="11257" width="16.125" style="416" customWidth="1"/>
    <col min="11258" max="11258" width="86" style="416" customWidth="1"/>
    <col min="11259" max="11259" width="5" style="416" customWidth="1"/>
    <col min="11260" max="11260" width="11.125" style="416" customWidth="1"/>
    <col min="11261" max="11261" width="10.375" style="416" customWidth="1"/>
    <col min="11262" max="11262" width="10.875" style="416" customWidth="1"/>
    <col min="11263" max="11263" width="7.75" style="416" customWidth="1"/>
    <col min="11264" max="11264" width="9.875" style="416" customWidth="1"/>
    <col min="11265" max="11265" width="10.625" style="416" customWidth="1"/>
    <col min="11266" max="11508" width="6.125" style="416"/>
    <col min="11509" max="11509" width="5" style="416" customWidth="1"/>
    <col min="11510" max="11510" width="8.875" style="416" customWidth="1"/>
    <col min="11511" max="11511" width="5" style="416" customWidth="1"/>
    <col min="11512" max="11512" width="8.25" style="416" customWidth="1"/>
    <col min="11513" max="11513" width="16.125" style="416" customWidth="1"/>
    <col min="11514" max="11514" width="86" style="416" customWidth="1"/>
    <col min="11515" max="11515" width="5" style="416" customWidth="1"/>
    <col min="11516" max="11516" width="11.125" style="416" customWidth="1"/>
    <col min="11517" max="11517" width="10.375" style="416" customWidth="1"/>
    <col min="11518" max="11518" width="10.875" style="416" customWidth="1"/>
    <col min="11519" max="11519" width="7.75" style="416" customWidth="1"/>
    <col min="11520" max="11520" width="9.875" style="416" customWidth="1"/>
    <col min="11521" max="11521" width="10.625" style="416" customWidth="1"/>
    <col min="11522" max="11764" width="6.125" style="416"/>
    <col min="11765" max="11765" width="5" style="416" customWidth="1"/>
    <col min="11766" max="11766" width="8.875" style="416" customWidth="1"/>
    <col min="11767" max="11767" width="5" style="416" customWidth="1"/>
    <col min="11768" max="11768" width="8.25" style="416" customWidth="1"/>
    <col min="11769" max="11769" width="16.125" style="416" customWidth="1"/>
    <col min="11770" max="11770" width="86" style="416" customWidth="1"/>
    <col min="11771" max="11771" width="5" style="416" customWidth="1"/>
    <col min="11772" max="11772" width="11.125" style="416" customWidth="1"/>
    <col min="11773" max="11773" width="10.375" style="416" customWidth="1"/>
    <col min="11774" max="11774" width="10.875" style="416" customWidth="1"/>
    <col min="11775" max="11775" width="7.75" style="416" customWidth="1"/>
    <col min="11776" max="11776" width="9.875" style="416" customWidth="1"/>
    <col min="11777" max="11777" width="10.625" style="416" customWidth="1"/>
    <col min="11778" max="12020" width="6.125" style="416"/>
    <col min="12021" max="12021" width="5" style="416" customWidth="1"/>
    <col min="12022" max="12022" width="8.875" style="416" customWidth="1"/>
    <col min="12023" max="12023" width="5" style="416" customWidth="1"/>
    <col min="12024" max="12024" width="8.25" style="416" customWidth="1"/>
    <col min="12025" max="12025" width="16.125" style="416" customWidth="1"/>
    <col min="12026" max="12026" width="86" style="416" customWidth="1"/>
    <col min="12027" max="12027" width="5" style="416" customWidth="1"/>
    <col min="12028" max="12028" width="11.125" style="416" customWidth="1"/>
    <col min="12029" max="12029" width="10.375" style="416" customWidth="1"/>
    <col min="12030" max="12030" width="10.875" style="416" customWidth="1"/>
    <col min="12031" max="12031" width="7.75" style="416" customWidth="1"/>
    <col min="12032" max="12032" width="9.875" style="416" customWidth="1"/>
    <col min="12033" max="12033" width="10.625" style="416" customWidth="1"/>
    <col min="12034" max="12276" width="6.125" style="416"/>
    <col min="12277" max="12277" width="5" style="416" customWidth="1"/>
    <col min="12278" max="12278" width="8.875" style="416" customWidth="1"/>
    <col min="12279" max="12279" width="5" style="416" customWidth="1"/>
    <col min="12280" max="12280" width="8.25" style="416" customWidth="1"/>
    <col min="12281" max="12281" width="16.125" style="416" customWidth="1"/>
    <col min="12282" max="12282" width="86" style="416" customWidth="1"/>
    <col min="12283" max="12283" width="5" style="416" customWidth="1"/>
    <col min="12284" max="12284" width="11.125" style="416" customWidth="1"/>
    <col min="12285" max="12285" width="10.375" style="416" customWidth="1"/>
    <col min="12286" max="12286" width="10.875" style="416" customWidth="1"/>
    <col min="12287" max="12287" width="7.75" style="416" customWidth="1"/>
    <col min="12288" max="12288" width="9.875" style="416" customWidth="1"/>
    <col min="12289" max="12289" width="10.625" style="416" customWidth="1"/>
    <col min="12290" max="12532" width="6.125" style="416"/>
    <col min="12533" max="12533" width="5" style="416" customWidth="1"/>
    <col min="12534" max="12534" width="8.875" style="416" customWidth="1"/>
    <col min="12535" max="12535" width="5" style="416" customWidth="1"/>
    <col min="12536" max="12536" width="8.25" style="416" customWidth="1"/>
    <col min="12537" max="12537" width="16.125" style="416" customWidth="1"/>
    <col min="12538" max="12538" width="86" style="416" customWidth="1"/>
    <col min="12539" max="12539" width="5" style="416" customWidth="1"/>
    <col min="12540" max="12540" width="11.125" style="416" customWidth="1"/>
    <col min="12541" max="12541" width="10.375" style="416" customWidth="1"/>
    <col min="12542" max="12542" width="10.875" style="416" customWidth="1"/>
    <col min="12543" max="12543" width="7.75" style="416" customWidth="1"/>
    <col min="12544" max="12544" width="9.875" style="416" customWidth="1"/>
    <col min="12545" max="12545" width="10.625" style="416" customWidth="1"/>
    <col min="12546" max="12788" width="6.125" style="416"/>
    <col min="12789" max="12789" width="5" style="416" customWidth="1"/>
    <col min="12790" max="12790" width="8.875" style="416" customWidth="1"/>
    <col min="12791" max="12791" width="5" style="416" customWidth="1"/>
    <col min="12792" max="12792" width="8.25" style="416" customWidth="1"/>
    <col min="12793" max="12793" width="16.125" style="416" customWidth="1"/>
    <col min="12794" max="12794" width="86" style="416" customWidth="1"/>
    <col min="12795" max="12795" width="5" style="416" customWidth="1"/>
    <col min="12796" max="12796" width="11.125" style="416" customWidth="1"/>
    <col min="12797" max="12797" width="10.375" style="416" customWidth="1"/>
    <col min="12798" max="12798" width="10.875" style="416" customWidth="1"/>
    <col min="12799" max="12799" width="7.75" style="416" customWidth="1"/>
    <col min="12800" max="12800" width="9.875" style="416" customWidth="1"/>
    <col min="12801" max="12801" width="10.625" style="416" customWidth="1"/>
    <col min="12802" max="13044" width="6.125" style="416"/>
    <col min="13045" max="13045" width="5" style="416" customWidth="1"/>
    <col min="13046" max="13046" width="8.875" style="416" customWidth="1"/>
    <col min="13047" max="13047" width="5" style="416" customWidth="1"/>
    <col min="13048" max="13048" width="8.25" style="416" customWidth="1"/>
    <col min="13049" max="13049" width="16.125" style="416" customWidth="1"/>
    <col min="13050" max="13050" width="86" style="416" customWidth="1"/>
    <col min="13051" max="13051" width="5" style="416" customWidth="1"/>
    <col min="13052" max="13052" width="11.125" style="416" customWidth="1"/>
    <col min="13053" max="13053" width="10.375" style="416" customWidth="1"/>
    <col min="13054" max="13054" width="10.875" style="416" customWidth="1"/>
    <col min="13055" max="13055" width="7.75" style="416" customWidth="1"/>
    <col min="13056" max="13056" width="9.875" style="416" customWidth="1"/>
    <col min="13057" max="13057" width="10.625" style="416" customWidth="1"/>
    <col min="13058" max="13300" width="6.125" style="416"/>
    <col min="13301" max="13301" width="5" style="416" customWidth="1"/>
    <col min="13302" max="13302" width="8.875" style="416" customWidth="1"/>
    <col min="13303" max="13303" width="5" style="416" customWidth="1"/>
    <col min="13304" max="13304" width="8.25" style="416" customWidth="1"/>
    <col min="13305" max="13305" width="16.125" style="416" customWidth="1"/>
    <col min="13306" max="13306" width="86" style="416" customWidth="1"/>
    <col min="13307" max="13307" width="5" style="416" customWidth="1"/>
    <col min="13308" max="13308" width="11.125" style="416" customWidth="1"/>
    <col min="13309" max="13309" width="10.375" style="416" customWidth="1"/>
    <col min="13310" max="13310" width="10.875" style="416" customWidth="1"/>
    <col min="13311" max="13311" width="7.75" style="416" customWidth="1"/>
    <col min="13312" max="13312" width="9.875" style="416" customWidth="1"/>
    <col min="13313" max="13313" width="10.625" style="416" customWidth="1"/>
    <col min="13314" max="13556" width="6.125" style="416"/>
    <col min="13557" max="13557" width="5" style="416" customWidth="1"/>
    <col min="13558" max="13558" width="8.875" style="416" customWidth="1"/>
    <col min="13559" max="13559" width="5" style="416" customWidth="1"/>
    <col min="13560" max="13560" width="8.25" style="416" customWidth="1"/>
    <col min="13561" max="13561" width="16.125" style="416" customWidth="1"/>
    <col min="13562" max="13562" width="86" style="416" customWidth="1"/>
    <col min="13563" max="13563" width="5" style="416" customWidth="1"/>
    <col min="13564" max="13564" width="11.125" style="416" customWidth="1"/>
    <col min="13565" max="13565" width="10.375" style="416" customWidth="1"/>
    <col min="13566" max="13566" width="10.875" style="416" customWidth="1"/>
    <col min="13567" max="13567" width="7.75" style="416" customWidth="1"/>
    <col min="13568" max="13568" width="9.875" style="416" customWidth="1"/>
    <col min="13569" max="13569" width="10.625" style="416" customWidth="1"/>
    <col min="13570" max="13812" width="6.125" style="416"/>
    <col min="13813" max="13813" width="5" style="416" customWidth="1"/>
    <col min="13814" max="13814" width="8.875" style="416" customWidth="1"/>
    <col min="13815" max="13815" width="5" style="416" customWidth="1"/>
    <col min="13816" max="13816" width="8.25" style="416" customWidth="1"/>
    <col min="13817" max="13817" width="16.125" style="416" customWidth="1"/>
    <col min="13818" max="13818" width="86" style="416" customWidth="1"/>
    <col min="13819" max="13819" width="5" style="416" customWidth="1"/>
    <col min="13820" max="13820" width="11.125" style="416" customWidth="1"/>
    <col min="13821" max="13821" width="10.375" style="416" customWidth="1"/>
    <col min="13822" max="13822" width="10.875" style="416" customWidth="1"/>
    <col min="13823" max="13823" width="7.75" style="416" customWidth="1"/>
    <col min="13824" max="13824" width="9.875" style="416" customWidth="1"/>
    <col min="13825" max="13825" width="10.625" style="416" customWidth="1"/>
    <col min="13826" max="14068" width="6.125" style="416"/>
    <col min="14069" max="14069" width="5" style="416" customWidth="1"/>
    <col min="14070" max="14070" width="8.875" style="416" customWidth="1"/>
    <col min="14071" max="14071" width="5" style="416" customWidth="1"/>
    <col min="14072" max="14072" width="8.25" style="416" customWidth="1"/>
    <col min="14073" max="14073" width="16.125" style="416" customWidth="1"/>
    <col min="14074" max="14074" width="86" style="416" customWidth="1"/>
    <col min="14075" max="14075" width="5" style="416" customWidth="1"/>
    <col min="14076" max="14076" width="11.125" style="416" customWidth="1"/>
    <col min="14077" max="14077" width="10.375" style="416" customWidth="1"/>
    <col min="14078" max="14078" width="10.875" style="416" customWidth="1"/>
    <col min="14079" max="14079" width="7.75" style="416" customWidth="1"/>
    <col min="14080" max="14080" width="9.875" style="416" customWidth="1"/>
    <col min="14081" max="14081" width="10.625" style="416" customWidth="1"/>
    <col min="14082" max="14324" width="6.125" style="416"/>
    <col min="14325" max="14325" width="5" style="416" customWidth="1"/>
    <col min="14326" max="14326" width="8.875" style="416" customWidth="1"/>
    <col min="14327" max="14327" width="5" style="416" customWidth="1"/>
    <col min="14328" max="14328" width="8.25" style="416" customWidth="1"/>
    <col min="14329" max="14329" width="16.125" style="416" customWidth="1"/>
    <col min="14330" max="14330" width="86" style="416" customWidth="1"/>
    <col min="14331" max="14331" width="5" style="416" customWidth="1"/>
    <col min="14332" max="14332" width="11.125" style="416" customWidth="1"/>
    <col min="14333" max="14333" width="10.375" style="416" customWidth="1"/>
    <col min="14334" max="14334" width="10.875" style="416" customWidth="1"/>
    <col min="14335" max="14335" width="7.75" style="416" customWidth="1"/>
    <col min="14336" max="14336" width="9.875" style="416" customWidth="1"/>
    <col min="14337" max="14337" width="10.625" style="416" customWidth="1"/>
    <col min="14338" max="14580" width="6.125" style="416"/>
    <col min="14581" max="14581" width="5" style="416" customWidth="1"/>
    <col min="14582" max="14582" width="8.875" style="416" customWidth="1"/>
    <col min="14583" max="14583" width="5" style="416" customWidth="1"/>
    <col min="14584" max="14584" width="8.25" style="416" customWidth="1"/>
    <col min="14585" max="14585" width="16.125" style="416" customWidth="1"/>
    <col min="14586" max="14586" width="86" style="416" customWidth="1"/>
    <col min="14587" max="14587" width="5" style="416" customWidth="1"/>
    <col min="14588" max="14588" width="11.125" style="416" customWidth="1"/>
    <col min="14589" max="14589" width="10.375" style="416" customWidth="1"/>
    <col min="14590" max="14590" width="10.875" style="416" customWidth="1"/>
    <col min="14591" max="14591" width="7.75" style="416" customWidth="1"/>
    <col min="14592" max="14592" width="9.875" style="416" customWidth="1"/>
    <col min="14593" max="14593" width="10.625" style="416" customWidth="1"/>
    <col min="14594" max="14836" width="6.125" style="416"/>
    <col min="14837" max="14837" width="5" style="416" customWidth="1"/>
    <col min="14838" max="14838" width="8.875" style="416" customWidth="1"/>
    <col min="14839" max="14839" width="5" style="416" customWidth="1"/>
    <col min="14840" max="14840" width="8.25" style="416" customWidth="1"/>
    <col min="14841" max="14841" width="16.125" style="416" customWidth="1"/>
    <col min="14842" max="14842" width="86" style="416" customWidth="1"/>
    <col min="14843" max="14843" width="5" style="416" customWidth="1"/>
    <col min="14844" max="14844" width="11.125" style="416" customWidth="1"/>
    <col min="14845" max="14845" width="10.375" style="416" customWidth="1"/>
    <col min="14846" max="14846" width="10.875" style="416" customWidth="1"/>
    <col min="14847" max="14847" width="7.75" style="416" customWidth="1"/>
    <col min="14848" max="14848" width="9.875" style="416" customWidth="1"/>
    <col min="14849" max="14849" width="10.625" style="416" customWidth="1"/>
    <col min="14850" max="15092" width="6.125" style="416"/>
    <col min="15093" max="15093" width="5" style="416" customWidth="1"/>
    <col min="15094" max="15094" width="8.875" style="416" customWidth="1"/>
    <col min="15095" max="15095" width="5" style="416" customWidth="1"/>
    <col min="15096" max="15096" width="8.25" style="416" customWidth="1"/>
    <col min="15097" max="15097" width="16.125" style="416" customWidth="1"/>
    <col min="15098" max="15098" width="86" style="416" customWidth="1"/>
    <col min="15099" max="15099" width="5" style="416" customWidth="1"/>
    <col min="15100" max="15100" width="11.125" style="416" customWidth="1"/>
    <col min="15101" max="15101" width="10.375" style="416" customWidth="1"/>
    <col min="15102" max="15102" width="10.875" style="416" customWidth="1"/>
    <col min="15103" max="15103" width="7.75" style="416" customWidth="1"/>
    <col min="15104" max="15104" width="9.875" style="416" customWidth="1"/>
    <col min="15105" max="15105" width="10.625" style="416" customWidth="1"/>
    <col min="15106" max="15348" width="6.125" style="416"/>
    <col min="15349" max="15349" width="5" style="416" customWidth="1"/>
    <col min="15350" max="15350" width="8.875" style="416" customWidth="1"/>
    <col min="15351" max="15351" width="5" style="416" customWidth="1"/>
    <col min="15352" max="15352" width="8.25" style="416" customWidth="1"/>
    <col min="15353" max="15353" width="16.125" style="416" customWidth="1"/>
    <col min="15354" max="15354" width="86" style="416" customWidth="1"/>
    <col min="15355" max="15355" width="5" style="416" customWidth="1"/>
    <col min="15356" max="15356" width="11.125" style="416" customWidth="1"/>
    <col min="15357" max="15357" width="10.375" style="416" customWidth="1"/>
    <col min="15358" max="15358" width="10.875" style="416" customWidth="1"/>
    <col min="15359" max="15359" width="7.75" style="416" customWidth="1"/>
    <col min="15360" max="15360" width="9.875" style="416" customWidth="1"/>
    <col min="15361" max="15361" width="10.625" style="416" customWidth="1"/>
    <col min="15362" max="15604" width="6.125" style="416"/>
    <col min="15605" max="15605" width="5" style="416" customWidth="1"/>
    <col min="15606" max="15606" width="8.875" style="416" customWidth="1"/>
    <col min="15607" max="15607" width="5" style="416" customWidth="1"/>
    <col min="15608" max="15608" width="8.25" style="416" customWidth="1"/>
    <col min="15609" max="15609" width="16.125" style="416" customWidth="1"/>
    <col min="15610" max="15610" width="86" style="416" customWidth="1"/>
    <col min="15611" max="15611" width="5" style="416" customWidth="1"/>
    <col min="15612" max="15612" width="11.125" style="416" customWidth="1"/>
    <col min="15613" max="15613" width="10.375" style="416" customWidth="1"/>
    <col min="15614" max="15614" width="10.875" style="416" customWidth="1"/>
    <col min="15615" max="15615" width="7.75" style="416" customWidth="1"/>
    <col min="15616" max="15616" width="9.875" style="416" customWidth="1"/>
    <col min="15617" max="15617" width="10.625" style="416" customWidth="1"/>
    <col min="15618" max="15860" width="6.125" style="416"/>
    <col min="15861" max="15861" width="5" style="416" customWidth="1"/>
    <col min="15862" max="15862" width="8.875" style="416" customWidth="1"/>
    <col min="15863" max="15863" width="5" style="416" customWidth="1"/>
    <col min="15864" max="15864" width="8.25" style="416" customWidth="1"/>
    <col min="15865" max="15865" width="16.125" style="416" customWidth="1"/>
    <col min="15866" max="15866" width="86" style="416" customWidth="1"/>
    <col min="15867" max="15867" width="5" style="416" customWidth="1"/>
    <col min="15868" max="15868" width="11.125" style="416" customWidth="1"/>
    <col min="15869" max="15869" width="10.375" style="416" customWidth="1"/>
    <col min="15870" max="15870" width="10.875" style="416" customWidth="1"/>
    <col min="15871" max="15871" width="7.75" style="416" customWidth="1"/>
    <col min="15872" max="15872" width="9.875" style="416" customWidth="1"/>
    <col min="15873" max="15873" width="10.625" style="416" customWidth="1"/>
    <col min="15874" max="16116" width="6.125" style="416"/>
    <col min="16117" max="16117" width="5" style="416" customWidth="1"/>
    <col min="16118" max="16118" width="8.875" style="416" customWidth="1"/>
    <col min="16119" max="16119" width="5" style="416" customWidth="1"/>
    <col min="16120" max="16120" width="8.25" style="416" customWidth="1"/>
    <col min="16121" max="16121" width="16.125" style="416" customWidth="1"/>
    <col min="16122" max="16122" width="86" style="416" customWidth="1"/>
    <col min="16123" max="16123" width="5" style="416" customWidth="1"/>
    <col min="16124" max="16124" width="11.125" style="416" customWidth="1"/>
    <col min="16125" max="16125" width="10.375" style="416" customWidth="1"/>
    <col min="16126" max="16126" width="10.875" style="416" customWidth="1"/>
    <col min="16127" max="16127" width="7.75" style="416" customWidth="1"/>
    <col min="16128" max="16128" width="9.875" style="416" customWidth="1"/>
    <col min="16129" max="16129" width="10.625" style="416" customWidth="1"/>
    <col min="16130" max="16384" width="6.125" style="416"/>
  </cols>
  <sheetData>
    <row r="1" spans="1:15">
      <c r="A1" s="307" t="s">
        <v>146</v>
      </c>
      <c r="B1" s="307"/>
      <c r="C1" s="307"/>
      <c r="D1" s="307"/>
      <c r="E1" s="307"/>
      <c r="F1" s="307"/>
      <c r="G1" s="307"/>
      <c r="H1" s="307"/>
      <c r="I1" s="307"/>
      <c r="J1" s="307"/>
      <c r="K1" s="307"/>
      <c r="L1" s="307"/>
      <c r="M1" s="307"/>
      <c r="N1" s="307"/>
      <c r="O1" s="307"/>
    </row>
    <row r="2" customHeight="1" spans="1:15">
      <c r="A2" s="308"/>
      <c r="B2" s="308"/>
      <c r="C2" s="308"/>
      <c r="D2" s="308"/>
      <c r="E2" s="308"/>
      <c r="F2" s="308"/>
      <c r="G2" s="308"/>
      <c r="H2" s="308"/>
      <c r="I2" s="308"/>
      <c r="J2" s="308"/>
      <c r="K2" s="308"/>
      <c r="L2" s="308"/>
      <c r="M2" s="308"/>
      <c r="N2" s="308"/>
      <c r="O2" s="308"/>
    </row>
    <row r="3" ht="16.5" spans="1:16">
      <c r="A3" s="308"/>
      <c r="B3" s="308"/>
      <c r="C3" s="308"/>
      <c r="D3" s="308"/>
      <c r="E3" s="308"/>
      <c r="F3" s="308"/>
      <c r="G3" s="308"/>
      <c r="H3" s="308"/>
      <c r="I3" s="308"/>
      <c r="J3" s="308"/>
      <c r="K3" s="308"/>
      <c r="L3" s="448"/>
      <c r="M3" s="448"/>
      <c r="N3" s="448"/>
      <c r="O3" s="448"/>
      <c r="P3" s="308"/>
    </row>
    <row r="4" s="413" customFormat="1" ht="64.5" spans="1:16">
      <c r="A4" s="310" t="s">
        <v>36</v>
      </c>
      <c r="B4" s="311" t="s">
        <v>37</v>
      </c>
      <c r="C4" s="311" t="s">
        <v>38</v>
      </c>
      <c r="D4" s="311" t="s">
        <v>39</v>
      </c>
      <c r="E4" s="311" t="s">
        <v>40</v>
      </c>
      <c r="F4" s="312" t="s">
        <v>41</v>
      </c>
      <c r="G4" s="312" t="s">
        <v>42</v>
      </c>
      <c r="H4" s="418" t="s">
        <v>147</v>
      </c>
      <c r="I4" s="418" t="s">
        <v>148</v>
      </c>
      <c r="J4" s="418" t="s">
        <v>149</v>
      </c>
      <c r="K4" s="311" t="s">
        <v>150</v>
      </c>
      <c r="L4" s="311" t="s">
        <v>151</v>
      </c>
      <c r="M4" s="311" t="s">
        <v>152</v>
      </c>
      <c r="N4" s="311" t="s">
        <v>44</v>
      </c>
      <c r="O4" s="311" t="s">
        <v>45</v>
      </c>
      <c r="P4" s="449" t="s">
        <v>153</v>
      </c>
    </row>
    <row r="5" s="413" customFormat="1" ht="54" customHeight="1" spans="1:16">
      <c r="A5" s="419"/>
      <c r="B5" s="420"/>
      <c r="C5" s="420"/>
      <c r="D5" s="420"/>
      <c r="E5" s="420"/>
      <c r="F5" s="315"/>
      <c r="G5" s="315"/>
      <c r="H5" s="421"/>
      <c r="I5" s="421"/>
      <c r="J5" s="421"/>
      <c r="K5" s="420"/>
      <c r="L5" s="420"/>
      <c r="M5" s="420"/>
      <c r="N5" s="420"/>
      <c r="O5" s="420"/>
      <c r="P5" s="420"/>
    </row>
    <row r="6" s="413" customFormat="1" ht="15.75" spans="1:16">
      <c r="A6" s="108" t="s">
        <v>46</v>
      </c>
      <c r="B6" s="96"/>
      <c r="C6" s="96"/>
      <c r="D6" s="96"/>
      <c r="E6" s="96"/>
      <c r="F6" s="422" t="s">
        <v>154</v>
      </c>
      <c r="G6" s="423" t="s">
        <v>155</v>
      </c>
      <c r="H6" s="128">
        <v>1</v>
      </c>
      <c r="I6" s="450">
        <v>1</v>
      </c>
      <c r="J6" s="450">
        <f>SUM(H6:I6)</f>
        <v>2</v>
      </c>
      <c r="K6" s="451">
        <v>100000</v>
      </c>
      <c r="L6" s="452"/>
      <c r="M6" s="452"/>
      <c r="N6" s="452"/>
      <c r="O6" s="452">
        <f>SUM(J6*K6)</f>
        <v>200000</v>
      </c>
      <c r="P6" s="453"/>
    </row>
    <row r="7" s="413" customFormat="1" ht="15" spans="1:16">
      <c r="A7" s="97"/>
      <c r="B7" s="97"/>
      <c r="C7" s="97"/>
      <c r="D7" s="97"/>
      <c r="E7" s="97"/>
      <c r="F7" s="424"/>
      <c r="G7" s="97"/>
      <c r="H7" s="425"/>
      <c r="I7" s="425"/>
      <c r="J7" s="425"/>
      <c r="K7" s="157"/>
      <c r="L7" s="157"/>
      <c r="M7" s="89"/>
      <c r="N7" s="454"/>
      <c r="O7" s="454"/>
      <c r="P7" s="454"/>
    </row>
    <row r="8" s="413" customFormat="1" ht="13.5" spans="1:16">
      <c r="A8" s="397"/>
      <c r="B8" s="337"/>
      <c r="C8" s="337"/>
      <c r="D8" s="337"/>
      <c r="E8" s="337"/>
      <c r="F8" s="426"/>
      <c r="G8" s="426"/>
      <c r="H8" s="427"/>
      <c r="I8" s="427"/>
      <c r="J8" s="427"/>
      <c r="K8" s="337"/>
      <c r="L8" s="337"/>
      <c r="M8" s="337"/>
      <c r="N8" s="337"/>
      <c r="O8" s="337"/>
      <c r="P8" s="337"/>
    </row>
    <row r="9" ht="15.75" spans="1:16">
      <c r="A9" s="108" t="s">
        <v>69</v>
      </c>
      <c r="B9" s="96"/>
      <c r="C9" s="96"/>
      <c r="D9" s="96"/>
      <c r="E9" s="96"/>
      <c r="F9" s="109" t="s">
        <v>156</v>
      </c>
      <c r="G9" s="96"/>
      <c r="H9" s="190"/>
      <c r="I9" s="190"/>
      <c r="J9" s="190"/>
      <c r="K9" s="155"/>
      <c r="L9" s="452"/>
      <c r="M9" s="452"/>
      <c r="N9" s="452"/>
      <c r="O9" s="452"/>
      <c r="P9" s="453"/>
    </row>
    <row r="10" ht="240" spans="1:16">
      <c r="A10" s="99">
        <v>2.1</v>
      </c>
      <c r="B10" s="99" t="s">
        <v>157</v>
      </c>
      <c r="C10" s="99" t="s">
        <v>158</v>
      </c>
      <c r="D10" s="99" t="s">
        <v>159</v>
      </c>
      <c r="E10" s="99" t="s">
        <v>160</v>
      </c>
      <c r="F10" s="110" t="s">
        <v>161</v>
      </c>
      <c r="G10" s="111" t="s">
        <v>162</v>
      </c>
      <c r="H10" s="130">
        <v>62</v>
      </c>
      <c r="I10" s="130">
        <f>7*3.6</f>
        <v>25.2</v>
      </c>
      <c r="J10" s="130">
        <f>SUM(H10:I10)</f>
        <v>87.2</v>
      </c>
      <c r="K10" s="455">
        <v>2050</v>
      </c>
      <c r="L10" s="456"/>
      <c r="M10" s="456"/>
      <c r="N10" s="456"/>
      <c r="O10" s="456">
        <f>SUM(J10*K10)</f>
        <v>178760</v>
      </c>
      <c r="P10" s="456"/>
    </row>
    <row r="11" ht="15" spans="1:16">
      <c r="A11" s="112"/>
      <c r="B11" s="112"/>
      <c r="C11" s="112"/>
      <c r="D11" s="112"/>
      <c r="E11" s="112"/>
      <c r="F11" s="112"/>
      <c r="G11" s="112"/>
      <c r="H11" s="131"/>
      <c r="I11" s="131"/>
      <c r="J11" s="131"/>
      <c r="K11" s="163"/>
      <c r="L11" s="457"/>
      <c r="M11" s="457"/>
      <c r="N11" s="457"/>
      <c r="O11" s="457"/>
      <c r="P11" s="457"/>
    </row>
    <row r="12" ht="240" spans="1:16">
      <c r="A12" s="114">
        <v>2.2</v>
      </c>
      <c r="B12" s="114" t="s">
        <v>157</v>
      </c>
      <c r="C12" s="114" t="s">
        <v>158</v>
      </c>
      <c r="D12" s="114" t="s">
        <v>159</v>
      </c>
      <c r="E12" s="114" t="s">
        <v>163</v>
      </c>
      <c r="F12" s="115" t="s">
        <v>164</v>
      </c>
      <c r="G12" s="116" t="s">
        <v>162</v>
      </c>
      <c r="H12" s="131">
        <v>36.12</v>
      </c>
      <c r="I12" s="131">
        <v>5</v>
      </c>
      <c r="J12" s="130">
        <f>SUM(H12:I12)</f>
        <v>41.12</v>
      </c>
      <c r="K12" s="163">
        <v>1850</v>
      </c>
      <c r="L12" s="457"/>
      <c r="M12" s="457"/>
      <c r="N12" s="457"/>
      <c r="O12" s="456">
        <f>SUM(J12*K12)</f>
        <v>76072</v>
      </c>
      <c r="P12" s="457"/>
    </row>
    <row r="13" ht="15" spans="1:16">
      <c r="A13" s="112"/>
      <c r="B13" s="112"/>
      <c r="C13" s="112"/>
      <c r="D13" s="112"/>
      <c r="E13" s="112"/>
      <c r="F13" s="112"/>
      <c r="G13" s="112"/>
      <c r="H13" s="131"/>
      <c r="I13" s="131"/>
      <c r="J13" s="131"/>
      <c r="K13" s="163"/>
      <c r="L13" s="457"/>
      <c r="M13" s="457"/>
      <c r="N13" s="457"/>
      <c r="O13" s="457"/>
      <c r="P13" s="457"/>
    </row>
    <row r="14" ht="300" spans="1:16">
      <c r="A14" s="114">
        <v>2.3</v>
      </c>
      <c r="B14" s="114" t="s">
        <v>165</v>
      </c>
      <c r="C14" s="114" t="s">
        <v>158</v>
      </c>
      <c r="D14" s="114" t="s">
        <v>166</v>
      </c>
      <c r="E14" s="114" t="s">
        <v>167</v>
      </c>
      <c r="F14" s="115" t="s">
        <v>168</v>
      </c>
      <c r="G14" s="116" t="s">
        <v>162</v>
      </c>
      <c r="H14" s="131">
        <v>180.79</v>
      </c>
      <c r="I14" s="131">
        <f>60</f>
        <v>60</v>
      </c>
      <c r="J14" s="130">
        <f>SUM(H14:I14)</f>
        <v>240.79</v>
      </c>
      <c r="K14" s="163">
        <v>650</v>
      </c>
      <c r="L14" s="457"/>
      <c r="M14" s="457"/>
      <c r="N14" s="457"/>
      <c r="O14" s="456">
        <f>SUM(J14*K14)</f>
        <v>156513.5</v>
      </c>
      <c r="P14" s="457"/>
    </row>
    <row r="15" ht="15" spans="1:16">
      <c r="A15" s="112"/>
      <c r="B15" s="112"/>
      <c r="C15" s="112"/>
      <c r="D15" s="112"/>
      <c r="E15" s="112"/>
      <c r="F15" s="112"/>
      <c r="G15" s="112"/>
      <c r="H15" s="131"/>
      <c r="I15" s="131"/>
      <c r="J15" s="131"/>
      <c r="K15" s="163"/>
      <c r="L15" s="457"/>
      <c r="M15" s="457"/>
      <c r="N15" s="457"/>
      <c r="O15" s="457"/>
      <c r="P15" s="457"/>
    </row>
    <row r="16" ht="300" spans="1:16">
      <c r="A16" s="114">
        <v>2.4</v>
      </c>
      <c r="B16" s="114" t="s">
        <v>165</v>
      </c>
      <c r="C16" s="114" t="s">
        <v>158</v>
      </c>
      <c r="D16" s="114" t="s">
        <v>169</v>
      </c>
      <c r="E16" s="114" t="s">
        <v>170</v>
      </c>
      <c r="F16" s="115" t="s">
        <v>168</v>
      </c>
      <c r="G16" s="116" t="s">
        <v>162</v>
      </c>
      <c r="H16" s="131">
        <v>408.3</v>
      </c>
      <c r="I16" s="131">
        <f>10*3.6</f>
        <v>36</v>
      </c>
      <c r="J16" s="130">
        <f>SUM(H16:I16)</f>
        <v>444.3</v>
      </c>
      <c r="K16" s="162">
        <v>850</v>
      </c>
      <c r="L16" s="457"/>
      <c r="M16" s="457"/>
      <c r="N16" s="457"/>
      <c r="O16" s="456">
        <f>SUM(J16*K16)</f>
        <v>377655</v>
      </c>
      <c r="P16" s="457"/>
    </row>
    <row r="17" ht="15" spans="1:16">
      <c r="A17" s="114"/>
      <c r="B17" s="114"/>
      <c r="C17" s="114"/>
      <c r="D17" s="114"/>
      <c r="E17" s="114"/>
      <c r="F17" s="115"/>
      <c r="G17" s="116"/>
      <c r="H17" s="131"/>
      <c r="I17" s="131"/>
      <c r="J17" s="131"/>
      <c r="K17" s="162"/>
      <c r="L17" s="457"/>
      <c r="M17" s="457"/>
      <c r="N17" s="457"/>
      <c r="O17" s="457"/>
      <c r="P17" s="457"/>
    </row>
    <row r="18" ht="135" spans="1:16">
      <c r="A18" s="114">
        <v>2.5</v>
      </c>
      <c r="B18" s="114" t="s">
        <v>171</v>
      </c>
      <c r="C18" s="114" t="s">
        <v>158</v>
      </c>
      <c r="D18" s="114" t="s">
        <v>172</v>
      </c>
      <c r="E18" s="114" t="s">
        <v>173</v>
      </c>
      <c r="F18" s="115" t="s">
        <v>174</v>
      </c>
      <c r="G18" s="116" t="s">
        <v>162</v>
      </c>
      <c r="H18" s="131">
        <f>70+21+20</f>
        <v>111</v>
      </c>
      <c r="I18" s="131">
        <f>20</f>
        <v>20</v>
      </c>
      <c r="J18" s="130">
        <f>SUM(H18:I18)</f>
        <v>131</v>
      </c>
      <c r="K18" s="162">
        <v>1850</v>
      </c>
      <c r="L18" s="159">
        <f>SUM(H18*K18)</f>
        <v>205350</v>
      </c>
      <c r="M18" s="457"/>
      <c r="N18" s="457"/>
      <c r="O18" s="456">
        <f>SUM(J18*K18)</f>
        <v>242350</v>
      </c>
      <c r="P18" s="457"/>
    </row>
    <row r="19" ht="15" spans="1:16">
      <c r="A19" s="123"/>
      <c r="B19" s="123"/>
      <c r="C19" s="123"/>
      <c r="D19" s="123"/>
      <c r="E19" s="123"/>
      <c r="F19" s="181"/>
      <c r="G19" s="124"/>
      <c r="H19" s="179"/>
      <c r="I19" s="179"/>
      <c r="J19" s="179"/>
      <c r="K19" s="164"/>
      <c r="L19" s="458"/>
      <c r="M19" s="458"/>
      <c r="N19" s="458"/>
      <c r="O19" s="458"/>
      <c r="P19" s="458"/>
    </row>
    <row r="20" ht="13.5" spans="1:16">
      <c r="A20" s="313"/>
      <c r="B20" s="314"/>
      <c r="C20" s="314"/>
      <c r="D20" s="314"/>
      <c r="E20" s="314"/>
      <c r="F20" s="315"/>
      <c r="G20" s="315"/>
      <c r="H20" s="428"/>
      <c r="I20" s="428"/>
      <c r="J20" s="428"/>
      <c r="K20" s="459"/>
      <c r="L20" s="460"/>
      <c r="M20" s="460"/>
      <c r="N20" s="460"/>
      <c r="O20" s="460"/>
      <c r="P20" s="460"/>
    </row>
    <row r="21" ht="13.5" spans="1:16">
      <c r="A21" s="310" t="s">
        <v>81</v>
      </c>
      <c r="B21" s="409"/>
      <c r="C21" s="409"/>
      <c r="D21" s="409"/>
      <c r="E21" s="409"/>
      <c r="F21" s="429" t="s">
        <v>47</v>
      </c>
      <c r="G21" s="409"/>
      <c r="H21" s="430"/>
      <c r="I21" s="430"/>
      <c r="J21" s="430"/>
      <c r="K21" s="461"/>
      <c r="L21" s="462"/>
      <c r="M21" s="462"/>
      <c r="N21" s="462"/>
      <c r="O21" s="462"/>
      <c r="P21" s="463"/>
    </row>
    <row r="22" spans="1:16">
      <c r="A22" s="318"/>
      <c r="B22" s="319"/>
      <c r="C22" s="319"/>
      <c r="D22" s="319"/>
      <c r="E22" s="319"/>
      <c r="F22" s="431"/>
      <c r="G22" s="319"/>
      <c r="H22" s="432"/>
      <c r="I22" s="432"/>
      <c r="J22" s="432"/>
      <c r="K22" s="464"/>
      <c r="L22" s="465"/>
      <c r="M22" s="465"/>
      <c r="N22" s="465"/>
      <c r="O22" s="465"/>
      <c r="P22" s="465"/>
    </row>
    <row r="23" ht="25.5" spans="1:16">
      <c r="A23" s="322">
        <v>3.1</v>
      </c>
      <c r="B23" s="229"/>
      <c r="C23" s="229"/>
      <c r="D23" s="231" t="s">
        <v>48</v>
      </c>
      <c r="E23" s="229" t="s">
        <v>49</v>
      </c>
      <c r="F23" s="433" t="s">
        <v>175</v>
      </c>
      <c r="G23" s="229" t="s">
        <v>51</v>
      </c>
      <c r="H23" s="434">
        <v>80</v>
      </c>
      <c r="I23" s="434">
        <f>20</f>
        <v>20</v>
      </c>
      <c r="J23" s="130">
        <f>SUM(H23:I23)</f>
        <v>100</v>
      </c>
      <c r="K23" s="171">
        <v>8950</v>
      </c>
      <c r="L23" s="230"/>
      <c r="M23" s="230"/>
      <c r="N23" s="230"/>
      <c r="O23" s="456">
        <f>SUM(J23*K23)</f>
        <v>895000</v>
      </c>
      <c r="P23" s="230"/>
    </row>
    <row r="24" ht="102" spans="1:16">
      <c r="A24" s="322"/>
      <c r="B24" s="229"/>
      <c r="C24" s="229"/>
      <c r="D24" s="229"/>
      <c r="E24" s="229"/>
      <c r="F24" s="231" t="s">
        <v>176</v>
      </c>
      <c r="G24" s="229"/>
      <c r="H24" s="434"/>
      <c r="I24" s="434"/>
      <c r="J24" s="434"/>
      <c r="K24" s="466"/>
      <c r="L24" s="230"/>
      <c r="M24" s="230"/>
      <c r="N24" s="230"/>
      <c r="O24" s="230"/>
      <c r="P24" s="230"/>
    </row>
    <row r="25" spans="1:16">
      <c r="A25" s="322"/>
      <c r="B25" s="229"/>
      <c r="C25" s="229"/>
      <c r="D25" s="229"/>
      <c r="E25" s="229"/>
      <c r="F25" s="240"/>
      <c r="G25" s="229"/>
      <c r="H25" s="434"/>
      <c r="I25" s="434"/>
      <c r="J25" s="434"/>
      <c r="K25" s="466"/>
      <c r="L25" s="230"/>
      <c r="M25" s="230"/>
      <c r="N25" s="230"/>
      <c r="O25" s="230"/>
      <c r="P25" s="230"/>
    </row>
    <row r="26" spans="1:16">
      <c r="A26" s="322"/>
      <c r="B26" s="229"/>
      <c r="C26" s="229"/>
      <c r="D26" s="229"/>
      <c r="E26" s="229"/>
      <c r="F26" s="240"/>
      <c r="G26" s="229"/>
      <c r="H26" s="434"/>
      <c r="I26" s="434"/>
      <c r="J26" s="434"/>
      <c r="K26" s="466"/>
      <c r="L26" s="230"/>
      <c r="M26" s="230"/>
      <c r="N26" s="230"/>
      <c r="O26" s="230"/>
      <c r="P26" s="230"/>
    </row>
    <row r="27" ht="15" spans="1:16">
      <c r="A27" s="136">
        <v>3.2</v>
      </c>
      <c r="B27" s="137" t="s">
        <v>177</v>
      </c>
      <c r="C27" s="138" t="s">
        <v>158</v>
      </c>
      <c r="D27" s="138" t="s">
        <v>178</v>
      </c>
      <c r="E27" s="137" t="s">
        <v>179</v>
      </c>
      <c r="F27" s="139" t="s">
        <v>180</v>
      </c>
      <c r="G27" s="229" t="s">
        <v>51</v>
      </c>
      <c r="H27" s="434">
        <v>25</v>
      </c>
      <c r="I27" s="434">
        <v>0</v>
      </c>
      <c r="J27" s="130">
        <f>SUM(H27:I27)</f>
        <v>25</v>
      </c>
      <c r="K27" s="466">
        <v>1695</v>
      </c>
      <c r="L27" s="230"/>
      <c r="M27" s="230"/>
      <c r="N27" s="230"/>
      <c r="O27" s="456">
        <f>SUM(J27*K27)</f>
        <v>42375</v>
      </c>
      <c r="P27" s="230"/>
    </row>
    <row r="28" ht="132.75" customHeight="1" spans="1:16">
      <c r="A28" s="322"/>
      <c r="B28" s="229"/>
      <c r="C28" s="229"/>
      <c r="D28" s="229"/>
      <c r="E28" s="229"/>
      <c r="F28" s="435" t="s">
        <v>181</v>
      </c>
      <c r="G28" s="229"/>
      <c r="H28" s="434"/>
      <c r="I28" s="434"/>
      <c r="J28" s="434"/>
      <c r="K28" s="466"/>
      <c r="L28" s="230"/>
      <c r="M28" s="230"/>
      <c r="N28" s="230"/>
      <c r="O28" s="230"/>
      <c r="P28" s="230"/>
    </row>
    <row r="29" spans="1:16">
      <c r="A29" s="322"/>
      <c r="B29" s="229"/>
      <c r="C29" s="229"/>
      <c r="D29" s="229"/>
      <c r="E29" s="229"/>
      <c r="F29" s="240"/>
      <c r="G29" s="229"/>
      <c r="H29" s="434"/>
      <c r="I29" s="434"/>
      <c r="J29" s="434"/>
      <c r="K29" s="466"/>
      <c r="L29" s="230"/>
      <c r="M29" s="230"/>
      <c r="N29" s="230"/>
      <c r="O29" s="230"/>
      <c r="P29" s="230"/>
    </row>
    <row r="30" ht="25.5" spans="1:16">
      <c r="A30" s="322">
        <v>3.3</v>
      </c>
      <c r="B30" s="229"/>
      <c r="C30" s="229"/>
      <c r="D30" s="231" t="s">
        <v>53</v>
      </c>
      <c r="E30" s="229" t="s">
        <v>54</v>
      </c>
      <c r="F30" s="433" t="s">
        <v>55</v>
      </c>
      <c r="G30" s="229" t="s">
        <v>51</v>
      </c>
      <c r="H30" s="434">
        <v>40</v>
      </c>
      <c r="I30" s="434">
        <f>(4+2)*3.6</f>
        <v>21.6</v>
      </c>
      <c r="J30" s="130">
        <f>SUM(H30:I30)</f>
        <v>61.6</v>
      </c>
      <c r="K30" s="466">
        <v>9500</v>
      </c>
      <c r="L30" s="230"/>
      <c r="M30" s="230"/>
      <c r="N30" s="230"/>
      <c r="O30" s="456">
        <f>SUM(J30*K30)</f>
        <v>585200</v>
      </c>
      <c r="P30" s="230"/>
    </row>
    <row r="31" ht="76.5" spans="1:16">
      <c r="A31" s="322"/>
      <c r="B31" s="229"/>
      <c r="C31" s="229"/>
      <c r="D31" s="229"/>
      <c r="E31" s="229"/>
      <c r="F31" s="231" t="s">
        <v>182</v>
      </c>
      <c r="G31" s="229"/>
      <c r="H31" s="434"/>
      <c r="I31" s="434"/>
      <c r="J31" s="434"/>
      <c r="K31" s="466"/>
      <c r="L31" s="230"/>
      <c r="M31" s="230"/>
      <c r="N31" s="230"/>
      <c r="O31" s="230"/>
      <c r="P31" s="230"/>
    </row>
    <row r="32" spans="1:16">
      <c r="A32" s="322"/>
      <c r="B32" s="229"/>
      <c r="C32" s="229"/>
      <c r="D32" s="229"/>
      <c r="E32" s="229"/>
      <c r="F32" s="240"/>
      <c r="G32" s="229"/>
      <c r="H32" s="434"/>
      <c r="I32" s="434"/>
      <c r="J32" s="434"/>
      <c r="K32" s="466"/>
      <c r="L32" s="230"/>
      <c r="M32" s="230"/>
      <c r="N32" s="230"/>
      <c r="O32" s="230"/>
      <c r="P32" s="230"/>
    </row>
    <row r="33" spans="1:16">
      <c r="A33" s="322"/>
      <c r="B33" s="229"/>
      <c r="C33" s="229"/>
      <c r="D33" s="229"/>
      <c r="E33" s="229"/>
      <c r="F33" s="240"/>
      <c r="G33" s="229"/>
      <c r="H33" s="434"/>
      <c r="I33" s="434"/>
      <c r="J33" s="434"/>
      <c r="K33" s="466"/>
      <c r="L33" s="230"/>
      <c r="M33" s="230"/>
      <c r="N33" s="230"/>
      <c r="O33" s="230"/>
      <c r="P33" s="230"/>
    </row>
    <row r="34" ht="25.5" spans="1:16">
      <c r="A34" s="322">
        <v>3.4</v>
      </c>
      <c r="B34" s="229"/>
      <c r="C34" s="229"/>
      <c r="D34" s="231" t="s">
        <v>53</v>
      </c>
      <c r="E34" s="229" t="s">
        <v>54</v>
      </c>
      <c r="F34" s="433" t="s">
        <v>183</v>
      </c>
      <c r="G34" s="229" t="s">
        <v>51</v>
      </c>
      <c r="H34" s="434">
        <v>10</v>
      </c>
      <c r="I34" s="434">
        <f>4.5*3.6</f>
        <v>16.2</v>
      </c>
      <c r="J34" s="130">
        <f>SUM(H34:I34)</f>
        <v>26.2</v>
      </c>
      <c r="K34" s="466">
        <v>17500</v>
      </c>
      <c r="L34" s="230"/>
      <c r="M34" s="230"/>
      <c r="N34" s="230"/>
      <c r="O34" s="456">
        <f>SUM(J34*K34)</f>
        <v>458500</v>
      </c>
      <c r="P34" s="230"/>
    </row>
    <row r="35" ht="89.25" spans="1:16">
      <c r="A35" s="322"/>
      <c r="B35" s="229"/>
      <c r="C35" s="229"/>
      <c r="D35" s="229"/>
      <c r="E35" s="229"/>
      <c r="F35" s="231" t="s">
        <v>184</v>
      </c>
      <c r="G35" s="229"/>
      <c r="H35" s="434"/>
      <c r="I35" s="434"/>
      <c r="J35" s="434"/>
      <c r="K35" s="467"/>
      <c r="L35" s="230"/>
      <c r="M35" s="230"/>
      <c r="N35" s="230"/>
      <c r="O35" s="230"/>
      <c r="P35" s="230"/>
    </row>
    <row r="36" spans="1:16">
      <c r="A36" s="322"/>
      <c r="B36" s="229"/>
      <c r="C36" s="229"/>
      <c r="D36" s="229"/>
      <c r="E36" s="229"/>
      <c r="F36" s="240"/>
      <c r="G36" s="229"/>
      <c r="H36" s="434"/>
      <c r="I36" s="434"/>
      <c r="J36" s="434"/>
      <c r="K36" s="467"/>
      <c r="L36" s="230"/>
      <c r="M36" s="230"/>
      <c r="N36" s="230"/>
      <c r="O36" s="230"/>
      <c r="P36" s="230"/>
    </row>
    <row r="37" ht="15" spans="1:16">
      <c r="A37" s="322">
        <v>3.5</v>
      </c>
      <c r="B37" s="229"/>
      <c r="C37" s="229"/>
      <c r="D37" s="231" t="s">
        <v>53</v>
      </c>
      <c r="E37" s="229" t="s">
        <v>185</v>
      </c>
      <c r="F37" s="433" t="s">
        <v>186</v>
      </c>
      <c r="G37" s="229" t="s">
        <v>187</v>
      </c>
      <c r="H37" s="434">
        <v>1</v>
      </c>
      <c r="I37" s="434">
        <v>1</v>
      </c>
      <c r="J37" s="130">
        <f>SUM(H37:I37)</f>
        <v>2</v>
      </c>
      <c r="K37" s="467">
        <v>70800</v>
      </c>
      <c r="L37" s="230"/>
      <c r="M37" s="230"/>
      <c r="N37" s="230"/>
      <c r="O37" s="456">
        <f>SUM(J37*K37)</f>
        <v>141600</v>
      </c>
      <c r="P37" s="230"/>
    </row>
    <row r="38" ht="153" spans="1:16">
      <c r="A38" s="322"/>
      <c r="B38" s="229"/>
      <c r="C38" s="229"/>
      <c r="D38" s="229"/>
      <c r="E38" s="229"/>
      <c r="F38" s="231" t="s">
        <v>188</v>
      </c>
      <c r="G38" s="229"/>
      <c r="H38" s="434"/>
      <c r="I38" s="434"/>
      <c r="J38" s="434"/>
      <c r="K38" s="467"/>
      <c r="L38" s="230"/>
      <c r="M38" s="230"/>
      <c r="N38" s="230"/>
      <c r="O38" s="230"/>
      <c r="P38" s="230"/>
    </row>
    <row r="39" spans="1:16">
      <c r="A39" s="322"/>
      <c r="B39" s="229"/>
      <c r="C39" s="229"/>
      <c r="D39" s="229"/>
      <c r="E39" s="229"/>
      <c r="F39" s="231"/>
      <c r="G39" s="229"/>
      <c r="H39" s="434"/>
      <c r="I39" s="434"/>
      <c r="J39" s="434"/>
      <c r="K39" s="467"/>
      <c r="L39" s="230"/>
      <c r="M39" s="230"/>
      <c r="N39" s="230"/>
      <c r="O39" s="230"/>
      <c r="P39" s="230"/>
    </row>
    <row r="40" ht="15" spans="1:16">
      <c r="A40" s="136">
        <v>3.6</v>
      </c>
      <c r="B40" s="137" t="s">
        <v>177</v>
      </c>
      <c r="C40" s="138" t="s">
        <v>158</v>
      </c>
      <c r="D40" s="138" t="s">
        <v>189</v>
      </c>
      <c r="E40" s="137" t="s">
        <v>190</v>
      </c>
      <c r="F40" s="139" t="s">
        <v>191</v>
      </c>
      <c r="G40" s="229" t="s">
        <v>98</v>
      </c>
      <c r="H40" s="434">
        <v>40</v>
      </c>
      <c r="I40" s="434">
        <v>0</v>
      </c>
      <c r="J40" s="130">
        <f>SUM(H40:I40)</f>
        <v>40</v>
      </c>
      <c r="K40" s="466">
        <v>230</v>
      </c>
      <c r="L40" s="230"/>
      <c r="M40" s="230"/>
      <c r="N40" s="230"/>
      <c r="O40" s="456">
        <f>SUM(J40*K40)</f>
        <v>9200</v>
      </c>
      <c r="P40" s="230"/>
    </row>
    <row r="41" ht="89.25" spans="1:16">
      <c r="A41" s="322"/>
      <c r="B41" s="229"/>
      <c r="C41" s="229"/>
      <c r="D41" s="229"/>
      <c r="E41" s="229"/>
      <c r="F41" s="435" t="s">
        <v>192</v>
      </c>
      <c r="G41" s="229"/>
      <c r="H41" s="434"/>
      <c r="I41" s="434"/>
      <c r="J41" s="434"/>
      <c r="K41" s="467"/>
      <c r="L41" s="230"/>
      <c r="M41" s="230"/>
      <c r="N41" s="230"/>
      <c r="O41" s="230"/>
      <c r="P41" s="230"/>
    </row>
    <row r="42" ht="13.5" spans="1:16">
      <c r="A42" s="390"/>
      <c r="B42" s="391"/>
      <c r="C42" s="391"/>
      <c r="D42" s="391"/>
      <c r="E42" s="391"/>
      <c r="F42" s="404"/>
      <c r="G42" s="391"/>
      <c r="H42" s="436"/>
      <c r="I42" s="436"/>
      <c r="J42" s="436"/>
      <c r="K42" s="468"/>
      <c r="L42" s="381"/>
      <c r="M42" s="381"/>
      <c r="N42" s="381"/>
      <c r="O42" s="381"/>
      <c r="P42" s="381"/>
    </row>
    <row r="43" ht="13.5" spans="1:16">
      <c r="A43" s="310" t="s">
        <v>108</v>
      </c>
      <c r="B43" s="437"/>
      <c r="C43" s="437"/>
      <c r="D43" s="437"/>
      <c r="E43" s="437"/>
      <c r="F43" s="429" t="s">
        <v>70</v>
      </c>
      <c r="G43" s="312"/>
      <c r="H43" s="438"/>
      <c r="I43" s="438"/>
      <c r="J43" s="438"/>
      <c r="K43" s="452"/>
      <c r="L43" s="437"/>
      <c r="M43" s="437"/>
      <c r="N43" s="408"/>
      <c r="O43" s="408"/>
      <c r="P43" s="469"/>
    </row>
    <row r="44" spans="1:16">
      <c r="A44" s="318"/>
      <c r="B44" s="375"/>
      <c r="C44" s="375"/>
      <c r="D44" s="375"/>
      <c r="E44" s="375"/>
      <c r="F44" s="431"/>
      <c r="G44" s="319"/>
      <c r="H44" s="432"/>
      <c r="I44" s="432"/>
      <c r="J44" s="432"/>
      <c r="K44" s="465"/>
      <c r="L44" s="375"/>
      <c r="M44" s="375"/>
      <c r="N44" s="375"/>
      <c r="O44" s="375"/>
      <c r="P44" s="375"/>
    </row>
    <row r="45" ht="15" spans="1:16">
      <c r="A45" s="322">
        <v>4.1</v>
      </c>
      <c r="B45" s="230"/>
      <c r="C45" s="230"/>
      <c r="D45" s="226" t="s">
        <v>71</v>
      </c>
      <c r="E45" s="227" t="s">
        <v>72</v>
      </c>
      <c r="F45" s="228" t="s">
        <v>73</v>
      </c>
      <c r="G45" s="229" t="s">
        <v>51</v>
      </c>
      <c r="H45" s="434">
        <v>108</v>
      </c>
      <c r="I45" s="434">
        <f>20</f>
        <v>20</v>
      </c>
      <c r="J45" s="130">
        <f>SUM(H45:I45)</f>
        <v>128</v>
      </c>
      <c r="K45" s="467">
        <v>2050</v>
      </c>
      <c r="L45" s="230"/>
      <c r="M45" s="230"/>
      <c r="N45" s="230"/>
      <c r="O45" s="456">
        <f>SUM(J45*K45)</f>
        <v>262400</v>
      </c>
      <c r="P45" s="230"/>
    </row>
    <row r="46" ht="150" spans="1:16">
      <c r="A46" s="322"/>
      <c r="B46" s="230"/>
      <c r="C46" s="230"/>
      <c r="D46" s="230"/>
      <c r="E46" s="229"/>
      <c r="F46" s="439" t="s">
        <v>74</v>
      </c>
      <c r="G46" s="229"/>
      <c r="H46" s="434"/>
      <c r="I46" s="434"/>
      <c r="J46" s="434"/>
      <c r="K46" s="467"/>
      <c r="L46" s="230"/>
      <c r="M46" s="230"/>
      <c r="N46" s="230"/>
      <c r="O46" s="230"/>
      <c r="P46" s="230"/>
    </row>
    <row r="47" spans="1:16">
      <c r="A47" s="322"/>
      <c r="B47" s="230"/>
      <c r="C47" s="230"/>
      <c r="D47" s="230"/>
      <c r="E47" s="230"/>
      <c r="F47" s="240"/>
      <c r="G47" s="229"/>
      <c r="H47" s="434"/>
      <c r="I47" s="434"/>
      <c r="J47" s="434"/>
      <c r="K47" s="467"/>
      <c r="L47" s="230"/>
      <c r="M47" s="230"/>
      <c r="N47" s="230"/>
      <c r="O47" s="230"/>
      <c r="P47" s="230"/>
    </row>
    <row r="48" spans="1:16">
      <c r="A48" s="322"/>
      <c r="B48" s="230"/>
      <c r="C48" s="230"/>
      <c r="D48" s="230"/>
      <c r="E48" s="230"/>
      <c r="F48" s="240"/>
      <c r="G48" s="229"/>
      <c r="H48" s="434"/>
      <c r="I48" s="434"/>
      <c r="J48" s="434"/>
      <c r="K48" s="467"/>
      <c r="L48" s="230"/>
      <c r="M48" s="230"/>
      <c r="N48" s="230"/>
      <c r="O48" s="230"/>
      <c r="P48" s="230"/>
    </row>
    <row r="49" ht="25.5" spans="1:16">
      <c r="A49" s="322">
        <v>4.2</v>
      </c>
      <c r="B49" s="230"/>
      <c r="C49" s="230"/>
      <c r="D49" s="226" t="s">
        <v>71</v>
      </c>
      <c r="E49" s="227" t="s">
        <v>193</v>
      </c>
      <c r="F49" s="228" t="s">
        <v>194</v>
      </c>
      <c r="G49" s="229" t="s">
        <v>51</v>
      </c>
      <c r="H49" s="434">
        <v>5</v>
      </c>
      <c r="I49" s="434"/>
      <c r="J49" s="130">
        <f>SUM(H49:I49)</f>
        <v>5</v>
      </c>
      <c r="K49" s="467">
        <v>14000</v>
      </c>
      <c r="L49" s="230"/>
      <c r="M49" s="230"/>
      <c r="N49" s="230"/>
      <c r="O49" s="456">
        <f>SUM(J49*K49)</f>
        <v>70000</v>
      </c>
      <c r="P49" s="230"/>
    </row>
    <row r="50" ht="102" spans="1:16">
      <c r="A50" s="322"/>
      <c r="B50" s="230"/>
      <c r="C50" s="230"/>
      <c r="D50" s="230"/>
      <c r="E50" s="229"/>
      <c r="F50" s="231" t="s">
        <v>195</v>
      </c>
      <c r="G50" s="229"/>
      <c r="H50" s="434"/>
      <c r="I50" s="434"/>
      <c r="J50" s="434"/>
      <c r="K50" s="467"/>
      <c r="L50" s="230"/>
      <c r="M50" s="230"/>
      <c r="N50" s="230"/>
      <c r="O50" s="230"/>
      <c r="P50" s="230"/>
    </row>
    <row r="51" spans="1:16">
      <c r="A51" s="322"/>
      <c r="B51" s="230"/>
      <c r="C51" s="230"/>
      <c r="D51" s="230"/>
      <c r="E51" s="230"/>
      <c r="F51" s="240"/>
      <c r="G51" s="229"/>
      <c r="H51" s="434"/>
      <c r="I51" s="434"/>
      <c r="J51" s="434"/>
      <c r="K51" s="467"/>
      <c r="L51" s="230"/>
      <c r="M51" s="230"/>
      <c r="N51" s="230"/>
      <c r="O51" s="230"/>
      <c r="P51" s="230"/>
    </row>
    <row r="52" spans="1:16">
      <c r="A52" s="322"/>
      <c r="B52" s="230"/>
      <c r="C52" s="230"/>
      <c r="D52" s="230"/>
      <c r="E52" s="230"/>
      <c r="F52" s="240"/>
      <c r="G52" s="229"/>
      <c r="H52" s="434"/>
      <c r="I52" s="434"/>
      <c r="J52" s="434"/>
      <c r="K52" s="467"/>
      <c r="L52" s="230"/>
      <c r="M52" s="230"/>
      <c r="N52" s="230"/>
      <c r="O52" s="230"/>
      <c r="P52" s="230"/>
    </row>
    <row r="53" ht="30" spans="1:16">
      <c r="A53" s="322">
        <v>4.3</v>
      </c>
      <c r="B53" s="230"/>
      <c r="C53" s="230"/>
      <c r="D53" s="232" t="s">
        <v>71</v>
      </c>
      <c r="E53" s="232" t="s">
        <v>196</v>
      </c>
      <c r="F53" s="184" t="s">
        <v>197</v>
      </c>
      <c r="G53" s="174"/>
      <c r="H53" s="434"/>
      <c r="I53" s="434"/>
      <c r="J53" s="434"/>
      <c r="K53" s="467"/>
      <c r="L53" s="230"/>
      <c r="M53" s="230"/>
      <c r="N53" s="230"/>
      <c r="O53" s="230"/>
      <c r="P53" s="230"/>
    </row>
    <row r="54" ht="102" spans="1:16">
      <c r="A54" s="322"/>
      <c r="B54" s="230"/>
      <c r="C54" s="230"/>
      <c r="D54" s="225"/>
      <c r="E54" s="174"/>
      <c r="F54" s="231" t="s">
        <v>198</v>
      </c>
      <c r="G54" s="174"/>
      <c r="H54" s="434"/>
      <c r="I54" s="434"/>
      <c r="J54" s="434"/>
      <c r="K54" s="467"/>
      <c r="L54" s="230"/>
      <c r="M54" s="230"/>
      <c r="N54" s="230"/>
      <c r="O54" s="230"/>
      <c r="P54" s="230"/>
    </row>
    <row r="55" ht="15" spans="1:16">
      <c r="A55" s="322"/>
      <c r="B55" s="230"/>
      <c r="C55" s="230"/>
      <c r="D55" s="225"/>
      <c r="E55" s="174"/>
      <c r="F55" s="232" t="s">
        <v>199</v>
      </c>
      <c r="G55" s="174" t="s">
        <v>98</v>
      </c>
      <c r="H55" s="434">
        <v>15</v>
      </c>
      <c r="I55" s="434">
        <f>17</f>
        <v>17</v>
      </c>
      <c r="J55" s="130">
        <f t="shared" ref="J55:J56" si="0">SUM(H55:I55)</f>
        <v>32</v>
      </c>
      <c r="K55" s="467">
        <v>320</v>
      </c>
      <c r="L55" s="230"/>
      <c r="M55" s="230"/>
      <c r="N55" s="230"/>
      <c r="O55" s="456">
        <f t="shared" ref="O55:O56" si="1">SUM(J55*K55)</f>
        <v>10240</v>
      </c>
      <c r="P55" s="230"/>
    </row>
    <row r="56" s="414" customFormat="1" ht="15" spans="1:16">
      <c r="A56" s="440"/>
      <c r="B56" s="441"/>
      <c r="C56" s="441"/>
      <c r="D56" s="442"/>
      <c r="E56" s="443"/>
      <c r="F56" s="444" t="s">
        <v>200</v>
      </c>
      <c r="G56" s="443" t="s">
        <v>98</v>
      </c>
      <c r="H56" s="445">
        <v>30</v>
      </c>
      <c r="I56" s="445">
        <v>0</v>
      </c>
      <c r="J56" s="470">
        <f t="shared" si="0"/>
        <v>30</v>
      </c>
      <c r="K56" s="471">
        <v>350</v>
      </c>
      <c r="L56" s="441"/>
      <c r="M56" s="441"/>
      <c r="N56" s="441"/>
      <c r="O56" s="472">
        <f t="shared" si="1"/>
        <v>10500</v>
      </c>
      <c r="P56" s="441"/>
    </row>
    <row r="57" ht="15" spans="1:16">
      <c r="A57" s="322"/>
      <c r="B57" s="230"/>
      <c r="C57" s="230"/>
      <c r="D57" s="225"/>
      <c r="E57" s="174"/>
      <c r="F57" s="232"/>
      <c r="G57" s="174"/>
      <c r="H57" s="434"/>
      <c r="I57" s="434"/>
      <c r="J57" s="434"/>
      <c r="K57" s="467"/>
      <c r="L57" s="230"/>
      <c r="M57" s="230"/>
      <c r="N57" s="230"/>
      <c r="O57" s="230"/>
      <c r="P57" s="230"/>
    </row>
    <row r="58" ht="15" spans="1:16">
      <c r="A58" s="322">
        <v>4.4</v>
      </c>
      <c r="B58" s="230"/>
      <c r="C58" s="230"/>
      <c r="D58" s="226" t="s">
        <v>71</v>
      </c>
      <c r="E58" s="227" t="s">
        <v>201</v>
      </c>
      <c r="F58" s="393" t="s">
        <v>79</v>
      </c>
      <c r="G58" s="229" t="s">
        <v>51</v>
      </c>
      <c r="H58" s="434">
        <v>167.4</v>
      </c>
      <c r="I58" s="434">
        <f>5*3.7+6</f>
        <v>24.5</v>
      </c>
      <c r="J58" s="130">
        <f>SUM(H58:I58)</f>
        <v>191.9</v>
      </c>
      <c r="K58" s="467">
        <v>475</v>
      </c>
      <c r="L58" s="230"/>
      <c r="M58" s="230"/>
      <c r="N58" s="230"/>
      <c r="O58" s="456">
        <f>SUM(J58*K58)</f>
        <v>91152.5</v>
      </c>
      <c r="P58" s="230"/>
    </row>
    <row r="59" ht="63.75" spans="1:16">
      <c r="A59" s="322"/>
      <c r="B59" s="230"/>
      <c r="C59" s="230"/>
      <c r="D59" s="230"/>
      <c r="E59" s="230"/>
      <c r="F59" s="231" t="s">
        <v>202</v>
      </c>
      <c r="G59" s="229"/>
      <c r="H59" s="434"/>
      <c r="I59" s="434"/>
      <c r="J59" s="434"/>
      <c r="K59" s="467"/>
      <c r="L59" s="230"/>
      <c r="M59" s="230"/>
      <c r="N59" s="230"/>
      <c r="O59" s="230"/>
      <c r="P59" s="230"/>
    </row>
    <row r="60" ht="13.5" spans="1:16">
      <c r="A60" s="390"/>
      <c r="B60" s="381"/>
      <c r="C60" s="381"/>
      <c r="D60" s="381"/>
      <c r="E60" s="381"/>
      <c r="F60" s="398"/>
      <c r="G60" s="391"/>
      <c r="H60" s="436"/>
      <c r="I60" s="436"/>
      <c r="J60" s="436"/>
      <c r="K60" s="468"/>
      <c r="L60" s="381"/>
      <c r="M60" s="381"/>
      <c r="N60" s="381"/>
      <c r="O60" s="381"/>
      <c r="P60" s="381"/>
    </row>
    <row r="61" ht="13.5" spans="1:16">
      <c r="A61" s="310" t="s">
        <v>125</v>
      </c>
      <c r="B61" s="437"/>
      <c r="C61" s="437"/>
      <c r="D61" s="437"/>
      <c r="E61" s="437"/>
      <c r="F61" s="446" t="s">
        <v>82</v>
      </c>
      <c r="G61" s="312"/>
      <c r="H61" s="438"/>
      <c r="I61" s="438"/>
      <c r="J61" s="438"/>
      <c r="K61" s="452"/>
      <c r="L61" s="437"/>
      <c r="M61" s="437"/>
      <c r="N61" s="408"/>
      <c r="O61" s="408"/>
      <c r="P61" s="469"/>
    </row>
    <row r="62" spans="1:16">
      <c r="A62" s="318"/>
      <c r="B62" s="375"/>
      <c r="C62" s="375"/>
      <c r="D62" s="375"/>
      <c r="E62" s="375"/>
      <c r="F62" s="447"/>
      <c r="G62" s="319"/>
      <c r="H62" s="432"/>
      <c r="I62" s="432"/>
      <c r="J62" s="432"/>
      <c r="K62" s="465"/>
      <c r="L62" s="375"/>
      <c r="M62" s="375"/>
      <c r="N62" s="375"/>
      <c r="O62" s="375"/>
      <c r="P62" s="375"/>
    </row>
    <row r="63" ht="25.5" spans="1:16">
      <c r="A63" s="322">
        <v>5.1</v>
      </c>
      <c r="B63" s="230"/>
      <c r="C63" s="230"/>
      <c r="D63" s="226" t="s">
        <v>203</v>
      </c>
      <c r="E63" s="227" t="s">
        <v>204</v>
      </c>
      <c r="F63" s="228" t="s">
        <v>205</v>
      </c>
      <c r="G63" s="229" t="s">
        <v>51</v>
      </c>
      <c r="H63" s="434">
        <v>42</v>
      </c>
      <c r="I63" s="434">
        <f>2.1*3.6</f>
        <v>7.56</v>
      </c>
      <c r="J63" s="130">
        <f>SUM(H63:I63)</f>
        <v>49.56</v>
      </c>
      <c r="K63" s="467">
        <v>2500</v>
      </c>
      <c r="L63" s="230"/>
      <c r="M63" s="230"/>
      <c r="N63" s="230"/>
      <c r="O63" s="456">
        <f>SUM(J63*K63)</f>
        <v>123900</v>
      </c>
      <c r="P63" s="230"/>
    </row>
    <row r="64" ht="76.5" spans="1:16">
      <c r="A64" s="322"/>
      <c r="B64" s="230"/>
      <c r="C64" s="230"/>
      <c r="D64" s="230"/>
      <c r="E64" s="230"/>
      <c r="F64" s="231" t="s">
        <v>206</v>
      </c>
      <c r="G64" s="229"/>
      <c r="H64" s="434"/>
      <c r="I64" s="434"/>
      <c r="J64" s="434"/>
      <c r="K64" s="467"/>
      <c r="L64" s="230"/>
      <c r="M64" s="230"/>
      <c r="N64" s="230"/>
      <c r="O64" s="230"/>
      <c r="P64" s="230"/>
    </row>
    <row r="65" spans="1:16">
      <c r="A65" s="322"/>
      <c r="B65" s="230"/>
      <c r="C65" s="230"/>
      <c r="D65" s="230"/>
      <c r="E65" s="230"/>
      <c r="F65" s="240"/>
      <c r="G65" s="229"/>
      <c r="H65" s="434"/>
      <c r="I65" s="434"/>
      <c r="J65" s="434"/>
      <c r="K65" s="467"/>
      <c r="L65" s="230"/>
      <c r="M65" s="230"/>
      <c r="N65" s="230"/>
      <c r="O65" s="230"/>
      <c r="P65" s="230"/>
    </row>
    <row r="66" spans="1:16">
      <c r="A66" s="322"/>
      <c r="B66" s="230"/>
      <c r="C66" s="230"/>
      <c r="D66" s="230"/>
      <c r="E66" s="230"/>
      <c r="F66" s="240"/>
      <c r="G66" s="229"/>
      <c r="H66" s="434"/>
      <c r="I66" s="434"/>
      <c r="J66" s="434"/>
      <c r="K66" s="467"/>
      <c r="L66" s="230"/>
      <c r="M66" s="230"/>
      <c r="N66" s="230"/>
      <c r="O66" s="230"/>
      <c r="P66" s="230"/>
    </row>
    <row r="67" s="415" customFormat="1" ht="25.5" spans="1:16">
      <c r="A67" s="473">
        <v>5.2</v>
      </c>
      <c r="B67" s="474"/>
      <c r="C67" s="474"/>
      <c r="D67" s="475" t="s">
        <v>203</v>
      </c>
      <c r="E67" s="476" t="s">
        <v>204</v>
      </c>
      <c r="F67" s="477" t="s">
        <v>207</v>
      </c>
      <c r="G67" s="478" t="s">
        <v>51</v>
      </c>
      <c r="H67" s="479">
        <v>30.45</v>
      </c>
      <c r="I67" s="479">
        <f>3*3.6</f>
        <v>10.8</v>
      </c>
      <c r="J67" s="483">
        <f>SUM(H67:I67)</f>
        <v>41.25</v>
      </c>
      <c r="K67" s="484">
        <v>2500</v>
      </c>
      <c r="L67" s="474"/>
      <c r="M67" s="474"/>
      <c r="N67" s="474"/>
      <c r="O67" s="485">
        <f>SUM(J67*K67)</f>
        <v>103125</v>
      </c>
      <c r="P67" s="474"/>
    </row>
    <row r="68" ht="124.5" customHeight="1" spans="1:16">
      <c r="A68" s="322"/>
      <c r="B68" s="230"/>
      <c r="C68" s="230"/>
      <c r="D68" s="230"/>
      <c r="E68" s="230"/>
      <c r="F68" s="231" t="s">
        <v>206</v>
      </c>
      <c r="G68" s="229"/>
      <c r="H68" s="434"/>
      <c r="I68" s="434"/>
      <c r="J68" s="434"/>
      <c r="K68" s="467"/>
      <c r="L68" s="230"/>
      <c r="M68" s="230"/>
      <c r="N68" s="230"/>
      <c r="O68" s="230"/>
      <c r="P68" s="230"/>
    </row>
    <row r="69" spans="1:16">
      <c r="A69" s="322"/>
      <c r="B69" s="230"/>
      <c r="C69" s="230"/>
      <c r="D69" s="230"/>
      <c r="E69" s="230"/>
      <c r="F69" s="240"/>
      <c r="G69" s="229"/>
      <c r="H69" s="434"/>
      <c r="I69" s="434"/>
      <c r="J69" s="434"/>
      <c r="K69" s="467"/>
      <c r="L69" s="230"/>
      <c r="M69" s="230"/>
      <c r="N69" s="230"/>
      <c r="O69" s="230"/>
      <c r="P69" s="230"/>
    </row>
    <row r="70" spans="1:16">
      <c r="A70" s="322"/>
      <c r="B70" s="230"/>
      <c r="C70" s="230"/>
      <c r="D70" s="230"/>
      <c r="E70" s="230"/>
      <c r="F70" s="231"/>
      <c r="G70" s="229"/>
      <c r="H70" s="434"/>
      <c r="I70" s="434"/>
      <c r="J70" s="434"/>
      <c r="K70" s="467"/>
      <c r="L70" s="230"/>
      <c r="M70" s="230"/>
      <c r="N70" s="230"/>
      <c r="O70" s="230"/>
      <c r="P70" s="230"/>
    </row>
    <row r="71" spans="1:16">
      <c r="A71" s="322">
        <v>5.3</v>
      </c>
      <c r="B71" s="230"/>
      <c r="C71" s="230"/>
      <c r="D71" s="230" t="s">
        <v>83</v>
      </c>
      <c r="E71" s="230" t="s">
        <v>84</v>
      </c>
      <c r="F71" s="228" t="s">
        <v>85</v>
      </c>
      <c r="G71" s="229"/>
      <c r="H71" s="434"/>
      <c r="I71" s="434"/>
      <c r="J71" s="434"/>
      <c r="K71" s="467"/>
      <c r="L71" s="230"/>
      <c r="M71" s="230"/>
      <c r="N71" s="230"/>
      <c r="O71" s="230"/>
      <c r="P71" s="230"/>
    </row>
    <row r="72" ht="66" customHeight="1" spans="1:16">
      <c r="A72" s="322"/>
      <c r="B72" s="230"/>
      <c r="C72" s="230"/>
      <c r="D72" s="230"/>
      <c r="E72" s="230"/>
      <c r="F72" s="231" t="s">
        <v>208</v>
      </c>
      <c r="G72" s="229"/>
      <c r="H72" s="434"/>
      <c r="I72" s="434"/>
      <c r="J72" s="434"/>
      <c r="K72" s="467"/>
      <c r="L72" s="230"/>
      <c r="M72" s="230"/>
      <c r="N72" s="230"/>
      <c r="O72" s="230"/>
      <c r="P72" s="230"/>
    </row>
    <row r="73" ht="15" spans="1:16">
      <c r="A73" s="322" t="s">
        <v>209</v>
      </c>
      <c r="B73" s="230"/>
      <c r="C73" s="230"/>
      <c r="D73" s="230"/>
      <c r="E73" s="230"/>
      <c r="F73" s="480" t="s">
        <v>210</v>
      </c>
      <c r="G73" s="229" t="s">
        <v>51</v>
      </c>
      <c r="H73" s="434">
        <v>91</v>
      </c>
      <c r="I73" s="434">
        <f>20</f>
        <v>20</v>
      </c>
      <c r="J73" s="130">
        <f t="shared" ref="J73:J76" si="2">SUM(H73:I73)</f>
        <v>111</v>
      </c>
      <c r="K73" s="385">
        <v>1890</v>
      </c>
      <c r="L73" s="230"/>
      <c r="M73" s="230"/>
      <c r="N73" s="230"/>
      <c r="O73" s="456">
        <f t="shared" ref="O73:O76" si="3">SUM(J73*K73)</f>
        <v>209790</v>
      </c>
      <c r="P73" s="230"/>
    </row>
    <row r="74" ht="15" spans="1:16">
      <c r="A74" s="322" t="s">
        <v>211</v>
      </c>
      <c r="B74" s="230"/>
      <c r="C74" s="230"/>
      <c r="D74" s="230"/>
      <c r="E74" s="230"/>
      <c r="F74" s="480" t="s">
        <v>212</v>
      </c>
      <c r="G74" s="229" t="s">
        <v>51</v>
      </c>
      <c r="H74" s="434">
        <v>5</v>
      </c>
      <c r="I74" s="434">
        <v>5</v>
      </c>
      <c r="J74" s="130">
        <f t="shared" si="2"/>
        <v>10</v>
      </c>
      <c r="K74" s="385">
        <v>2100</v>
      </c>
      <c r="L74" s="230"/>
      <c r="M74" s="230"/>
      <c r="N74" s="230"/>
      <c r="O74" s="456">
        <f t="shared" si="3"/>
        <v>21000</v>
      </c>
      <c r="P74" s="230"/>
    </row>
    <row r="75" ht="15" spans="1:16">
      <c r="A75" s="322" t="s">
        <v>213</v>
      </c>
      <c r="B75" s="230"/>
      <c r="C75" s="230"/>
      <c r="D75" s="230"/>
      <c r="E75" s="230"/>
      <c r="F75" s="480" t="s">
        <v>214</v>
      </c>
      <c r="G75" s="229" t="s">
        <v>51</v>
      </c>
      <c r="H75" s="434">
        <v>5</v>
      </c>
      <c r="I75" s="434">
        <v>5</v>
      </c>
      <c r="J75" s="130">
        <f t="shared" si="2"/>
        <v>10</v>
      </c>
      <c r="K75" s="385">
        <v>2300</v>
      </c>
      <c r="L75" s="230"/>
      <c r="M75" s="230"/>
      <c r="N75" s="230"/>
      <c r="O75" s="456">
        <f t="shared" si="3"/>
        <v>23000</v>
      </c>
      <c r="P75" s="230"/>
    </row>
    <row r="76" ht="15" spans="1:16">
      <c r="A76" s="322" t="s">
        <v>215</v>
      </c>
      <c r="B76" s="230"/>
      <c r="C76" s="230"/>
      <c r="D76" s="230"/>
      <c r="E76" s="230"/>
      <c r="F76" s="480" t="s">
        <v>216</v>
      </c>
      <c r="G76" s="229" t="s">
        <v>51</v>
      </c>
      <c r="H76" s="434">
        <v>5</v>
      </c>
      <c r="I76" s="434">
        <v>5</v>
      </c>
      <c r="J76" s="130">
        <f t="shared" si="2"/>
        <v>10</v>
      </c>
      <c r="K76" s="385">
        <v>1250</v>
      </c>
      <c r="L76" s="230"/>
      <c r="M76" s="230"/>
      <c r="N76" s="230"/>
      <c r="O76" s="456">
        <f t="shared" si="3"/>
        <v>12500</v>
      </c>
      <c r="P76" s="230"/>
    </row>
    <row r="77" spans="1:16">
      <c r="A77" s="322"/>
      <c r="B77" s="230"/>
      <c r="C77" s="230"/>
      <c r="D77" s="230"/>
      <c r="E77" s="230"/>
      <c r="F77" s="240"/>
      <c r="G77" s="229"/>
      <c r="H77" s="434"/>
      <c r="I77" s="434"/>
      <c r="J77" s="434"/>
      <c r="K77" s="467"/>
      <c r="L77" s="230"/>
      <c r="M77" s="230"/>
      <c r="N77" s="230"/>
      <c r="O77" s="230"/>
      <c r="P77" s="230"/>
    </row>
    <row r="78" spans="1:16">
      <c r="A78" s="322"/>
      <c r="B78" s="230"/>
      <c r="C78" s="230"/>
      <c r="D78" s="230"/>
      <c r="E78" s="230"/>
      <c r="F78" s="480"/>
      <c r="G78" s="229"/>
      <c r="H78" s="434"/>
      <c r="I78" s="434"/>
      <c r="J78" s="434"/>
      <c r="K78" s="467"/>
      <c r="L78" s="230"/>
      <c r="M78" s="230"/>
      <c r="N78" s="230"/>
      <c r="O78" s="230"/>
      <c r="P78" s="230"/>
    </row>
    <row r="79" spans="1:16">
      <c r="A79" s="322">
        <v>5.4</v>
      </c>
      <c r="B79" s="230"/>
      <c r="C79" s="230"/>
      <c r="D79" s="230" t="s">
        <v>83</v>
      </c>
      <c r="E79" s="230" t="s">
        <v>84</v>
      </c>
      <c r="F79" s="228" t="s">
        <v>217</v>
      </c>
      <c r="G79" s="229"/>
      <c r="H79" s="434"/>
      <c r="I79" s="434"/>
      <c r="J79" s="434"/>
      <c r="K79" s="467"/>
      <c r="L79" s="230"/>
      <c r="M79" s="230"/>
      <c r="N79" s="230"/>
      <c r="O79" s="230"/>
      <c r="P79" s="230"/>
    </row>
    <row r="80" ht="60" customHeight="1" spans="1:16">
      <c r="A80" s="322"/>
      <c r="B80" s="230"/>
      <c r="C80" s="230"/>
      <c r="D80" s="230"/>
      <c r="E80" s="230"/>
      <c r="F80" s="231" t="s">
        <v>218</v>
      </c>
      <c r="G80" s="229"/>
      <c r="H80" s="434"/>
      <c r="I80" s="434"/>
      <c r="J80" s="434"/>
      <c r="K80" s="467"/>
      <c r="L80" s="230"/>
      <c r="M80" s="230"/>
      <c r="N80" s="230"/>
      <c r="O80" s="230"/>
      <c r="P80" s="230"/>
    </row>
    <row r="81" ht="15" spans="1:16">
      <c r="A81" s="322"/>
      <c r="B81" s="230"/>
      <c r="C81" s="230"/>
      <c r="D81" s="230"/>
      <c r="E81" s="230"/>
      <c r="F81" s="480" t="s">
        <v>219</v>
      </c>
      <c r="G81" s="229" t="s">
        <v>51</v>
      </c>
      <c r="H81" s="434">
        <v>49.8</v>
      </c>
      <c r="I81" s="434">
        <f>20</f>
        <v>20</v>
      </c>
      <c r="J81" s="130">
        <f t="shared" ref="J81:J82" si="4">SUM(H81:I81)</f>
        <v>69.8</v>
      </c>
      <c r="K81" s="385">
        <v>1890</v>
      </c>
      <c r="L81" s="230"/>
      <c r="M81" s="230"/>
      <c r="N81" s="230"/>
      <c r="O81" s="456">
        <f t="shared" ref="O81:O82" si="5">SUM(J81*K81)</f>
        <v>131922</v>
      </c>
      <c r="P81" s="230"/>
    </row>
    <row r="82" ht="15" spans="1:16">
      <c r="A82" s="322"/>
      <c r="B82" s="230"/>
      <c r="C82" s="230"/>
      <c r="D82" s="230"/>
      <c r="E82" s="230"/>
      <c r="F82" s="480" t="s">
        <v>220</v>
      </c>
      <c r="G82" s="229" t="s">
        <v>51</v>
      </c>
      <c r="H82" s="434">
        <v>5</v>
      </c>
      <c r="I82" s="434">
        <v>5</v>
      </c>
      <c r="J82" s="130">
        <f t="shared" si="4"/>
        <v>10</v>
      </c>
      <c r="K82" s="385">
        <v>1250</v>
      </c>
      <c r="L82" s="230"/>
      <c r="M82" s="230"/>
      <c r="N82" s="230"/>
      <c r="O82" s="456">
        <f t="shared" si="5"/>
        <v>12500</v>
      </c>
      <c r="P82" s="230"/>
    </row>
    <row r="83" spans="1:16">
      <c r="A83" s="322"/>
      <c r="B83" s="230"/>
      <c r="C83" s="230"/>
      <c r="D83" s="230"/>
      <c r="E83" s="230"/>
      <c r="F83" s="240"/>
      <c r="G83" s="229"/>
      <c r="H83" s="434"/>
      <c r="I83" s="434"/>
      <c r="J83" s="434"/>
      <c r="K83" s="467"/>
      <c r="L83" s="230"/>
      <c r="M83" s="230"/>
      <c r="N83" s="230"/>
      <c r="O83" s="230"/>
      <c r="P83" s="230"/>
    </row>
    <row r="84" spans="1:16">
      <c r="A84" s="322"/>
      <c r="B84" s="230"/>
      <c r="C84" s="230"/>
      <c r="D84" s="230"/>
      <c r="E84" s="230"/>
      <c r="F84" s="240"/>
      <c r="G84" s="229"/>
      <c r="H84" s="434"/>
      <c r="I84" s="434"/>
      <c r="J84" s="434"/>
      <c r="K84" s="467"/>
      <c r="L84" s="230"/>
      <c r="M84" s="230"/>
      <c r="N84" s="230"/>
      <c r="O84" s="230"/>
      <c r="P84" s="230"/>
    </row>
    <row r="85" ht="25.5" spans="1:16">
      <c r="A85" s="322">
        <v>5.5</v>
      </c>
      <c r="B85" s="230"/>
      <c r="C85" s="230"/>
      <c r="D85" s="230" t="s">
        <v>103</v>
      </c>
      <c r="E85" s="230" t="s">
        <v>221</v>
      </c>
      <c r="F85" s="235" t="s">
        <v>222</v>
      </c>
      <c r="G85" s="229" t="s">
        <v>130</v>
      </c>
      <c r="H85" s="434">
        <v>49.8</v>
      </c>
      <c r="I85" s="434">
        <v>20</v>
      </c>
      <c r="J85" s="130">
        <f>SUM(H85:I85)</f>
        <v>69.8</v>
      </c>
      <c r="K85" s="385">
        <v>7150</v>
      </c>
      <c r="L85" s="230"/>
      <c r="M85" s="230"/>
      <c r="N85" s="230"/>
      <c r="O85" s="456">
        <f>SUM(J85*K85)</f>
        <v>499070</v>
      </c>
      <c r="P85" s="230"/>
    </row>
    <row r="86" ht="84.75" customHeight="1" spans="1:16">
      <c r="A86" s="322"/>
      <c r="B86" s="230"/>
      <c r="C86" s="230"/>
      <c r="D86" s="230"/>
      <c r="E86" s="229"/>
      <c r="F86" s="236" t="s">
        <v>223</v>
      </c>
      <c r="G86" s="229"/>
      <c r="H86" s="434"/>
      <c r="I86" s="434"/>
      <c r="J86" s="434"/>
      <c r="K86" s="467"/>
      <c r="L86" s="230"/>
      <c r="M86" s="230"/>
      <c r="N86" s="230"/>
      <c r="O86" s="230"/>
      <c r="P86" s="230"/>
    </row>
    <row r="87" spans="1:16">
      <c r="A87" s="322"/>
      <c r="B87" s="230"/>
      <c r="C87" s="230"/>
      <c r="D87" s="230"/>
      <c r="E87" s="229"/>
      <c r="F87" s="240"/>
      <c r="G87" s="229"/>
      <c r="H87" s="434"/>
      <c r="I87" s="434"/>
      <c r="J87" s="434"/>
      <c r="K87" s="467"/>
      <c r="L87" s="230"/>
      <c r="M87" s="230"/>
      <c r="N87" s="230"/>
      <c r="O87" s="230"/>
      <c r="P87" s="230"/>
    </row>
    <row r="88" spans="1:16">
      <c r="A88" s="322"/>
      <c r="B88" s="230"/>
      <c r="C88" s="230"/>
      <c r="D88" s="230"/>
      <c r="E88" s="230"/>
      <c r="F88" s="231"/>
      <c r="G88" s="229"/>
      <c r="H88" s="434"/>
      <c r="I88" s="434"/>
      <c r="J88" s="434"/>
      <c r="K88" s="467"/>
      <c r="L88" s="230"/>
      <c r="M88" s="230"/>
      <c r="N88" s="230"/>
      <c r="O88" s="230"/>
      <c r="P88" s="230"/>
    </row>
    <row r="89" ht="25.5" spans="1:16">
      <c r="A89" s="322">
        <v>5.6</v>
      </c>
      <c r="B89" s="230"/>
      <c r="C89" s="230"/>
      <c r="D89" s="230" t="s">
        <v>103</v>
      </c>
      <c r="E89" s="230" t="s">
        <v>221</v>
      </c>
      <c r="F89" s="235" t="s">
        <v>224</v>
      </c>
      <c r="G89" s="229" t="s">
        <v>130</v>
      </c>
      <c r="H89" s="434">
        <v>13</v>
      </c>
      <c r="I89" s="434">
        <v>0</v>
      </c>
      <c r="J89" s="130">
        <f>SUM(H89:I89)</f>
        <v>13</v>
      </c>
      <c r="K89" s="385">
        <v>19800</v>
      </c>
      <c r="L89" s="230"/>
      <c r="M89" s="230"/>
      <c r="N89" s="230"/>
      <c r="O89" s="456">
        <f>SUM(J89*K89)</f>
        <v>257400</v>
      </c>
      <c r="P89" s="230"/>
    </row>
    <row r="90" ht="114.75" customHeight="1" spans="1:16">
      <c r="A90" s="322"/>
      <c r="B90" s="230"/>
      <c r="C90" s="230"/>
      <c r="D90" s="230"/>
      <c r="E90" s="230"/>
      <c r="F90" s="240" t="s">
        <v>225</v>
      </c>
      <c r="G90" s="229"/>
      <c r="H90" s="434"/>
      <c r="I90" s="434"/>
      <c r="J90" s="434"/>
      <c r="K90" s="467"/>
      <c r="L90" s="230"/>
      <c r="M90" s="230"/>
      <c r="N90" s="230"/>
      <c r="O90" s="230"/>
      <c r="P90" s="230"/>
    </row>
    <row r="91" spans="1:16">
      <c r="A91" s="322"/>
      <c r="B91" s="230"/>
      <c r="C91" s="230"/>
      <c r="D91" s="230"/>
      <c r="E91" s="230"/>
      <c r="F91" s="240"/>
      <c r="G91" s="229"/>
      <c r="H91" s="434"/>
      <c r="I91" s="434"/>
      <c r="J91" s="434"/>
      <c r="K91" s="467"/>
      <c r="L91" s="230"/>
      <c r="M91" s="230"/>
      <c r="N91" s="230"/>
      <c r="O91" s="230"/>
      <c r="P91" s="230"/>
    </row>
    <row r="92" spans="1:16">
      <c r="A92" s="322"/>
      <c r="B92" s="230"/>
      <c r="C92" s="230"/>
      <c r="D92" s="230"/>
      <c r="E92" s="230"/>
      <c r="F92" s="240"/>
      <c r="G92" s="229"/>
      <c r="H92" s="434"/>
      <c r="I92" s="434"/>
      <c r="J92" s="434"/>
      <c r="K92" s="467"/>
      <c r="L92" s="230"/>
      <c r="M92" s="230"/>
      <c r="N92" s="230"/>
      <c r="O92" s="230"/>
      <c r="P92" s="230"/>
    </row>
    <row r="93" ht="15" spans="1:16">
      <c r="A93" s="322">
        <v>5.7</v>
      </c>
      <c r="B93" s="230"/>
      <c r="C93" s="230"/>
      <c r="D93" s="230" t="s">
        <v>226</v>
      </c>
      <c r="E93" s="230" t="s">
        <v>227</v>
      </c>
      <c r="F93" s="235" t="s">
        <v>228</v>
      </c>
      <c r="G93" s="229" t="s">
        <v>229</v>
      </c>
      <c r="H93" s="434">
        <f>(1.2*3.5)*6</f>
        <v>25.2</v>
      </c>
      <c r="I93" s="434">
        <v>0</v>
      </c>
      <c r="J93" s="130">
        <f>SUM(H93:I93)</f>
        <v>25.2</v>
      </c>
      <c r="K93" s="243">
        <v>11650</v>
      </c>
      <c r="L93" s="230"/>
      <c r="M93" s="230"/>
      <c r="N93" s="230"/>
      <c r="O93" s="456">
        <f>SUM(J93*K93)</f>
        <v>293580</v>
      </c>
      <c r="P93" s="230"/>
    </row>
    <row r="94" ht="89.25" spans="1:16">
      <c r="A94" s="388"/>
      <c r="B94" s="230"/>
      <c r="C94" s="230"/>
      <c r="D94" s="231"/>
      <c r="E94" s="226"/>
      <c r="F94" s="240" t="s">
        <v>230</v>
      </c>
      <c r="G94" s="229"/>
      <c r="H94" s="434"/>
      <c r="I94" s="434"/>
      <c r="J94" s="434"/>
      <c r="K94" s="467"/>
      <c r="L94" s="230"/>
      <c r="M94" s="230"/>
      <c r="N94" s="230"/>
      <c r="O94" s="230"/>
      <c r="P94" s="230"/>
    </row>
    <row r="95" spans="1:16">
      <c r="A95" s="388"/>
      <c r="B95" s="230"/>
      <c r="C95" s="230"/>
      <c r="D95" s="231"/>
      <c r="E95" s="226"/>
      <c r="F95" s="240"/>
      <c r="G95" s="229"/>
      <c r="H95" s="434"/>
      <c r="I95" s="434"/>
      <c r="J95" s="434"/>
      <c r="K95" s="467"/>
      <c r="L95" s="230"/>
      <c r="M95" s="230"/>
      <c r="N95" s="230"/>
      <c r="O95" s="230"/>
      <c r="P95" s="230"/>
    </row>
    <row r="96" spans="1:16">
      <c r="A96" s="388"/>
      <c r="B96" s="230"/>
      <c r="C96" s="230"/>
      <c r="D96" s="231"/>
      <c r="E96" s="226"/>
      <c r="F96" s="240"/>
      <c r="G96" s="229"/>
      <c r="H96" s="434"/>
      <c r="I96" s="434"/>
      <c r="J96" s="434"/>
      <c r="K96" s="467"/>
      <c r="L96" s="230"/>
      <c r="M96" s="230"/>
      <c r="N96" s="230"/>
      <c r="O96" s="230"/>
      <c r="P96" s="230"/>
    </row>
    <row r="97" ht="15" spans="1:16">
      <c r="A97" s="322">
        <v>5.8</v>
      </c>
      <c r="B97" s="230"/>
      <c r="C97" s="230"/>
      <c r="D97" s="230" t="s">
        <v>95</v>
      </c>
      <c r="E97" s="230" t="s">
        <v>100</v>
      </c>
      <c r="F97" s="235" t="s">
        <v>101</v>
      </c>
      <c r="G97" s="229" t="s">
        <v>98</v>
      </c>
      <c r="H97" s="434">
        <f>12+7.2</f>
        <v>19.2</v>
      </c>
      <c r="I97" s="434">
        <v>5</v>
      </c>
      <c r="J97" s="130">
        <f>SUM(H97:I97)</f>
        <v>24.2</v>
      </c>
      <c r="K97" s="243">
        <v>1350</v>
      </c>
      <c r="L97" s="230"/>
      <c r="M97" s="230"/>
      <c r="N97" s="230"/>
      <c r="O97" s="456">
        <f>SUM(J97*K97)</f>
        <v>32670</v>
      </c>
      <c r="P97" s="230"/>
    </row>
    <row r="98" spans="1:16">
      <c r="A98" s="322"/>
      <c r="B98" s="230"/>
      <c r="C98" s="230"/>
      <c r="D98" s="230"/>
      <c r="E98" s="229"/>
      <c r="F98" s="236" t="s">
        <v>102</v>
      </c>
      <c r="G98" s="229"/>
      <c r="H98" s="434"/>
      <c r="I98" s="434"/>
      <c r="J98" s="434"/>
      <c r="K98" s="467"/>
      <c r="L98" s="230"/>
      <c r="M98" s="230"/>
      <c r="N98" s="230"/>
      <c r="O98" s="230"/>
      <c r="P98" s="230"/>
    </row>
    <row r="99" spans="1:16">
      <c r="A99" s="322"/>
      <c r="B99" s="230"/>
      <c r="C99" s="230"/>
      <c r="D99" s="230"/>
      <c r="E99" s="229"/>
      <c r="F99" s="240"/>
      <c r="G99" s="229"/>
      <c r="H99" s="434"/>
      <c r="I99" s="434"/>
      <c r="J99" s="434"/>
      <c r="K99" s="467"/>
      <c r="L99" s="230"/>
      <c r="M99" s="230"/>
      <c r="N99" s="230"/>
      <c r="O99" s="230"/>
      <c r="P99" s="230"/>
    </row>
    <row r="100" spans="1:16">
      <c r="A100" s="322"/>
      <c r="B100" s="230"/>
      <c r="C100" s="230"/>
      <c r="D100" s="230"/>
      <c r="E100" s="229"/>
      <c r="F100" s="240"/>
      <c r="G100" s="229"/>
      <c r="H100" s="434"/>
      <c r="I100" s="434"/>
      <c r="J100" s="434"/>
      <c r="K100" s="467"/>
      <c r="L100" s="230"/>
      <c r="M100" s="230"/>
      <c r="N100" s="230"/>
      <c r="O100" s="230"/>
      <c r="P100" s="230"/>
    </row>
    <row r="101" ht="15" spans="1:16">
      <c r="A101" s="322">
        <v>5.9</v>
      </c>
      <c r="B101" s="230"/>
      <c r="C101" s="230"/>
      <c r="D101" s="230" t="s">
        <v>231</v>
      </c>
      <c r="E101" s="230" t="s">
        <v>232</v>
      </c>
      <c r="F101" s="228" t="s">
        <v>233</v>
      </c>
      <c r="G101" s="229" t="s">
        <v>51</v>
      </c>
      <c r="H101" s="434">
        <f>2.6*3.5</f>
        <v>9.1</v>
      </c>
      <c r="I101" s="434">
        <f>0.5*10</f>
        <v>5</v>
      </c>
      <c r="J101" s="130">
        <f>SUM(H101:I101)</f>
        <v>14.1</v>
      </c>
      <c r="K101" s="467">
        <v>4000</v>
      </c>
      <c r="L101" s="230"/>
      <c r="M101" s="230"/>
      <c r="N101" s="230"/>
      <c r="O101" s="456">
        <f>SUM(J101*K101)</f>
        <v>56400</v>
      </c>
      <c r="P101" s="230"/>
    </row>
    <row r="102" ht="25.5" spans="1:16">
      <c r="A102" s="322"/>
      <c r="B102" s="230"/>
      <c r="C102" s="230"/>
      <c r="D102" s="230"/>
      <c r="E102" s="229"/>
      <c r="F102" s="240" t="s">
        <v>234</v>
      </c>
      <c r="G102" s="229"/>
      <c r="H102" s="434"/>
      <c r="I102" s="434"/>
      <c r="J102" s="434"/>
      <c r="K102" s="467"/>
      <c r="L102" s="230"/>
      <c r="M102" s="230"/>
      <c r="N102" s="230"/>
      <c r="O102" s="230"/>
      <c r="P102" s="230"/>
    </row>
    <row r="103" spans="1:16">
      <c r="A103" s="322"/>
      <c r="B103" s="230"/>
      <c r="C103" s="230"/>
      <c r="D103" s="230"/>
      <c r="E103" s="229"/>
      <c r="F103" s="240"/>
      <c r="G103" s="229"/>
      <c r="H103" s="434"/>
      <c r="I103" s="434"/>
      <c r="J103" s="434"/>
      <c r="K103" s="467"/>
      <c r="L103" s="230"/>
      <c r="M103" s="230"/>
      <c r="N103" s="230"/>
      <c r="O103" s="230"/>
      <c r="P103" s="230"/>
    </row>
    <row r="104" ht="25.5" spans="1:16">
      <c r="A104" s="388">
        <v>5.1</v>
      </c>
      <c r="B104" s="230"/>
      <c r="C104" s="230"/>
      <c r="D104" s="230" t="s">
        <v>235</v>
      </c>
      <c r="E104" s="230" t="s">
        <v>236</v>
      </c>
      <c r="F104" s="228" t="s">
        <v>237</v>
      </c>
      <c r="G104" s="229" t="s">
        <v>51</v>
      </c>
      <c r="H104" s="434">
        <f>10*3.5</f>
        <v>35</v>
      </c>
      <c r="I104" s="434">
        <f>2*3.6</f>
        <v>7.2</v>
      </c>
      <c r="J104" s="130">
        <f>SUM(H104:I104)</f>
        <v>42.2</v>
      </c>
      <c r="K104" s="467">
        <v>3900</v>
      </c>
      <c r="L104" s="230"/>
      <c r="M104" s="230"/>
      <c r="N104" s="230"/>
      <c r="O104" s="456">
        <f>SUM(J104*K104)</f>
        <v>164580</v>
      </c>
      <c r="P104" s="230"/>
    </row>
    <row r="105" ht="25.5" spans="1:16">
      <c r="A105" s="322"/>
      <c r="B105" s="230"/>
      <c r="C105" s="230"/>
      <c r="D105" s="230"/>
      <c r="E105" s="229"/>
      <c r="F105" s="240" t="s">
        <v>238</v>
      </c>
      <c r="G105" s="229"/>
      <c r="H105" s="434"/>
      <c r="I105" s="434"/>
      <c r="J105" s="434"/>
      <c r="K105" s="467"/>
      <c r="L105" s="230"/>
      <c r="M105" s="230"/>
      <c r="N105" s="230"/>
      <c r="O105" s="230"/>
      <c r="P105" s="230"/>
    </row>
    <row r="106" spans="1:16">
      <c r="A106" s="322"/>
      <c r="B106" s="230"/>
      <c r="C106" s="230"/>
      <c r="D106" s="230"/>
      <c r="E106" s="229"/>
      <c r="F106" s="240"/>
      <c r="G106" s="229"/>
      <c r="H106" s="434"/>
      <c r="I106" s="434"/>
      <c r="J106" s="434"/>
      <c r="K106" s="467"/>
      <c r="L106" s="230"/>
      <c r="M106" s="230"/>
      <c r="N106" s="230"/>
      <c r="O106" s="230"/>
      <c r="P106" s="230"/>
    </row>
    <row r="107" ht="15" spans="1:16">
      <c r="A107" s="388">
        <v>5.11</v>
      </c>
      <c r="B107" s="230"/>
      <c r="C107" s="230"/>
      <c r="D107" s="230" t="s">
        <v>239</v>
      </c>
      <c r="E107" s="230" t="s">
        <v>240</v>
      </c>
      <c r="F107" s="228" t="s">
        <v>241</v>
      </c>
      <c r="G107" s="229" t="s">
        <v>242</v>
      </c>
      <c r="H107" s="434">
        <v>1</v>
      </c>
      <c r="I107" s="434"/>
      <c r="J107" s="130">
        <f>SUM(H107:I107)</f>
        <v>1</v>
      </c>
      <c r="K107" s="467">
        <v>45000</v>
      </c>
      <c r="L107" s="230"/>
      <c r="M107" s="230"/>
      <c r="N107" s="230"/>
      <c r="O107" s="456">
        <f>SUM(J107*K107)</f>
        <v>45000</v>
      </c>
      <c r="P107" s="230"/>
    </row>
    <row r="108" ht="25.5" spans="1:16">
      <c r="A108" s="322"/>
      <c r="B108" s="230"/>
      <c r="C108" s="230"/>
      <c r="D108" s="230"/>
      <c r="E108" s="229"/>
      <c r="F108" s="240" t="s">
        <v>243</v>
      </c>
      <c r="G108" s="229"/>
      <c r="H108" s="434"/>
      <c r="I108" s="434"/>
      <c r="J108" s="434"/>
      <c r="K108" s="467"/>
      <c r="L108" s="230"/>
      <c r="M108" s="230"/>
      <c r="N108" s="230"/>
      <c r="O108" s="230"/>
      <c r="P108" s="230"/>
    </row>
    <row r="109" spans="1:16">
      <c r="A109" s="322"/>
      <c r="B109" s="230"/>
      <c r="C109" s="230"/>
      <c r="D109" s="230"/>
      <c r="E109" s="229"/>
      <c r="F109" s="240"/>
      <c r="G109" s="229"/>
      <c r="H109" s="434"/>
      <c r="I109" s="434"/>
      <c r="J109" s="434"/>
      <c r="K109" s="467"/>
      <c r="L109" s="230"/>
      <c r="M109" s="230"/>
      <c r="N109" s="230"/>
      <c r="O109" s="230"/>
      <c r="P109" s="230"/>
    </row>
    <row r="110" ht="15" spans="1:16">
      <c r="A110" s="388">
        <v>5.12</v>
      </c>
      <c r="B110" s="230"/>
      <c r="C110" s="230"/>
      <c r="D110" s="230" t="s">
        <v>239</v>
      </c>
      <c r="E110" s="230" t="s">
        <v>240</v>
      </c>
      <c r="F110" s="228" t="s">
        <v>244</v>
      </c>
      <c r="G110" s="229" t="s">
        <v>242</v>
      </c>
      <c r="H110" s="434"/>
      <c r="I110" s="434">
        <v>1</v>
      </c>
      <c r="J110" s="130">
        <f>SUM(H110:I110)</f>
        <v>1</v>
      </c>
      <c r="K110" s="467">
        <v>35000</v>
      </c>
      <c r="L110" s="230"/>
      <c r="M110" s="230"/>
      <c r="N110" s="230"/>
      <c r="O110" s="456">
        <f>SUM(J110*K110)</f>
        <v>35000</v>
      </c>
      <c r="P110" s="230"/>
    </row>
    <row r="111" ht="25.5" spans="1:16">
      <c r="A111" s="322"/>
      <c r="B111" s="230"/>
      <c r="C111" s="230"/>
      <c r="D111" s="230"/>
      <c r="E111" s="229"/>
      <c r="F111" s="240" t="s">
        <v>245</v>
      </c>
      <c r="G111" s="229"/>
      <c r="H111" s="434"/>
      <c r="I111" s="434"/>
      <c r="J111" s="434"/>
      <c r="K111" s="467"/>
      <c r="L111" s="230"/>
      <c r="M111" s="230"/>
      <c r="N111" s="230"/>
      <c r="O111" s="230"/>
      <c r="P111" s="230"/>
    </row>
    <row r="112" spans="1:16">
      <c r="A112" s="322"/>
      <c r="B112" s="230"/>
      <c r="C112" s="230"/>
      <c r="D112" s="230"/>
      <c r="E112" s="229"/>
      <c r="F112" s="240"/>
      <c r="G112" s="229"/>
      <c r="H112" s="434"/>
      <c r="I112" s="434"/>
      <c r="J112" s="434"/>
      <c r="K112" s="467"/>
      <c r="L112" s="230"/>
      <c r="M112" s="230"/>
      <c r="N112" s="230"/>
      <c r="O112" s="230"/>
      <c r="P112" s="230"/>
    </row>
    <row r="113" ht="25.5" spans="1:16">
      <c r="A113" s="388">
        <v>5.13</v>
      </c>
      <c r="B113" s="230"/>
      <c r="C113" s="230"/>
      <c r="D113" s="230" t="s">
        <v>246</v>
      </c>
      <c r="E113" s="230" t="s">
        <v>247</v>
      </c>
      <c r="F113" s="228" t="s">
        <v>248</v>
      </c>
      <c r="G113" s="229" t="s">
        <v>249</v>
      </c>
      <c r="H113" s="434">
        <v>2</v>
      </c>
      <c r="I113" s="434">
        <v>0</v>
      </c>
      <c r="J113" s="130">
        <f>SUM(H113:I113)</f>
        <v>2</v>
      </c>
      <c r="K113" s="385">
        <v>78000</v>
      </c>
      <c r="L113" s="230"/>
      <c r="M113" s="230"/>
      <c r="N113" s="230"/>
      <c r="O113" s="456">
        <f>SUM(J113*K113)</f>
        <v>156000</v>
      </c>
      <c r="P113" s="230"/>
    </row>
    <row r="114" spans="1:16">
      <c r="A114" s="322"/>
      <c r="B114" s="230"/>
      <c r="C114" s="230"/>
      <c r="D114" s="230"/>
      <c r="E114" s="229"/>
      <c r="F114" s="236" t="s">
        <v>250</v>
      </c>
      <c r="G114" s="229"/>
      <c r="H114" s="434"/>
      <c r="I114" s="434"/>
      <c r="J114" s="434"/>
      <c r="K114" s="467"/>
      <c r="L114" s="230"/>
      <c r="M114" s="230"/>
      <c r="N114" s="230"/>
      <c r="O114" s="230"/>
      <c r="P114" s="230"/>
    </row>
    <row r="115" spans="1:16">
      <c r="A115" s="322"/>
      <c r="B115" s="230"/>
      <c r="C115" s="230"/>
      <c r="D115" s="230"/>
      <c r="E115" s="229"/>
      <c r="F115" s="235" t="s">
        <v>251</v>
      </c>
      <c r="G115" s="229"/>
      <c r="H115" s="434"/>
      <c r="I115" s="434"/>
      <c r="J115" s="434"/>
      <c r="K115" s="467"/>
      <c r="L115" s="230"/>
      <c r="M115" s="230"/>
      <c r="N115" s="230"/>
      <c r="O115" s="230"/>
      <c r="P115" s="230"/>
    </row>
    <row r="116" ht="76.5" spans="1:16">
      <c r="A116" s="322"/>
      <c r="B116" s="230"/>
      <c r="C116" s="230"/>
      <c r="D116" s="230"/>
      <c r="E116" s="229"/>
      <c r="F116" s="236" t="s">
        <v>252</v>
      </c>
      <c r="G116" s="229"/>
      <c r="H116" s="434"/>
      <c r="I116" s="434"/>
      <c r="J116" s="434"/>
      <c r="K116" s="467"/>
      <c r="L116" s="230"/>
      <c r="M116" s="230"/>
      <c r="N116" s="230"/>
      <c r="O116" s="230"/>
      <c r="P116" s="230"/>
    </row>
    <row r="117" spans="1:16">
      <c r="A117" s="322"/>
      <c r="B117" s="230"/>
      <c r="C117" s="230"/>
      <c r="D117" s="230"/>
      <c r="E117" s="230"/>
      <c r="F117" s="235" t="s">
        <v>253</v>
      </c>
      <c r="G117" s="229"/>
      <c r="H117" s="434"/>
      <c r="I117" s="434"/>
      <c r="J117" s="434"/>
      <c r="K117" s="467"/>
      <c r="L117" s="230"/>
      <c r="M117" s="230"/>
      <c r="N117" s="230"/>
      <c r="O117" s="230"/>
      <c r="P117" s="230"/>
    </row>
    <row r="118" ht="76.5" spans="1:16">
      <c r="A118" s="322"/>
      <c r="B118" s="230"/>
      <c r="C118" s="230"/>
      <c r="D118" s="230"/>
      <c r="E118" s="229"/>
      <c r="F118" s="231" t="s">
        <v>254</v>
      </c>
      <c r="G118" s="229"/>
      <c r="H118" s="434"/>
      <c r="I118" s="434"/>
      <c r="J118" s="434"/>
      <c r="K118" s="467"/>
      <c r="L118" s="230"/>
      <c r="M118" s="230"/>
      <c r="N118" s="230"/>
      <c r="O118" s="230"/>
      <c r="P118" s="230"/>
    </row>
    <row r="119" spans="1:16">
      <c r="A119" s="322"/>
      <c r="B119" s="230"/>
      <c r="C119" s="230"/>
      <c r="D119" s="230"/>
      <c r="E119" s="230"/>
      <c r="F119" s="235" t="s">
        <v>255</v>
      </c>
      <c r="G119" s="229"/>
      <c r="H119" s="434"/>
      <c r="I119" s="434"/>
      <c r="J119" s="434"/>
      <c r="K119" s="467"/>
      <c r="L119" s="230"/>
      <c r="M119" s="230"/>
      <c r="N119" s="230"/>
      <c r="O119" s="230"/>
      <c r="P119" s="230"/>
    </row>
    <row r="120" ht="51" spans="1:16">
      <c r="A120" s="322"/>
      <c r="B120" s="230"/>
      <c r="C120" s="230"/>
      <c r="D120" s="230"/>
      <c r="E120" s="229"/>
      <c r="F120" s="236" t="s">
        <v>256</v>
      </c>
      <c r="G120" s="229"/>
      <c r="H120" s="434"/>
      <c r="I120" s="434"/>
      <c r="J120" s="434"/>
      <c r="K120" s="467"/>
      <c r="L120" s="230"/>
      <c r="M120" s="230"/>
      <c r="N120" s="230"/>
      <c r="O120" s="230"/>
      <c r="P120" s="230"/>
    </row>
    <row r="121" spans="1:16">
      <c r="A121" s="322"/>
      <c r="B121" s="230"/>
      <c r="C121" s="230"/>
      <c r="D121" s="230"/>
      <c r="E121" s="230"/>
      <c r="F121" s="481"/>
      <c r="G121" s="229"/>
      <c r="H121" s="434"/>
      <c r="I121" s="434"/>
      <c r="J121" s="434"/>
      <c r="K121" s="467"/>
      <c r="L121" s="230"/>
      <c r="M121" s="230"/>
      <c r="N121" s="230"/>
      <c r="O121" s="230"/>
      <c r="P121" s="230"/>
    </row>
    <row r="122" spans="1:16">
      <c r="A122" s="322"/>
      <c r="B122" s="230"/>
      <c r="C122" s="230"/>
      <c r="D122" s="230"/>
      <c r="E122" s="230"/>
      <c r="F122" s="481"/>
      <c r="G122" s="229"/>
      <c r="H122" s="434"/>
      <c r="I122" s="434"/>
      <c r="J122" s="434"/>
      <c r="K122" s="467"/>
      <c r="L122" s="230"/>
      <c r="M122" s="230"/>
      <c r="N122" s="230"/>
      <c r="O122" s="230"/>
      <c r="P122" s="230"/>
    </row>
    <row r="123" ht="25.5" customHeight="1" spans="1:16">
      <c r="A123" s="388">
        <v>5.14</v>
      </c>
      <c r="B123" s="230"/>
      <c r="C123" s="230"/>
      <c r="D123" s="230" t="s">
        <v>246</v>
      </c>
      <c r="E123" s="226" t="s">
        <v>257</v>
      </c>
      <c r="F123" s="303" t="s">
        <v>258</v>
      </c>
      <c r="G123" s="229" t="s">
        <v>187</v>
      </c>
      <c r="H123" s="434">
        <v>1</v>
      </c>
      <c r="I123" s="434"/>
      <c r="J123" s="130">
        <f>SUM(H123:I123)</f>
        <v>1</v>
      </c>
      <c r="K123" s="229">
        <v>32000</v>
      </c>
      <c r="L123" s="230"/>
      <c r="M123" s="230"/>
      <c r="N123" s="230"/>
      <c r="O123" s="456">
        <f>SUM(J123*K123)</f>
        <v>32000</v>
      </c>
      <c r="P123" s="230"/>
    </row>
    <row r="124" spans="1:16">
      <c r="A124" s="388"/>
      <c r="B124" s="230"/>
      <c r="C124" s="230"/>
      <c r="D124" s="230"/>
      <c r="E124" s="226"/>
      <c r="F124" s="226" t="s">
        <v>259</v>
      </c>
      <c r="G124" s="229"/>
      <c r="H124" s="434"/>
      <c r="I124" s="434"/>
      <c r="J124" s="434"/>
      <c r="K124" s="467"/>
      <c r="L124" s="230"/>
      <c r="M124" s="230"/>
      <c r="N124" s="230"/>
      <c r="O124" s="230"/>
      <c r="P124" s="230"/>
    </row>
    <row r="125" ht="25.5" spans="1:16">
      <c r="A125" s="388"/>
      <c r="B125" s="230"/>
      <c r="C125" s="230"/>
      <c r="D125" s="230"/>
      <c r="E125" s="482"/>
      <c r="F125" s="226" t="s">
        <v>260</v>
      </c>
      <c r="G125" s="229"/>
      <c r="H125" s="434"/>
      <c r="I125" s="434"/>
      <c r="J125" s="434"/>
      <c r="K125" s="467"/>
      <c r="L125" s="230"/>
      <c r="M125" s="230"/>
      <c r="N125" s="230"/>
      <c r="O125" s="230"/>
      <c r="P125" s="230"/>
    </row>
    <row r="126" spans="1:16">
      <c r="A126" s="388"/>
      <c r="B126" s="230"/>
      <c r="C126" s="230"/>
      <c r="D126" s="230"/>
      <c r="E126" s="482"/>
      <c r="F126" s="226" t="s">
        <v>255</v>
      </c>
      <c r="G126" s="229"/>
      <c r="H126" s="434"/>
      <c r="I126" s="434"/>
      <c r="J126" s="434"/>
      <c r="K126" s="467"/>
      <c r="L126" s="230"/>
      <c r="M126" s="230"/>
      <c r="N126" s="230"/>
      <c r="O126" s="230"/>
      <c r="P126" s="230"/>
    </row>
    <row r="127" ht="73.5" customHeight="1" spans="1:16">
      <c r="A127" s="388"/>
      <c r="B127" s="230"/>
      <c r="C127" s="230"/>
      <c r="D127" s="230"/>
      <c r="E127" s="482"/>
      <c r="F127" s="226" t="s">
        <v>261</v>
      </c>
      <c r="G127" s="229"/>
      <c r="H127" s="434"/>
      <c r="I127" s="434"/>
      <c r="J127" s="434"/>
      <c r="K127" s="467"/>
      <c r="L127" s="230"/>
      <c r="M127" s="230"/>
      <c r="N127" s="230"/>
      <c r="O127" s="230"/>
      <c r="P127" s="230"/>
    </row>
    <row r="128" spans="1:16">
      <c r="A128" s="388"/>
      <c r="B128" s="230"/>
      <c r="C128" s="230"/>
      <c r="D128" s="230"/>
      <c r="E128" s="482"/>
      <c r="F128" s="482"/>
      <c r="G128" s="229"/>
      <c r="H128" s="434"/>
      <c r="I128" s="434"/>
      <c r="J128" s="434"/>
      <c r="K128" s="467"/>
      <c r="L128" s="230"/>
      <c r="M128" s="230"/>
      <c r="N128" s="230"/>
      <c r="O128" s="230"/>
      <c r="P128" s="230"/>
    </row>
    <row r="129" spans="1:16">
      <c r="A129" s="392"/>
      <c r="B129" s="381"/>
      <c r="C129" s="381"/>
      <c r="D129" s="381"/>
      <c r="E129" s="486"/>
      <c r="F129" s="486"/>
      <c r="G129" s="391"/>
      <c r="H129" s="436"/>
      <c r="I129" s="436"/>
      <c r="J129" s="436"/>
      <c r="K129" s="468"/>
      <c r="L129" s="381"/>
      <c r="M129" s="381"/>
      <c r="N129" s="381"/>
      <c r="O129" s="230"/>
      <c r="P129" s="381"/>
    </row>
    <row r="130" ht="15" spans="1:16">
      <c r="A130" s="388">
        <v>5.15</v>
      </c>
      <c r="B130" s="381"/>
      <c r="C130" s="381"/>
      <c r="D130" s="248" t="s">
        <v>246</v>
      </c>
      <c r="E130" s="248" t="s">
        <v>247</v>
      </c>
      <c r="F130" s="393" t="s">
        <v>262</v>
      </c>
      <c r="G130" s="334" t="s">
        <v>249</v>
      </c>
      <c r="H130" s="434">
        <v>0</v>
      </c>
      <c r="I130" s="434">
        <v>1</v>
      </c>
      <c r="J130" s="131">
        <f>SUM(H130:I130)</f>
        <v>1</v>
      </c>
      <c r="K130" s="229">
        <v>110000</v>
      </c>
      <c r="L130" s="230"/>
      <c r="M130" s="230"/>
      <c r="N130" s="230"/>
      <c r="O130" s="457">
        <f>SUM(J130*K130)</f>
        <v>110000</v>
      </c>
      <c r="P130" s="381"/>
    </row>
    <row r="131" spans="1:16">
      <c r="A131" s="392"/>
      <c r="B131" s="381"/>
      <c r="C131" s="381"/>
      <c r="D131" s="248"/>
      <c r="E131" s="334"/>
      <c r="F131" s="394" t="s">
        <v>263</v>
      </c>
      <c r="G131" s="334"/>
      <c r="H131" s="436"/>
      <c r="I131" s="436"/>
      <c r="J131" s="436"/>
      <c r="K131" s="468"/>
      <c r="L131" s="381"/>
      <c r="M131" s="381"/>
      <c r="N131" s="381"/>
      <c r="O131" s="381"/>
      <c r="P131" s="381"/>
    </row>
    <row r="132" spans="1:16">
      <c r="A132" s="392"/>
      <c r="B132" s="381"/>
      <c r="C132" s="381"/>
      <c r="D132" s="248"/>
      <c r="E132" s="334"/>
      <c r="F132" s="394" t="s">
        <v>251</v>
      </c>
      <c r="G132" s="334"/>
      <c r="H132" s="436"/>
      <c r="I132" s="436"/>
      <c r="J132" s="436"/>
      <c r="K132" s="468"/>
      <c r="L132" s="381"/>
      <c r="M132" s="381"/>
      <c r="N132" s="381"/>
      <c r="O132" s="381"/>
      <c r="P132" s="381"/>
    </row>
    <row r="133" ht="76.5" spans="1:16">
      <c r="A133" s="392"/>
      <c r="B133" s="381"/>
      <c r="C133" s="381"/>
      <c r="D133" s="248"/>
      <c r="E133" s="334"/>
      <c r="F133" s="394" t="s">
        <v>264</v>
      </c>
      <c r="G133" s="334"/>
      <c r="H133" s="436"/>
      <c r="I133" s="436"/>
      <c r="J133" s="436"/>
      <c r="K133" s="468"/>
      <c r="L133" s="381"/>
      <c r="M133" s="381"/>
      <c r="N133" s="381"/>
      <c r="O133" s="381"/>
      <c r="P133" s="381"/>
    </row>
    <row r="134" spans="1:16">
      <c r="A134" s="392"/>
      <c r="B134" s="381"/>
      <c r="C134" s="381"/>
      <c r="D134" s="248"/>
      <c r="E134" s="248"/>
      <c r="F134" s="395" t="s">
        <v>253</v>
      </c>
      <c r="G134" s="334"/>
      <c r="H134" s="436"/>
      <c r="I134" s="436"/>
      <c r="J134" s="436"/>
      <c r="K134" s="468"/>
      <c r="L134" s="381"/>
      <c r="M134" s="381"/>
      <c r="N134" s="381"/>
      <c r="O134" s="381"/>
      <c r="P134" s="381"/>
    </row>
    <row r="135" ht="102" customHeight="1" spans="1:16">
      <c r="A135" s="392"/>
      <c r="B135" s="381"/>
      <c r="C135" s="381"/>
      <c r="D135" s="248"/>
      <c r="E135" s="334"/>
      <c r="F135" s="231" t="s">
        <v>265</v>
      </c>
      <c r="G135" s="334"/>
      <c r="H135" s="436"/>
      <c r="I135" s="436"/>
      <c r="J135" s="436"/>
      <c r="K135" s="468"/>
      <c r="L135" s="381"/>
      <c r="M135" s="381"/>
      <c r="N135" s="381"/>
      <c r="O135" s="381"/>
      <c r="P135" s="381"/>
    </row>
    <row r="136" spans="1:16">
      <c r="A136" s="392"/>
      <c r="B136" s="381"/>
      <c r="C136" s="381"/>
      <c r="D136" s="248"/>
      <c r="E136" s="248"/>
      <c r="F136" s="395" t="s">
        <v>255</v>
      </c>
      <c r="G136" s="334"/>
      <c r="H136" s="436"/>
      <c r="I136" s="436"/>
      <c r="J136" s="436"/>
      <c r="K136" s="468"/>
      <c r="L136" s="381"/>
      <c r="M136" s="381"/>
      <c r="N136" s="381"/>
      <c r="O136" s="381"/>
      <c r="P136" s="381"/>
    </row>
    <row r="137" ht="38.25" spans="1:16">
      <c r="A137" s="392"/>
      <c r="B137" s="381"/>
      <c r="C137" s="381"/>
      <c r="D137" s="248"/>
      <c r="E137" s="334"/>
      <c r="F137" s="394" t="s">
        <v>266</v>
      </c>
      <c r="G137" s="334"/>
      <c r="H137" s="436"/>
      <c r="I137" s="436"/>
      <c r="J137" s="436"/>
      <c r="K137" s="468"/>
      <c r="L137" s="381"/>
      <c r="M137" s="381"/>
      <c r="N137" s="381"/>
      <c r="O137" s="381"/>
      <c r="P137" s="381"/>
    </row>
    <row r="138" ht="13.5" spans="1:16">
      <c r="A138" s="392"/>
      <c r="B138" s="381"/>
      <c r="C138" s="381"/>
      <c r="D138" s="248"/>
      <c r="E138" s="248"/>
      <c r="F138" s="487"/>
      <c r="G138" s="334"/>
      <c r="H138" s="436"/>
      <c r="I138" s="436"/>
      <c r="J138" s="436"/>
      <c r="K138" s="468"/>
      <c r="L138" s="381"/>
      <c r="M138" s="381"/>
      <c r="N138" s="381"/>
      <c r="O138" s="381"/>
      <c r="P138" s="381"/>
    </row>
    <row r="139" ht="13.5" spans="1:16">
      <c r="A139" s="488" t="s">
        <v>267</v>
      </c>
      <c r="B139" s="437"/>
      <c r="C139" s="437"/>
      <c r="D139" s="437"/>
      <c r="E139" s="437"/>
      <c r="F139" s="429" t="s">
        <v>126</v>
      </c>
      <c r="G139" s="312"/>
      <c r="H139" s="438"/>
      <c r="I139" s="438"/>
      <c r="J139" s="438"/>
      <c r="K139" s="452"/>
      <c r="L139" s="437"/>
      <c r="M139" s="437"/>
      <c r="N139" s="408"/>
      <c r="O139" s="408"/>
      <c r="P139" s="469"/>
    </row>
    <row r="140" spans="1:16">
      <c r="A140" s="318"/>
      <c r="B140" s="375"/>
      <c r="C140" s="375"/>
      <c r="D140" s="375"/>
      <c r="E140" s="375"/>
      <c r="F140" s="489"/>
      <c r="G140" s="319"/>
      <c r="H140" s="432"/>
      <c r="I140" s="432"/>
      <c r="J140" s="432"/>
      <c r="K140" s="465"/>
      <c r="L140" s="375"/>
      <c r="M140" s="375"/>
      <c r="N140" s="375"/>
      <c r="O140" s="375"/>
      <c r="P140" s="375"/>
    </row>
    <row r="141" ht="15" spans="1:16">
      <c r="A141" s="322">
        <v>6.1</v>
      </c>
      <c r="B141" s="230"/>
      <c r="C141" s="230"/>
      <c r="D141" s="230" t="s">
        <v>127</v>
      </c>
      <c r="E141" s="230" t="s">
        <v>128</v>
      </c>
      <c r="F141" s="249" t="s">
        <v>132</v>
      </c>
      <c r="G141" s="229" t="s">
        <v>130</v>
      </c>
      <c r="H141" s="434">
        <v>10</v>
      </c>
      <c r="I141" s="434">
        <v>10</v>
      </c>
      <c r="J141" s="130">
        <f>SUM(H141:I141)</f>
        <v>20</v>
      </c>
      <c r="K141" s="494">
        <v>2100</v>
      </c>
      <c r="L141" s="230"/>
      <c r="M141" s="230"/>
      <c r="N141" s="230"/>
      <c r="O141" s="456">
        <f>SUM(J141*K141)</f>
        <v>42000</v>
      </c>
      <c r="P141" s="230"/>
    </row>
    <row r="142" ht="41.25" customHeight="1" spans="1:16">
      <c r="A142" s="322"/>
      <c r="B142" s="230"/>
      <c r="C142" s="230"/>
      <c r="D142" s="230"/>
      <c r="E142" s="230"/>
      <c r="F142" s="231" t="s">
        <v>268</v>
      </c>
      <c r="G142" s="229"/>
      <c r="H142" s="434"/>
      <c r="I142" s="434"/>
      <c r="J142" s="434"/>
      <c r="K142" s="467"/>
      <c r="L142" s="230"/>
      <c r="M142" s="230"/>
      <c r="N142" s="230"/>
      <c r="O142" s="230"/>
      <c r="P142" s="230"/>
    </row>
    <row r="143" spans="1:16">
      <c r="A143" s="322"/>
      <c r="B143" s="230"/>
      <c r="C143" s="230"/>
      <c r="D143" s="230"/>
      <c r="E143" s="230"/>
      <c r="F143" s="231"/>
      <c r="G143" s="229"/>
      <c r="H143" s="434"/>
      <c r="I143" s="434"/>
      <c r="J143" s="434"/>
      <c r="K143" s="467"/>
      <c r="L143" s="230"/>
      <c r="M143" s="230"/>
      <c r="N143" s="230"/>
      <c r="O143" s="230"/>
      <c r="P143" s="230"/>
    </row>
    <row r="144" ht="26.25" customHeight="1" spans="1:16">
      <c r="A144" s="322">
        <v>6.2</v>
      </c>
      <c r="B144" s="230"/>
      <c r="C144" s="230"/>
      <c r="D144" s="230" t="s">
        <v>127</v>
      </c>
      <c r="E144" s="230" t="s">
        <v>137</v>
      </c>
      <c r="F144" s="249" t="s">
        <v>269</v>
      </c>
      <c r="G144" s="229" t="s">
        <v>130</v>
      </c>
      <c r="H144" s="434">
        <v>10</v>
      </c>
      <c r="I144" s="434">
        <v>5</v>
      </c>
      <c r="J144" s="130">
        <f>SUM(H144:I144)</f>
        <v>15</v>
      </c>
      <c r="K144" s="494">
        <v>3500</v>
      </c>
      <c r="L144" s="230"/>
      <c r="M144" s="230"/>
      <c r="N144" s="230"/>
      <c r="O144" s="456">
        <f>SUM(J144*K144)</f>
        <v>52500</v>
      </c>
      <c r="P144" s="230"/>
    </row>
    <row r="145" spans="1:16">
      <c r="A145" s="322"/>
      <c r="B145" s="230"/>
      <c r="C145" s="230"/>
      <c r="D145" s="230"/>
      <c r="E145" s="230"/>
      <c r="F145" s="231" t="s">
        <v>139</v>
      </c>
      <c r="G145" s="229"/>
      <c r="H145" s="434"/>
      <c r="I145" s="434"/>
      <c r="J145" s="434"/>
      <c r="K145" s="467"/>
      <c r="L145" s="230"/>
      <c r="M145" s="230"/>
      <c r="N145" s="230"/>
      <c r="O145" s="230"/>
      <c r="P145" s="230"/>
    </row>
    <row r="146" spans="1:16">
      <c r="A146" s="322"/>
      <c r="B146" s="230"/>
      <c r="C146" s="230"/>
      <c r="D146" s="230"/>
      <c r="E146" s="230"/>
      <c r="F146" s="231"/>
      <c r="G146" s="229"/>
      <c r="H146" s="434"/>
      <c r="I146" s="434"/>
      <c r="J146" s="434"/>
      <c r="K146" s="467"/>
      <c r="L146" s="230"/>
      <c r="M146" s="230"/>
      <c r="N146" s="230"/>
      <c r="O146" s="230"/>
      <c r="P146" s="230"/>
    </row>
    <row r="147" ht="25.5" spans="1:16">
      <c r="A147" s="322">
        <v>6.3</v>
      </c>
      <c r="B147" s="230"/>
      <c r="C147" s="230"/>
      <c r="D147" s="230" t="s">
        <v>127</v>
      </c>
      <c r="E147" s="230" t="s">
        <v>270</v>
      </c>
      <c r="F147" s="249" t="s">
        <v>271</v>
      </c>
      <c r="G147" s="229" t="s">
        <v>130</v>
      </c>
      <c r="H147" s="434">
        <f>25</f>
        <v>25</v>
      </c>
      <c r="I147" s="434">
        <v>11</v>
      </c>
      <c r="J147" s="130">
        <f>SUM(H147:I147)</f>
        <v>36</v>
      </c>
      <c r="K147" s="412">
        <v>12000</v>
      </c>
      <c r="L147" s="230"/>
      <c r="M147" s="230"/>
      <c r="N147" s="230"/>
      <c r="O147" s="456">
        <f>SUM(J147*K147)</f>
        <v>432000</v>
      </c>
      <c r="P147" s="230"/>
    </row>
    <row r="148" ht="51" spans="1:16">
      <c r="A148" s="322"/>
      <c r="B148" s="230"/>
      <c r="C148" s="230"/>
      <c r="D148" s="230"/>
      <c r="E148" s="230"/>
      <c r="F148" s="231" t="s">
        <v>272</v>
      </c>
      <c r="G148" s="229"/>
      <c r="H148" s="434"/>
      <c r="I148" s="434"/>
      <c r="J148" s="434"/>
      <c r="K148" s="467"/>
      <c r="L148" s="230"/>
      <c r="M148" s="230"/>
      <c r="N148" s="230"/>
      <c r="O148" s="230"/>
      <c r="P148" s="230"/>
    </row>
    <row r="149" spans="1:16">
      <c r="A149" s="390"/>
      <c r="B149" s="381"/>
      <c r="C149" s="381"/>
      <c r="D149" s="381"/>
      <c r="E149" s="381"/>
      <c r="F149" s="398"/>
      <c r="G149" s="391"/>
      <c r="H149" s="436"/>
      <c r="I149" s="436"/>
      <c r="J149" s="434"/>
      <c r="K149" s="468"/>
      <c r="L149" s="381"/>
      <c r="M149" s="381"/>
      <c r="N149" s="381"/>
      <c r="O149" s="381"/>
      <c r="P149" s="381"/>
    </row>
    <row r="150" ht="15" spans="1:16">
      <c r="A150" s="322">
        <v>6.4</v>
      </c>
      <c r="B150" s="381"/>
      <c r="C150" s="381"/>
      <c r="D150" s="225" t="s">
        <v>127</v>
      </c>
      <c r="E150" s="225" t="s">
        <v>128</v>
      </c>
      <c r="F150" s="245" t="s">
        <v>273</v>
      </c>
      <c r="G150" s="174" t="s">
        <v>130</v>
      </c>
      <c r="H150" s="223">
        <f>35*3+45</f>
        <v>150</v>
      </c>
      <c r="I150" s="436">
        <v>10</v>
      </c>
      <c r="J150" s="131">
        <f>SUM(H150:I150)</f>
        <v>160</v>
      </c>
      <c r="K150" s="468">
        <v>485</v>
      </c>
      <c r="L150" s="381"/>
      <c r="M150" s="381"/>
      <c r="N150" s="381"/>
      <c r="O150" s="457">
        <f>SUM(J150*K150)</f>
        <v>77600</v>
      </c>
      <c r="P150" s="381"/>
    </row>
    <row r="151" ht="60" spans="1:16">
      <c r="A151" s="390"/>
      <c r="B151" s="381"/>
      <c r="C151" s="381"/>
      <c r="D151" s="225"/>
      <c r="E151" s="225"/>
      <c r="F151" s="232" t="s">
        <v>131</v>
      </c>
      <c r="G151" s="174"/>
      <c r="H151" s="223"/>
      <c r="I151" s="436"/>
      <c r="J151" s="434"/>
      <c r="K151" s="467"/>
      <c r="L151" s="230"/>
      <c r="M151" s="230"/>
      <c r="N151" s="230"/>
      <c r="O151" s="230"/>
      <c r="P151" s="381"/>
    </row>
    <row r="152" ht="15" spans="1:16">
      <c r="A152" s="390"/>
      <c r="B152" s="381"/>
      <c r="C152" s="381"/>
      <c r="D152" s="225"/>
      <c r="E152" s="225"/>
      <c r="F152" s="232"/>
      <c r="G152" s="174"/>
      <c r="H152" s="223"/>
      <c r="I152" s="436"/>
      <c r="J152" s="434"/>
      <c r="K152" s="467"/>
      <c r="L152" s="230"/>
      <c r="M152" s="230"/>
      <c r="N152" s="230"/>
      <c r="O152" s="230"/>
      <c r="P152" s="381"/>
    </row>
    <row r="153" ht="15" spans="1:16">
      <c r="A153" s="322">
        <v>6.5</v>
      </c>
      <c r="B153" s="381"/>
      <c r="C153" s="381"/>
      <c r="D153" s="225" t="s">
        <v>127</v>
      </c>
      <c r="E153" s="225" t="s">
        <v>134</v>
      </c>
      <c r="F153" s="245" t="s">
        <v>135</v>
      </c>
      <c r="G153" s="174" t="s">
        <v>130</v>
      </c>
      <c r="H153" s="223">
        <f>108+42</f>
        <v>150</v>
      </c>
      <c r="I153" s="436">
        <v>30</v>
      </c>
      <c r="J153" s="131">
        <f>SUM(H153:I153)</f>
        <v>180</v>
      </c>
      <c r="K153" s="467">
        <v>375</v>
      </c>
      <c r="L153" s="230"/>
      <c r="M153" s="230"/>
      <c r="N153" s="230"/>
      <c r="O153" s="457">
        <f>SUM(J153*K153)</f>
        <v>67500</v>
      </c>
      <c r="P153" s="381"/>
    </row>
    <row r="154" ht="45" spans="1:16">
      <c r="A154" s="390"/>
      <c r="B154" s="381"/>
      <c r="C154" s="381"/>
      <c r="D154" s="225"/>
      <c r="E154" s="225"/>
      <c r="F154" s="232" t="s">
        <v>136</v>
      </c>
      <c r="G154" s="174"/>
      <c r="H154" s="223"/>
      <c r="I154" s="436"/>
      <c r="J154" s="434"/>
      <c r="K154" s="467"/>
      <c r="L154" s="230"/>
      <c r="M154" s="230"/>
      <c r="N154" s="230"/>
      <c r="O154" s="230"/>
      <c r="P154" s="381"/>
    </row>
    <row r="155" ht="15" spans="1:16">
      <c r="A155" s="390"/>
      <c r="B155" s="381"/>
      <c r="C155" s="381"/>
      <c r="D155" s="225"/>
      <c r="E155" s="225"/>
      <c r="F155" s="232"/>
      <c r="G155" s="174"/>
      <c r="H155" s="357"/>
      <c r="I155" s="436"/>
      <c r="J155" s="434"/>
      <c r="K155" s="467"/>
      <c r="L155" s="230"/>
      <c r="M155" s="230"/>
      <c r="N155" s="230"/>
      <c r="O155" s="230"/>
      <c r="P155" s="381"/>
    </row>
    <row r="156" ht="30" spans="1:16">
      <c r="A156" s="322">
        <v>6.6</v>
      </c>
      <c r="B156" s="381"/>
      <c r="C156" s="381"/>
      <c r="D156" s="225" t="s">
        <v>127</v>
      </c>
      <c r="E156" s="225" t="s">
        <v>274</v>
      </c>
      <c r="F156" s="245" t="s">
        <v>275</v>
      </c>
      <c r="G156" s="174" t="s">
        <v>130</v>
      </c>
      <c r="H156" s="223">
        <v>50</v>
      </c>
      <c r="I156" s="436">
        <v>10</v>
      </c>
      <c r="J156" s="131">
        <f>SUM(H156:I156)</f>
        <v>60</v>
      </c>
      <c r="K156" s="467">
        <v>300</v>
      </c>
      <c r="L156" s="230"/>
      <c r="M156" s="230"/>
      <c r="N156" s="230"/>
      <c r="O156" s="457">
        <f>SUM(J156*K156)</f>
        <v>18000</v>
      </c>
      <c r="P156" s="381"/>
    </row>
    <row r="157" ht="30" spans="1:16">
      <c r="A157" s="390"/>
      <c r="B157" s="381"/>
      <c r="C157" s="381"/>
      <c r="D157" s="225"/>
      <c r="E157" s="225"/>
      <c r="F157" s="232" t="s">
        <v>276</v>
      </c>
      <c r="G157" s="174"/>
      <c r="H157" s="357"/>
      <c r="I157" s="436"/>
      <c r="J157" s="436"/>
      <c r="K157" s="468"/>
      <c r="L157" s="381"/>
      <c r="M157" s="381"/>
      <c r="N157" s="381"/>
      <c r="O157" s="381"/>
      <c r="P157" s="381"/>
    </row>
    <row r="158" ht="13.5" spans="1:16">
      <c r="A158" s="390"/>
      <c r="B158" s="381"/>
      <c r="C158" s="381"/>
      <c r="D158" s="381"/>
      <c r="E158" s="381"/>
      <c r="F158" s="490"/>
      <c r="G158" s="391"/>
      <c r="H158" s="436"/>
      <c r="I158" s="436"/>
      <c r="J158" s="436"/>
      <c r="K158" s="468"/>
      <c r="L158" s="468"/>
      <c r="M158" s="468"/>
      <c r="N158" s="468"/>
      <c r="O158" s="468"/>
      <c r="P158" s="468"/>
    </row>
    <row r="159" ht="13.5" spans="1:16">
      <c r="A159" s="491"/>
      <c r="B159" s="492"/>
      <c r="C159" s="492"/>
      <c r="D159" s="492"/>
      <c r="E159" s="492"/>
      <c r="F159" s="429" t="s">
        <v>277</v>
      </c>
      <c r="G159" s="492"/>
      <c r="H159" s="493"/>
      <c r="I159" s="493"/>
      <c r="J159" s="493"/>
      <c r="K159" s="492"/>
      <c r="L159" s="492"/>
      <c r="M159" s="492"/>
      <c r="N159" s="492"/>
      <c r="O159" s="495">
        <f>SUM(O5:O157)</f>
        <v>6816555</v>
      </c>
      <c r="P159" s="496"/>
    </row>
  </sheetData>
  <mergeCells count="3">
    <mergeCell ref="A1:O1"/>
    <mergeCell ref="A2:K2"/>
    <mergeCell ref="L3:O3"/>
  </mergeCells>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
  <sheetViews>
    <sheetView topLeftCell="A134" workbookViewId="0">
      <selection activeCell="J139" sqref="J139"/>
    </sheetView>
  </sheetViews>
  <sheetFormatPr defaultColWidth="6.125" defaultRowHeight="12.75"/>
  <cols>
    <col min="1" max="1" width="4.375" style="305" customWidth="1"/>
    <col min="2" max="2" width="6.25" style="305" customWidth="1"/>
    <col min="3" max="3" width="3.125" style="305" customWidth="1"/>
    <col min="4" max="4" width="7" style="305" customWidth="1"/>
    <col min="5" max="5" width="10.5" style="305" customWidth="1"/>
    <col min="6" max="6" width="36.25" style="305" customWidth="1"/>
    <col min="7" max="7" width="4.25" style="305" customWidth="1"/>
    <col min="8" max="8" width="5.25" style="305" customWidth="1"/>
    <col min="9" max="9" width="9.5" style="305" customWidth="1"/>
    <col min="10" max="10" width="10.875" style="306" customWidth="1"/>
    <col min="11" max="11" width="20.25" style="305" customWidth="1"/>
    <col min="12" max="13" width="6.125" style="305"/>
    <col min="14" max="14" width="7.125" style="305" customWidth="1"/>
    <col min="15" max="17" width="6.125" style="305"/>
    <col min="18" max="18" width="7.125" style="305" customWidth="1"/>
    <col min="19" max="249" width="6.125" style="305"/>
    <col min="250" max="250" width="5" style="305" customWidth="1"/>
    <col min="251" max="251" width="8.875" style="305" customWidth="1"/>
    <col min="252" max="252" width="5" style="305" customWidth="1"/>
    <col min="253" max="253" width="8.25" style="305" customWidth="1"/>
    <col min="254" max="254" width="16.125" style="305" customWidth="1"/>
    <col min="255" max="255" width="86" style="305" customWidth="1"/>
    <col min="256" max="256" width="5" style="305" customWidth="1"/>
    <col min="257" max="257" width="11.125" style="305" customWidth="1"/>
    <col min="258" max="258" width="10.375" style="305" customWidth="1"/>
    <col min="259" max="259" width="10.875" style="305" customWidth="1"/>
    <col min="260" max="260" width="7.75" style="305" customWidth="1"/>
    <col min="261" max="261" width="9.875" style="305" customWidth="1"/>
    <col min="262" max="262" width="10.625" style="305" customWidth="1"/>
    <col min="263" max="505" width="6.125" style="305"/>
    <col min="506" max="506" width="5" style="305" customWidth="1"/>
    <col min="507" max="507" width="8.875" style="305" customWidth="1"/>
    <col min="508" max="508" width="5" style="305" customWidth="1"/>
    <col min="509" max="509" width="8.25" style="305" customWidth="1"/>
    <col min="510" max="510" width="16.125" style="305" customWidth="1"/>
    <col min="511" max="511" width="86" style="305" customWidth="1"/>
    <col min="512" max="512" width="5" style="305" customWidth="1"/>
    <col min="513" max="513" width="11.125" style="305" customWidth="1"/>
    <col min="514" max="514" width="10.375" style="305" customWidth="1"/>
    <col min="515" max="515" width="10.875" style="305" customWidth="1"/>
    <col min="516" max="516" width="7.75" style="305" customWidth="1"/>
    <col min="517" max="517" width="9.875" style="305" customWidth="1"/>
    <col min="518" max="518" width="10.625" style="305" customWidth="1"/>
    <col min="519" max="761" width="6.125" style="305"/>
    <col min="762" max="762" width="5" style="305" customWidth="1"/>
    <col min="763" max="763" width="8.875" style="305" customWidth="1"/>
    <col min="764" max="764" width="5" style="305" customWidth="1"/>
    <col min="765" max="765" width="8.25" style="305" customWidth="1"/>
    <col min="766" max="766" width="16.125" style="305" customWidth="1"/>
    <col min="767" max="767" width="86" style="305" customWidth="1"/>
    <col min="768" max="768" width="5" style="305" customWidth="1"/>
    <col min="769" max="769" width="11.125" style="305" customWidth="1"/>
    <col min="770" max="770" width="10.375" style="305" customWidth="1"/>
    <col min="771" max="771" width="10.875" style="305" customWidth="1"/>
    <col min="772" max="772" width="7.75" style="305" customWidth="1"/>
    <col min="773" max="773" width="9.875" style="305" customWidth="1"/>
    <col min="774" max="774" width="10.625" style="305" customWidth="1"/>
    <col min="775" max="1017" width="6.125" style="305"/>
    <col min="1018" max="1018" width="5" style="305" customWidth="1"/>
    <col min="1019" max="1019" width="8.875" style="305" customWidth="1"/>
    <col min="1020" max="1020" width="5" style="305" customWidth="1"/>
    <col min="1021" max="1021" width="8.25" style="305" customWidth="1"/>
    <col min="1022" max="1022" width="16.125" style="305" customWidth="1"/>
    <col min="1023" max="1023" width="86" style="305" customWidth="1"/>
    <col min="1024" max="1024" width="5" style="305" customWidth="1"/>
    <col min="1025" max="1025" width="11.125" style="305" customWidth="1"/>
    <col min="1026" max="1026" width="10.375" style="305" customWidth="1"/>
    <col min="1027" max="1027" width="10.875" style="305" customWidth="1"/>
    <col min="1028" max="1028" width="7.75" style="305" customWidth="1"/>
    <col min="1029" max="1029" width="9.875" style="305" customWidth="1"/>
    <col min="1030" max="1030" width="10.625" style="305" customWidth="1"/>
    <col min="1031" max="1273" width="6.125" style="305"/>
    <col min="1274" max="1274" width="5" style="305" customWidth="1"/>
    <col min="1275" max="1275" width="8.875" style="305" customWidth="1"/>
    <col min="1276" max="1276" width="5" style="305" customWidth="1"/>
    <col min="1277" max="1277" width="8.25" style="305" customWidth="1"/>
    <col min="1278" max="1278" width="16.125" style="305" customWidth="1"/>
    <col min="1279" max="1279" width="86" style="305" customWidth="1"/>
    <col min="1280" max="1280" width="5" style="305" customWidth="1"/>
    <col min="1281" max="1281" width="11.125" style="305" customWidth="1"/>
    <col min="1282" max="1282" width="10.375" style="305" customWidth="1"/>
    <col min="1283" max="1283" width="10.875" style="305" customWidth="1"/>
    <col min="1284" max="1284" width="7.75" style="305" customWidth="1"/>
    <col min="1285" max="1285" width="9.875" style="305" customWidth="1"/>
    <col min="1286" max="1286" width="10.625" style="305" customWidth="1"/>
    <col min="1287" max="1529" width="6.125" style="305"/>
    <col min="1530" max="1530" width="5" style="305" customWidth="1"/>
    <col min="1531" max="1531" width="8.875" style="305" customWidth="1"/>
    <col min="1532" max="1532" width="5" style="305" customWidth="1"/>
    <col min="1533" max="1533" width="8.25" style="305" customWidth="1"/>
    <col min="1534" max="1534" width="16.125" style="305" customWidth="1"/>
    <col min="1535" max="1535" width="86" style="305" customWidth="1"/>
    <col min="1536" max="1536" width="5" style="305" customWidth="1"/>
    <col min="1537" max="1537" width="11.125" style="305" customWidth="1"/>
    <col min="1538" max="1538" width="10.375" style="305" customWidth="1"/>
    <col min="1539" max="1539" width="10.875" style="305" customWidth="1"/>
    <col min="1540" max="1540" width="7.75" style="305" customWidth="1"/>
    <col min="1541" max="1541" width="9.875" style="305" customWidth="1"/>
    <col min="1542" max="1542" width="10.625" style="305" customWidth="1"/>
    <col min="1543" max="1785" width="6.125" style="305"/>
    <col min="1786" max="1786" width="5" style="305" customWidth="1"/>
    <col min="1787" max="1787" width="8.875" style="305" customWidth="1"/>
    <col min="1788" max="1788" width="5" style="305" customWidth="1"/>
    <col min="1789" max="1789" width="8.25" style="305" customWidth="1"/>
    <col min="1790" max="1790" width="16.125" style="305" customWidth="1"/>
    <col min="1791" max="1791" width="86" style="305" customWidth="1"/>
    <col min="1792" max="1792" width="5" style="305" customWidth="1"/>
    <col min="1793" max="1793" width="11.125" style="305" customWidth="1"/>
    <col min="1794" max="1794" width="10.375" style="305" customWidth="1"/>
    <col min="1795" max="1795" width="10.875" style="305" customWidth="1"/>
    <col min="1796" max="1796" width="7.75" style="305" customWidth="1"/>
    <col min="1797" max="1797" width="9.875" style="305" customWidth="1"/>
    <col min="1798" max="1798" width="10.625" style="305" customWidth="1"/>
    <col min="1799" max="2041" width="6.125" style="305"/>
    <col min="2042" max="2042" width="5" style="305" customWidth="1"/>
    <col min="2043" max="2043" width="8.875" style="305" customWidth="1"/>
    <col min="2044" max="2044" width="5" style="305" customWidth="1"/>
    <col min="2045" max="2045" width="8.25" style="305" customWidth="1"/>
    <col min="2046" max="2046" width="16.125" style="305" customWidth="1"/>
    <col min="2047" max="2047" width="86" style="305" customWidth="1"/>
    <col min="2048" max="2048" width="5" style="305" customWidth="1"/>
    <col min="2049" max="2049" width="11.125" style="305" customWidth="1"/>
    <col min="2050" max="2050" width="10.375" style="305" customWidth="1"/>
    <col min="2051" max="2051" width="10.875" style="305" customWidth="1"/>
    <col min="2052" max="2052" width="7.75" style="305" customWidth="1"/>
    <col min="2053" max="2053" width="9.875" style="305" customWidth="1"/>
    <col min="2054" max="2054" width="10.625" style="305" customWidth="1"/>
    <col min="2055" max="2297" width="6.125" style="305"/>
    <col min="2298" max="2298" width="5" style="305" customWidth="1"/>
    <col min="2299" max="2299" width="8.875" style="305" customWidth="1"/>
    <col min="2300" max="2300" width="5" style="305" customWidth="1"/>
    <col min="2301" max="2301" width="8.25" style="305" customWidth="1"/>
    <col min="2302" max="2302" width="16.125" style="305" customWidth="1"/>
    <col min="2303" max="2303" width="86" style="305" customWidth="1"/>
    <col min="2304" max="2304" width="5" style="305" customWidth="1"/>
    <col min="2305" max="2305" width="11.125" style="305" customWidth="1"/>
    <col min="2306" max="2306" width="10.375" style="305" customWidth="1"/>
    <col min="2307" max="2307" width="10.875" style="305" customWidth="1"/>
    <col min="2308" max="2308" width="7.75" style="305" customWidth="1"/>
    <col min="2309" max="2309" width="9.875" style="305" customWidth="1"/>
    <col min="2310" max="2310" width="10.625" style="305" customWidth="1"/>
    <col min="2311" max="2553" width="6.125" style="305"/>
    <col min="2554" max="2554" width="5" style="305" customWidth="1"/>
    <col min="2555" max="2555" width="8.875" style="305" customWidth="1"/>
    <col min="2556" max="2556" width="5" style="305" customWidth="1"/>
    <col min="2557" max="2557" width="8.25" style="305" customWidth="1"/>
    <col min="2558" max="2558" width="16.125" style="305" customWidth="1"/>
    <col min="2559" max="2559" width="86" style="305" customWidth="1"/>
    <col min="2560" max="2560" width="5" style="305" customWidth="1"/>
    <col min="2561" max="2561" width="11.125" style="305" customWidth="1"/>
    <col min="2562" max="2562" width="10.375" style="305" customWidth="1"/>
    <col min="2563" max="2563" width="10.875" style="305" customWidth="1"/>
    <col min="2564" max="2564" width="7.75" style="305" customWidth="1"/>
    <col min="2565" max="2565" width="9.875" style="305" customWidth="1"/>
    <col min="2566" max="2566" width="10.625" style="305" customWidth="1"/>
    <col min="2567" max="2809" width="6.125" style="305"/>
    <col min="2810" max="2810" width="5" style="305" customWidth="1"/>
    <col min="2811" max="2811" width="8.875" style="305" customWidth="1"/>
    <col min="2812" max="2812" width="5" style="305" customWidth="1"/>
    <col min="2813" max="2813" width="8.25" style="305" customWidth="1"/>
    <col min="2814" max="2814" width="16.125" style="305" customWidth="1"/>
    <col min="2815" max="2815" width="86" style="305" customWidth="1"/>
    <col min="2816" max="2816" width="5" style="305" customWidth="1"/>
    <col min="2817" max="2817" width="11.125" style="305" customWidth="1"/>
    <col min="2818" max="2818" width="10.375" style="305" customWidth="1"/>
    <col min="2819" max="2819" width="10.875" style="305" customWidth="1"/>
    <col min="2820" max="2820" width="7.75" style="305" customWidth="1"/>
    <col min="2821" max="2821" width="9.875" style="305" customWidth="1"/>
    <col min="2822" max="2822" width="10.625" style="305" customWidth="1"/>
    <col min="2823" max="3065" width="6.125" style="305"/>
    <col min="3066" max="3066" width="5" style="305" customWidth="1"/>
    <col min="3067" max="3067" width="8.875" style="305" customWidth="1"/>
    <col min="3068" max="3068" width="5" style="305" customWidth="1"/>
    <col min="3069" max="3069" width="8.25" style="305" customWidth="1"/>
    <col min="3070" max="3070" width="16.125" style="305" customWidth="1"/>
    <col min="3071" max="3071" width="86" style="305" customWidth="1"/>
    <col min="3072" max="3072" width="5" style="305" customWidth="1"/>
    <col min="3073" max="3073" width="11.125" style="305" customWidth="1"/>
    <col min="3074" max="3074" width="10.375" style="305" customWidth="1"/>
    <col min="3075" max="3075" width="10.875" style="305" customWidth="1"/>
    <col min="3076" max="3076" width="7.75" style="305" customWidth="1"/>
    <col min="3077" max="3077" width="9.875" style="305" customWidth="1"/>
    <col min="3078" max="3078" width="10.625" style="305" customWidth="1"/>
    <col min="3079" max="3321" width="6.125" style="305"/>
    <col min="3322" max="3322" width="5" style="305" customWidth="1"/>
    <col min="3323" max="3323" width="8.875" style="305" customWidth="1"/>
    <col min="3324" max="3324" width="5" style="305" customWidth="1"/>
    <col min="3325" max="3325" width="8.25" style="305" customWidth="1"/>
    <col min="3326" max="3326" width="16.125" style="305" customWidth="1"/>
    <col min="3327" max="3327" width="86" style="305" customWidth="1"/>
    <col min="3328" max="3328" width="5" style="305" customWidth="1"/>
    <col min="3329" max="3329" width="11.125" style="305" customWidth="1"/>
    <col min="3330" max="3330" width="10.375" style="305" customWidth="1"/>
    <col min="3331" max="3331" width="10.875" style="305" customWidth="1"/>
    <col min="3332" max="3332" width="7.75" style="305" customWidth="1"/>
    <col min="3333" max="3333" width="9.875" style="305" customWidth="1"/>
    <col min="3334" max="3334" width="10.625" style="305" customWidth="1"/>
    <col min="3335" max="3577" width="6.125" style="305"/>
    <col min="3578" max="3578" width="5" style="305" customWidth="1"/>
    <col min="3579" max="3579" width="8.875" style="305" customWidth="1"/>
    <col min="3580" max="3580" width="5" style="305" customWidth="1"/>
    <col min="3581" max="3581" width="8.25" style="305" customWidth="1"/>
    <col min="3582" max="3582" width="16.125" style="305" customWidth="1"/>
    <col min="3583" max="3583" width="86" style="305" customWidth="1"/>
    <col min="3584" max="3584" width="5" style="305" customWidth="1"/>
    <col min="3585" max="3585" width="11.125" style="305" customWidth="1"/>
    <col min="3586" max="3586" width="10.375" style="305" customWidth="1"/>
    <col min="3587" max="3587" width="10.875" style="305" customWidth="1"/>
    <col min="3588" max="3588" width="7.75" style="305" customWidth="1"/>
    <col min="3589" max="3589" width="9.875" style="305" customWidth="1"/>
    <col min="3590" max="3590" width="10.625" style="305" customWidth="1"/>
    <col min="3591" max="3833" width="6.125" style="305"/>
    <col min="3834" max="3834" width="5" style="305" customWidth="1"/>
    <col min="3835" max="3835" width="8.875" style="305" customWidth="1"/>
    <col min="3836" max="3836" width="5" style="305" customWidth="1"/>
    <col min="3837" max="3837" width="8.25" style="305" customWidth="1"/>
    <col min="3838" max="3838" width="16.125" style="305" customWidth="1"/>
    <col min="3839" max="3839" width="86" style="305" customWidth="1"/>
    <col min="3840" max="3840" width="5" style="305" customWidth="1"/>
    <col min="3841" max="3841" width="11.125" style="305" customWidth="1"/>
    <col min="3842" max="3842" width="10.375" style="305" customWidth="1"/>
    <col min="3843" max="3843" width="10.875" style="305" customWidth="1"/>
    <col min="3844" max="3844" width="7.75" style="305" customWidth="1"/>
    <col min="3845" max="3845" width="9.875" style="305" customWidth="1"/>
    <col min="3846" max="3846" width="10.625" style="305" customWidth="1"/>
    <col min="3847" max="4089" width="6.125" style="305"/>
    <col min="4090" max="4090" width="5" style="305" customWidth="1"/>
    <col min="4091" max="4091" width="8.875" style="305" customWidth="1"/>
    <col min="4092" max="4092" width="5" style="305" customWidth="1"/>
    <col min="4093" max="4093" width="8.25" style="305" customWidth="1"/>
    <col min="4094" max="4094" width="16.125" style="305" customWidth="1"/>
    <col min="4095" max="4095" width="86" style="305" customWidth="1"/>
    <col min="4096" max="4096" width="5" style="305" customWidth="1"/>
    <col min="4097" max="4097" width="11.125" style="305" customWidth="1"/>
    <col min="4098" max="4098" width="10.375" style="305" customWidth="1"/>
    <col min="4099" max="4099" width="10.875" style="305" customWidth="1"/>
    <col min="4100" max="4100" width="7.75" style="305" customWidth="1"/>
    <col min="4101" max="4101" width="9.875" style="305" customWidth="1"/>
    <col min="4102" max="4102" width="10.625" style="305" customWidth="1"/>
    <col min="4103" max="4345" width="6.125" style="305"/>
    <col min="4346" max="4346" width="5" style="305" customWidth="1"/>
    <col min="4347" max="4347" width="8.875" style="305" customWidth="1"/>
    <col min="4348" max="4348" width="5" style="305" customWidth="1"/>
    <col min="4349" max="4349" width="8.25" style="305" customWidth="1"/>
    <col min="4350" max="4350" width="16.125" style="305" customWidth="1"/>
    <col min="4351" max="4351" width="86" style="305" customWidth="1"/>
    <col min="4352" max="4352" width="5" style="305" customWidth="1"/>
    <col min="4353" max="4353" width="11.125" style="305" customWidth="1"/>
    <col min="4354" max="4354" width="10.375" style="305" customWidth="1"/>
    <col min="4355" max="4355" width="10.875" style="305" customWidth="1"/>
    <col min="4356" max="4356" width="7.75" style="305" customWidth="1"/>
    <col min="4357" max="4357" width="9.875" style="305" customWidth="1"/>
    <col min="4358" max="4358" width="10.625" style="305" customWidth="1"/>
    <col min="4359" max="4601" width="6.125" style="305"/>
    <col min="4602" max="4602" width="5" style="305" customWidth="1"/>
    <col min="4603" max="4603" width="8.875" style="305" customWidth="1"/>
    <col min="4604" max="4604" width="5" style="305" customWidth="1"/>
    <col min="4605" max="4605" width="8.25" style="305" customWidth="1"/>
    <col min="4606" max="4606" width="16.125" style="305" customWidth="1"/>
    <col min="4607" max="4607" width="86" style="305" customWidth="1"/>
    <col min="4608" max="4608" width="5" style="305" customWidth="1"/>
    <col min="4609" max="4609" width="11.125" style="305" customWidth="1"/>
    <col min="4610" max="4610" width="10.375" style="305" customWidth="1"/>
    <col min="4611" max="4611" width="10.875" style="305" customWidth="1"/>
    <col min="4612" max="4612" width="7.75" style="305" customWidth="1"/>
    <col min="4613" max="4613" width="9.875" style="305" customWidth="1"/>
    <col min="4614" max="4614" width="10.625" style="305" customWidth="1"/>
    <col min="4615" max="4857" width="6.125" style="305"/>
    <col min="4858" max="4858" width="5" style="305" customWidth="1"/>
    <col min="4859" max="4859" width="8.875" style="305" customWidth="1"/>
    <col min="4860" max="4860" width="5" style="305" customWidth="1"/>
    <col min="4861" max="4861" width="8.25" style="305" customWidth="1"/>
    <col min="4862" max="4862" width="16.125" style="305" customWidth="1"/>
    <col min="4863" max="4863" width="86" style="305" customWidth="1"/>
    <col min="4864" max="4864" width="5" style="305" customWidth="1"/>
    <col min="4865" max="4865" width="11.125" style="305" customWidth="1"/>
    <col min="4866" max="4866" width="10.375" style="305" customWidth="1"/>
    <col min="4867" max="4867" width="10.875" style="305" customWidth="1"/>
    <col min="4868" max="4868" width="7.75" style="305" customWidth="1"/>
    <col min="4869" max="4869" width="9.875" style="305" customWidth="1"/>
    <col min="4870" max="4870" width="10.625" style="305" customWidth="1"/>
    <col min="4871" max="5113" width="6.125" style="305"/>
    <col min="5114" max="5114" width="5" style="305" customWidth="1"/>
    <col min="5115" max="5115" width="8.875" style="305" customWidth="1"/>
    <col min="5116" max="5116" width="5" style="305" customWidth="1"/>
    <col min="5117" max="5117" width="8.25" style="305" customWidth="1"/>
    <col min="5118" max="5118" width="16.125" style="305" customWidth="1"/>
    <col min="5119" max="5119" width="86" style="305" customWidth="1"/>
    <col min="5120" max="5120" width="5" style="305" customWidth="1"/>
    <col min="5121" max="5121" width="11.125" style="305" customWidth="1"/>
    <col min="5122" max="5122" width="10.375" style="305" customWidth="1"/>
    <col min="5123" max="5123" width="10.875" style="305" customWidth="1"/>
    <col min="5124" max="5124" width="7.75" style="305" customWidth="1"/>
    <col min="5125" max="5125" width="9.875" style="305" customWidth="1"/>
    <col min="5126" max="5126" width="10.625" style="305" customWidth="1"/>
    <col min="5127" max="5369" width="6.125" style="305"/>
    <col min="5370" max="5370" width="5" style="305" customWidth="1"/>
    <col min="5371" max="5371" width="8.875" style="305" customWidth="1"/>
    <col min="5372" max="5372" width="5" style="305" customWidth="1"/>
    <col min="5373" max="5373" width="8.25" style="305" customWidth="1"/>
    <col min="5374" max="5374" width="16.125" style="305" customWidth="1"/>
    <col min="5375" max="5375" width="86" style="305" customWidth="1"/>
    <col min="5376" max="5376" width="5" style="305" customWidth="1"/>
    <col min="5377" max="5377" width="11.125" style="305" customWidth="1"/>
    <col min="5378" max="5378" width="10.375" style="305" customWidth="1"/>
    <col min="5379" max="5379" width="10.875" style="305" customWidth="1"/>
    <col min="5380" max="5380" width="7.75" style="305" customWidth="1"/>
    <col min="5381" max="5381" width="9.875" style="305" customWidth="1"/>
    <col min="5382" max="5382" width="10.625" style="305" customWidth="1"/>
    <col min="5383" max="5625" width="6.125" style="305"/>
    <col min="5626" max="5626" width="5" style="305" customWidth="1"/>
    <col min="5627" max="5627" width="8.875" style="305" customWidth="1"/>
    <col min="5628" max="5628" width="5" style="305" customWidth="1"/>
    <col min="5629" max="5629" width="8.25" style="305" customWidth="1"/>
    <col min="5630" max="5630" width="16.125" style="305" customWidth="1"/>
    <col min="5631" max="5631" width="86" style="305" customWidth="1"/>
    <col min="5632" max="5632" width="5" style="305" customWidth="1"/>
    <col min="5633" max="5633" width="11.125" style="305" customWidth="1"/>
    <col min="5634" max="5634" width="10.375" style="305" customWidth="1"/>
    <col min="5635" max="5635" width="10.875" style="305" customWidth="1"/>
    <col min="5636" max="5636" width="7.75" style="305" customWidth="1"/>
    <col min="5637" max="5637" width="9.875" style="305" customWidth="1"/>
    <col min="5638" max="5638" width="10.625" style="305" customWidth="1"/>
    <col min="5639" max="5881" width="6.125" style="305"/>
    <col min="5882" max="5882" width="5" style="305" customWidth="1"/>
    <col min="5883" max="5883" width="8.875" style="305" customWidth="1"/>
    <col min="5884" max="5884" width="5" style="305" customWidth="1"/>
    <col min="5885" max="5885" width="8.25" style="305" customWidth="1"/>
    <col min="5886" max="5886" width="16.125" style="305" customWidth="1"/>
    <col min="5887" max="5887" width="86" style="305" customWidth="1"/>
    <col min="5888" max="5888" width="5" style="305" customWidth="1"/>
    <col min="5889" max="5889" width="11.125" style="305" customWidth="1"/>
    <col min="5890" max="5890" width="10.375" style="305" customWidth="1"/>
    <col min="5891" max="5891" width="10.875" style="305" customWidth="1"/>
    <col min="5892" max="5892" width="7.75" style="305" customWidth="1"/>
    <col min="5893" max="5893" width="9.875" style="305" customWidth="1"/>
    <col min="5894" max="5894" width="10.625" style="305" customWidth="1"/>
    <col min="5895" max="6137" width="6.125" style="305"/>
    <col min="6138" max="6138" width="5" style="305" customWidth="1"/>
    <col min="6139" max="6139" width="8.875" style="305" customWidth="1"/>
    <col min="6140" max="6140" width="5" style="305" customWidth="1"/>
    <col min="6141" max="6141" width="8.25" style="305" customWidth="1"/>
    <col min="6142" max="6142" width="16.125" style="305" customWidth="1"/>
    <col min="6143" max="6143" width="86" style="305" customWidth="1"/>
    <col min="6144" max="6144" width="5" style="305" customWidth="1"/>
    <col min="6145" max="6145" width="11.125" style="305" customWidth="1"/>
    <col min="6146" max="6146" width="10.375" style="305" customWidth="1"/>
    <col min="6147" max="6147" width="10.875" style="305" customWidth="1"/>
    <col min="6148" max="6148" width="7.75" style="305" customWidth="1"/>
    <col min="6149" max="6149" width="9.875" style="305" customWidth="1"/>
    <col min="6150" max="6150" width="10.625" style="305" customWidth="1"/>
    <col min="6151" max="6393" width="6.125" style="305"/>
    <col min="6394" max="6394" width="5" style="305" customWidth="1"/>
    <col min="6395" max="6395" width="8.875" style="305" customWidth="1"/>
    <col min="6396" max="6396" width="5" style="305" customWidth="1"/>
    <col min="6397" max="6397" width="8.25" style="305" customWidth="1"/>
    <col min="6398" max="6398" width="16.125" style="305" customWidth="1"/>
    <col min="6399" max="6399" width="86" style="305" customWidth="1"/>
    <col min="6400" max="6400" width="5" style="305" customWidth="1"/>
    <col min="6401" max="6401" width="11.125" style="305" customWidth="1"/>
    <col min="6402" max="6402" width="10.375" style="305" customWidth="1"/>
    <col min="6403" max="6403" width="10.875" style="305" customWidth="1"/>
    <col min="6404" max="6404" width="7.75" style="305" customWidth="1"/>
    <col min="6405" max="6405" width="9.875" style="305" customWidth="1"/>
    <col min="6406" max="6406" width="10.625" style="305" customWidth="1"/>
    <col min="6407" max="6649" width="6.125" style="305"/>
    <col min="6650" max="6650" width="5" style="305" customWidth="1"/>
    <col min="6651" max="6651" width="8.875" style="305" customWidth="1"/>
    <col min="6652" max="6652" width="5" style="305" customWidth="1"/>
    <col min="6653" max="6653" width="8.25" style="305" customWidth="1"/>
    <col min="6654" max="6654" width="16.125" style="305" customWidth="1"/>
    <col min="6655" max="6655" width="86" style="305" customWidth="1"/>
    <col min="6656" max="6656" width="5" style="305" customWidth="1"/>
    <col min="6657" max="6657" width="11.125" style="305" customWidth="1"/>
    <col min="6658" max="6658" width="10.375" style="305" customWidth="1"/>
    <col min="6659" max="6659" width="10.875" style="305" customWidth="1"/>
    <col min="6660" max="6660" width="7.75" style="305" customWidth="1"/>
    <col min="6661" max="6661" width="9.875" style="305" customWidth="1"/>
    <col min="6662" max="6662" width="10.625" style="305" customWidth="1"/>
    <col min="6663" max="6905" width="6.125" style="305"/>
    <col min="6906" max="6906" width="5" style="305" customWidth="1"/>
    <col min="6907" max="6907" width="8.875" style="305" customWidth="1"/>
    <col min="6908" max="6908" width="5" style="305" customWidth="1"/>
    <col min="6909" max="6909" width="8.25" style="305" customWidth="1"/>
    <col min="6910" max="6910" width="16.125" style="305" customWidth="1"/>
    <col min="6911" max="6911" width="86" style="305" customWidth="1"/>
    <col min="6912" max="6912" width="5" style="305" customWidth="1"/>
    <col min="6913" max="6913" width="11.125" style="305" customWidth="1"/>
    <col min="6914" max="6914" width="10.375" style="305" customWidth="1"/>
    <col min="6915" max="6915" width="10.875" style="305" customWidth="1"/>
    <col min="6916" max="6916" width="7.75" style="305" customWidth="1"/>
    <col min="6917" max="6917" width="9.875" style="305" customWidth="1"/>
    <col min="6918" max="6918" width="10.625" style="305" customWidth="1"/>
    <col min="6919" max="7161" width="6.125" style="305"/>
    <col min="7162" max="7162" width="5" style="305" customWidth="1"/>
    <col min="7163" max="7163" width="8.875" style="305" customWidth="1"/>
    <col min="7164" max="7164" width="5" style="305" customWidth="1"/>
    <col min="7165" max="7165" width="8.25" style="305" customWidth="1"/>
    <col min="7166" max="7166" width="16.125" style="305" customWidth="1"/>
    <col min="7167" max="7167" width="86" style="305" customWidth="1"/>
    <col min="7168" max="7168" width="5" style="305" customWidth="1"/>
    <col min="7169" max="7169" width="11.125" style="305" customWidth="1"/>
    <col min="7170" max="7170" width="10.375" style="305" customWidth="1"/>
    <col min="7171" max="7171" width="10.875" style="305" customWidth="1"/>
    <col min="7172" max="7172" width="7.75" style="305" customWidth="1"/>
    <col min="7173" max="7173" width="9.875" style="305" customWidth="1"/>
    <col min="7174" max="7174" width="10.625" style="305" customWidth="1"/>
    <col min="7175" max="7417" width="6.125" style="305"/>
    <col min="7418" max="7418" width="5" style="305" customWidth="1"/>
    <col min="7419" max="7419" width="8.875" style="305" customWidth="1"/>
    <col min="7420" max="7420" width="5" style="305" customWidth="1"/>
    <col min="7421" max="7421" width="8.25" style="305" customWidth="1"/>
    <col min="7422" max="7422" width="16.125" style="305" customWidth="1"/>
    <col min="7423" max="7423" width="86" style="305" customWidth="1"/>
    <col min="7424" max="7424" width="5" style="305" customWidth="1"/>
    <col min="7425" max="7425" width="11.125" style="305" customWidth="1"/>
    <col min="7426" max="7426" width="10.375" style="305" customWidth="1"/>
    <col min="7427" max="7427" width="10.875" style="305" customWidth="1"/>
    <col min="7428" max="7428" width="7.75" style="305" customWidth="1"/>
    <col min="7429" max="7429" width="9.875" style="305" customWidth="1"/>
    <col min="7430" max="7430" width="10.625" style="305" customWidth="1"/>
    <col min="7431" max="7673" width="6.125" style="305"/>
    <col min="7674" max="7674" width="5" style="305" customWidth="1"/>
    <col min="7675" max="7675" width="8.875" style="305" customWidth="1"/>
    <col min="7676" max="7676" width="5" style="305" customWidth="1"/>
    <col min="7677" max="7677" width="8.25" style="305" customWidth="1"/>
    <col min="7678" max="7678" width="16.125" style="305" customWidth="1"/>
    <col min="7679" max="7679" width="86" style="305" customWidth="1"/>
    <col min="7680" max="7680" width="5" style="305" customWidth="1"/>
    <col min="7681" max="7681" width="11.125" style="305" customWidth="1"/>
    <col min="7682" max="7682" width="10.375" style="305" customWidth="1"/>
    <col min="7683" max="7683" width="10.875" style="305" customWidth="1"/>
    <col min="7684" max="7684" width="7.75" style="305" customWidth="1"/>
    <col min="7685" max="7685" width="9.875" style="305" customWidth="1"/>
    <col min="7686" max="7686" width="10.625" style="305" customWidth="1"/>
    <col min="7687" max="7929" width="6.125" style="305"/>
    <col min="7930" max="7930" width="5" style="305" customWidth="1"/>
    <col min="7931" max="7931" width="8.875" style="305" customWidth="1"/>
    <col min="7932" max="7932" width="5" style="305" customWidth="1"/>
    <col min="7933" max="7933" width="8.25" style="305" customWidth="1"/>
    <col min="7934" max="7934" width="16.125" style="305" customWidth="1"/>
    <col min="7935" max="7935" width="86" style="305" customWidth="1"/>
    <col min="7936" max="7936" width="5" style="305" customWidth="1"/>
    <col min="7937" max="7937" width="11.125" style="305" customWidth="1"/>
    <col min="7938" max="7938" width="10.375" style="305" customWidth="1"/>
    <col min="7939" max="7939" width="10.875" style="305" customWidth="1"/>
    <col min="7940" max="7940" width="7.75" style="305" customWidth="1"/>
    <col min="7941" max="7941" width="9.875" style="305" customWidth="1"/>
    <col min="7942" max="7942" width="10.625" style="305" customWidth="1"/>
    <col min="7943" max="8185" width="6.125" style="305"/>
    <col min="8186" max="8186" width="5" style="305" customWidth="1"/>
    <col min="8187" max="8187" width="8.875" style="305" customWidth="1"/>
    <col min="8188" max="8188" width="5" style="305" customWidth="1"/>
    <col min="8189" max="8189" width="8.25" style="305" customWidth="1"/>
    <col min="8190" max="8190" width="16.125" style="305" customWidth="1"/>
    <col min="8191" max="8191" width="86" style="305" customWidth="1"/>
    <col min="8192" max="8192" width="5" style="305" customWidth="1"/>
    <col min="8193" max="8193" width="11.125" style="305" customWidth="1"/>
    <col min="8194" max="8194" width="10.375" style="305" customWidth="1"/>
    <col min="8195" max="8195" width="10.875" style="305" customWidth="1"/>
    <col min="8196" max="8196" width="7.75" style="305" customWidth="1"/>
    <col min="8197" max="8197" width="9.875" style="305" customWidth="1"/>
    <col min="8198" max="8198" width="10.625" style="305" customWidth="1"/>
    <col min="8199" max="8441" width="6.125" style="305"/>
    <col min="8442" max="8442" width="5" style="305" customWidth="1"/>
    <col min="8443" max="8443" width="8.875" style="305" customWidth="1"/>
    <col min="8444" max="8444" width="5" style="305" customWidth="1"/>
    <col min="8445" max="8445" width="8.25" style="305" customWidth="1"/>
    <col min="8446" max="8446" width="16.125" style="305" customWidth="1"/>
    <col min="8447" max="8447" width="86" style="305" customWidth="1"/>
    <col min="8448" max="8448" width="5" style="305" customWidth="1"/>
    <col min="8449" max="8449" width="11.125" style="305" customWidth="1"/>
    <col min="8450" max="8450" width="10.375" style="305" customWidth="1"/>
    <col min="8451" max="8451" width="10.875" style="305" customWidth="1"/>
    <col min="8452" max="8452" width="7.75" style="305" customWidth="1"/>
    <col min="8453" max="8453" width="9.875" style="305" customWidth="1"/>
    <col min="8454" max="8454" width="10.625" style="305" customWidth="1"/>
    <col min="8455" max="8697" width="6.125" style="305"/>
    <col min="8698" max="8698" width="5" style="305" customWidth="1"/>
    <col min="8699" max="8699" width="8.875" style="305" customWidth="1"/>
    <col min="8700" max="8700" width="5" style="305" customWidth="1"/>
    <col min="8701" max="8701" width="8.25" style="305" customWidth="1"/>
    <col min="8702" max="8702" width="16.125" style="305" customWidth="1"/>
    <col min="8703" max="8703" width="86" style="305" customWidth="1"/>
    <col min="8704" max="8704" width="5" style="305" customWidth="1"/>
    <col min="8705" max="8705" width="11.125" style="305" customWidth="1"/>
    <col min="8706" max="8706" width="10.375" style="305" customWidth="1"/>
    <col min="8707" max="8707" width="10.875" style="305" customWidth="1"/>
    <col min="8708" max="8708" width="7.75" style="305" customWidth="1"/>
    <col min="8709" max="8709" width="9.875" style="305" customWidth="1"/>
    <col min="8710" max="8710" width="10.625" style="305" customWidth="1"/>
    <col min="8711" max="8953" width="6.125" style="305"/>
    <col min="8954" max="8954" width="5" style="305" customWidth="1"/>
    <col min="8955" max="8955" width="8.875" style="305" customWidth="1"/>
    <col min="8956" max="8956" width="5" style="305" customWidth="1"/>
    <col min="8957" max="8957" width="8.25" style="305" customWidth="1"/>
    <col min="8958" max="8958" width="16.125" style="305" customWidth="1"/>
    <col min="8959" max="8959" width="86" style="305" customWidth="1"/>
    <col min="8960" max="8960" width="5" style="305" customWidth="1"/>
    <col min="8961" max="8961" width="11.125" style="305" customWidth="1"/>
    <col min="8962" max="8962" width="10.375" style="305" customWidth="1"/>
    <col min="8963" max="8963" width="10.875" style="305" customWidth="1"/>
    <col min="8964" max="8964" width="7.75" style="305" customWidth="1"/>
    <col min="8965" max="8965" width="9.875" style="305" customWidth="1"/>
    <col min="8966" max="8966" width="10.625" style="305" customWidth="1"/>
    <col min="8967" max="9209" width="6.125" style="305"/>
    <col min="9210" max="9210" width="5" style="305" customWidth="1"/>
    <col min="9211" max="9211" width="8.875" style="305" customWidth="1"/>
    <col min="9212" max="9212" width="5" style="305" customWidth="1"/>
    <col min="9213" max="9213" width="8.25" style="305" customWidth="1"/>
    <col min="9214" max="9214" width="16.125" style="305" customWidth="1"/>
    <col min="9215" max="9215" width="86" style="305" customWidth="1"/>
    <col min="9216" max="9216" width="5" style="305" customWidth="1"/>
    <col min="9217" max="9217" width="11.125" style="305" customWidth="1"/>
    <col min="9218" max="9218" width="10.375" style="305" customWidth="1"/>
    <col min="9219" max="9219" width="10.875" style="305" customWidth="1"/>
    <col min="9220" max="9220" width="7.75" style="305" customWidth="1"/>
    <col min="9221" max="9221" width="9.875" style="305" customWidth="1"/>
    <col min="9222" max="9222" width="10.625" style="305" customWidth="1"/>
    <col min="9223" max="9465" width="6.125" style="305"/>
    <col min="9466" max="9466" width="5" style="305" customWidth="1"/>
    <col min="9467" max="9467" width="8.875" style="305" customWidth="1"/>
    <col min="9468" max="9468" width="5" style="305" customWidth="1"/>
    <col min="9469" max="9469" width="8.25" style="305" customWidth="1"/>
    <col min="9470" max="9470" width="16.125" style="305" customWidth="1"/>
    <col min="9471" max="9471" width="86" style="305" customWidth="1"/>
    <col min="9472" max="9472" width="5" style="305" customWidth="1"/>
    <col min="9473" max="9473" width="11.125" style="305" customWidth="1"/>
    <col min="9474" max="9474" width="10.375" style="305" customWidth="1"/>
    <col min="9475" max="9475" width="10.875" style="305" customWidth="1"/>
    <col min="9476" max="9476" width="7.75" style="305" customWidth="1"/>
    <col min="9477" max="9477" width="9.875" style="305" customWidth="1"/>
    <col min="9478" max="9478" width="10.625" style="305" customWidth="1"/>
    <col min="9479" max="9721" width="6.125" style="305"/>
    <col min="9722" max="9722" width="5" style="305" customWidth="1"/>
    <col min="9723" max="9723" width="8.875" style="305" customWidth="1"/>
    <col min="9724" max="9724" width="5" style="305" customWidth="1"/>
    <col min="9725" max="9725" width="8.25" style="305" customWidth="1"/>
    <col min="9726" max="9726" width="16.125" style="305" customWidth="1"/>
    <col min="9727" max="9727" width="86" style="305" customWidth="1"/>
    <col min="9728" max="9728" width="5" style="305" customWidth="1"/>
    <col min="9729" max="9729" width="11.125" style="305" customWidth="1"/>
    <col min="9730" max="9730" width="10.375" style="305" customWidth="1"/>
    <col min="9731" max="9731" width="10.875" style="305" customWidth="1"/>
    <col min="9732" max="9732" width="7.75" style="305" customWidth="1"/>
    <col min="9733" max="9733" width="9.875" style="305" customWidth="1"/>
    <col min="9734" max="9734" width="10.625" style="305" customWidth="1"/>
    <col min="9735" max="9977" width="6.125" style="305"/>
    <col min="9978" max="9978" width="5" style="305" customWidth="1"/>
    <col min="9979" max="9979" width="8.875" style="305" customWidth="1"/>
    <col min="9980" max="9980" width="5" style="305" customWidth="1"/>
    <col min="9981" max="9981" width="8.25" style="305" customWidth="1"/>
    <col min="9982" max="9982" width="16.125" style="305" customWidth="1"/>
    <col min="9983" max="9983" width="86" style="305" customWidth="1"/>
    <col min="9984" max="9984" width="5" style="305" customWidth="1"/>
    <col min="9985" max="9985" width="11.125" style="305" customWidth="1"/>
    <col min="9986" max="9986" width="10.375" style="305" customWidth="1"/>
    <col min="9987" max="9987" width="10.875" style="305" customWidth="1"/>
    <col min="9988" max="9988" width="7.75" style="305" customWidth="1"/>
    <col min="9989" max="9989" width="9.875" style="305" customWidth="1"/>
    <col min="9990" max="9990" width="10.625" style="305" customWidth="1"/>
    <col min="9991" max="10233" width="6.125" style="305"/>
    <col min="10234" max="10234" width="5" style="305" customWidth="1"/>
    <col min="10235" max="10235" width="8.875" style="305" customWidth="1"/>
    <col min="10236" max="10236" width="5" style="305" customWidth="1"/>
    <col min="10237" max="10237" width="8.25" style="305" customWidth="1"/>
    <col min="10238" max="10238" width="16.125" style="305" customWidth="1"/>
    <col min="10239" max="10239" width="86" style="305" customWidth="1"/>
    <col min="10240" max="10240" width="5" style="305" customWidth="1"/>
    <col min="10241" max="10241" width="11.125" style="305" customWidth="1"/>
    <col min="10242" max="10242" width="10.375" style="305" customWidth="1"/>
    <col min="10243" max="10243" width="10.875" style="305" customWidth="1"/>
    <col min="10244" max="10244" width="7.75" style="305" customWidth="1"/>
    <col min="10245" max="10245" width="9.875" style="305" customWidth="1"/>
    <col min="10246" max="10246" width="10.625" style="305" customWidth="1"/>
    <col min="10247" max="10489" width="6.125" style="305"/>
    <col min="10490" max="10490" width="5" style="305" customWidth="1"/>
    <col min="10491" max="10491" width="8.875" style="305" customWidth="1"/>
    <col min="10492" max="10492" width="5" style="305" customWidth="1"/>
    <col min="10493" max="10493" width="8.25" style="305" customWidth="1"/>
    <col min="10494" max="10494" width="16.125" style="305" customWidth="1"/>
    <col min="10495" max="10495" width="86" style="305" customWidth="1"/>
    <col min="10496" max="10496" width="5" style="305" customWidth="1"/>
    <col min="10497" max="10497" width="11.125" style="305" customWidth="1"/>
    <col min="10498" max="10498" width="10.375" style="305" customWidth="1"/>
    <col min="10499" max="10499" width="10.875" style="305" customWidth="1"/>
    <col min="10500" max="10500" width="7.75" style="305" customWidth="1"/>
    <col min="10501" max="10501" width="9.875" style="305" customWidth="1"/>
    <col min="10502" max="10502" width="10.625" style="305" customWidth="1"/>
    <col min="10503" max="10745" width="6.125" style="305"/>
    <col min="10746" max="10746" width="5" style="305" customWidth="1"/>
    <col min="10747" max="10747" width="8.875" style="305" customWidth="1"/>
    <col min="10748" max="10748" width="5" style="305" customWidth="1"/>
    <col min="10749" max="10749" width="8.25" style="305" customWidth="1"/>
    <col min="10750" max="10750" width="16.125" style="305" customWidth="1"/>
    <col min="10751" max="10751" width="86" style="305" customWidth="1"/>
    <col min="10752" max="10752" width="5" style="305" customWidth="1"/>
    <col min="10753" max="10753" width="11.125" style="305" customWidth="1"/>
    <col min="10754" max="10754" width="10.375" style="305" customWidth="1"/>
    <col min="10755" max="10755" width="10.875" style="305" customWidth="1"/>
    <col min="10756" max="10756" width="7.75" style="305" customWidth="1"/>
    <col min="10757" max="10757" width="9.875" style="305" customWidth="1"/>
    <col min="10758" max="10758" width="10.625" style="305" customWidth="1"/>
    <col min="10759" max="11001" width="6.125" style="305"/>
    <col min="11002" max="11002" width="5" style="305" customWidth="1"/>
    <col min="11003" max="11003" width="8.875" style="305" customWidth="1"/>
    <col min="11004" max="11004" width="5" style="305" customWidth="1"/>
    <col min="11005" max="11005" width="8.25" style="305" customWidth="1"/>
    <col min="11006" max="11006" width="16.125" style="305" customWidth="1"/>
    <col min="11007" max="11007" width="86" style="305" customWidth="1"/>
    <col min="11008" max="11008" width="5" style="305" customWidth="1"/>
    <col min="11009" max="11009" width="11.125" style="305" customWidth="1"/>
    <col min="11010" max="11010" width="10.375" style="305" customWidth="1"/>
    <col min="11011" max="11011" width="10.875" style="305" customWidth="1"/>
    <col min="11012" max="11012" width="7.75" style="305" customWidth="1"/>
    <col min="11013" max="11013" width="9.875" style="305" customWidth="1"/>
    <col min="11014" max="11014" width="10.625" style="305" customWidth="1"/>
    <col min="11015" max="11257" width="6.125" style="305"/>
    <col min="11258" max="11258" width="5" style="305" customWidth="1"/>
    <col min="11259" max="11259" width="8.875" style="305" customWidth="1"/>
    <col min="11260" max="11260" width="5" style="305" customWidth="1"/>
    <col min="11261" max="11261" width="8.25" style="305" customWidth="1"/>
    <col min="11262" max="11262" width="16.125" style="305" customWidth="1"/>
    <col min="11263" max="11263" width="86" style="305" customWidth="1"/>
    <col min="11264" max="11264" width="5" style="305" customWidth="1"/>
    <col min="11265" max="11265" width="11.125" style="305" customWidth="1"/>
    <col min="11266" max="11266" width="10.375" style="305" customWidth="1"/>
    <col min="11267" max="11267" width="10.875" style="305" customWidth="1"/>
    <col min="11268" max="11268" width="7.75" style="305" customWidth="1"/>
    <col min="11269" max="11269" width="9.875" style="305" customWidth="1"/>
    <col min="11270" max="11270" width="10.625" style="305" customWidth="1"/>
    <col min="11271" max="11513" width="6.125" style="305"/>
    <col min="11514" max="11514" width="5" style="305" customWidth="1"/>
    <col min="11515" max="11515" width="8.875" style="305" customWidth="1"/>
    <col min="11516" max="11516" width="5" style="305" customWidth="1"/>
    <col min="11517" max="11517" width="8.25" style="305" customWidth="1"/>
    <col min="11518" max="11518" width="16.125" style="305" customWidth="1"/>
    <col min="11519" max="11519" width="86" style="305" customWidth="1"/>
    <col min="11520" max="11520" width="5" style="305" customWidth="1"/>
    <col min="11521" max="11521" width="11.125" style="305" customWidth="1"/>
    <col min="11522" max="11522" width="10.375" style="305" customWidth="1"/>
    <col min="11523" max="11523" width="10.875" style="305" customWidth="1"/>
    <col min="11524" max="11524" width="7.75" style="305" customWidth="1"/>
    <col min="11525" max="11525" width="9.875" style="305" customWidth="1"/>
    <col min="11526" max="11526" width="10.625" style="305" customWidth="1"/>
    <col min="11527" max="11769" width="6.125" style="305"/>
    <col min="11770" max="11770" width="5" style="305" customWidth="1"/>
    <col min="11771" max="11771" width="8.875" style="305" customWidth="1"/>
    <col min="11772" max="11772" width="5" style="305" customWidth="1"/>
    <col min="11773" max="11773" width="8.25" style="305" customWidth="1"/>
    <col min="11774" max="11774" width="16.125" style="305" customWidth="1"/>
    <col min="11775" max="11775" width="86" style="305" customWidth="1"/>
    <col min="11776" max="11776" width="5" style="305" customWidth="1"/>
    <col min="11777" max="11777" width="11.125" style="305" customWidth="1"/>
    <col min="11778" max="11778" width="10.375" style="305" customWidth="1"/>
    <col min="11779" max="11779" width="10.875" style="305" customWidth="1"/>
    <col min="11780" max="11780" width="7.75" style="305" customWidth="1"/>
    <col min="11781" max="11781" width="9.875" style="305" customWidth="1"/>
    <col min="11782" max="11782" width="10.625" style="305" customWidth="1"/>
    <col min="11783" max="12025" width="6.125" style="305"/>
    <col min="12026" max="12026" width="5" style="305" customWidth="1"/>
    <col min="12027" max="12027" width="8.875" style="305" customWidth="1"/>
    <col min="12028" max="12028" width="5" style="305" customWidth="1"/>
    <col min="12029" max="12029" width="8.25" style="305" customWidth="1"/>
    <col min="12030" max="12030" width="16.125" style="305" customWidth="1"/>
    <col min="12031" max="12031" width="86" style="305" customWidth="1"/>
    <col min="12032" max="12032" width="5" style="305" customWidth="1"/>
    <col min="12033" max="12033" width="11.125" style="305" customWidth="1"/>
    <col min="12034" max="12034" width="10.375" style="305" customWidth="1"/>
    <col min="12035" max="12035" width="10.875" style="305" customWidth="1"/>
    <col min="12036" max="12036" width="7.75" style="305" customWidth="1"/>
    <col min="12037" max="12037" width="9.875" style="305" customWidth="1"/>
    <col min="12038" max="12038" width="10.625" style="305" customWidth="1"/>
    <col min="12039" max="12281" width="6.125" style="305"/>
    <col min="12282" max="12282" width="5" style="305" customWidth="1"/>
    <col min="12283" max="12283" width="8.875" style="305" customWidth="1"/>
    <col min="12284" max="12284" width="5" style="305" customWidth="1"/>
    <col min="12285" max="12285" width="8.25" style="305" customWidth="1"/>
    <col min="12286" max="12286" width="16.125" style="305" customWidth="1"/>
    <col min="12287" max="12287" width="86" style="305" customWidth="1"/>
    <col min="12288" max="12288" width="5" style="305" customWidth="1"/>
    <col min="12289" max="12289" width="11.125" style="305" customWidth="1"/>
    <col min="12290" max="12290" width="10.375" style="305" customWidth="1"/>
    <col min="12291" max="12291" width="10.875" style="305" customWidth="1"/>
    <col min="12292" max="12292" width="7.75" style="305" customWidth="1"/>
    <col min="12293" max="12293" width="9.875" style="305" customWidth="1"/>
    <col min="12294" max="12294" width="10.625" style="305" customWidth="1"/>
    <col min="12295" max="12537" width="6.125" style="305"/>
    <col min="12538" max="12538" width="5" style="305" customWidth="1"/>
    <col min="12539" max="12539" width="8.875" style="305" customWidth="1"/>
    <col min="12540" max="12540" width="5" style="305" customWidth="1"/>
    <col min="12541" max="12541" width="8.25" style="305" customWidth="1"/>
    <col min="12542" max="12542" width="16.125" style="305" customWidth="1"/>
    <col min="12543" max="12543" width="86" style="305" customWidth="1"/>
    <col min="12544" max="12544" width="5" style="305" customWidth="1"/>
    <col min="12545" max="12545" width="11.125" style="305" customWidth="1"/>
    <col min="12546" max="12546" width="10.375" style="305" customWidth="1"/>
    <col min="12547" max="12547" width="10.875" style="305" customWidth="1"/>
    <col min="12548" max="12548" width="7.75" style="305" customWidth="1"/>
    <col min="12549" max="12549" width="9.875" style="305" customWidth="1"/>
    <col min="12550" max="12550" width="10.625" style="305" customWidth="1"/>
    <col min="12551" max="12793" width="6.125" style="305"/>
    <col min="12794" max="12794" width="5" style="305" customWidth="1"/>
    <col min="12795" max="12795" width="8.875" style="305" customWidth="1"/>
    <col min="12796" max="12796" width="5" style="305" customWidth="1"/>
    <col min="12797" max="12797" width="8.25" style="305" customWidth="1"/>
    <col min="12798" max="12798" width="16.125" style="305" customWidth="1"/>
    <col min="12799" max="12799" width="86" style="305" customWidth="1"/>
    <col min="12800" max="12800" width="5" style="305" customWidth="1"/>
    <col min="12801" max="12801" width="11.125" style="305" customWidth="1"/>
    <col min="12802" max="12802" width="10.375" style="305" customWidth="1"/>
    <col min="12803" max="12803" width="10.875" style="305" customWidth="1"/>
    <col min="12804" max="12804" width="7.75" style="305" customWidth="1"/>
    <col min="12805" max="12805" width="9.875" style="305" customWidth="1"/>
    <col min="12806" max="12806" width="10.625" style="305" customWidth="1"/>
    <col min="12807" max="13049" width="6.125" style="305"/>
    <col min="13050" max="13050" width="5" style="305" customWidth="1"/>
    <col min="13051" max="13051" width="8.875" style="305" customWidth="1"/>
    <col min="13052" max="13052" width="5" style="305" customWidth="1"/>
    <col min="13053" max="13053" width="8.25" style="305" customWidth="1"/>
    <col min="13054" max="13054" width="16.125" style="305" customWidth="1"/>
    <col min="13055" max="13055" width="86" style="305" customWidth="1"/>
    <col min="13056" max="13056" width="5" style="305" customWidth="1"/>
    <col min="13057" max="13057" width="11.125" style="305" customWidth="1"/>
    <col min="13058" max="13058" width="10.375" style="305" customWidth="1"/>
    <col min="13059" max="13059" width="10.875" style="305" customWidth="1"/>
    <col min="13060" max="13060" width="7.75" style="305" customWidth="1"/>
    <col min="13061" max="13061" width="9.875" style="305" customWidth="1"/>
    <col min="13062" max="13062" width="10.625" style="305" customWidth="1"/>
    <col min="13063" max="13305" width="6.125" style="305"/>
    <col min="13306" max="13306" width="5" style="305" customWidth="1"/>
    <col min="13307" max="13307" width="8.875" style="305" customWidth="1"/>
    <col min="13308" max="13308" width="5" style="305" customWidth="1"/>
    <col min="13309" max="13309" width="8.25" style="305" customWidth="1"/>
    <col min="13310" max="13310" width="16.125" style="305" customWidth="1"/>
    <col min="13311" max="13311" width="86" style="305" customWidth="1"/>
    <col min="13312" max="13312" width="5" style="305" customWidth="1"/>
    <col min="13313" max="13313" width="11.125" style="305" customWidth="1"/>
    <col min="13314" max="13314" width="10.375" style="305" customWidth="1"/>
    <col min="13315" max="13315" width="10.875" style="305" customWidth="1"/>
    <col min="13316" max="13316" width="7.75" style="305" customWidth="1"/>
    <col min="13317" max="13317" width="9.875" style="305" customWidth="1"/>
    <col min="13318" max="13318" width="10.625" style="305" customWidth="1"/>
    <col min="13319" max="13561" width="6.125" style="305"/>
    <col min="13562" max="13562" width="5" style="305" customWidth="1"/>
    <col min="13563" max="13563" width="8.875" style="305" customWidth="1"/>
    <col min="13564" max="13564" width="5" style="305" customWidth="1"/>
    <col min="13565" max="13565" width="8.25" style="305" customWidth="1"/>
    <col min="13566" max="13566" width="16.125" style="305" customWidth="1"/>
    <col min="13567" max="13567" width="86" style="305" customWidth="1"/>
    <col min="13568" max="13568" width="5" style="305" customWidth="1"/>
    <col min="13569" max="13569" width="11.125" style="305" customWidth="1"/>
    <col min="13570" max="13570" width="10.375" style="305" customWidth="1"/>
    <col min="13571" max="13571" width="10.875" style="305" customWidth="1"/>
    <col min="13572" max="13572" width="7.75" style="305" customWidth="1"/>
    <col min="13573" max="13573" width="9.875" style="305" customWidth="1"/>
    <col min="13574" max="13574" width="10.625" style="305" customWidth="1"/>
    <col min="13575" max="13817" width="6.125" style="305"/>
    <col min="13818" max="13818" width="5" style="305" customWidth="1"/>
    <col min="13819" max="13819" width="8.875" style="305" customWidth="1"/>
    <col min="13820" max="13820" width="5" style="305" customWidth="1"/>
    <col min="13821" max="13821" width="8.25" style="305" customWidth="1"/>
    <col min="13822" max="13822" width="16.125" style="305" customWidth="1"/>
    <col min="13823" max="13823" width="86" style="305" customWidth="1"/>
    <col min="13824" max="13824" width="5" style="305" customWidth="1"/>
    <col min="13825" max="13825" width="11.125" style="305" customWidth="1"/>
    <col min="13826" max="13826" width="10.375" style="305" customWidth="1"/>
    <col min="13827" max="13827" width="10.875" style="305" customWidth="1"/>
    <col min="13828" max="13828" width="7.75" style="305" customWidth="1"/>
    <col min="13829" max="13829" width="9.875" style="305" customWidth="1"/>
    <col min="13830" max="13830" width="10.625" style="305" customWidth="1"/>
    <col min="13831" max="14073" width="6.125" style="305"/>
    <col min="14074" max="14074" width="5" style="305" customWidth="1"/>
    <col min="14075" max="14075" width="8.875" style="305" customWidth="1"/>
    <col min="14076" max="14076" width="5" style="305" customWidth="1"/>
    <col min="14077" max="14077" width="8.25" style="305" customWidth="1"/>
    <col min="14078" max="14078" width="16.125" style="305" customWidth="1"/>
    <col min="14079" max="14079" width="86" style="305" customWidth="1"/>
    <col min="14080" max="14080" width="5" style="305" customWidth="1"/>
    <col min="14081" max="14081" width="11.125" style="305" customWidth="1"/>
    <col min="14082" max="14082" width="10.375" style="305" customWidth="1"/>
    <col min="14083" max="14083" width="10.875" style="305" customWidth="1"/>
    <col min="14084" max="14084" width="7.75" style="305" customWidth="1"/>
    <col min="14085" max="14085" width="9.875" style="305" customWidth="1"/>
    <col min="14086" max="14086" width="10.625" style="305" customWidth="1"/>
    <col min="14087" max="14329" width="6.125" style="305"/>
    <col min="14330" max="14330" width="5" style="305" customWidth="1"/>
    <col min="14331" max="14331" width="8.875" style="305" customWidth="1"/>
    <col min="14332" max="14332" width="5" style="305" customWidth="1"/>
    <col min="14333" max="14333" width="8.25" style="305" customWidth="1"/>
    <col min="14334" max="14334" width="16.125" style="305" customWidth="1"/>
    <col min="14335" max="14335" width="86" style="305" customWidth="1"/>
    <col min="14336" max="14336" width="5" style="305" customWidth="1"/>
    <col min="14337" max="14337" width="11.125" style="305" customWidth="1"/>
    <col min="14338" max="14338" width="10.375" style="305" customWidth="1"/>
    <col min="14339" max="14339" width="10.875" style="305" customWidth="1"/>
    <col min="14340" max="14340" width="7.75" style="305" customWidth="1"/>
    <col min="14341" max="14341" width="9.875" style="305" customWidth="1"/>
    <col min="14342" max="14342" width="10.625" style="305" customWidth="1"/>
    <col min="14343" max="14585" width="6.125" style="305"/>
    <col min="14586" max="14586" width="5" style="305" customWidth="1"/>
    <col min="14587" max="14587" width="8.875" style="305" customWidth="1"/>
    <col min="14588" max="14588" width="5" style="305" customWidth="1"/>
    <col min="14589" max="14589" width="8.25" style="305" customWidth="1"/>
    <col min="14590" max="14590" width="16.125" style="305" customWidth="1"/>
    <col min="14591" max="14591" width="86" style="305" customWidth="1"/>
    <col min="14592" max="14592" width="5" style="305" customWidth="1"/>
    <col min="14593" max="14593" width="11.125" style="305" customWidth="1"/>
    <col min="14594" max="14594" width="10.375" style="305" customWidth="1"/>
    <col min="14595" max="14595" width="10.875" style="305" customWidth="1"/>
    <col min="14596" max="14596" width="7.75" style="305" customWidth="1"/>
    <col min="14597" max="14597" width="9.875" style="305" customWidth="1"/>
    <col min="14598" max="14598" width="10.625" style="305" customWidth="1"/>
    <col min="14599" max="14841" width="6.125" style="305"/>
    <col min="14842" max="14842" width="5" style="305" customWidth="1"/>
    <col min="14843" max="14843" width="8.875" style="305" customWidth="1"/>
    <col min="14844" max="14844" width="5" style="305" customWidth="1"/>
    <col min="14845" max="14845" width="8.25" style="305" customWidth="1"/>
    <col min="14846" max="14846" width="16.125" style="305" customWidth="1"/>
    <col min="14847" max="14847" width="86" style="305" customWidth="1"/>
    <col min="14848" max="14848" width="5" style="305" customWidth="1"/>
    <col min="14849" max="14849" width="11.125" style="305" customWidth="1"/>
    <col min="14850" max="14850" width="10.375" style="305" customWidth="1"/>
    <col min="14851" max="14851" width="10.875" style="305" customWidth="1"/>
    <col min="14852" max="14852" width="7.75" style="305" customWidth="1"/>
    <col min="14853" max="14853" width="9.875" style="305" customWidth="1"/>
    <col min="14854" max="14854" width="10.625" style="305" customWidth="1"/>
    <col min="14855" max="15097" width="6.125" style="305"/>
    <col min="15098" max="15098" width="5" style="305" customWidth="1"/>
    <col min="15099" max="15099" width="8.875" style="305" customWidth="1"/>
    <col min="15100" max="15100" width="5" style="305" customWidth="1"/>
    <col min="15101" max="15101" width="8.25" style="305" customWidth="1"/>
    <col min="15102" max="15102" width="16.125" style="305" customWidth="1"/>
    <col min="15103" max="15103" width="86" style="305" customWidth="1"/>
    <col min="15104" max="15104" width="5" style="305" customWidth="1"/>
    <col min="15105" max="15105" width="11.125" style="305" customWidth="1"/>
    <col min="15106" max="15106" width="10.375" style="305" customWidth="1"/>
    <col min="15107" max="15107" width="10.875" style="305" customWidth="1"/>
    <col min="15108" max="15108" width="7.75" style="305" customWidth="1"/>
    <col min="15109" max="15109" width="9.875" style="305" customWidth="1"/>
    <col min="15110" max="15110" width="10.625" style="305" customWidth="1"/>
    <col min="15111" max="15353" width="6.125" style="305"/>
    <col min="15354" max="15354" width="5" style="305" customWidth="1"/>
    <col min="15355" max="15355" width="8.875" style="305" customWidth="1"/>
    <col min="15356" max="15356" width="5" style="305" customWidth="1"/>
    <col min="15357" max="15357" width="8.25" style="305" customWidth="1"/>
    <col min="15358" max="15358" width="16.125" style="305" customWidth="1"/>
    <col min="15359" max="15359" width="86" style="305" customWidth="1"/>
    <col min="15360" max="15360" width="5" style="305" customWidth="1"/>
    <col min="15361" max="15361" width="11.125" style="305" customWidth="1"/>
    <col min="15362" max="15362" width="10.375" style="305" customWidth="1"/>
    <col min="15363" max="15363" width="10.875" style="305" customWidth="1"/>
    <col min="15364" max="15364" width="7.75" style="305" customWidth="1"/>
    <col min="15365" max="15365" width="9.875" style="305" customWidth="1"/>
    <col min="15366" max="15366" width="10.625" style="305" customWidth="1"/>
    <col min="15367" max="15609" width="6.125" style="305"/>
    <col min="15610" max="15610" width="5" style="305" customWidth="1"/>
    <col min="15611" max="15611" width="8.875" style="305" customWidth="1"/>
    <col min="15612" max="15612" width="5" style="305" customWidth="1"/>
    <col min="15613" max="15613" width="8.25" style="305" customWidth="1"/>
    <col min="15614" max="15614" width="16.125" style="305" customWidth="1"/>
    <col min="15615" max="15615" width="86" style="305" customWidth="1"/>
    <col min="15616" max="15616" width="5" style="305" customWidth="1"/>
    <col min="15617" max="15617" width="11.125" style="305" customWidth="1"/>
    <col min="15618" max="15618" width="10.375" style="305" customWidth="1"/>
    <col min="15619" max="15619" width="10.875" style="305" customWidth="1"/>
    <col min="15620" max="15620" width="7.75" style="305" customWidth="1"/>
    <col min="15621" max="15621" width="9.875" style="305" customWidth="1"/>
    <col min="15622" max="15622" width="10.625" style="305" customWidth="1"/>
    <col min="15623" max="15865" width="6.125" style="305"/>
    <col min="15866" max="15866" width="5" style="305" customWidth="1"/>
    <col min="15867" max="15867" width="8.875" style="305" customWidth="1"/>
    <col min="15868" max="15868" width="5" style="305" customWidth="1"/>
    <col min="15869" max="15869" width="8.25" style="305" customWidth="1"/>
    <col min="15870" max="15870" width="16.125" style="305" customWidth="1"/>
    <col min="15871" max="15871" width="86" style="305" customWidth="1"/>
    <col min="15872" max="15872" width="5" style="305" customWidth="1"/>
    <col min="15873" max="15873" width="11.125" style="305" customWidth="1"/>
    <col min="15874" max="15874" width="10.375" style="305" customWidth="1"/>
    <col min="15875" max="15875" width="10.875" style="305" customWidth="1"/>
    <col min="15876" max="15876" width="7.75" style="305" customWidth="1"/>
    <col min="15877" max="15877" width="9.875" style="305" customWidth="1"/>
    <col min="15878" max="15878" width="10.625" style="305" customWidth="1"/>
    <col min="15879" max="16121" width="6.125" style="305"/>
    <col min="16122" max="16122" width="5" style="305" customWidth="1"/>
    <col min="16123" max="16123" width="8.875" style="305" customWidth="1"/>
    <col min="16124" max="16124" width="5" style="305" customWidth="1"/>
    <col min="16125" max="16125" width="8.25" style="305" customWidth="1"/>
    <col min="16126" max="16126" width="16.125" style="305" customWidth="1"/>
    <col min="16127" max="16127" width="86" style="305" customWidth="1"/>
    <col min="16128" max="16128" width="5" style="305" customWidth="1"/>
    <col min="16129" max="16129" width="11.125" style="305" customWidth="1"/>
    <col min="16130" max="16130" width="10.375" style="305" customWidth="1"/>
    <col min="16131" max="16131" width="10.875" style="305" customWidth="1"/>
    <col min="16132" max="16132" width="7.75" style="305" customWidth="1"/>
    <col min="16133" max="16133" width="9.875" style="305" customWidth="1"/>
    <col min="16134" max="16134" width="10.625" style="305" customWidth="1"/>
    <col min="16135" max="16384" width="6.125" style="305"/>
  </cols>
  <sheetData>
    <row r="1" spans="1:8">
      <c r="A1" s="307" t="s">
        <v>278</v>
      </c>
      <c r="B1" s="307"/>
      <c r="C1" s="307"/>
      <c r="D1" s="307"/>
      <c r="E1" s="307"/>
      <c r="F1" s="307"/>
      <c r="G1" s="307"/>
      <c r="H1" s="307"/>
    </row>
    <row r="2" customHeight="1" spans="1:9">
      <c r="A2" s="308"/>
      <c r="B2" s="308"/>
      <c r="C2" s="308"/>
      <c r="D2" s="308"/>
      <c r="E2" s="308"/>
      <c r="F2" s="308"/>
      <c r="G2" s="308"/>
      <c r="H2" s="308"/>
      <c r="I2" s="308"/>
    </row>
    <row r="3" ht="22.5" customHeight="1" spans="1:10">
      <c r="A3" s="309"/>
      <c r="B3" s="309"/>
      <c r="C3" s="309"/>
      <c r="D3" s="309"/>
      <c r="E3" s="309"/>
      <c r="F3" s="309"/>
      <c r="G3" s="309"/>
      <c r="H3" s="309"/>
      <c r="I3" s="368" t="s">
        <v>35</v>
      </c>
      <c r="J3" s="368"/>
    </row>
    <row r="4" s="304" customFormat="1" ht="52.5" customHeight="1" spans="1:10">
      <c r="A4" s="310" t="s">
        <v>36</v>
      </c>
      <c r="B4" s="311" t="s">
        <v>37</v>
      </c>
      <c r="C4" s="311" t="s">
        <v>38</v>
      </c>
      <c r="D4" s="311" t="s">
        <v>39</v>
      </c>
      <c r="E4" s="311" t="s">
        <v>40</v>
      </c>
      <c r="F4" s="312" t="s">
        <v>41</v>
      </c>
      <c r="G4" s="312" t="s">
        <v>42</v>
      </c>
      <c r="H4" s="311" t="s">
        <v>43</v>
      </c>
      <c r="I4" s="311" t="s">
        <v>44</v>
      </c>
      <c r="J4" s="369" t="s">
        <v>45</v>
      </c>
    </row>
    <row r="5" ht="13.5" spans="1:10">
      <c r="A5" s="313"/>
      <c r="B5" s="314"/>
      <c r="C5" s="314"/>
      <c r="D5" s="314"/>
      <c r="E5" s="314"/>
      <c r="F5" s="315"/>
      <c r="G5" s="315"/>
      <c r="H5" s="316"/>
      <c r="I5" s="370"/>
      <c r="J5" s="371"/>
    </row>
    <row r="6" ht="13.5" spans="1:10">
      <c r="A6" s="310" t="s">
        <v>46</v>
      </c>
      <c r="B6" s="312"/>
      <c r="C6" s="312"/>
      <c r="D6" s="312"/>
      <c r="E6" s="312"/>
      <c r="F6" s="312" t="s">
        <v>47</v>
      </c>
      <c r="G6" s="312"/>
      <c r="H6" s="317"/>
      <c r="I6" s="372"/>
      <c r="J6" s="373"/>
    </row>
    <row r="7" spans="1:10">
      <c r="A7" s="318"/>
      <c r="B7" s="319"/>
      <c r="C7" s="319"/>
      <c r="D7" s="319"/>
      <c r="E7" s="319"/>
      <c r="F7" s="320"/>
      <c r="G7" s="319"/>
      <c r="H7" s="321"/>
      <c r="I7" s="374"/>
      <c r="J7" s="375"/>
    </row>
    <row r="8" spans="1:10">
      <c r="A8" s="322"/>
      <c r="B8" s="229"/>
      <c r="C8" s="229"/>
      <c r="D8" s="229"/>
      <c r="E8" s="229"/>
      <c r="F8" s="229"/>
      <c r="G8" s="229"/>
      <c r="H8" s="243"/>
      <c r="I8" s="243"/>
      <c r="J8" s="230"/>
    </row>
    <row r="9" ht="25.5" spans="1:10">
      <c r="A9" s="322" t="s">
        <v>279</v>
      </c>
      <c r="B9" s="229"/>
      <c r="C9" s="229"/>
      <c r="D9" s="226" t="s">
        <v>48</v>
      </c>
      <c r="E9" s="229" t="s">
        <v>49</v>
      </c>
      <c r="F9" s="237" t="s">
        <v>280</v>
      </c>
      <c r="G9" s="229" t="s">
        <v>51</v>
      </c>
      <c r="H9" s="243">
        <f>110*1.1</f>
        <v>121</v>
      </c>
      <c r="I9" s="171">
        <v>8950</v>
      </c>
      <c r="J9" s="230">
        <f t="shared" ref="J9:J78" si="0">SUM(H9*I9)</f>
        <v>1082950</v>
      </c>
    </row>
    <row r="10" ht="188.25" customHeight="1" spans="1:10">
      <c r="A10" s="322"/>
      <c r="B10" s="229"/>
      <c r="C10" s="229"/>
      <c r="D10" s="229"/>
      <c r="E10" s="229"/>
      <c r="F10" s="226" t="s">
        <v>281</v>
      </c>
      <c r="G10" s="229"/>
      <c r="H10" s="243"/>
      <c r="I10" s="376"/>
      <c r="J10" s="230"/>
    </row>
    <row r="11" spans="1:10">
      <c r="A11" s="322"/>
      <c r="B11" s="229"/>
      <c r="C11" s="229"/>
      <c r="D11" s="229"/>
      <c r="E11" s="229"/>
      <c r="F11" s="226"/>
      <c r="G11" s="229"/>
      <c r="H11" s="243"/>
      <c r="I11" s="376"/>
      <c r="J11" s="230"/>
    </row>
    <row r="12" ht="25.5" spans="1:10">
      <c r="A12" s="322" t="s">
        <v>282</v>
      </c>
      <c r="B12" s="229"/>
      <c r="C12" s="229"/>
      <c r="D12" s="226" t="s">
        <v>48</v>
      </c>
      <c r="E12" s="229" t="s">
        <v>283</v>
      </c>
      <c r="F12" s="249" t="s">
        <v>284</v>
      </c>
      <c r="G12" s="323" t="s">
        <v>130</v>
      </c>
      <c r="H12" s="243">
        <v>20</v>
      </c>
      <c r="I12" s="376">
        <v>1695</v>
      </c>
      <c r="J12" s="230">
        <f t="shared" ref="J12" si="1">SUM(H12*I12)</f>
        <v>33900</v>
      </c>
    </row>
    <row r="13" ht="270.75" spans="1:10">
      <c r="A13" s="322"/>
      <c r="B13" s="229"/>
      <c r="C13" s="229"/>
      <c r="D13" s="229"/>
      <c r="E13" s="229"/>
      <c r="F13" s="32" t="s">
        <v>285</v>
      </c>
      <c r="G13" s="323"/>
      <c r="H13" s="243"/>
      <c r="I13" s="376"/>
      <c r="J13" s="230"/>
    </row>
    <row r="14" ht="14.25" spans="1:10">
      <c r="A14" s="322"/>
      <c r="B14" s="229"/>
      <c r="C14" s="229"/>
      <c r="D14" s="229"/>
      <c r="E14" s="229"/>
      <c r="F14" s="32"/>
      <c r="G14" s="323"/>
      <c r="H14" s="243"/>
      <c r="I14" s="376"/>
      <c r="J14" s="230"/>
    </row>
    <row r="15" ht="25.5" spans="1:10">
      <c r="A15" s="322" t="s">
        <v>286</v>
      </c>
      <c r="B15" s="229"/>
      <c r="C15" s="229"/>
      <c r="D15" s="226" t="s">
        <v>48</v>
      </c>
      <c r="E15" s="229" t="s">
        <v>49</v>
      </c>
      <c r="F15" s="237" t="s">
        <v>287</v>
      </c>
      <c r="G15" s="229" t="s">
        <v>51</v>
      </c>
      <c r="H15" s="243">
        <v>60</v>
      </c>
      <c r="I15" s="376">
        <v>10400</v>
      </c>
      <c r="J15" s="230">
        <f t="shared" ref="J15" si="2">SUM(H15*I15)</f>
        <v>624000</v>
      </c>
    </row>
    <row r="16" ht="178.5" spans="1:10">
      <c r="A16" s="322"/>
      <c r="B16" s="229"/>
      <c r="C16" s="229"/>
      <c r="D16" s="229"/>
      <c r="E16" s="229"/>
      <c r="F16" s="226" t="s">
        <v>288</v>
      </c>
      <c r="G16" s="323"/>
      <c r="H16" s="243"/>
      <c r="I16" s="376"/>
      <c r="J16" s="230"/>
    </row>
    <row r="17" spans="1:10">
      <c r="A17" s="322"/>
      <c r="B17" s="229"/>
      <c r="C17" s="229"/>
      <c r="D17" s="229"/>
      <c r="E17" s="229"/>
      <c r="F17" s="229"/>
      <c r="G17" s="229"/>
      <c r="H17" s="243"/>
      <c r="I17" s="376"/>
      <c r="J17" s="230"/>
    </row>
    <row r="18" ht="25.5" spans="1:10">
      <c r="A18" s="324">
        <v>1.2</v>
      </c>
      <c r="B18" s="303"/>
      <c r="C18" s="226" t="s">
        <v>158</v>
      </c>
      <c r="D18" s="226" t="s">
        <v>289</v>
      </c>
      <c r="E18" s="226" t="s">
        <v>290</v>
      </c>
      <c r="F18" s="303" t="s">
        <v>291</v>
      </c>
      <c r="G18" s="226" t="s">
        <v>130</v>
      </c>
      <c r="H18" s="243">
        <v>10</v>
      </c>
      <c r="I18" s="376">
        <v>1175</v>
      </c>
      <c r="J18" s="230">
        <f t="shared" si="0"/>
        <v>11750</v>
      </c>
    </row>
    <row r="19" ht="101.25" customHeight="1" spans="1:10">
      <c r="A19" s="303"/>
      <c r="B19" s="303"/>
      <c r="C19" s="303"/>
      <c r="D19" s="303"/>
      <c r="E19" s="303"/>
      <c r="F19" s="226" t="s">
        <v>292</v>
      </c>
      <c r="G19" s="226"/>
      <c r="H19" s="243"/>
      <c r="I19" s="376"/>
      <c r="J19" s="230"/>
    </row>
    <row r="20" spans="1:10">
      <c r="A20" s="303"/>
      <c r="B20" s="303"/>
      <c r="C20" s="303"/>
      <c r="D20" s="303"/>
      <c r="E20" s="303"/>
      <c r="F20" s="226"/>
      <c r="G20" s="226"/>
      <c r="H20" s="243"/>
      <c r="I20" s="376"/>
      <c r="J20" s="230"/>
    </row>
    <row r="21" spans="1:10">
      <c r="A21" s="325">
        <v>1.3</v>
      </c>
      <c r="B21" s="303"/>
      <c r="C21" s="303"/>
      <c r="D21" s="323" t="s">
        <v>289</v>
      </c>
      <c r="E21" s="323" t="s">
        <v>290</v>
      </c>
      <c r="F21" s="249" t="s">
        <v>293</v>
      </c>
      <c r="G21" s="323" t="s">
        <v>130</v>
      </c>
      <c r="H21" s="243">
        <f>(14*3.4)</f>
        <v>47.6</v>
      </c>
      <c r="I21" s="376">
        <v>2900</v>
      </c>
      <c r="J21" s="230">
        <f t="shared" si="0"/>
        <v>138040</v>
      </c>
    </row>
    <row r="22" ht="117" customHeight="1" spans="1:10">
      <c r="A22" s="303"/>
      <c r="B22" s="303"/>
      <c r="C22" s="303"/>
      <c r="D22" s="326"/>
      <c r="E22" s="326"/>
      <c r="F22" s="231" t="s">
        <v>294</v>
      </c>
      <c r="G22" s="323"/>
      <c r="H22" s="243"/>
      <c r="I22" s="376"/>
      <c r="J22" s="230"/>
    </row>
    <row r="23" spans="1:10">
      <c r="A23" s="303"/>
      <c r="B23" s="303"/>
      <c r="C23" s="303"/>
      <c r="D23" s="326"/>
      <c r="E23" s="326"/>
      <c r="F23" s="231"/>
      <c r="G23" s="323"/>
      <c r="H23" s="243"/>
      <c r="I23" s="376"/>
      <c r="J23" s="230"/>
    </row>
    <row r="24" ht="25.5" spans="1:10">
      <c r="A24" s="303">
        <v>1.4</v>
      </c>
      <c r="B24" s="303"/>
      <c r="C24" s="303"/>
      <c r="D24" s="327" t="s">
        <v>295</v>
      </c>
      <c r="E24" s="327" t="s">
        <v>296</v>
      </c>
      <c r="F24" s="327" t="s">
        <v>297</v>
      </c>
      <c r="G24" s="327" t="s">
        <v>130</v>
      </c>
      <c r="H24" s="328">
        <f>3.4*1.7+13</f>
        <v>18.78</v>
      </c>
      <c r="I24" s="376">
        <v>8950</v>
      </c>
      <c r="J24" s="230">
        <f t="shared" si="0"/>
        <v>168081</v>
      </c>
    </row>
    <row r="25" ht="164.25" customHeight="1" spans="1:10">
      <c r="A25" s="303"/>
      <c r="B25" s="303"/>
      <c r="C25" s="303"/>
      <c r="D25" s="329"/>
      <c r="E25" s="329"/>
      <c r="F25" s="327" t="s">
        <v>298</v>
      </c>
      <c r="G25" s="329"/>
      <c r="H25" s="328"/>
      <c r="I25" s="376"/>
      <c r="J25" s="230"/>
    </row>
    <row r="26" spans="1:10">
      <c r="A26" s="303"/>
      <c r="B26" s="303"/>
      <c r="C26" s="303"/>
      <c r="D26" s="326"/>
      <c r="E26" s="326"/>
      <c r="F26" s="231"/>
      <c r="G26" s="323"/>
      <c r="H26" s="243"/>
      <c r="I26" s="376"/>
      <c r="J26" s="230"/>
    </row>
    <row r="27" ht="25.5" spans="1:10">
      <c r="A27" s="303">
        <v>1.5</v>
      </c>
      <c r="B27" s="303"/>
      <c r="C27" s="303"/>
      <c r="D27" s="327" t="s">
        <v>295</v>
      </c>
      <c r="E27" s="327" t="s">
        <v>296</v>
      </c>
      <c r="F27" s="327" t="s">
        <v>299</v>
      </c>
      <c r="G27" s="327" t="s">
        <v>63</v>
      </c>
      <c r="H27" s="328">
        <v>7</v>
      </c>
      <c r="I27" s="376">
        <v>8950</v>
      </c>
      <c r="J27" s="230">
        <f t="shared" ref="J27:J30" si="3">SUM(H27*I27)</f>
        <v>62650</v>
      </c>
    </row>
    <row r="28" ht="176.25" customHeight="1" spans="1:10">
      <c r="A28" s="303"/>
      <c r="B28" s="303"/>
      <c r="C28" s="303"/>
      <c r="D28" s="329"/>
      <c r="E28" s="329"/>
      <c r="F28" s="327" t="s">
        <v>300</v>
      </c>
      <c r="G28" s="329"/>
      <c r="H28" s="328"/>
      <c r="I28" s="376"/>
      <c r="J28" s="230"/>
    </row>
    <row r="29" spans="1:10">
      <c r="A29" s="303"/>
      <c r="B29" s="303"/>
      <c r="C29" s="303"/>
      <c r="D29" s="326"/>
      <c r="E29" s="326"/>
      <c r="F29" s="231"/>
      <c r="G29" s="323"/>
      <c r="H29" s="243"/>
      <c r="I29" s="376"/>
      <c r="J29" s="230"/>
    </row>
    <row r="30" ht="25.5" spans="1:10">
      <c r="A30" s="303">
        <v>1.6</v>
      </c>
      <c r="B30" s="303"/>
      <c r="C30" s="303"/>
      <c r="D30" s="330" t="s">
        <v>53</v>
      </c>
      <c r="E30" s="229" t="s">
        <v>301</v>
      </c>
      <c r="F30" s="331" t="s">
        <v>302</v>
      </c>
      <c r="G30" s="229" t="s">
        <v>63</v>
      </c>
      <c r="H30" s="332">
        <f>10*1.2</f>
        <v>12</v>
      </c>
      <c r="I30" s="376">
        <v>4460</v>
      </c>
      <c r="J30" s="230">
        <f t="shared" si="3"/>
        <v>53520</v>
      </c>
    </row>
    <row r="31" ht="177" customHeight="1" spans="1:10">
      <c r="A31" s="303"/>
      <c r="B31" s="303"/>
      <c r="C31" s="303"/>
      <c r="D31" s="229"/>
      <c r="E31" s="229"/>
      <c r="F31" s="239" t="s">
        <v>303</v>
      </c>
      <c r="G31" s="229"/>
      <c r="H31" s="332"/>
      <c r="I31" s="377"/>
      <c r="J31" s="230"/>
    </row>
    <row r="32" spans="1:10">
      <c r="A32" s="303"/>
      <c r="B32" s="303"/>
      <c r="C32" s="303"/>
      <c r="D32" s="229"/>
      <c r="E32" s="229"/>
      <c r="F32" s="239"/>
      <c r="G32" s="229"/>
      <c r="H32" s="332"/>
      <c r="I32" s="377"/>
      <c r="J32" s="230"/>
    </row>
    <row r="33" ht="25.5" spans="1:10">
      <c r="A33" s="303">
        <v>1.7</v>
      </c>
      <c r="B33" s="303"/>
      <c r="C33" s="303"/>
      <c r="D33" s="323" t="s">
        <v>65</v>
      </c>
      <c r="E33" s="229" t="s">
        <v>66</v>
      </c>
      <c r="F33" s="333" t="s">
        <v>66</v>
      </c>
      <c r="G33" s="334" t="s">
        <v>63</v>
      </c>
      <c r="H33" s="335">
        <v>10</v>
      </c>
      <c r="I33" s="376">
        <v>2750</v>
      </c>
      <c r="J33" s="378">
        <f>SUM(H33*I33)</f>
        <v>27500</v>
      </c>
    </row>
    <row r="34" ht="89.25" spans="1:10">
      <c r="A34" s="303"/>
      <c r="B34" s="303"/>
      <c r="C34" s="303"/>
      <c r="D34" s="334"/>
      <c r="E34" s="334"/>
      <c r="F34" s="336" t="s">
        <v>304</v>
      </c>
      <c r="G34" s="334"/>
      <c r="H34" s="335"/>
      <c r="I34" s="379"/>
      <c r="J34" s="248"/>
    </row>
    <row r="35" ht="13.5" spans="1:10">
      <c r="A35" s="337"/>
      <c r="B35" s="337"/>
      <c r="C35" s="337"/>
      <c r="D35" s="337"/>
      <c r="E35" s="337"/>
      <c r="F35" s="338"/>
      <c r="G35" s="338"/>
      <c r="H35" s="339"/>
      <c r="I35" s="380"/>
      <c r="J35" s="381"/>
    </row>
    <row r="36" ht="15.75" spans="1:10">
      <c r="A36" s="340" t="s">
        <v>69</v>
      </c>
      <c r="B36" s="341"/>
      <c r="C36" s="341"/>
      <c r="D36" s="341"/>
      <c r="E36" s="341"/>
      <c r="F36" s="342" t="s">
        <v>70</v>
      </c>
      <c r="G36" s="342"/>
      <c r="H36" s="343"/>
      <c r="I36" s="382"/>
      <c r="J36" s="383"/>
    </row>
    <row r="37" ht="15" spans="1:10">
      <c r="A37" s="344"/>
      <c r="B37" s="345"/>
      <c r="C37" s="345"/>
      <c r="D37" s="345"/>
      <c r="E37" s="345"/>
      <c r="F37" s="346"/>
      <c r="G37" s="347"/>
      <c r="H37" s="222"/>
      <c r="I37" s="199"/>
      <c r="J37" s="347"/>
    </row>
    <row r="38" ht="30" spans="1:10">
      <c r="A38" s="348">
        <v>2.1</v>
      </c>
      <c r="B38" s="225"/>
      <c r="C38" s="225"/>
      <c r="D38" s="232" t="s">
        <v>71</v>
      </c>
      <c r="E38" s="232" t="s">
        <v>305</v>
      </c>
      <c r="F38" s="184" t="s">
        <v>73</v>
      </c>
      <c r="G38" s="174" t="s">
        <v>51</v>
      </c>
      <c r="H38" s="223">
        <v>20</v>
      </c>
      <c r="I38" s="200">
        <v>2050</v>
      </c>
      <c r="J38" s="174">
        <f t="shared" ref="J38" si="4">SUM(H38*I38)</f>
        <v>41000</v>
      </c>
    </row>
    <row r="39" ht="178.5" spans="1:10">
      <c r="A39" s="348"/>
      <c r="B39" s="225"/>
      <c r="C39" s="225"/>
      <c r="D39" s="225"/>
      <c r="E39" s="174"/>
      <c r="F39" s="349" t="s">
        <v>306</v>
      </c>
      <c r="G39" s="174"/>
      <c r="H39" s="223"/>
      <c r="I39" s="200"/>
      <c r="J39" s="174"/>
    </row>
    <row r="40" ht="15" spans="1:10">
      <c r="A40" s="350"/>
      <c r="B40" s="351"/>
      <c r="C40" s="351"/>
      <c r="D40" s="351"/>
      <c r="E40" s="352"/>
      <c r="F40" s="353"/>
      <c r="G40" s="352"/>
      <c r="H40" s="354"/>
      <c r="I40" s="354"/>
      <c r="J40" s="384"/>
    </row>
    <row r="41" ht="15" spans="1:10">
      <c r="A41" s="348">
        <v>2.4</v>
      </c>
      <c r="B41" s="225"/>
      <c r="C41" s="225"/>
      <c r="D41" s="232" t="s">
        <v>71</v>
      </c>
      <c r="E41" s="232" t="s">
        <v>307</v>
      </c>
      <c r="F41" s="184" t="s">
        <v>79</v>
      </c>
      <c r="G41" s="174" t="s">
        <v>51</v>
      </c>
      <c r="H41" s="223">
        <v>39</v>
      </c>
      <c r="I41" s="223">
        <v>475</v>
      </c>
      <c r="J41" s="174">
        <f t="shared" ref="J41" si="5">SUM(H41*I41)</f>
        <v>18525</v>
      </c>
    </row>
    <row r="42" ht="89.25" spans="1:10">
      <c r="A42" s="348"/>
      <c r="B42" s="225"/>
      <c r="C42" s="225"/>
      <c r="D42" s="225"/>
      <c r="E42" s="225"/>
      <c r="F42" s="349" t="s">
        <v>202</v>
      </c>
      <c r="G42" s="174"/>
      <c r="H42" s="223"/>
      <c r="I42" s="223"/>
      <c r="J42" s="174"/>
    </row>
    <row r="43" ht="15.75" spans="1:10">
      <c r="A43" s="355"/>
      <c r="B43" s="246"/>
      <c r="C43" s="246"/>
      <c r="D43" s="246"/>
      <c r="E43" s="247"/>
      <c r="F43" s="356"/>
      <c r="G43" s="247"/>
      <c r="H43" s="357"/>
      <c r="I43" s="357"/>
      <c r="J43" s="247"/>
    </row>
    <row r="44" ht="15.75" spans="1:10">
      <c r="A44" s="340" t="s">
        <v>81</v>
      </c>
      <c r="B44" s="341"/>
      <c r="C44" s="341"/>
      <c r="D44" s="341"/>
      <c r="E44" s="341"/>
      <c r="F44" s="342" t="s">
        <v>82</v>
      </c>
      <c r="G44" s="342"/>
      <c r="H44" s="343"/>
      <c r="I44" s="343"/>
      <c r="J44" s="383"/>
    </row>
    <row r="45" spans="1:10">
      <c r="A45" s="358"/>
      <c r="B45" s="359"/>
      <c r="C45" s="359"/>
      <c r="D45" s="359"/>
      <c r="E45" s="359"/>
      <c r="F45" s="320"/>
      <c r="G45" s="320"/>
      <c r="H45" s="360"/>
      <c r="I45" s="360"/>
      <c r="J45" s="375"/>
    </row>
    <row r="46" ht="45" spans="1:10">
      <c r="A46" s="348">
        <v>3.1</v>
      </c>
      <c r="B46" s="225"/>
      <c r="C46" s="225"/>
      <c r="D46" s="232" t="s">
        <v>203</v>
      </c>
      <c r="E46" s="232" t="s">
        <v>204</v>
      </c>
      <c r="F46" s="361" t="s">
        <v>308</v>
      </c>
      <c r="G46" s="174" t="s">
        <v>51</v>
      </c>
      <c r="H46" s="223">
        <f>(10*3.6)+39</f>
        <v>75</v>
      </c>
      <c r="I46" s="385">
        <v>4050</v>
      </c>
      <c r="J46" s="174">
        <f t="shared" ref="J46" si="6">SUM(H46*I46)</f>
        <v>303750</v>
      </c>
    </row>
    <row r="47" ht="128.25" spans="1:10">
      <c r="A47" s="348"/>
      <c r="B47" s="225"/>
      <c r="C47" s="225"/>
      <c r="D47" s="225"/>
      <c r="E47" s="225"/>
      <c r="F47" s="362" t="s">
        <v>309</v>
      </c>
      <c r="G47" s="174"/>
      <c r="H47" s="223"/>
      <c r="I47" s="223"/>
      <c r="J47" s="174"/>
    </row>
    <row r="48" spans="1:10">
      <c r="A48" s="358"/>
      <c r="B48" s="359"/>
      <c r="C48" s="359"/>
      <c r="D48" s="359"/>
      <c r="E48" s="359"/>
      <c r="F48" s="320"/>
      <c r="G48" s="320"/>
      <c r="H48" s="360"/>
      <c r="I48" s="360"/>
      <c r="J48" s="375"/>
    </row>
    <row r="49" ht="25.5" spans="1:10">
      <c r="A49" s="363">
        <v>3.2</v>
      </c>
      <c r="B49" s="364"/>
      <c r="C49" s="364"/>
      <c r="D49" s="230" t="s">
        <v>83</v>
      </c>
      <c r="E49" s="230" t="s">
        <v>310</v>
      </c>
      <c r="F49" s="237" t="s">
        <v>311</v>
      </c>
      <c r="G49" s="229" t="s">
        <v>51</v>
      </c>
      <c r="H49" s="243">
        <f>(7*2.1+2+3)+(1.35*3.6*4)</f>
        <v>39.14</v>
      </c>
      <c r="I49" s="243">
        <v>7000</v>
      </c>
      <c r="J49" s="378">
        <f>SUM(H49*I49)</f>
        <v>273980</v>
      </c>
    </row>
    <row r="50" ht="134.25" customHeight="1" spans="1:10">
      <c r="A50" s="363"/>
      <c r="B50" s="364"/>
      <c r="C50" s="364"/>
      <c r="D50" s="364"/>
      <c r="E50" s="364"/>
      <c r="F50" s="229" t="s">
        <v>312</v>
      </c>
      <c r="G50" s="237"/>
      <c r="H50" s="365"/>
      <c r="I50" s="365"/>
      <c r="J50" s="230"/>
    </row>
    <row r="51" spans="1:10">
      <c r="A51" s="363"/>
      <c r="B51" s="364"/>
      <c r="C51" s="364"/>
      <c r="D51" s="364"/>
      <c r="E51" s="364"/>
      <c r="F51" s="237"/>
      <c r="G51" s="237"/>
      <c r="H51" s="365"/>
      <c r="I51" s="365"/>
      <c r="J51" s="230"/>
    </row>
    <row r="52" ht="25.5" spans="1:10">
      <c r="A52" s="322">
        <v>3.3</v>
      </c>
      <c r="B52" s="230"/>
      <c r="C52" s="230"/>
      <c r="D52" s="230" t="s">
        <v>313</v>
      </c>
      <c r="E52" s="230" t="s">
        <v>314</v>
      </c>
      <c r="F52" s="331" t="s">
        <v>315</v>
      </c>
      <c r="G52" s="229" t="s">
        <v>51</v>
      </c>
      <c r="H52" s="243">
        <f>2*1.35+5.2*1.35</f>
        <v>9.72</v>
      </c>
      <c r="I52" s="243">
        <v>14600</v>
      </c>
      <c r="J52" s="230">
        <f t="shared" si="0"/>
        <v>141912</v>
      </c>
    </row>
    <row r="53" ht="264" customHeight="1" spans="1:10">
      <c r="A53" s="322"/>
      <c r="B53" s="230"/>
      <c r="C53" s="230"/>
      <c r="D53" s="230"/>
      <c r="E53" s="230"/>
      <c r="F53" s="239" t="s">
        <v>316</v>
      </c>
      <c r="G53" s="229"/>
      <c r="H53" s="243"/>
      <c r="I53" s="243"/>
      <c r="J53" s="230"/>
    </row>
    <row r="54" spans="1:10">
      <c r="A54" s="322"/>
      <c r="B54" s="230"/>
      <c r="C54" s="230"/>
      <c r="D54" s="230"/>
      <c r="E54" s="230"/>
      <c r="F54" s="239"/>
      <c r="G54" s="229"/>
      <c r="H54" s="243"/>
      <c r="I54" s="243"/>
      <c r="J54" s="230"/>
    </row>
    <row r="55" ht="25.5" spans="1:10">
      <c r="A55" s="322">
        <v>3.4</v>
      </c>
      <c r="B55" s="230"/>
      <c r="C55" s="230"/>
      <c r="D55" s="230" t="s">
        <v>313</v>
      </c>
      <c r="E55" s="230" t="s">
        <v>314</v>
      </c>
      <c r="F55" s="331" t="s">
        <v>317</v>
      </c>
      <c r="G55" s="229" t="s">
        <v>51</v>
      </c>
      <c r="H55" s="243">
        <f>7*1.35+2+1</f>
        <v>12.45</v>
      </c>
      <c r="I55" s="243">
        <v>16360</v>
      </c>
      <c r="J55" s="230">
        <f t="shared" ref="J55" si="7">SUM(H55*I55)</f>
        <v>203682</v>
      </c>
    </row>
    <row r="56" ht="249" customHeight="1" spans="1:10">
      <c r="A56" s="322"/>
      <c r="B56" s="230"/>
      <c r="C56" s="230"/>
      <c r="D56" s="230"/>
      <c r="E56" s="230"/>
      <c r="F56" s="239" t="s">
        <v>318</v>
      </c>
      <c r="G56" s="229"/>
      <c r="H56" s="243"/>
      <c r="I56" s="243"/>
      <c r="J56" s="230"/>
    </row>
    <row r="57" spans="1:10">
      <c r="A57" s="322"/>
      <c r="B57" s="230"/>
      <c r="C57" s="230"/>
      <c r="D57" s="230"/>
      <c r="E57" s="230"/>
      <c r="F57" s="239"/>
      <c r="G57" s="229"/>
      <c r="H57" s="243"/>
      <c r="I57" s="243"/>
      <c r="J57" s="230"/>
    </row>
    <row r="58" spans="1:10">
      <c r="A58" s="322">
        <v>3.5</v>
      </c>
      <c r="B58" s="230"/>
      <c r="C58" s="230"/>
      <c r="D58" s="230" t="s">
        <v>313</v>
      </c>
      <c r="E58" s="230" t="s">
        <v>319</v>
      </c>
      <c r="F58" s="331" t="s">
        <v>320</v>
      </c>
      <c r="G58" s="229" t="s">
        <v>98</v>
      </c>
      <c r="H58" s="243">
        <v>3</v>
      </c>
      <c r="I58" s="243">
        <v>19750</v>
      </c>
      <c r="J58" s="230">
        <f t="shared" ref="J58" si="8">SUM(H58*I58)</f>
        <v>59250</v>
      </c>
    </row>
    <row r="59" ht="51" spans="1:10">
      <c r="A59" s="322"/>
      <c r="B59" s="230"/>
      <c r="C59" s="230"/>
      <c r="D59" s="230"/>
      <c r="E59" s="230"/>
      <c r="F59" s="231" t="s">
        <v>321</v>
      </c>
      <c r="G59" s="229"/>
      <c r="H59" s="243"/>
      <c r="I59" s="243"/>
      <c r="J59" s="230"/>
    </row>
    <row r="60" spans="1:10">
      <c r="A60" s="322"/>
      <c r="B60" s="230"/>
      <c r="C60" s="230"/>
      <c r="D60" s="230"/>
      <c r="E60" s="230"/>
      <c r="F60" s="239"/>
      <c r="G60" s="229"/>
      <c r="H60" s="243"/>
      <c r="I60" s="243"/>
      <c r="J60" s="230"/>
    </row>
    <row r="61" spans="1:10">
      <c r="A61" s="322"/>
      <c r="B61" s="230"/>
      <c r="C61" s="230"/>
      <c r="D61" s="230"/>
      <c r="E61" s="230"/>
      <c r="F61" s="237"/>
      <c r="G61" s="229"/>
      <c r="H61" s="243"/>
      <c r="I61" s="243"/>
      <c r="J61" s="230"/>
    </row>
    <row r="62" ht="25.5" spans="1:11">
      <c r="A62" s="322">
        <v>3.6</v>
      </c>
      <c r="B62" s="366"/>
      <c r="C62" s="230"/>
      <c r="D62" s="230" t="s">
        <v>239</v>
      </c>
      <c r="E62" s="230" t="s">
        <v>322</v>
      </c>
      <c r="F62" s="303" t="s">
        <v>323</v>
      </c>
      <c r="G62" s="229" t="s">
        <v>242</v>
      </c>
      <c r="H62" s="243">
        <v>1</v>
      </c>
      <c r="I62" s="386">
        <v>676000</v>
      </c>
      <c r="J62" s="230">
        <f t="shared" si="0"/>
        <v>676000</v>
      </c>
      <c r="K62" s="387"/>
    </row>
    <row r="63" ht="25.5" spans="1:10">
      <c r="A63" s="322"/>
      <c r="B63" s="366"/>
      <c r="C63" s="230"/>
      <c r="D63" s="230"/>
      <c r="E63" s="229"/>
      <c r="F63" s="303" t="s">
        <v>324</v>
      </c>
      <c r="G63" s="229"/>
      <c r="H63" s="243"/>
      <c r="I63" s="243"/>
      <c r="J63" s="230"/>
    </row>
    <row r="64" ht="290.25" customHeight="1" spans="1:10">
      <c r="A64" s="322"/>
      <c r="B64" s="366"/>
      <c r="C64" s="230"/>
      <c r="D64" s="230"/>
      <c r="E64" s="229"/>
      <c r="F64" s="367" t="s">
        <v>325</v>
      </c>
      <c r="G64" s="229"/>
      <c r="H64" s="243"/>
      <c r="I64" s="243"/>
      <c r="J64" s="230"/>
    </row>
    <row r="65" spans="1:10">
      <c r="A65" s="322"/>
      <c r="B65" s="366"/>
      <c r="C65" s="230"/>
      <c r="D65" s="230"/>
      <c r="E65" s="229"/>
      <c r="F65" s="229"/>
      <c r="G65" s="229"/>
      <c r="H65" s="243"/>
      <c r="I65" s="243"/>
      <c r="J65" s="230"/>
    </row>
    <row r="66" spans="1:10">
      <c r="A66" s="322">
        <v>3.7</v>
      </c>
      <c r="B66" s="230"/>
      <c r="C66" s="230"/>
      <c r="D66" s="230" t="s">
        <v>239</v>
      </c>
      <c r="E66" s="230" t="s">
        <v>326</v>
      </c>
      <c r="F66" s="303" t="s">
        <v>327</v>
      </c>
      <c r="G66" s="229"/>
      <c r="H66" s="243"/>
      <c r="I66" s="243"/>
      <c r="J66" s="230"/>
    </row>
    <row r="67" spans="1:10">
      <c r="A67" s="388"/>
      <c r="B67" s="230"/>
      <c r="C67" s="230"/>
      <c r="D67" s="230"/>
      <c r="E67" s="230"/>
      <c r="F67" s="303" t="s">
        <v>328</v>
      </c>
      <c r="G67" s="229" t="s">
        <v>187</v>
      </c>
      <c r="H67" s="243">
        <v>1</v>
      </c>
      <c r="I67" s="243">
        <v>127500</v>
      </c>
      <c r="J67" s="230">
        <f t="shared" si="0"/>
        <v>127500</v>
      </c>
    </row>
    <row r="68" ht="242.25" spans="1:11">
      <c r="A68" s="322"/>
      <c r="B68" s="230"/>
      <c r="C68" s="230"/>
      <c r="D68" s="230"/>
      <c r="E68" s="229"/>
      <c r="F68" s="226" t="s">
        <v>329</v>
      </c>
      <c r="G68" s="229"/>
      <c r="H68" s="243"/>
      <c r="I68" s="243"/>
      <c r="J68" s="230"/>
      <c r="K68" s="402"/>
    </row>
    <row r="69" spans="1:10">
      <c r="A69" s="322"/>
      <c r="B69" s="230"/>
      <c r="C69" s="230"/>
      <c r="D69" s="230"/>
      <c r="E69" s="229"/>
      <c r="F69" s="229"/>
      <c r="G69" s="229"/>
      <c r="H69" s="243"/>
      <c r="I69" s="243"/>
      <c r="J69" s="230"/>
    </row>
    <row r="70" spans="1:10">
      <c r="A70" s="322"/>
      <c r="B70" s="230"/>
      <c r="C70" s="230"/>
      <c r="D70" s="230"/>
      <c r="E70" s="229"/>
      <c r="F70" s="229"/>
      <c r="G70" s="229"/>
      <c r="H70" s="243"/>
      <c r="I70" s="243"/>
      <c r="J70" s="230"/>
    </row>
    <row r="71" ht="15" spans="1:10">
      <c r="A71" s="322">
        <v>3.8</v>
      </c>
      <c r="B71" s="230"/>
      <c r="C71" s="230"/>
      <c r="D71" s="230" t="s">
        <v>330</v>
      </c>
      <c r="E71" s="230" t="s">
        <v>331</v>
      </c>
      <c r="F71" s="303" t="s">
        <v>332</v>
      </c>
      <c r="G71" s="229" t="s">
        <v>130</v>
      </c>
      <c r="H71" s="243">
        <f>(5*1)</f>
        <v>5</v>
      </c>
      <c r="I71" s="223">
        <v>17600</v>
      </c>
      <c r="J71" s="230">
        <f t="shared" si="0"/>
        <v>88000</v>
      </c>
    </row>
    <row r="72" ht="63.75" spans="1:10">
      <c r="A72" s="322"/>
      <c r="B72" s="230"/>
      <c r="C72" s="230"/>
      <c r="D72" s="230"/>
      <c r="E72" s="229"/>
      <c r="F72" s="389" t="s">
        <v>333</v>
      </c>
      <c r="G72" s="229"/>
      <c r="H72" s="243"/>
      <c r="I72" s="243"/>
      <c r="J72" s="230"/>
    </row>
    <row r="73" spans="1:11">
      <c r="A73" s="322"/>
      <c r="B73" s="230"/>
      <c r="C73" s="230"/>
      <c r="D73" s="230"/>
      <c r="E73" s="229"/>
      <c r="F73" s="229"/>
      <c r="G73" s="229"/>
      <c r="H73" s="243"/>
      <c r="I73" s="243"/>
      <c r="J73" s="230"/>
      <c r="K73" s="402"/>
    </row>
    <row r="74" spans="1:10">
      <c r="A74" s="322"/>
      <c r="B74" s="230"/>
      <c r="C74" s="230"/>
      <c r="D74" s="230"/>
      <c r="E74" s="229"/>
      <c r="F74" s="229"/>
      <c r="G74" s="229"/>
      <c r="H74" s="243"/>
      <c r="I74" s="243"/>
      <c r="J74" s="230"/>
    </row>
    <row r="75" spans="1:10">
      <c r="A75" s="322">
        <v>3.9</v>
      </c>
      <c r="B75" s="230"/>
      <c r="C75" s="230"/>
      <c r="D75" s="230" t="s">
        <v>239</v>
      </c>
      <c r="E75" s="230" t="s">
        <v>334</v>
      </c>
      <c r="F75" s="331" t="s">
        <v>335</v>
      </c>
      <c r="G75" s="229" t="s">
        <v>187</v>
      </c>
      <c r="H75" s="243">
        <v>3</v>
      </c>
      <c r="I75" s="243">
        <v>13500</v>
      </c>
      <c r="J75" s="230">
        <f t="shared" si="0"/>
        <v>40500</v>
      </c>
    </row>
    <row r="76" ht="89.25" spans="1:10">
      <c r="A76" s="322"/>
      <c r="B76" s="230"/>
      <c r="C76" s="230"/>
      <c r="D76" s="230"/>
      <c r="E76" s="229"/>
      <c r="F76" s="239" t="s">
        <v>336</v>
      </c>
      <c r="G76" s="229"/>
      <c r="H76" s="243"/>
      <c r="I76" s="243"/>
      <c r="J76" s="230"/>
    </row>
    <row r="77" spans="1:10">
      <c r="A77" s="322"/>
      <c r="B77" s="230"/>
      <c r="C77" s="230"/>
      <c r="D77" s="230"/>
      <c r="E77" s="229"/>
      <c r="F77" s="229"/>
      <c r="G77" s="229"/>
      <c r="H77" s="243"/>
      <c r="I77" s="243"/>
      <c r="J77" s="230"/>
    </row>
    <row r="78" spans="1:10">
      <c r="A78" s="388">
        <v>3.1</v>
      </c>
      <c r="B78" s="230"/>
      <c r="C78" s="230"/>
      <c r="D78" s="230" t="s">
        <v>330</v>
      </c>
      <c r="E78" s="230" t="s">
        <v>337</v>
      </c>
      <c r="F78" s="303" t="s">
        <v>338</v>
      </c>
      <c r="G78" s="229" t="s">
        <v>187</v>
      </c>
      <c r="H78" s="243">
        <v>4</v>
      </c>
      <c r="I78" s="243">
        <v>9800</v>
      </c>
      <c r="J78" s="230">
        <f t="shared" si="0"/>
        <v>39200</v>
      </c>
    </row>
    <row r="79" ht="38.25" spans="1:10">
      <c r="A79" s="322"/>
      <c r="B79" s="230"/>
      <c r="C79" s="230"/>
      <c r="D79" s="230"/>
      <c r="E79" s="229"/>
      <c r="F79" s="226" t="s">
        <v>339</v>
      </c>
      <c r="G79" s="229"/>
      <c r="H79" s="243"/>
      <c r="I79" s="243"/>
      <c r="J79" s="230"/>
    </row>
    <row r="80" spans="1:10">
      <c r="A80" s="390"/>
      <c r="B80" s="381"/>
      <c r="C80" s="381"/>
      <c r="D80" s="381"/>
      <c r="E80" s="391"/>
      <c r="F80" s="391"/>
      <c r="G80" s="391"/>
      <c r="H80" s="339"/>
      <c r="I80" s="339"/>
      <c r="J80" s="381"/>
    </row>
    <row r="81" ht="25.5" spans="1:10">
      <c r="A81" s="388">
        <v>3.11</v>
      </c>
      <c r="B81" s="230"/>
      <c r="C81" s="230"/>
      <c r="D81" s="230" t="s">
        <v>330</v>
      </c>
      <c r="E81" s="230" t="s">
        <v>340</v>
      </c>
      <c r="F81" s="303" t="s">
        <v>341</v>
      </c>
      <c r="G81" s="229" t="s">
        <v>342</v>
      </c>
      <c r="H81" s="243">
        <v>1</v>
      </c>
      <c r="I81" s="243">
        <v>45400</v>
      </c>
      <c r="J81" s="230">
        <f t="shared" ref="J81" si="9">SUM(H81*I81)</f>
        <v>45400</v>
      </c>
    </row>
    <row r="82" ht="51" spans="1:10">
      <c r="A82" s="322"/>
      <c r="B82" s="230"/>
      <c r="C82" s="230"/>
      <c r="D82" s="230"/>
      <c r="E82" s="229"/>
      <c r="F82" s="226" t="s">
        <v>343</v>
      </c>
      <c r="G82" s="229"/>
      <c r="H82" s="243"/>
      <c r="I82" s="243"/>
      <c r="J82" s="230"/>
    </row>
    <row r="83" spans="1:10">
      <c r="A83" s="322"/>
      <c r="B83" s="230"/>
      <c r="C83" s="230"/>
      <c r="D83" s="230"/>
      <c r="E83" s="229"/>
      <c r="F83" s="229"/>
      <c r="G83" s="229"/>
      <c r="H83" s="243"/>
      <c r="I83" s="243"/>
      <c r="J83" s="230"/>
    </row>
    <row r="84" ht="25.5" spans="1:10">
      <c r="A84" s="388">
        <v>3.12</v>
      </c>
      <c r="B84" s="230"/>
      <c r="C84" s="230"/>
      <c r="D84" s="230" t="s">
        <v>330</v>
      </c>
      <c r="E84" s="230" t="s">
        <v>340</v>
      </c>
      <c r="F84" s="303" t="s">
        <v>344</v>
      </c>
      <c r="G84" s="229" t="s">
        <v>342</v>
      </c>
      <c r="H84" s="243">
        <v>1</v>
      </c>
      <c r="I84" s="243">
        <v>40000</v>
      </c>
      <c r="J84" s="230">
        <f t="shared" ref="J84" si="10">SUM(H84*I84)</f>
        <v>40000</v>
      </c>
    </row>
    <row r="85" ht="51" spans="1:10">
      <c r="A85" s="322"/>
      <c r="B85" s="230"/>
      <c r="C85" s="230"/>
      <c r="D85" s="230"/>
      <c r="E85" s="229"/>
      <c r="F85" s="226" t="s">
        <v>345</v>
      </c>
      <c r="G85" s="229"/>
      <c r="H85" s="243"/>
      <c r="I85" s="243"/>
      <c r="J85" s="230"/>
    </row>
    <row r="86" spans="1:10">
      <c r="A86" s="390"/>
      <c r="B86" s="381"/>
      <c r="C86" s="381"/>
      <c r="D86" s="381"/>
      <c r="E86" s="391"/>
      <c r="F86" s="391"/>
      <c r="G86" s="391"/>
      <c r="H86" s="339"/>
      <c r="I86" s="339"/>
      <c r="J86" s="381"/>
    </row>
    <row r="87" spans="1:10">
      <c r="A87" s="390"/>
      <c r="B87" s="381"/>
      <c r="C87" s="381"/>
      <c r="D87" s="381"/>
      <c r="E87" s="391"/>
      <c r="F87" s="391"/>
      <c r="G87" s="391"/>
      <c r="H87" s="339"/>
      <c r="I87" s="339"/>
      <c r="J87" s="381"/>
    </row>
    <row r="88" ht="25.5" spans="1:10">
      <c r="A88" s="392">
        <v>3.13</v>
      </c>
      <c r="B88" s="381"/>
      <c r="C88" s="381"/>
      <c r="D88" s="248" t="s">
        <v>246</v>
      </c>
      <c r="E88" s="248" t="s">
        <v>346</v>
      </c>
      <c r="F88" s="393" t="s">
        <v>347</v>
      </c>
      <c r="G88" s="334" t="s">
        <v>249</v>
      </c>
      <c r="H88" s="335">
        <v>1</v>
      </c>
      <c r="I88" s="335">
        <v>52000</v>
      </c>
      <c r="J88" s="230">
        <f t="shared" ref="J88" si="11">SUM(H88*I88)</f>
        <v>52000</v>
      </c>
    </row>
    <row r="89" spans="1:10">
      <c r="A89" s="390"/>
      <c r="B89" s="381"/>
      <c r="C89" s="381"/>
      <c r="D89" s="248"/>
      <c r="E89" s="334"/>
      <c r="F89" s="394" t="s">
        <v>348</v>
      </c>
      <c r="G89" s="334"/>
      <c r="H89" s="335"/>
      <c r="I89" s="335"/>
      <c r="J89" s="381"/>
    </row>
    <row r="90" spans="1:10">
      <c r="A90" s="390"/>
      <c r="B90" s="381"/>
      <c r="C90" s="381"/>
      <c r="D90" s="248"/>
      <c r="E90" s="334"/>
      <c r="F90" s="394" t="s">
        <v>251</v>
      </c>
      <c r="G90" s="334"/>
      <c r="H90" s="335"/>
      <c r="I90" s="335"/>
      <c r="J90" s="381"/>
    </row>
    <row r="91" ht="127.5" spans="1:10">
      <c r="A91" s="390"/>
      <c r="B91" s="381"/>
      <c r="C91" s="381"/>
      <c r="D91" s="248"/>
      <c r="E91" s="334"/>
      <c r="F91" s="394" t="s">
        <v>349</v>
      </c>
      <c r="G91" s="334"/>
      <c r="H91" s="335"/>
      <c r="I91" s="335"/>
      <c r="J91" s="381"/>
    </row>
    <row r="92" spans="1:10">
      <c r="A92" s="390"/>
      <c r="B92" s="381"/>
      <c r="C92" s="381"/>
      <c r="D92" s="248"/>
      <c r="E92" s="248"/>
      <c r="F92" s="395" t="s">
        <v>253</v>
      </c>
      <c r="G92" s="334"/>
      <c r="H92" s="335"/>
      <c r="I92" s="335"/>
      <c r="J92" s="381"/>
    </row>
    <row r="93" ht="89.25" spans="1:10">
      <c r="A93" s="390"/>
      <c r="B93" s="381"/>
      <c r="C93" s="381"/>
      <c r="D93" s="248"/>
      <c r="E93" s="334"/>
      <c r="F93" s="231" t="s">
        <v>350</v>
      </c>
      <c r="G93" s="334"/>
      <c r="H93" s="335"/>
      <c r="I93" s="335"/>
      <c r="J93" s="381"/>
    </row>
    <row r="94" spans="1:10">
      <c r="A94" s="390"/>
      <c r="B94" s="381"/>
      <c r="C94" s="381"/>
      <c r="D94" s="248"/>
      <c r="E94" s="334"/>
      <c r="F94" s="249" t="s">
        <v>351</v>
      </c>
      <c r="G94" s="334"/>
      <c r="H94" s="335"/>
      <c r="I94" s="335"/>
      <c r="J94" s="381"/>
    </row>
    <row r="95" ht="25.5" spans="1:10">
      <c r="A95" s="390"/>
      <c r="B95" s="381"/>
      <c r="C95" s="381"/>
      <c r="D95" s="248"/>
      <c r="E95" s="334"/>
      <c r="F95" s="231" t="s">
        <v>352</v>
      </c>
      <c r="G95" s="334"/>
      <c r="H95" s="335"/>
      <c r="I95" s="335"/>
      <c r="J95" s="381"/>
    </row>
    <row r="96" spans="1:10">
      <c r="A96" s="390"/>
      <c r="B96" s="381"/>
      <c r="C96" s="381"/>
      <c r="D96" s="248"/>
      <c r="E96" s="248"/>
      <c r="F96" s="395" t="s">
        <v>255</v>
      </c>
      <c r="G96" s="334"/>
      <c r="H96" s="335"/>
      <c r="I96" s="335"/>
      <c r="J96" s="381"/>
    </row>
    <row r="97" ht="63.75" spans="1:10">
      <c r="A97" s="390"/>
      <c r="B97" s="381"/>
      <c r="C97" s="381"/>
      <c r="D97" s="248"/>
      <c r="E97" s="334"/>
      <c r="F97" s="394" t="s">
        <v>353</v>
      </c>
      <c r="G97" s="334"/>
      <c r="H97" s="335"/>
      <c r="I97" s="335"/>
      <c r="J97" s="381"/>
    </row>
    <row r="98" spans="1:10">
      <c r="A98" s="390"/>
      <c r="B98" s="381"/>
      <c r="C98" s="381"/>
      <c r="D98" s="381"/>
      <c r="E98" s="391"/>
      <c r="F98" s="391"/>
      <c r="G98" s="391"/>
      <c r="H98" s="339"/>
      <c r="I98" s="339"/>
      <c r="J98" s="381"/>
    </row>
    <row r="99" ht="25.5" spans="1:10">
      <c r="A99" s="396">
        <v>3.14</v>
      </c>
      <c r="B99" s="364"/>
      <c r="C99" s="364"/>
      <c r="D99" s="230" t="s">
        <v>83</v>
      </c>
      <c r="E99" s="230" t="s">
        <v>354</v>
      </c>
      <c r="F99" s="237" t="s">
        <v>355</v>
      </c>
      <c r="G99" s="229" t="s">
        <v>98</v>
      </c>
      <c r="H99" s="243">
        <v>10</v>
      </c>
      <c r="I99" s="243">
        <v>6500</v>
      </c>
      <c r="J99" s="378">
        <f>SUM(H99*I99)</f>
        <v>65000</v>
      </c>
    </row>
    <row r="100" ht="114.75" spans="1:10">
      <c r="A100" s="363"/>
      <c r="B100" s="364"/>
      <c r="C100" s="364"/>
      <c r="D100" s="364"/>
      <c r="E100" s="364"/>
      <c r="F100" s="229" t="s">
        <v>356</v>
      </c>
      <c r="G100" s="237"/>
      <c r="H100" s="365"/>
      <c r="I100" s="365"/>
      <c r="J100" s="230"/>
    </row>
    <row r="101" spans="1:10">
      <c r="A101" s="390"/>
      <c r="B101" s="381"/>
      <c r="C101" s="381"/>
      <c r="D101" s="381"/>
      <c r="E101" s="391"/>
      <c r="F101" s="391"/>
      <c r="G101" s="391"/>
      <c r="H101" s="339"/>
      <c r="I101" s="339"/>
      <c r="J101" s="381"/>
    </row>
    <row r="102" spans="1:10">
      <c r="A102" s="396">
        <v>3.15</v>
      </c>
      <c r="B102" s="364"/>
      <c r="C102" s="364"/>
      <c r="D102" s="230"/>
      <c r="E102" s="230"/>
      <c r="F102" s="393" t="s">
        <v>75</v>
      </c>
      <c r="G102" s="334" t="s">
        <v>63</v>
      </c>
      <c r="H102" s="335">
        <v>22</v>
      </c>
      <c r="I102" s="335">
        <v>10600</v>
      </c>
      <c r="J102" s="240">
        <f>SUM(H102*I102)</f>
        <v>233200</v>
      </c>
    </row>
    <row r="103" ht="216.75" spans="1:10">
      <c r="A103" s="363"/>
      <c r="B103" s="364"/>
      <c r="C103" s="364"/>
      <c r="D103" s="230"/>
      <c r="E103" s="230"/>
      <c r="F103" s="231" t="s">
        <v>357</v>
      </c>
      <c r="G103" s="229"/>
      <c r="H103" s="243"/>
      <c r="I103" s="243"/>
      <c r="J103" s="378"/>
    </row>
    <row r="104" spans="1:10">
      <c r="A104" s="363"/>
      <c r="B104" s="364"/>
      <c r="C104" s="364"/>
      <c r="D104" s="230"/>
      <c r="E104" s="230"/>
      <c r="F104" s="231"/>
      <c r="G104" s="229"/>
      <c r="H104" s="243"/>
      <c r="I104" s="243"/>
      <c r="J104" s="378"/>
    </row>
    <row r="105" spans="1:10">
      <c r="A105" s="396">
        <v>3.16</v>
      </c>
      <c r="B105" s="364"/>
      <c r="C105" s="364"/>
      <c r="D105" s="230"/>
      <c r="E105" s="230"/>
      <c r="F105" s="393" t="s">
        <v>358</v>
      </c>
      <c r="G105" s="334" t="s">
        <v>359</v>
      </c>
      <c r="H105" s="335">
        <v>10</v>
      </c>
      <c r="I105" s="335">
        <v>11850</v>
      </c>
      <c r="J105" s="240">
        <f>SUM(H105*I105)</f>
        <v>118500</v>
      </c>
    </row>
    <row r="106" ht="89.25" spans="1:10">
      <c r="A106" s="363"/>
      <c r="B106" s="364"/>
      <c r="C106" s="364"/>
      <c r="D106" s="230"/>
      <c r="E106" s="230"/>
      <c r="F106" s="231" t="s">
        <v>360</v>
      </c>
      <c r="G106" s="229"/>
      <c r="H106" s="243"/>
      <c r="I106" s="243"/>
      <c r="J106" s="378"/>
    </row>
    <row r="107" spans="1:10">
      <c r="A107" s="363"/>
      <c r="B107" s="364"/>
      <c r="C107" s="364"/>
      <c r="D107" s="230"/>
      <c r="E107" s="230"/>
      <c r="F107" s="237"/>
      <c r="G107" s="229"/>
      <c r="H107" s="243"/>
      <c r="I107" s="243"/>
      <c r="J107" s="378"/>
    </row>
    <row r="108" spans="1:10">
      <c r="A108" s="396">
        <v>3.17</v>
      </c>
      <c r="B108" s="364"/>
      <c r="C108" s="364"/>
      <c r="D108" s="230"/>
      <c r="E108" s="230"/>
      <c r="F108" s="237" t="s">
        <v>361</v>
      </c>
      <c r="G108" s="334" t="s">
        <v>63</v>
      </c>
      <c r="H108" s="335">
        <v>6</v>
      </c>
      <c r="I108" s="335">
        <v>8600</v>
      </c>
      <c r="J108" s="240">
        <f>SUM(H108*I108)</f>
        <v>51600</v>
      </c>
    </row>
    <row r="109" ht="89.25" spans="1:10">
      <c r="A109" s="363"/>
      <c r="B109" s="364"/>
      <c r="C109" s="364"/>
      <c r="D109" s="230"/>
      <c r="E109" s="230"/>
      <c r="F109" s="229" t="s">
        <v>362</v>
      </c>
      <c r="G109" s="229"/>
      <c r="H109" s="243"/>
      <c r="I109" s="243"/>
      <c r="J109" s="378"/>
    </row>
    <row r="110" spans="1:10">
      <c r="A110" s="363"/>
      <c r="B110" s="364"/>
      <c r="C110" s="364"/>
      <c r="D110" s="230"/>
      <c r="E110" s="230"/>
      <c r="F110" s="237"/>
      <c r="G110" s="229"/>
      <c r="H110" s="243"/>
      <c r="I110" s="243"/>
      <c r="J110" s="378"/>
    </row>
    <row r="111" spans="1:10">
      <c r="A111" s="396">
        <v>3.18</v>
      </c>
      <c r="B111" s="364"/>
      <c r="C111" s="364"/>
      <c r="D111" s="230"/>
      <c r="E111" s="230"/>
      <c r="F111" s="237" t="s">
        <v>363</v>
      </c>
      <c r="G111" s="334" t="s">
        <v>130</v>
      </c>
      <c r="H111" s="335">
        <f>5*3.6</f>
        <v>18</v>
      </c>
      <c r="I111" s="335">
        <v>2850</v>
      </c>
      <c r="J111" s="240">
        <f>SUM(H111*I111)</f>
        <v>51300</v>
      </c>
    </row>
    <row r="112" ht="89.25" spans="1:10">
      <c r="A112" s="397"/>
      <c r="B112" s="309"/>
      <c r="C112" s="309"/>
      <c r="D112" s="381"/>
      <c r="E112" s="381"/>
      <c r="F112" s="231" t="s">
        <v>364</v>
      </c>
      <c r="G112" s="391"/>
      <c r="H112" s="339"/>
      <c r="I112" s="339"/>
      <c r="J112" s="403"/>
    </row>
    <row r="113" spans="1:10">
      <c r="A113" s="397"/>
      <c r="B113" s="309"/>
      <c r="C113" s="309"/>
      <c r="D113" s="381"/>
      <c r="E113" s="381"/>
      <c r="F113" s="398"/>
      <c r="G113" s="391"/>
      <c r="H113" s="339"/>
      <c r="I113" s="339"/>
      <c r="J113" s="403"/>
    </row>
    <row r="114" ht="25.5" spans="1:10">
      <c r="A114" s="396">
        <v>3.19</v>
      </c>
      <c r="B114" s="309"/>
      <c r="C114" s="309"/>
      <c r="D114" s="230" t="s">
        <v>365</v>
      </c>
      <c r="E114" s="230" t="s">
        <v>366</v>
      </c>
      <c r="F114" s="331" t="s">
        <v>367</v>
      </c>
      <c r="G114" s="391"/>
      <c r="H114" s="339"/>
      <c r="I114" s="339"/>
      <c r="J114" s="403"/>
    </row>
    <row r="115" spans="1:10">
      <c r="A115" s="397"/>
      <c r="B115" s="309"/>
      <c r="C115" s="309"/>
      <c r="D115" s="381"/>
      <c r="E115" s="381"/>
      <c r="F115" s="331" t="s">
        <v>368</v>
      </c>
      <c r="G115" s="229"/>
      <c r="H115" s="339"/>
      <c r="I115" s="339"/>
      <c r="J115" s="403"/>
    </row>
    <row r="116" ht="242.25" spans="1:10">
      <c r="A116" s="397"/>
      <c r="B116" s="309"/>
      <c r="C116" s="309"/>
      <c r="D116" s="381"/>
      <c r="E116" s="381"/>
      <c r="F116" s="239" t="s">
        <v>369</v>
      </c>
      <c r="G116" s="229"/>
      <c r="H116" s="339"/>
      <c r="I116" s="339"/>
      <c r="J116" s="403"/>
    </row>
    <row r="117" spans="1:10">
      <c r="A117" s="397"/>
      <c r="B117" s="309"/>
      <c r="C117" s="309"/>
      <c r="D117" s="381"/>
      <c r="E117" s="381"/>
      <c r="F117" s="331" t="s">
        <v>370</v>
      </c>
      <c r="G117" s="229"/>
      <c r="H117" s="339"/>
      <c r="I117" s="339"/>
      <c r="J117" s="403"/>
    </row>
    <row r="118" ht="76.5" spans="1:10">
      <c r="A118" s="397"/>
      <c r="B118" s="309"/>
      <c r="C118" s="309"/>
      <c r="D118" s="381"/>
      <c r="E118" s="381"/>
      <c r="F118" s="239" t="s">
        <v>371</v>
      </c>
      <c r="G118" s="229"/>
      <c r="H118" s="339"/>
      <c r="I118" s="339"/>
      <c r="J118" s="403"/>
    </row>
    <row r="119" spans="1:10">
      <c r="A119" s="397"/>
      <c r="B119" s="309"/>
      <c r="C119" s="309"/>
      <c r="D119" s="381"/>
      <c r="E119" s="381"/>
      <c r="F119" s="331" t="s">
        <v>372</v>
      </c>
      <c r="G119" s="229"/>
      <c r="H119" s="339"/>
      <c r="I119" s="339"/>
      <c r="J119" s="403"/>
    </row>
    <row r="120" ht="89.25" spans="1:10">
      <c r="A120" s="397"/>
      <c r="B120" s="309"/>
      <c r="C120" s="309"/>
      <c r="D120" s="381"/>
      <c r="E120" s="381"/>
      <c r="F120" s="239" t="s">
        <v>373</v>
      </c>
      <c r="G120" s="229"/>
      <c r="H120" s="339"/>
      <c r="I120" s="339"/>
      <c r="J120" s="403"/>
    </row>
    <row r="121" ht="25.5" spans="1:11">
      <c r="A121" s="397" t="s">
        <v>209</v>
      </c>
      <c r="B121" s="309"/>
      <c r="C121" s="309"/>
      <c r="D121" s="381"/>
      <c r="E121" s="381"/>
      <c r="F121" s="239" t="s">
        <v>374</v>
      </c>
      <c r="G121" s="229" t="s">
        <v>187</v>
      </c>
      <c r="H121" s="339">
        <v>1</v>
      </c>
      <c r="I121" s="339">
        <v>280000</v>
      </c>
      <c r="J121" s="240">
        <f t="shared" ref="J121:J124" si="12">SUM(H121*I121)</f>
        <v>280000</v>
      </c>
      <c r="K121" s="387"/>
    </row>
    <row r="122" ht="25.5" spans="1:10">
      <c r="A122" s="397" t="s">
        <v>211</v>
      </c>
      <c r="B122" s="309"/>
      <c r="C122" s="309"/>
      <c r="D122" s="381"/>
      <c r="E122" s="381"/>
      <c r="F122" s="239" t="s">
        <v>375</v>
      </c>
      <c r="G122" s="229" t="s">
        <v>187</v>
      </c>
      <c r="H122" s="339">
        <v>2</v>
      </c>
      <c r="I122" s="339">
        <v>230000</v>
      </c>
      <c r="J122" s="240">
        <f t="shared" si="12"/>
        <v>460000</v>
      </c>
    </row>
    <row r="123" spans="1:10">
      <c r="A123" s="397"/>
      <c r="B123" s="309"/>
      <c r="C123" s="309"/>
      <c r="D123" s="381"/>
      <c r="E123" s="381"/>
      <c r="F123" s="399"/>
      <c r="G123" s="391"/>
      <c r="H123" s="339"/>
      <c r="I123" s="339"/>
      <c r="J123" s="404"/>
    </row>
    <row r="124" spans="1:10">
      <c r="A124" s="400">
        <v>3.2</v>
      </c>
      <c r="B124" s="309"/>
      <c r="C124" s="309"/>
      <c r="D124" s="230" t="s">
        <v>376</v>
      </c>
      <c r="E124" s="230" t="s">
        <v>377</v>
      </c>
      <c r="F124" s="331" t="s">
        <v>378</v>
      </c>
      <c r="G124" s="229" t="s">
        <v>242</v>
      </c>
      <c r="H124" s="339">
        <v>12</v>
      </c>
      <c r="I124" s="339">
        <v>42000</v>
      </c>
      <c r="J124" s="240">
        <f t="shared" si="12"/>
        <v>504000</v>
      </c>
    </row>
    <row r="125" ht="25.5" spans="1:10">
      <c r="A125" s="397"/>
      <c r="B125" s="309"/>
      <c r="C125" s="309"/>
      <c r="D125" s="230"/>
      <c r="E125" s="229"/>
      <c r="F125" s="303" t="s">
        <v>379</v>
      </c>
      <c r="G125" s="229"/>
      <c r="H125" s="339"/>
      <c r="I125" s="339"/>
      <c r="J125" s="404"/>
    </row>
    <row r="126" ht="178.5" spans="1:10">
      <c r="A126" s="397"/>
      <c r="B126" s="309"/>
      <c r="C126" s="309"/>
      <c r="D126" s="230"/>
      <c r="E126" s="229"/>
      <c r="F126" s="226" t="s">
        <v>380</v>
      </c>
      <c r="G126" s="229"/>
      <c r="H126" s="339"/>
      <c r="I126" s="339"/>
      <c r="J126" s="404"/>
    </row>
    <row r="127" ht="13.5" spans="1:10">
      <c r="A127" s="390"/>
      <c r="B127" s="381"/>
      <c r="C127" s="381"/>
      <c r="D127" s="381"/>
      <c r="E127" s="391"/>
      <c r="F127" s="391"/>
      <c r="G127" s="391"/>
      <c r="H127" s="339"/>
      <c r="I127" s="339"/>
      <c r="J127" s="381"/>
    </row>
    <row r="128" ht="15.75" spans="1:10">
      <c r="A128" s="401" t="s">
        <v>108</v>
      </c>
      <c r="B128" s="341"/>
      <c r="C128" s="341"/>
      <c r="D128" s="341"/>
      <c r="E128" s="341"/>
      <c r="F128" s="342" t="s">
        <v>126</v>
      </c>
      <c r="G128" s="342"/>
      <c r="H128" s="343"/>
      <c r="I128" s="405"/>
      <c r="J128" s="383"/>
    </row>
    <row r="129" ht="15.75" customHeight="1" spans="1:10">
      <c r="A129" s="406"/>
      <c r="B129" s="345"/>
      <c r="C129" s="345"/>
      <c r="D129" s="345"/>
      <c r="E129" s="345"/>
      <c r="F129" s="346"/>
      <c r="G129" s="347"/>
      <c r="H129" s="222"/>
      <c r="I129" s="411"/>
      <c r="J129" s="347"/>
    </row>
    <row r="130" ht="15" spans="1:10">
      <c r="A130" s="348">
        <v>4.1</v>
      </c>
      <c r="B130" s="225"/>
      <c r="C130" s="225"/>
      <c r="D130" s="225" t="s">
        <v>127</v>
      </c>
      <c r="E130" s="225" t="s">
        <v>128</v>
      </c>
      <c r="F130" s="245" t="s">
        <v>273</v>
      </c>
      <c r="G130" s="174" t="s">
        <v>130</v>
      </c>
      <c r="H130" s="223">
        <v>10</v>
      </c>
      <c r="I130" s="412">
        <v>485</v>
      </c>
      <c r="J130" s="174">
        <f t="shared" ref="J130:J136" si="13">SUM(H130*I130)</f>
        <v>4850</v>
      </c>
    </row>
    <row r="131" ht="75" spans="1:10">
      <c r="A131" s="348"/>
      <c r="B131" s="225"/>
      <c r="C131" s="225"/>
      <c r="D131" s="225"/>
      <c r="E131" s="225"/>
      <c r="F131" s="232" t="s">
        <v>131</v>
      </c>
      <c r="G131" s="174"/>
      <c r="H131" s="223"/>
      <c r="I131" s="412"/>
      <c r="J131" s="174"/>
    </row>
    <row r="132" ht="15" spans="1:10">
      <c r="A132" s="348"/>
      <c r="B132" s="225"/>
      <c r="C132" s="225"/>
      <c r="D132" s="225"/>
      <c r="E132" s="225"/>
      <c r="F132" s="232"/>
      <c r="G132" s="174"/>
      <c r="H132" s="223"/>
      <c r="I132" s="412"/>
      <c r="J132" s="174"/>
    </row>
    <row r="133" ht="15" spans="1:10">
      <c r="A133" s="348">
        <v>4.2</v>
      </c>
      <c r="B133" s="225"/>
      <c r="C133" s="225"/>
      <c r="D133" s="225" t="s">
        <v>127</v>
      </c>
      <c r="E133" s="225" t="s">
        <v>134</v>
      </c>
      <c r="F133" s="245" t="s">
        <v>135</v>
      </c>
      <c r="G133" s="174" t="s">
        <v>130</v>
      </c>
      <c r="H133" s="223">
        <v>20</v>
      </c>
      <c r="I133" s="412">
        <v>375</v>
      </c>
      <c r="J133" s="174">
        <f t="shared" si="13"/>
        <v>7500</v>
      </c>
    </row>
    <row r="134" ht="75" spans="1:10">
      <c r="A134" s="348"/>
      <c r="B134" s="225"/>
      <c r="C134" s="225"/>
      <c r="D134" s="225"/>
      <c r="E134" s="225"/>
      <c r="F134" s="232" t="s">
        <v>136</v>
      </c>
      <c r="G134" s="174"/>
      <c r="H134" s="223"/>
      <c r="I134" s="412"/>
      <c r="J134" s="174"/>
    </row>
    <row r="135" ht="15" spans="1:10">
      <c r="A135" s="348"/>
      <c r="B135" s="225"/>
      <c r="C135" s="225"/>
      <c r="D135" s="225"/>
      <c r="E135" s="225"/>
      <c r="F135" s="232"/>
      <c r="G135" s="174"/>
      <c r="H135" s="223"/>
      <c r="I135" s="412"/>
      <c r="J135" s="174"/>
    </row>
    <row r="136" ht="30" spans="1:10">
      <c r="A136" s="348">
        <v>4.3</v>
      </c>
      <c r="B136" s="225"/>
      <c r="C136" s="225"/>
      <c r="D136" s="225" t="s">
        <v>127</v>
      </c>
      <c r="E136" s="225" t="s">
        <v>274</v>
      </c>
      <c r="F136" s="245" t="s">
        <v>275</v>
      </c>
      <c r="G136" s="174" t="s">
        <v>130</v>
      </c>
      <c r="H136" s="223">
        <v>10</v>
      </c>
      <c r="I136" s="412">
        <v>300</v>
      </c>
      <c r="J136" s="174">
        <f t="shared" si="13"/>
        <v>3000</v>
      </c>
    </row>
    <row r="137" ht="60" spans="1:10">
      <c r="A137" s="348"/>
      <c r="B137" s="225"/>
      <c r="C137" s="225"/>
      <c r="D137" s="225"/>
      <c r="E137" s="225"/>
      <c r="F137" s="232" t="s">
        <v>276</v>
      </c>
      <c r="G137" s="174"/>
      <c r="H137" s="223"/>
      <c r="I137" s="412"/>
      <c r="J137" s="174"/>
    </row>
    <row r="138" ht="15.75" spans="1:10">
      <c r="A138" s="348"/>
      <c r="B138" s="225"/>
      <c r="C138" s="225"/>
      <c r="D138" s="225"/>
      <c r="E138" s="225"/>
      <c r="F138" s="232"/>
      <c r="G138" s="174"/>
      <c r="H138" s="223"/>
      <c r="I138" s="412"/>
      <c r="J138" s="174"/>
    </row>
    <row r="139" ht="13.5" spans="1:10">
      <c r="A139" s="407"/>
      <c r="B139" s="408"/>
      <c r="C139" s="408"/>
      <c r="D139" s="408"/>
      <c r="E139" s="409"/>
      <c r="F139" s="312" t="s">
        <v>381</v>
      </c>
      <c r="G139" s="409"/>
      <c r="H139" s="410"/>
      <c r="I139" s="410"/>
      <c r="J139" s="373">
        <f>SUM(J7:J138)</f>
        <v>6132040</v>
      </c>
    </row>
  </sheetData>
  <mergeCells count="3">
    <mergeCell ref="A1:H1"/>
    <mergeCell ref="A2:H2"/>
    <mergeCell ref="I3:J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zoomScale="85" zoomScaleNormal="85" workbookViewId="0">
      <selection activeCell="V7" sqref="T7:V7"/>
    </sheetView>
  </sheetViews>
  <sheetFormatPr defaultColWidth="6.125" defaultRowHeight="12.75"/>
  <cols>
    <col min="1" max="1" width="6.75" style="253" customWidth="1"/>
    <col min="2" max="2" width="3.875" style="253" customWidth="1"/>
    <col min="3" max="3" width="3.375" style="253" customWidth="1"/>
    <col min="4" max="4" width="5.25" style="253" customWidth="1"/>
    <col min="5" max="5" width="8.625" style="253" customWidth="1"/>
    <col min="6" max="6" width="50.125" style="254" customWidth="1"/>
    <col min="7" max="7" width="4.375" style="253" customWidth="1"/>
    <col min="8" max="8" width="7" style="253" customWidth="1"/>
    <col min="9" max="9" width="8.625" style="253" customWidth="1"/>
    <col min="10" max="10" width="9.5" style="253" customWidth="1"/>
    <col min="11" max="11" width="10.875" style="255" customWidth="1"/>
    <col min="12" max="12" width="10.625" style="253" customWidth="1"/>
    <col min="13" max="248" width="6.125" style="253"/>
    <col min="249" max="249" width="5" style="253" customWidth="1"/>
    <col min="250" max="250" width="8.875" style="253" customWidth="1"/>
    <col min="251" max="251" width="5" style="253" customWidth="1"/>
    <col min="252" max="252" width="8.25" style="253" customWidth="1"/>
    <col min="253" max="253" width="16.125" style="253" customWidth="1"/>
    <col min="254" max="254" width="86" style="253" customWidth="1"/>
    <col min="255" max="255" width="5" style="253" customWidth="1"/>
    <col min="256" max="256" width="11.125" style="253" customWidth="1"/>
    <col min="257" max="257" width="10.375" style="253" customWidth="1"/>
    <col min="258" max="258" width="10.875" style="253" customWidth="1"/>
    <col min="259" max="259" width="7.75" style="253" customWidth="1"/>
    <col min="260" max="260" width="9.875" style="253" customWidth="1"/>
    <col min="261" max="261" width="10.625" style="253" customWidth="1"/>
    <col min="262" max="504" width="6.125" style="253"/>
    <col min="505" max="505" width="5" style="253" customWidth="1"/>
    <col min="506" max="506" width="8.875" style="253" customWidth="1"/>
    <col min="507" max="507" width="5" style="253" customWidth="1"/>
    <col min="508" max="508" width="8.25" style="253" customWidth="1"/>
    <col min="509" max="509" width="16.125" style="253" customWidth="1"/>
    <col min="510" max="510" width="86" style="253" customWidth="1"/>
    <col min="511" max="511" width="5" style="253" customWidth="1"/>
    <col min="512" max="512" width="11.125" style="253" customWidth="1"/>
    <col min="513" max="513" width="10.375" style="253" customWidth="1"/>
    <col min="514" max="514" width="10.875" style="253" customWidth="1"/>
    <col min="515" max="515" width="7.75" style="253" customWidth="1"/>
    <col min="516" max="516" width="9.875" style="253" customWidth="1"/>
    <col min="517" max="517" width="10.625" style="253" customWidth="1"/>
    <col min="518" max="760" width="6.125" style="253"/>
    <col min="761" max="761" width="5" style="253" customWidth="1"/>
    <col min="762" max="762" width="8.875" style="253" customWidth="1"/>
    <col min="763" max="763" width="5" style="253" customWidth="1"/>
    <col min="764" max="764" width="8.25" style="253" customWidth="1"/>
    <col min="765" max="765" width="16.125" style="253" customWidth="1"/>
    <col min="766" max="766" width="86" style="253" customWidth="1"/>
    <col min="767" max="767" width="5" style="253" customWidth="1"/>
    <col min="768" max="768" width="11.125" style="253" customWidth="1"/>
    <col min="769" max="769" width="10.375" style="253" customWidth="1"/>
    <col min="770" max="770" width="10.875" style="253" customWidth="1"/>
    <col min="771" max="771" width="7.75" style="253" customWidth="1"/>
    <col min="772" max="772" width="9.875" style="253" customWidth="1"/>
    <col min="773" max="773" width="10.625" style="253" customWidth="1"/>
    <col min="774" max="1016" width="6.125" style="253"/>
    <col min="1017" max="1017" width="5" style="253" customWidth="1"/>
    <col min="1018" max="1018" width="8.875" style="253" customWidth="1"/>
    <col min="1019" max="1019" width="5" style="253" customWidth="1"/>
    <col min="1020" max="1020" width="8.25" style="253" customWidth="1"/>
    <col min="1021" max="1021" width="16.125" style="253" customWidth="1"/>
    <col min="1022" max="1022" width="86" style="253" customWidth="1"/>
    <col min="1023" max="1023" width="5" style="253" customWidth="1"/>
    <col min="1024" max="1024" width="11.125" style="253" customWidth="1"/>
    <col min="1025" max="1025" width="10.375" style="253" customWidth="1"/>
    <col min="1026" max="1026" width="10.875" style="253" customWidth="1"/>
    <col min="1027" max="1027" width="7.75" style="253" customWidth="1"/>
    <col min="1028" max="1028" width="9.875" style="253" customWidth="1"/>
    <col min="1029" max="1029" width="10.625" style="253" customWidth="1"/>
    <col min="1030" max="1272" width="6.125" style="253"/>
    <col min="1273" max="1273" width="5" style="253" customWidth="1"/>
    <col min="1274" max="1274" width="8.875" style="253" customWidth="1"/>
    <col min="1275" max="1275" width="5" style="253" customWidth="1"/>
    <col min="1276" max="1276" width="8.25" style="253" customWidth="1"/>
    <col min="1277" max="1277" width="16.125" style="253" customWidth="1"/>
    <col min="1278" max="1278" width="86" style="253" customWidth="1"/>
    <col min="1279" max="1279" width="5" style="253" customWidth="1"/>
    <col min="1280" max="1280" width="11.125" style="253" customWidth="1"/>
    <col min="1281" max="1281" width="10.375" style="253" customWidth="1"/>
    <col min="1282" max="1282" width="10.875" style="253" customWidth="1"/>
    <col min="1283" max="1283" width="7.75" style="253" customWidth="1"/>
    <col min="1284" max="1284" width="9.875" style="253" customWidth="1"/>
    <col min="1285" max="1285" width="10.625" style="253" customWidth="1"/>
    <col min="1286" max="1528" width="6.125" style="253"/>
    <col min="1529" max="1529" width="5" style="253" customWidth="1"/>
    <col min="1530" max="1530" width="8.875" style="253" customWidth="1"/>
    <col min="1531" max="1531" width="5" style="253" customWidth="1"/>
    <col min="1532" max="1532" width="8.25" style="253" customWidth="1"/>
    <col min="1533" max="1533" width="16.125" style="253" customWidth="1"/>
    <col min="1534" max="1534" width="86" style="253" customWidth="1"/>
    <col min="1535" max="1535" width="5" style="253" customWidth="1"/>
    <col min="1536" max="1536" width="11.125" style="253" customWidth="1"/>
    <col min="1537" max="1537" width="10.375" style="253" customWidth="1"/>
    <col min="1538" max="1538" width="10.875" style="253" customWidth="1"/>
    <col min="1539" max="1539" width="7.75" style="253" customWidth="1"/>
    <col min="1540" max="1540" width="9.875" style="253" customWidth="1"/>
    <col min="1541" max="1541" width="10.625" style="253" customWidth="1"/>
    <col min="1542" max="1784" width="6.125" style="253"/>
    <col min="1785" max="1785" width="5" style="253" customWidth="1"/>
    <col min="1786" max="1786" width="8.875" style="253" customWidth="1"/>
    <col min="1787" max="1787" width="5" style="253" customWidth="1"/>
    <col min="1788" max="1788" width="8.25" style="253" customWidth="1"/>
    <col min="1789" max="1789" width="16.125" style="253" customWidth="1"/>
    <col min="1790" max="1790" width="86" style="253" customWidth="1"/>
    <col min="1791" max="1791" width="5" style="253" customWidth="1"/>
    <col min="1792" max="1792" width="11.125" style="253" customWidth="1"/>
    <col min="1793" max="1793" width="10.375" style="253" customWidth="1"/>
    <col min="1794" max="1794" width="10.875" style="253" customWidth="1"/>
    <col min="1795" max="1795" width="7.75" style="253" customWidth="1"/>
    <col min="1796" max="1796" width="9.875" style="253" customWidth="1"/>
    <col min="1797" max="1797" width="10.625" style="253" customWidth="1"/>
    <col min="1798" max="2040" width="6.125" style="253"/>
    <col min="2041" max="2041" width="5" style="253" customWidth="1"/>
    <col min="2042" max="2042" width="8.875" style="253" customWidth="1"/>
    <col min="2043" max="2043" width="5" style="253" customWidth="1"/>
    <col min="2044" max="2044" width="8.25" style="253" customWidth="1"/>
    <col min="2045" max="2045" width="16.125" style="253" customWidth="1"/>
    <col min="2046" max="2046" width="86" style="253" customWidth="1"/>
    <col min="2047" max="2047" width="5" style="253" customWidth="1"/>
    <col min="2048" max="2048" width="11.125" style="253" customWidth="1"/>
    <col min="2049" max="2049" width="10.375" style="253" customWidth="1"/>
    <col min="2050" max="2050" width="10.875" style="253" customWidth="1"/>
    <col min="2051" max="2051" width="7.75" style="253" customWidth="1"/>
    <col min="2052" max="2052" width="9.875" style="253" customWidth="1"/>
    <col min="2053" max="2053" width="10.625" style="253" customWidth="1"/>
    <col min="2054" max="2296" width="6.125" style="253"/>
    <col min="2297" max="2297" width="5" style="253" customWidth="1"/>
    <col min="2298" max="2298" width="8.875" style="253" customWidth="1"/>
    <col min="2299" max="2299" width="5" style="253" customWidth="1"/>
    <col min="2300" max="2300" width="8.25" style="253" customWidth="1"/>
    <col min="2301" max="2301" width="16.125" style="253" customWidth="1"/>
    <col min="2302" max="2302" width="86" style="253" customWidth="1"/>
    <col min="2303" max="2303" width="5" style="253" customWidth="1"/>
    <col min="2304" max="2304" width="11.125" style="253" customWidth="1"/>
    <col min="2305" max="2305" width="10.375" style="253" customWidth="1"/>
    <col min="2306" max="2306" width="10.875" style="253" customWidth="1"/>
    <col min="2307" max="2307" width="7.75" style="253" customWidth="1"/>
    <col min="2308" max="2308" width="9.875" style="253" customWidth="1"/>
    <col min="2309" max="2309" width="10.625" style="253" customWidth="1"/>
    <col min="2310" max="2552" width="6.125" style="253"/>
    <col min="2553" max="2553" width="5" style="253" customWidth="1"/>
    <col min="2554" max="2554" width="8.875" style="253" customWidth="1"/>
    <col min="2555" max="2555" width="5" style="253" customWidth="1"/>
    <col min="2556" max="2556" width="8.25" style="253" customWidth="1"/>
    <col min="2557" max="2557" width="16.125" style="253" customWidth="1"/>
    <col min="2558" max="2558" width="86" style="253" customWidth="1"/>
    <col min="2559" max="2559" width="5" style="253" customWidth="1"/>
    <col min="2560" max="2560" width="11.125" style="253" customWidth="1"/>
    <col min="2561" max="2561" width="10.375" style="253" customWidth="1"/>
    <col min="2562" max="2562" width="10.875" style="253" customWidth="1"/>
    <col min="2563" max="2563" width="7.75" style="253" customWidth="1"/>
    <col min="2564" max="2564" width="9.875" style="253" customWidth="1"/>
    <col min="2565" max="2565" width="10.625" style="253" customWidth="1"/>
    <col min="2566" max="2808" width="6.125" style="253"/>
    <col min="2809" max="2809" width="5" style="253" customWidth="1"/>
    <col min="2810" max="2810" width="8.875" style="253" customWidth="1"/>
    <col min="2811" max="2811" width="5" style="253" customWidth="1"/>
    <col min="2812" max="2812" width="8.25" style="253" customWidth="1"/>
    <col min="2813" max="2813" width="16.125" style="253" customWidth="1"/>
    <col min="2814" max="2814" width="86" style="253" customWidth="1"/>
    <col min="2815" max="2815" width="5" style="253" customWidth="1"/>
    <col min="2816" max="2816" width="11.125" style="253" customWidth="1"/>
    <col min="2817" max="2817" width="10.375" style="253" customWidth="1"/>
    <col min="2818" max="2818" width="10.875" style="253" customWidth="1"/>
    <col min="2819" max="2819" width="7.75" style="253" customWidth="1"/>
    <col min="2820" max="2820" width="9.875" style="253" customWidth="1"/>
    <col min="2821" max="2821" width="10.625" style="253" customWidth="1"/>
    <col min="2822" max="3064" width="6.125" style="253"/>
    <col min="3065" max="3065" width="5" style="253" customWidth="1"/>
    <col min="3066" max="3066" width="8.875" style="253" customWidth="1"/>
    <col min="3067" max="3067" width="5" style="253" customWidth="1"/>
    <col min="3068" max="3068" width="8.25" style="253" customWidth="1"/>
    <col min="3069" max="3069" width="16.125" style="253" customWidth="1"/>
    <col min="3070" max="3070" width="86" style="253" customWidth="1"/>
    <col min="3071" max="3071" width="5" style="253" customWidth="1"/>
    <col min="3072" max="3072" width="11.125" style="253" customWidth="1"/>
    <col min="3073" max="3073" width="10.375" style="253" customWidth="1"/>
    <col min="3074" max="3074" width="10.875" style="253" customWidth="1"/>
    <col min="3075" max="3075" width="7.75" style="253" customWidth="1"/>
    <col min="3076" max="3076" width="9.875" style="253" customWidth="1"/>
    <col min="3077" max="3077" width="10.625" style="253" customWidth="1"/>
    <col min="3078" max="3320" width="6.125" style="253"/>
    <col min="3321" max="3321" width="5" style="253" customWidth="1"/>
    <col min="3322" max="3322" width="8.875" style="253" customWidth="1"/>
    <col min="3323" max="3323" width="5" style="253" customWidth="1"/>
    <col min="3324" max="3324" width="8.25" style="253" customWidth="1"/>
    <col min="3325" max="3325" width="16.125" style="253" customWidth="1"/>
    <col min="3326" max="3326" width="86" style="253" customWidth="1"/>
    <col min="3327" max="3327" width="5" style="253" customWidth="1"/>
    <col min="3328" max="3328" width="11.125" style="253" customWidth="1"/>
    <col min="3329" max="3329" width="10.375" style="253" customWidth="1"/>
    <col min="3330" max="3330" width="10.875" style="253" customWidth="1"/>
    <col min="3331" max="3331" width="7.75" style="253" customWidth="1"/>
    <col min="3332" max="3332" width="9.875" style="253" customWidth="1"/>
    <col min="3333" max="3333" width="10.625" style="253" customWidth="1"/>
    <col min="3334" max="3576" width="6.125" style="253"/>
    <col min="3577" max="3577" width="5" style="253" customWidth="1"/>
    <col min="3578" max="3578" width="8.875" style="253" customWidth="1"/>
    <col min="3579" max="3579" width="5" style="253" customWidth="1"/>
    <col min="3580" max="3580" width="8.25" style="253" customWidth="1"/>
    <col min="3581" max="3581" width="16.125" style="253" customWidth="1"/>
    <col min="3582" max="3582" width="86" style="253" customWidth="1"/>
    <col min="3583" max="3583" width="5" style="253" customWidth="1"/>
    <col min="3584" max="3584" width="11.125" style="253" customWidth="1"/>
    <col min="3585" max="3585" width="10.375" style="253" customWidth="1"/>
    <col min="3586" max="3586" width="10.875" style="253" customWidth="1"/>
    <col min="3587" max="3587" width="7.75" style="253" customWidth="1"/>
    <col min="3588" max="3588" width="9.875" style="253" customWidth="1"/>
    <col min="3589" max="3589" width="10.625" style="253" customWidth="1"/>
    <col min="3590" max="3832" width="6.125" style="253"/>
    <col min="3833" max="3833" width="5" style="253" customWidth="1"/>
    <col min="3834" max="3834" width="8.875" style="253" customWidth="1"/>
    <col min="3835" max="3835" width="5" style="253" customWidth="1"/>
    <col min="3836" max="3836" width="8.25" style="253" customWidth="1"/>
    <col min="3837" max="3837" width="16.125" style="253" customWidth="1"/>
    <col min="3838" max="3838" width="86" style="253" customWidth="1"/>
    <col min="3839" max="3839" width="5" style="253" customWidth="1"/>
    <col min="3840" max="3840" width="11.125" style="253" customWidth="1"/>
    <col min="3841" max="3841" width="10.375" style="253" customWidth="1"/>
    <col min="3842" max="3842" width="10.875" style="253" customWidth="1"/>
    <col min="3843" max="3843" width="7.75" style="253" customWidth="1"/>
    <col min="3844" max="3844" width="9.875" style="253" customWidth="1"/>
    <col min="3845" max="3845" width="10.625" style="253" customWidth="1"/>
    <col min="3846" max="4088" width="6.125" style="253"/>
    <col min="4089" max="4089" width="5" style="253" customWidth="1"/>
    <col min="4090" max="4090" width="8.875" style="253" customWidth="1"/>
    <col min="4091" max="4091" width="5" style="253" customWidth="1"/>
    <col min="4092" max="4092" width="8.25" style="253" customWidth="1"/>
    <col min="4093" max="4093" width="16.125" style="253" customWidth="1"/>
    <col min="4094" max="4094" width="86" style="253" customWidth="1"/>
    <col min="4095" max="4095" width="5" style="253" customWidth="1"/>
    <col min="4096" max="4096" width="11.125" style="253" customWidth="1"/>
    <col min="4097" max="4097" width="10.375" style="253" customWidth="1"/>
    <col min="4098" max="4098" width="10.875" style="253" customWidth="1"/>
    <col min="4099" max="4099" width="7.75" style="253" customWidth="1"/>
    <col min="4100" max="4100" width="9.875" style="253" customWidth="1"/>
    <col min="4101" max="4101" width="10.625" style="253" customWidth="1"/>
    <col min="4102" max="4344" width="6.125" style="253"/>
    <col min="4345" max="4345" width="5" style="253" customWidth="1"/>
    <col min="4346" max="4346" width="8.875" style="253" customWidth="1"/>
    <col min="4347" max="4347" width="5" style="253" customWidth="1"/>
    <col min="4348" max="4348" width="8.25" style="253" customWidth="1"/>
    <col min="4349" max="4349" width="16.125" style="253" customWidth="1"/>
    <col min="4350" max="4350" width="86" style="253" customWidth="1"/>
    <col min="4351" max="4351" width="5" style="253" customWidth="1"/>
    <col min="4352" max="4352" width="11.125" style="253" customWidth="1"/>
    <col min="4353" max="4353" width="10.375" style="253" customWidth="1"/>
    <col min="4354" max="4354" width="10.875" style="253" customWidth="1"/>
    <col min="4355" max="4355" width="7.75" style="253" customWidth="1"/>
    <col min="4356" max="4356" width="9.875" style="253" customWidth="1"/>
    <col min="4357" max="4357" width="10.625" style="253" customWidth="1"/>
    <col min="4358" max="4600" width="6.125" style="253"/>
    <col min="4601" max="4601" width="5" style="253" customWidth="1"/>
    <col min="4602" max="4602" width="8.875" style="253" customWidth="1"/>
    <col min="4603" max="4603" width="5" style="253" customWidth="1"/>
    <col min="4604" max="4604" width="8.25" style="253" customWidth="1"/>
    <col min="4605" max="4605" width="16.125" style="253" customWidth="1"/>
    <col min="4606" max="4606" width="86" style="253" customWidth="1"/>
    <col min="4607" max="4607" width="5" style="253" customWidth="1"/>
    <col min="4608" max="4608" width="11.125" style="253" customWidth="1"/>
    <col min="4609" max="4609" width="10.375" style="253" customWidth="1"/>
    <col min="4610" max="4610" width="10.875" style="253" customWidth="1"/>
    <col min="4611" max="4611" width="7.75" style="253" customWidth="1"/>
    <col min="4612" max="4612" width="9.875" style="253" customWidth="1"/>
    <col min="4613" max="4613" width="10.625" style="253" customWidth="1"/>
    <col min="4614" max="4856" width="6.125" style="253"/>
    <col min="4857" max="4857" width="5" style="253" customWidth="1"/>
    <col min="4858" max="4858" width="8.875" style="253" customWidth="1"/>
    <col min="4859" max="4859" width="5" style="253" customWidth="1"/>
    <col min="4860" max="4860" width="8.25" style="253" customWidth="1"/>
    <col min="4861" max="4861" width="16.125" style="253" customWidth="1"/>
    <col min="4862" max="4862" width="86" style="253" customWidth="1"/>
    <col min="4863" max="4863" width="5" style="253" customWidth="1"/>
    <col min="4864" max="4864" width="11.125" style="253" customWidth="1"/>
    <col min="4865" max="4865" width="10.375" style="253" customWidth="1"/>
    <col min="4866" max="4866" width="10.875" style="253" customWidth="1"/>
    <col min="4867" max="4867" width="7.75" style="253" customWidth="1"/>
    <col min="4868" max="4868" width="9.875" style="253" customWidth="1"/>
    <col min="4869" max="4869" width="10.625" style="253" customWidth="1"/>
    <col min="4870" max="5112" width="6.125" style="253"/>
    <col min="5113" max="5113" width="5" style="253" customWidth="1"/>
    <col min="5114" max="5114" width="8.875" style="253" customWidth="1"/>
    <col min="5115" max="5115" width="5" style="253" customWidth="1"/>
    <col min="5116" max="5116" width="8.25" style="253" customWidth="1"/>
    <col min="5117" max="5117" width="16.125" style="253" customWidth="1"/>
    <col min="5118" max="5118" width="86" style="253" customWidth="1"/>
    <col min="5119" max="5119" width="5" style="253" customWidth="1"/>
    <col min="5120" max="5120" width="11.125" style="253" customWidth="1"/>
    <col min="5121" max="5121" width="10.375" style="253" customWidth="1"/>
    <col min="5122" max="5122" width="10.875" style="253" customWidth="1"/>
    <col min="5123" max="5123" width="7.75" style="253" customWidth="1"/>
    <col min="5124" max="5124" width="9.875" style="253" customWidth="1"/>
    <col min="5125" max="5125" width="10.625" style="253" customWidth="1"/>
    <col min="5126" max="5368" width="6.125" style="253"/>
    <col min="5369" max="5369" width="5" style="253" customWidth="1"/>
    <col min="5370" max="5370" width="8.875" style="253" customWidth="1"/>
    <col min="5371" max="5371" width="5" style="253" customWidth="1"/>
    <col min="5372" max="5372" width="8.25" style="253" customWidth="1"/>
    <col min="5373" max="5373" width="16.125" style="253" customWidth="1"/>
    <col min="5374" max="5374" width="86" style="253" customWidth="1"/>
    <col min="5375" max="5375" width="5" style="253" customWidth="1"/>
    <col min="5376" max="5376" width="11.125" style="253" customWidth="1"/>
    <col min="5377" max="5377" width="10.375" style="253" customWidth="1"/>
    <col min="5378" max="5378" width="10.875" style="253" customWidth="1"/>
    <col min="5379" max="5379" width="7.75" style="253" customWidth="1"/>
    <col min="5380" max="5380" width="9.875" style="253" customWidth="1"/>
    <col min="5381" max="5381" width="10.625" style="253" customWidth="1"/>
    <col min="5382" max="5624" width="6.125" style="253"/>
    <col min="5625" max="5625" width="5" style="253" customWidth="1"/>
    <col min="5626" max="5626" width="8.875" style="253" customWidth="1"/>
    <col min="5627" max="5627" width="5" style="253" customWidth="1"/>
    <col min="5628" max="5628" width="8.25" style="253" customWidth="1"/>
    <col min="5629" max="5629" width="16.125" style="253" customWidth="1"/>
    <col min="5630" max="5630" width="86" style="253" customWidth="1"/>
    <col min="5631" max="5631" width="5" style="253" customWidth="1"/>
    <col min="5632" max="5632" width="11.125" style="253" customWidth="1"/>
    <col min="5633" max="5633" width="10.375" style="253" customWidth="1"/>
    <col min="5634" max="5634" width="10.875" style="253" customWidth="1"/>
    <col min="5635" max="5635" width="7.75" style="253" customWidth="1"/>
    <col min="5636" max="5636" width="9.875" style="253" customWidth="1"/>
    <col min="5637" max="5637" width="10.625" style="253" customWidth="1"/>
    <col min="5638" max="5880" width="6.125" style="253"/>
    <col min="5881" max="5881" width="5" style="253" customWidth="1"/>
    <col min="5882" max="5882" width="8.875" style="253" customWidth="1"/>
    <col min="5883" max="5883" width="5" style="253" customWidth="1"/>
    <col min="5884" max="5884" width="8.25" style="253" customWidth="1"/>
    <col min="5885" max="5885" width="16.125" style="253" customWidth="1"/>
    <col min="5886" max="5886" width="86" style="253" customWidth="1"/>
    <col min="5887" max="5887" width="5" style="253" customWidth="1"/>
    <col min="5888" max="5888" width="11.125" style="253" customWidth="1"/>
    <col min="5889" max="5889" width="10.375" style="253" customWidth="1"/>
    <col min="5890" max="5890" width="10.875" style="253" customWidth="1"/>
    <col min="5891" max="5891" width="7.75" style="253" customWidth="1"/>
    <col min="5892" max="5892" width="9.875" style="253" customWidth="1"/>
    <col min="5893" max="5893" width="10.625" style="253" customWidth="1"/>
    <col min="5894" max="6136" width="6.125" style="253"/>
    <col min="6137" max="6137" width="5" style="253" customWidth="1"/>
    <col min="6138" max="6138" width="8.875" style="253" customWidth="1"/>
    <col min="6139" max="6139" width="5" style="253" customWidth="1"/>
    <col min="6140" max="6140" width="8.25" style="253" customWidth="1"/>
    <col min="6141" max="6141" width="16.125" style="253" customWidth="1"/>
    <col min="6142" max="6142" width="86" style="253" customWidth="1"/>
    <col min="6143" max="6143" width="5" style="253" customWidth="1"/>
    <col min="6144" max="6144" width="11.125" style="253" customWidth="1"/>
    <col min="6145" max="6145" width="10.375" style="253" customWidth="1"/>
    <col min="6146" max="6146" width="10.875" style="253" customWidth="1"/>
    <col min="6147" max="6147" width="7.75" style="253" customWidth="1"/>
    <col min="6148" max="6148" width="9.875" style="253" customWidth="1"/>
    <col min="6149" max="6149" width="10.625" style="253" customWidth="1"/>
    <col min="6150" max="6392" width="6.125" style="253"/>
    <col min="6393" max="6393" width="5" style="253" customWidth="1"/>
    <col min="6394" max="6394" width="8.875" style="253" customWidth="1"/>
    <col min="6395" max="6395" width="5" style="253" customWidth="1"/>
    <col min="6396" max="6396" width="8.25" style="253" customWidth="1"/>
    <col min="6397" max="6397" width="16.125" style="253" customWidth="1"/>
    <col min="6398" max="6398" width="86" style="253" customWidth="1"/>
    <col min="6399" max="6399" width="5" style="253" customWidth="1"/>
    <col min="6400" max="6400" width="11.125" style="253" customWidth="1"/>
    <col min="6401" max="6401" width="10.375" style="253" customWidth="1"/>
    <col min="6402" max="6402" width="10.875" style="253" customWidth="1"/>
    <col min="6403" max="6403" width="7.75" style="253" customWidth="1"/>
    <col min="6404" max="6404" width="9.875" style="253" customWidth="1"/>
    <col min="6405" max="6405" width="10.625" style="253" customWidth="1"/>
    <col min="6406" max="6648" width="6.125" style="253"/>
    <col min="6649" max="6649" width="5" style="253" customWidth="1"/>
    <col min="6650" max="6650" width="8.875" style="253" customWidth="1"/>
    <col min="6651" max="6651" width="5" style="253" customWidth="1"/>
    <col min="6652" max="6652" width="8.25" style="253" customWidth="1"/>
    <col min="6653" max="6653" width="16.125" style="253" customWidth="1"/>
    <col min="6654" max="6654" width="86" style="253" customWidth="1"/>
    <col min="6655" max="6655" width="5" style="253" customWidth="1"/>
    <col min="6656" max="6656" width="11.125" style="253" customWidth="1"/>
    <col min="6657" max="6657" width="10.375" style="253" customWidth="1"/>
    <col min="6658" max="6658" width="10.875" style="253" customWidth="1"/>
    <col min="6659" max="6659" width="7.75" style="253" customWidth="1"/>
    <col min="6660" max="6660" width="9.875" style="253" customWidth="1"/>
    <col min="6661" max="6661" width="10.625" style="253" customWidth="1"/>
    <col min="6662" max="6904" width="6.125" style="253"/>
    <col min="6905" max="6905" width="5" style="253" customWidth="1"/>
    <col min="6906" max="6906" width="8.875" style="253" customWidth="1"/>
    <col min="6907" max="6907" width="5" style="253" customWidth="1"/>
    <col min="6908" max="6908" width="8.25" style="253" customWidth="1"/>
    <col min="6909" max="6909" width="16.125" style="253" customWidth="1"/>
    <col min="6910" max="6910" width="86" style="253" customWidth="1"/>
    <col min="6911" max="6911" width="5" style="253" customWidth="1"/>
    <col min="6912" max="6912" width="11.125" style="253" customWidth="1"/>
    <col min="6913" max="6913" width="10.375" style="253" customWidth="1"/>
    <col min="6914" max="6914" width="10.875" style="253" customWidth="1"/>
    <col min="6915" max="6915" width="7.75" style="253" customWidth="1"/>
    <col min="6916" max="6916" width="9.875" style="253" customWidth="1"/>
    <col min="6917" max="6917" width="10.625" style="253" customWidth="1"/>
    <col min="6918" max="7160" width="6.125" style="253"/>
    <col min="7161" max="7161" width="5" style="253" customWidth="1"/>
    <col min="7162" max="7162" width="8.875" style="253" customWidth="1"/>
    <col min="7163" max="7163" width="5" style="253" customWidth="1"/>
    <col min="7164" max="7164" width="8.25" style="253" customWidth="1"/>
    <col min="7165" max="7165" width="16.125" style="253" customWidth="1"/>
    <col min="7166" max="7166" width="86" style="253" customWidth="1"/>
    <col min="7167" max="7167" width="5" style="253" customWidth="1"/>
    <col min="7168" max="7168" width="11.125" style="253" customWidth="1"/>
    <col min="7169" max="7169" width="10.375" style="253" customWidth="1"/>
    <col min="7170" max="7170" width="10.875" style="253" customWidth="1"/>
    <col min="7171" max="7171" width="7.75" style="253" customWidth="1"/>
    <col min="7172" max="7172" width="9.875" style="253" customWidth="1"/>
    <col min="7173" max="7173" width="10.625" style="253" customWidth="1"/>
    <col min="7174" max="7416" width="6.125" style="253"/>
    <col min="7417" max="7417" width="5" style="253" customWidth="1"/>
    <col min="7418" max="7418" width="8.875" style="253" customWidth="1"/>
    <col min="7419" max="7419" width="5" style="253" customWidth="1"/>
    <col min="7420" max="7420" width="8.25" style="253" customWidth="1"/>
    <col min="7421" max="7421" width="16.125" style="253" customWidth="1"/>
    <col min="7422" max="7422" width="86" style="253" customWidth="1"/>
    <col min="7423" max="7423" width="5" style="253" customWidth="1"/>
    <col min="7424" max="7424" width="11.125" style="253" customWidth="1"/>
    <col min="7425" max="7425" width="10.375" style="253" customWidth="1"/>
    <col min="7426" max="7426" width="10.875" style="253" customWidth="1"/>
    <col min="7427" max="7427" width="7.75" style="253" customWidth="1"/>
    <col min="7428" max="7428" width="9.875" style="253" customWidth="1"/>
    <col min="7429" max="7429" width="10.625" style="253" customWidth="1"/>
    <col min="7430" max="7672" width="6.125" style="253"/>
    <col min="7673" max="7673" width="5" style="253" customWidth="1"/>
    <col min="7674" max="7674" width="8.875" style="253" customWidth="1"/>
    <col min="7675" max="7675" width="5" style="253" customWidth="1"/>
    <col min="7676" max="7676" width="8.25" style="253" customWidth="1"/>
    <col min="7677" max="7677" width="16.125" style="253" customWidth="1"/>
    <col min="7678" max="7678" width="86" style="253" customWidth="1"/>
    <col min="7679" max="7679" width="5" style="253" customWidth="1"/>
    <col min="7680" max="7680" width="11.125" style="253" customWidth="1"/>
    <col min="7681" max="7681" width="10.375" style="253" customWidth="1"/>
    <col min="7682" max="7682" width="10.875" style="253" customWidth="1"/>
    <col min="7683" max="7683" width="7.75" style="253" customWidth="1"/>
    <col min="7684" max="7684" width="9.875" style="253" customWidth="1"/>
    <col min="7685" max="7685" width="10.625" style="253" customWidth="1"/>
    <col min="7686" max="7928" width="6.125" style="253"/>
    <col min="7929" max="7929" width="5" style="253" customWidth="1"/>
    <col min="7930" max="7930" width="8.875" style="253" customWidth="1"/>
    <col min="7931" max="7931" width="5" style="253" customWidth="1"/>
    <col min="7932" max="7932" width="8.25" style="253" customWidth="1"/>
    <col min="7933" max="7933" width="16.125" style="253" customWidth="1"/>
    <col min="7934" max="7934" width="86" style="253" customWidth="1"/>
    <col min="7935" max="7935" width="5" style="253" customWidth="1"/>
    <col min="7936" max="7936" width="11.125" style="253" customWidth="1"/>
    <col min="7937" max="7937" width="10.375" style="253" customWidth="1"/>
    <col min="7938" max="7938" width="10.875" style="253" customWidth="1"/>
    <col min="7939" max="7939" width="7.75" style="253" customWidth="1"/>
    <col min="7940" max="7940" width="9.875" style="253" customWidth="1"/>
    <col min="7941" max="7941" width="10.625" style="253" customWidth="1"/>
    <col min="7942" max="8184" width="6.125" style="253"/>
    <col min="8185" max="8185" width="5" style="253" customWidth="1"/>
    <col min="8186" max="8186" width="8.875" style="253" customWidth="1"/>
    <col min="8187" max="8187" width="5" style="253" customWidth="1"/>
    <col min="8188" max="8188" width="8.25" style="253" customWidth="1"/>
    <col min="8189" max="8189" width="16.125" style="253" customWidth="1"/>
    <col min="8190" max="8190" width="86" style="253" customWidth="1"/>
    <col min="8191" max="8191" width="5" style="253" customWidth="1"/>
    <col min="8192" max="8192" width="11.125" style="253" customWidth="1"/>
    <col min="8193" max="8193" width="10.375" style="253" customWidth="1"/>
    <col min="8194" max="8194" width="10.875" style="253" customWidth="1"/>
    <col min="8195" max="8195" width="7.75" style="253" customWidth="1"/>
    <col min="8196" max="8196" width="9.875" style="253" customWidth="1"/>
    <col min="8197" max="8197" width="10.625" style="253" customWidth="1"/>
    <col min="8198" max="8440" width="6.125" style="253"/>
    <col min="8441" max="8441" width="5" style="253" customWidth="1"/>
    <col min="8442" max="8442" width="8.875" style="253" customWidth="1"/>
    <col min="8443" max="8443" width="5" style="253" customWidth="1"/>
    <col min="8444" max="8444" width="8.25" style="253" customWidth="1"/>
    <col min="8445" max="8445" width="16.125" style="253" customWidth="1"/>
    <col min="8446" max="8446" width="86" style="253" customWidth="1"/>
    <col min="8447" max="8447" width="5" style="253" customWidth="1"/>
    <col min="8448" max="8448" width="11.125" style="253" customWidth="1"/>
    <col min="8449" max="8449" width="10.375" style="253" customWidth="1"/>
    <col min="8450" max="8450" width="10.875" style="253" customWidth="1"/>
    <col min="8451" max="8451" width="7.75" style="253" customWidth="1"/>
    <col min="8452" max="8452" width="9.875" style="253" customWidth="1"/>
    <col min="8453" max="8453" width="10.625" style="253" customWidth="1"/>
    <col min="8454" max="8696" width="6.125" style="253"/>
    <col min="8697" max="8697" width="5" style="253" customWidth="1"/>
    <col min="8698" max="8698" width="8.875" style="253" customWidth="1"/>
    <col min="8699" max="8699" width="5" style="253" customWidth="1"/>
    <col min="8700" max="8700" width="8.25" style="253" customWidth="1"/>
    <col min="8701" max="8701" width="16.125" style="253" customWidth="1"/>
    <col min="8702" max="8702" width="86" style="253" customWidth="1"/>
    <col min="8703" max="8703" width="5" style="253" customWidth="1"/>
    <col min="8704" max="8704" width="11.125" style="253" customWidth="1"/>
    <col min="8705" max="8705" width="10.375" style="253" customWidth="1"/>
    <col min="8706" max="8706" width="10.875" style="253" customWidth="1"/>
    <col min="8707" max="8707" width="7.75" style="253" customWidth="1"/>
    <col min="8708" max="8708" width="9.875" style="253" customWidth="1"/>
    <col min="8709" max="8709" width="10.625" style="253" customWidth="1"/>
    <col min="8710" max="8952" width="6.125" style="253"/>
    <col min="8953" max="8953" width="5" style="253" customWidth="1"/>
    <col min="8954" max="8954" width="8.875" style="253" customWidth="1"/>
    <col min="8955" max="8955" width="5" style="253" customWidth="1"/>
    <col min="8956" max="8956" width="8.25" style="253" customWidth="1"/>
    <col min="8957" max="8957" width="16.125" style="253" customWidth="1"/>
    <col min="8958" max="8958" width="86" style="253" customWidth="1"/>
    <col min="8959" max="8959" width="5" style="253" customWidth="1"/>
    <col min="8960" max="8960" width="11.125" style="253" customWidth="1"/>
    <col min="8961" max="8961" width="10.375" style="253" customWidth="1"/>
    <col min="8962" max="8962" width="10.875" style="253" customWidth="1"/>
    <col min="8963" max="8963" width="7.75" style="253" customWidth="1"/>
    <col min="8964" max="8964" width="9.875" style="253" customWidth="1"/>
    <col min="8965" max="8965" width="10.625" style="253" customWidth="1"/>
    <col min="8966" max="9208" width="6.125" style="253"/>
    <col min="9209" max="9209" width="5" style="253" customWidth="1"/>
    <col min="9210" max="9210" width="8.875" style="253" customWidth="1"/>
    <col min="9211" max="9211" width="5" style="253" customWidth="1"/>
    <col min="9212" max="9212" width="8.25" style="253" customWidth="1"/>
    <col min="9213" max="9213" width="16.125" style="253" customWidth="1"/>
    <col min="9214" max="9214" width="86" style="253" customWidth="1"/>
    <col min="9215" max="9215" width="5" style="253" customWidth="1"/>
    <col min="9216" max="9216" width="11.125" style="253" customWidth="1"/>
    <col min="9217" max="9217" width="10.375" style="253" customWidth="1"/>
    <col min="9218" max="9218" width="10.875" style="253" customWidth="1"/>
    <col min="9219" max="9219" width="7.75" style="253" customWidth="1"/>
    <col min="9220" max="9220" width="9.875" style="253" customWidth="1"/>
    <col min="9221" max="9221" width="10.625" style="253" customWidth="1"/>
    <col min="9222" max="9464" width="6.125" style="253"/>
    <col min="9465" max="9465" width="5" style="253" customWidth="1"/>
    <col min="9466" max="9466" width="8.875" style="253" customWidth="1"/>
    <col min="9467" max="9467" width="5" style="253" customWidth="1"/>
    <col min="9468" max="9468" width="8.25" style="253" customWidth="1"/>
    <col min="9469" max="9469" width="16.125" style="253" customWidth="1"/>
    <col min="9470" max="9470" width="86" style="253" customWidth="1"/>
    <col min="9471" max="9471" width="5" style="253" customWidth="1"/>
    <col min="9472" max="9472" width="11.125" style="253" customWidth="1"/>
    <col min="9473" max="9473" width="10.375" style="253" customWidth="1"/>
    <col min="9474" max="9474" width="10.875" style="253" customWidth="1"/>
    <col min="9475" max="9475" width="7.75" style="253" customWidth="1"/>
    <col min="9476" max="9476" width="9.875" style="253" customWidth="1"/>
    <col min="9477" max="9477" width="10.625" style="253" customWidth="1"/>
    <col min="9478" max="9720" width="6.125" style="253"/>
    <col min="9721" max="9721" width="5" style="253" customWidth="1"/>
    <col min="9722" max="9722" width="8.875" style="253" customWidth="1"/>
    <col min="9723" max="9723" width="5" style="253" customWidth="1"/>
    <col min="9724" max="9724" width="8.25" style="253" customWidth="1"/>
    <col min="9725" max="9725" width="16.125" style="253" customWidth="1"/>
    <col min="9726" max="9726" width="86" style="253" customWidth="1"/>
    <col min="9727" max="9727" width="5" style="253" customWidth="1"/>
    <col min="9728" max="9728" width="11.125" style="253" customWidth="1"/>
    <col min="9729" max="9729" width="10.375" style="253" customWidth="1"/>
    <col min="9730" max="9730" width="10.875" style="253" customWidth="1"/>
    <col min="9731" max="9731" width="7.75" style="253" customWidth="1"/>
    <col min="9732" max="9732" width="9.875" style="253" customWidth="1"/>
    <col min="9733" max="9733" width="10.625" style="253" customWidth="1"/>
    <col min="9734" max="9976" width="6.125" style="253"/>
    <col min="9977" max="9977" width="5" style="253" customWidth="1"/>
    <col min="9978" max="9978" width="8.875" style="253" customWidth="1"/>
    <col min="9979" max="9979" width="5" style="253" customWidth="1"/>
    <col min="9980" max="9980" width="8.25" style="253" customWidth="1"/>
    <col min="9981" max="9981" width="16.125" style="253" customWidth="1"/>
    <col min="9982" max="9982" width="86" style="253" customWidth="1"/>
    <col min="9983" max="9983" width="5" style="253" customWidth="1"/>
    <col min="9984" max="9984" width="11.125" style="253" customWidth="1"/>
    <col min="9985" max="9985" width="10.375" style="253" customWidth="1"/>
    <col min="9986" max="9986" width="10.875" style="253" customWidth="1"/>
    <col min="9987" max="9987" width="7.75" style="253" customWidth="1"/>
    <col min="9988" max="9988" width="9.875" style="253" customWidth="1"/>
    <col min="9989" max="9989" width="10.625" style="253" customWidth="1"/>
    <col min="9990" max="10232" width="6.125" style="253"/>
    <col min="10233" max="10233" width="5" style="253" customWidth="1"/>
    <col min="10234" max="10234" width="8.875" style="253" customWidth="1"/>
    <col min="10235" max="10235" width="5" style="253" customWidth="1"/>
    <col min="10236" max="10236" width="8.25" style="253" customWidth="1"/>
    <col min="10237" max="10237" width="16.125" style="253" customWidth="1"/>
    <col min="10238" max="10238" width="86" style="253" customWidth="1"/>
    <col min="10239" max="10239" width="5" style="253" customWidth="1"/>
    <col min="10240" max="10240" width="11.125" style="253" customWidth="1"/>
    <col min="10241" max="10241" width="10.375" style="253" customWidth="1"/>
    <col min="10242" max="10242" width="10.875" style="253" customWidth="1"/>
    <col min="10243" max="10243" width="7.75" style="253" customWidth="1"/>
    <col min="10244" max="10244" width="9.875" style="253" customWidth="1"/>
    <col min="10245" max="10245" width="10.625" style="253" customWidth="1"/>
    <col min="10246" max="10488" width="6.125" style="253"/>
    <col min="10489" max="10489" width="5" style="253" customWidth="1"/>
    <col min="10490" max="10490" width="8.875" style="253" customWidth="1"/>
    <col min="10491" max="10491" width="5" style="253" customWidth="1"/>
    <col min="10492" max="10492" width="8.25" style="253" customWidth="1"/>
    <col min="10493" max="10493" width="16.125" style="253" customWidth="1"/>
    <col min="10494" max="10494" width="86" style="253" customWidth="1"/>
    <col min="10495" max="10495" width="5" style="253" customWidth="1"/>
    <col min="10496" max="10496" width="11.125" style="253" customWidth="1"/>
    <col min="10497" max="10497" width="10.375" style="253" customWidth="1"/>
    <col min="10498" max="10498" width="10.875" style="253" customWidth="1"/>
    <col min="10499" max="10499" width="7.75" style="253" customWidth="1"/>
    <col min="10500" max="10500" width="9.875" style="253" customWidth="1"/>
    <col min="10501" max="10501" width="10.625" style="253" customWidth="1"/>
    <col min="10502" max="10744" width="6.125" style="253"/>
    <col min="10745" max="10745" width="5" style="253" customWidth="1"/>
    <col min="10746" max="10746" width="8.875" style="253" customWidth="1"/>
    <col min="10747" max="10747" width="5" style="253" customWidth="1"/>
    <col min="10748" max="10748" width="8.25" style="253" customWidth="1"/>
    <col min="10749" max="10749" width="16.125" style="253" customWidth="1"/>
    <col min="10750" max="10750" width="86" style="253" customWidth="1"/>
    <col min="10751" max="10751" width="5" style="253" customWidth="1"/>
    <col min="10752" max="10752" width="11.125" style="253" customWidth="1"/>
    <col min="10753" max="10753" width="10.375" style="253" customWidth="1"/>
    <col min="10754" max="10754" width="10.875" style="253" customWidth="1"/>
    <col min="10755" max="10755" width="7.75" style="253" customWidth="1"/>
    <col min="10756" max="10756" width="9.875" style="253" customWidth="1"/>
    <col min="10757" max="10757" width="10.625" style="253" customWidth="1"/>
    <col min="10758" max="11000" width="6.125" style="253"/>
    <col min="11001" max="11001" width="5" style="253" customWidth="1"/>
    <col min="11002" max="11002" width="8.875" style="253" customWidth="1"/>
    <col min="11003" max="11003" width="5" style="253" customWidth="1"/>
    <col min="11004" max="11004" width="8.25" style="253" customWidth="1"/>
    <col min="11005" max="11005" width="16.125" style="253" customWidth="1"/>
    <col min="11006" max="11006" width="86" style="253" customWidth="1"/>
    <col min="11007" max="11007" width="5" style="253" customWidth="1"/>
    <col min="11008" max="11008" width="11.125" style="253" customWidth="1"/>
    <col min="11009" max="11009" width="10.375" style="253" customWidth="1"/>
    <col min="11010" max="11010" width="10.875" style="253" customWidth="1"/>
    <col min="11011" max="11011" width="7.75" style="253" customWidth="1"/>
    <col min="11012" max="11012" width="9.875" style="253" customWidth="1"/>
    <col min="11013" max="11013" width="10.625" style="253" customWidth="1"/>
    <col min="11014" max="11256" width="6.125" style="253"/>
    <col min="11257" max="11257" width="5" style="253" customWidth="1"/>
    <col min="11258" max="11258" width="8.875" style="253" customWidth="1"/>
    <col min="11259" max="11259" width="5" style="253" customWidth="1"/>
    <col min="11260" max="11260" width="8.25" style="253" customWidth="1"/>
    <col min="11261" max="11261" width="16.125" style="253" customWidth="1"/>
    <col min="11262" max="11262" width="86" style="253" customWidth="1"/>
    <col min="11263" max="11263" width="5" style="253" customWidth="1"/>
    <col min="11264" max="11264" width="11.125" style="253" customWidth="1"/>
    <col min="11265" max="11265" width="10.375" style="253" customWidth="1"/>
    <col min="11266" max="11266" width="10.875" style="253" customWidth="1"/>
    <col min="11267" max="11267" width="7.75" style="253" customWidth="1"/>
    <col min="11268" max="11268" width="9.875" style="253" customWidth="1"/>
    <col min="11269" max="11269" width="10.625" style="253" customWidth="1"/>
    <col min="11270" max="11512" width="6.125" style="253"/>
    <col min="11513" max="11513" width="5" style="253" customWidth="1"/>
    <col min="11514" max="11514" width="8.875" style="253" customWidth="1"/>
    <col min="11515" max="11515" width="5" style="253" customWidth="1"/>
    <col min="11516" max="11516" width="8.25" style="253" customWidth="1"/>
    <col min="11517" max="11517" width="16.125" style="253" customWidth="1"/>
    <col min="11518" max="11518" width="86" style="253" customWidth="1"/>
    <col min="11519" max="11519" width="5" style="253" customWidth="1"/>
    <col min="11520" max="11520" width="11.125" style="253" customWidth="1"/>
    <col min="11521" max="11521" width="10.375" style="253" customWidth="1"/>
    <col min="11522" max="11522" width="10.875" style="253" customWidth="1"/>
    <col min="11523" max="11523" width="7.75" style="253" customWidth="1"/>
    <col min="11524" max="11524" width="9.875" style="253" customWidth="1"/>
    <col min="11525" max="11525" width="10.625" style="253" customWidth="1"/>
    <col min="11526" max="11768" width="6.125" style="253"/>
    <col min="11769" max="11769" width="5" style="253" customWidth="1"/>
    <col min="11770" max="11770" width="8.875" style="253" customWidth="1"/>
    <col min="11771" max="11771" width="5" style="253" customWidth="1"/>
    <col min="11772" max="11772" width="8.25" style="253" customWidth="1"/>
    <col min="11773" max="11773" width="16.125" style="253" customWidth="1"/>
    <col min="11774" max="11774" width="86" style="253" customWidth="1"/>
    <col min="11775" max="11775" width="5" style="253" customWidth="1"/>
    <col min="11776" max="11776" width="11.125" style="253" customWidth="1"/>
    <col min="11777" max="11777" width="10.375" style="253" customWidth="1"/>
    <col min="11778" max="11778" width="10.875" style="253" customWidth="1"/>
    <col min="11779" max="11779" width="7.75" style="253" customWidth="1"/>
    <col min="11780" max="11780" width="9.875" style="253" customWidth="1"/>
    <col min="11781" max="11781" width="10.625" style="253" customWidth="1"/>
    <col min="11782" max="12024" width="6.125" style="253"/>
    <col min="12025" max="12025" width="5" style="253" customWidth="1"/>
    <col min="12026" max="12026" width="8.875" style="253" customWidth="1"/>
    <col min="12027" max="12027" width="5" style="253" customWidth="1"/>
    <col min="12028" max="12028" width="8.25" style="253" customWidth="1"/>
    <col min="12029" max="12029" width="16.125" style="253" customWidth="1"/>
    <col min="12030" max="12030" width="86" style="253" customWidth="1"/>
    <col min="12031" max="12031" width="5" style="253" customWidth="1"/>
    <col min="12032" max="12032" width="11.125" style="253" customWidth="1"/>
    <col min="12033" max="12033" width="10.375" style="253" customWidth="1"/>
    <col min="12034" max="12034" width="10.875" style="253" customWidth="1"/>
    <col min="12035" max="12035" width="7.75" style="253" customWidth="1"/>
    <col min="12036" max="12036" width="9.875" style="253" customWidth="1"/>
    <col min="12037" max="12037" width="10.625" style="253" customWidth="1"/>
    <col min="12038" max="12280" width="6.125" style="253"/>
    <col min="12281" max="12281" width="5" style="253" customWidth="1"/>
    <col min="12282" max="12282" width="8.875" style="253" customWidth="1"/>
    <col min="12283" max="12283" width="5" style="253" customWidth="1"/>
    <col min="12284" max="12284" width="8.25" style="253" customWidth="1"/>
    <col min="12285" max="12285" width="16.125" style="253" customWidth="1"/>
    <col min="12286" max="12286" width="86" style="253" customWidth="1"/>
    <col min="12287" max="12287" width="5" style="253" customWidth="1"/>
    <col min="12288" max="12288" width="11.125" style="253" customWidth="1"/>
    <col min="12289" max="12289" width="10.375" style="253" customWidth="1"/>
    <col min="12290" max="12290" width="10.875" style="253" customWidth="1"/>
    <col min="12291" max="12291" width="7.75" style="253" customWidth="1"/>
    <col min="12292" max="12292" width="9.875" style="253" customWidth="1"/>
    <col min="12293" max="12293" width="10.625" style="253" customWidth="1"/>
    <col min="12294" max="12536" width="6.125" style="253"/>
    <col min="12537" max="12537" width="5" style="253" customWidth="1"/>
    <col min="12538" max="12538" width="8.875" style="253" customWidth="1"/>
    <col min="12539" max="12539" width="5" style="253" customWidth="1"/>
    <col min="12540" max="12540" width="8.25" style="253" customWidth="1"/>
    <col min="12541" max="12541" width="16.125" style="253" customWidth="1"/>
    <col min="12542" max="12542" width="86" style="253" customWidth="1"/>
    <col min="12543" max="12543" width="5" style="253" customWidth="1"/>
    <col min="12544" max="12544" width="11.125" style="253" customWidth="1"/>
    <col min="12545" max="12545" width="10.375" style="253" customWidth="1"/>
    <col min="12546" max="12546" width="10.875" style="253" customWidth="1"/>
    <col min="12547" max="12547" width="7.75" style="253" customWidth="1"/>
    <col min="12548" max="12548" width="9.875" style="253" customWidth="1"/>
    <col min="12549" max="12549" width="10.625" style="253" customWidth="1"/>
    <col min="12550" max="12792" width="6.125" style="253"/>
    <col min="12793" max="12793" width="5" style="253" customWidth="1"/>
    <col min="12794" max="12794" width="8.875" style="253" customWidth="1"/>
    <col min="12795" max="12795" width="5" style="253" customWidth="1"/>
    <col min="12796" max="12796" width="8.25" style="253" customWidth="1"/>
    <col min="12797" max="12797" width="16.125" style="253" customWidth="1"/>
    <col min="12798" max="12798" width="86" style="253" customWidth="1"/>
    <col min="12799" max="12799" width="5" style="253" customWidth="1"/>
    <col min="12800" max="12800" width="11.125" style="253" customWidth="1"/>
    <col min="12801" max="12801" width="10.375" style="253" customWidth="1"/>
    <col min="12802" max="12802" width="10.875" style="253" customWidth="1"/>
    <col min="12803" max="12803" width="7.75" style="253" customWidth="1"/>
    <col min="12804" max="12804" width="9.875" style="253" customWidth="1"/>
    <col min="12805" max="12805" width="10.625" style="253" customWidth="1"/>
    <col min="12806" max="13048" width="6.125" style="253"/>
    <col min="13049" max="13049" width="5" style="253" customWidth="1"/>
    <col min="13050" max="13050" width="8.875" style="253" customWidth="1"/>
    <col min="13051" max="13051" width="5" style="253" customWidth="1"/>
    <col min="13052" max="13052" width="8.25" style="253" customWidth="1"/>
    <col min="13053" max="13053" width="16.125" style="253" customWidth="1"/>
    <col min="13054" max="13054" width="86" style="253" customWidth="1"/>
    <col min="13055" max="13055" width="5" style="253" customWidth="1"/>
    <col min="13056" max="13056" width="11.125" style="253" customWidth="1"/>
    <col min="13057" max="13057" width="10.375" style="253" customWidth="1"/>
    <col min="13058" max="13058" width="10.875" style="253" customWidth="1"/>
    <col min="13059" max="13059" width="7.75" style="253" customWidth="1"/>
    <col min="13060" max="13060" width="9.875" style="253" customWidth="1"/>
    <col min="13061" max="13061" width="10.625" style="253" customWidth="1"/>
    <col min="13062" max="13304" width="6.125" style="253"/>
    <col min="13305" max="13305" width="5" style="253" customWidth="1"/>
    <col min="13306" max="13306" width="8.875" style="253" customWidth="1"/>
    <col min="13307" max="13307" width="5" style="253" customWidth="1"/>
    <col min="13308" max="13308" width="8.25" style="253" customWidth="1"/>
    <col min="13309" max="13309" width="16.125" style="253" customWidth="1"/>
    <col min="13310" max="13310" width="86" style="253" customWidth="1"/>
    <col min="13311" max="13311" width="5" style="253" customWidth="1"/>
    <col min="13312" max="13312" width="11.125" style="253" customWidth="1"/>
    <col min="13313" max="13313" width="10.375" style="253" customWidth="1"/>
    <col min="13314" max="13314" width="10.875" style="253" customWidth="1"/>
    <col min="13315" max="13315" width="7.75" style="253" customWidth="1"/>
    <col min="13316" max="13316" width="9.875" style="253" customWidth="1"/>
    <col min="13317" max="13317" width="10.625" style="253" customWidth="1"/>
    <col min="13318" max="13560" width="6.125" style="253"/>
    <col min="13561" max="13561" width="5" style="253" customWidth="1"/>
    <col min="13562" max="13562" width="8.875" style="253" customWidth="1"/>
    <col min="13563" max="13563" width="5" style="253" customWidth="1"/>
    <col min="13564" max="13564" width="8.25" style="253" customWidth="1"/>
    <col min="13565" max="13565" width="16.125" style="253" customWidth="1"/>
    <col min="13566" max="13566" width="86" style="253" customWidth="1"/>
    <col min="13567" max="13567" width="5" style="253" customWidth="1"/>
    <col min="13568" max="13568" width="11.125" style="253" customWidth="1"/>
    <col min="13569" max="13569" width="10.375" style="253" customWidth="1"/>
    <col min="13570" max="13570" width="10.875" style="253" customWidth="1"/>
    <col min="13571" max="13571" width="7.75" style="253" customWidth="1"/>
    <col min="13572" max="13572" width="9.875" style="253" customWidth="1"/>
    <col min="13573" max="13573" width="10.625" style="253" customWidth="1"/>
    <col min="13574" max="13816" width="6.125" style="253"/>
    <col min="13817" max="13817" width="5" style="253" customWidth="1"/>
    <col min="13818" max="13818" width="8.875" style="253" customWidth="1"/>
    <col min="13819" max="13819" width="5" style="253" customWidth="1"/>
    <col min="13820" max="13820" width="8.25" style="253" customWidth="1"/>
    <col min="13821" max="13821" width="16.125" style="253" customWidth="1"/>
    <col min="13822" max="13822" width="86" style="253" customWidth="1"/>
    <col min="13823" max="13823" width="5" style="253" customWidth="1"/>
    <col min="13824" max="13824" width="11.125" style="253" customWidth="1"/>
    <col min="13825" max="13825" width="10.375" style="253" customWidth="1"/>
    <col min="13826" max="13826" width="10.875" style="253" customWidth="1"/>
    <col min="13827" max="13827" width="7.75" style="253" customWidth="1"/>
    <col min="13828" max="13828" width="9.875" style="253" customWidth="1"/>
    <col min="13829" max="13829" width="10.625" style="253" customWidth="1"/>
    <col min="13830" max="14072" width="6.125" style="253"/>
    <col min="14073" max="14073" width="5" style="253" customWidth="1"/>
    <col min="14074" max="14074" width="8.875" style="253" customWidth="1"/>
    <col min="14075" max="14075" width="5" style="253" customWidth="1"/>
    <col min="14076" max="14076" width="8.25" style="253" customWidth="1"/>
    <col min="14077" max="14077" width="16.125" style="253" customWidth="1"/>
    <col min="14078" max="14078" width="86" style="253" customWidth="1"/>
    <col min="14079" max="14079" width="5" style="253" customWidth="1"/>
    <col min="14080" max="14080" width="11.125" style="253" customWidth="1"/>
    <col min="14081" max="14081" width="10.375" style="253" customWidth="1"/>
    <col min="14082" max="14082" width="10.875" style="253" customWidth="1"/>
    <col min="14083" max="14083" width="7.75" style="253" customWidth="1"/>
    <col min="14084" max="14084" width="9.875" style="253" customWidth="1"/>
    <col min="14085" max="14085" width="10.625" style="253" customWidth="1"/>
    <col min="14086" max="14328" width="6.125" style="253"/>
    <col min="14329" max="14329" width="5" style="253" customWidth="1"/>
    <col min="14330" max="14330" width="8.875" style="253" customWidth="1"/>
    <col min="14331" max="14331" width="5" style="253" customWidth="1"/>
    <col min="14332" max="14332" width="8.25" style="253" customWidth="1"/>
    <col min="14333" max="14333" width="16.125" style="253" customWidth="1"/>
    <col min="14334" max="14334" width="86" style="253" customWidth="1"/>
    <col min="14335" max="14335" width="5" style="253" customWidth="1"/>
    <col min="14336" max="14336" width="11.125" style="253" customWidth="1"/>
    <col min="14337" max="14337" width="10.375" style="253" customWidth="1"/>
    <col min="14338" max="14338" width="10.875" style="253" customWidth="1"/>
    <col min="14339" max="14339" width="7.75" style="253" customWidth="1"/>
    <col min="14340" max="14340" width="9.875" style="253" customWidth="1"/>
    <col min="14341" max="14341" width="10.625" style="253" customWidth="1"/>
    <col min="14342" max="14584" width="6.125" style="253"/>
    <col min="14585" max="14585" width="5" style="253" customWidth="1"/>
    <col min="14586" max="14586" width="8.875" style="253" customWidth="1"/>
    <col min="14587" max="14587" width="5" style="253" customWidth="1"/>
    <col min="14588" max="14588" width="8.25" style="253" customWidth="1"/>
    <col min="14589" max="14589" width="16.125" style="253" customWidth="1"/>
    <col min="14590" max="14590" width="86" style="253" customWidth="1"/>
    <col min="14591" max="14591" width="5" style="253" customWidth="1"/>
    <col min="14592" max="14592" width="11.125" style="253" customWidth="1"/>
    <col min="14593" max="14593" width="10.375" style="253" customWidth="1"/>
    <col min="14594" max="14594" width="10.875" style="253" customWidth="1"/>
    <col min="14595" max="14595" width="7.75" style="253" customWidth="1"/>
    <col min="14596" max="14596" width="9.875" style="253" customWidth="1"/>
    <col min="14597" max="14597" width="10.625" style="253" customWidth="1"/>
    <col min="14598" max="14840" width="6.125" style="253"/>
    <col min="14841" max="14841" width="5" style="253" customWidth="1"/>
    <col min="14842" max="14842" width="8.875" style="253" customWidth="1"/>
    <col min="14843" max="14843" width="5" style="253" customWidth="1"/>
    <col min="14844" max="14844" width="8.25" style="253" customWidth="1"/>
    <col min="14845" max="14845" width="16.125" style="253" customWidth="1"/>
    <col min="14846" max="14846" width="86" style="253" customWidth="1"/>
    <col min="14847" max="14847" width="5" style="253" customWidth="1"/>
    <col min="14848" max="14848" width="11.125" style="253" customWidth="1"/>
    <col min="14849" max="14849" width="10.375" style="253" customWidth="1"/>
    <col min="14850" max="14850" width="10.875" style="253" customWidth="1"/>
    <col min="14851" max="14851" width="7.75" style="253" customWidth="1"/>
    <col min="14852" max="14852" width="9.875" style="253" customWidth="1"/>
    <col min="14853" max="14853" width="10.625" style="253" customWidth="1"/>
    <col min="14854" max="15096" width="6.125" style="253"/>
    <col min="15097" max="15097" width="5" style="253" customWidth="1"/>
    <col min="15098" max="15098" width="8.875" style="253" customWidth="1"/>
    <col min="15099" max="15099" width="5" style="253" customWidth="1"/>
    <col min="15100" max="15100" width="8.25" style="253" customWidth="1"/>
    <col min="15101" max="15101" width="16.125" style="253" customWidth="1"/>
    <col min="15102" max="15102" width="86" style="253" customWidth="1"/>
    <col min="15103" max="15103" width="5" style="253" customWidth="1"/>
    <col min="15104" max="15104" width="11.125" style="253" customWidth="1"/>
    <col min="15105" max="15105" width="10.375" style="253" customWidth="1"/>
    <col min="15106" max="15106" width="10.875" style="253" customWidth="1"/>
    <col min="15107" max="15107" width="7.75" style="253" customWidth="1"/>
    <col min="15108" max="15108" width="9.875" style="253" customWidth="1"/>
    <col min="15109" max="15109" width="10.625" style="253" customWidth="1"/>
    <col min="15110" max="15352" width="6.125" style="253"/>
    <col min="15353" max="15353" width="5" style="253" customWidth="1"/>
    <col min="15354" max="15354" width="8.875" style="253" customWidth="1"/>
    <col min="15355" max="15355" width="5" style="253" customWidth="1"/>
    <col min="15356" max="15356" width="8.25" style="253" customWidth="1"/>
    <col min="15357" max="15357" width="16.125" style="253" customWidth="1"/>
    <col min="15358" max="15358" width="86" style="253" customWidth="1"/>
    <col min="15359" max="15359" width="5" style="253" customWidth="1"/>
    <col min="15360" max="15360" width="11.125" style="253" customWidth="1"/>
    <col min="15361" max="15361" width="10.375" style="253" customWidth="1"/>
    <col min="15362" max="15362" width="10.875" style="253" customWidth="1"/>
    <col min="15363" max="15363" width="7.75" style="253" customWidth="1"/>
    <col min="15364" max="15364" width="9.875" style="253" customWidth="1"/>
    <col min="15365" max="15365" width="10.625" style="253" customWidth="1"/>
    <col min="15366" max="15608" width="6.125" style="253"/>
    <col min="15609" max="15609" width="5" style="253" customWidth="1"/>
    <col min="15610" max="15610" width="8.875" style="253" customWidth="1"/>
    <col min="15611" max="15611" width="5" style="253" customWidth="1"/>
    <col min="15612" max="15612" width="8.25" style="253" customWidth="1"/>
    <col min="15613" max="15613" width="16.125" style="253" customWidth="1"/>
    <col min="15614" max="15614" width="86" style="253" customWidth="1"/>
    <col min="15615" max="15615" width="5" style="253" customWidth="1"/>
    <col min="15616" max="15616" width="11.125" style="253" customWidth="1"/>
    <col min="15617" max="15617" width="10.375" style="253" customWidth="1"/>
    <col min="15618" max="15618" width="10.875" style="253" customWidth="1"/>
    <col min="15619" max="15619" width="7.75" style="253" customWidth="1"/>
    <col min="15620" max="15620" width="9.875" style="253" customWidth="1"/>
    <col min="15621" max="15621" width="10.625" style="253" customWidth="1"/>
    <col min="15622" max="15864" width="6.125" style="253"/>
    <col min="15865" max="15865" width="5" style="253" customWidth="1"/>
    <col min="15866" max="15866" width="8.875" style="253" customWidth="1"/>
    <col min="15867" max="15867" width="5" style="253" customWidth="1"/>
    <col min="15868" max="15868" width="8.25" style="253" customWidth="1"/>
    <col min="15869" max="15869" width="16.125" style="253" customWidth="1"/>
    <col min="15870" max="15870" width="86" style="253" customWidth="1"/>
    <col min="15871" max="15871" width="5" style="253" customWidth="1"/>
    <col min="15872" max="15872" width="11.125" style="253" customWidth="1"/>
    <col min="15873" max="15873" width="10.375" style="253" customWidth="1"/>
    <col min="15874" max="15874" width="10.875" style="253" customWidth="1"/>
    <col min="15875" max="15875" width="7.75" style="253" customWidth="1"/>
    <col min="15876" max="15876" width="9.875" style="253" customWidth="1"/>
    <col min="15877" max="15877" width="10.625" style="253" customWidth="1"/>
    <col min="15878" max="16120" width="6.125" style="253"/>
    <col min="16121" max="16121" width="5" style="253" customWidth="1"/>
    <col min="16122" max="16122" width="8.875" style="253" customWidth="1"/>
    <col min="16123" max="16123" width="5" style="253" customWidth="1"/>
    <col min="16124" max="16124" width="8.25" style="253" customWidth="1"/>
    <col min="16125" max="16125" width="16.125" style="253" customWidth="1"/>
    <col min="16126" max="16126" width="86" style="253" customWidth="1"/>
    <col min="16127" max="16127" width="5" style="253" customWidth="1"/>
    <col min="16128" max="16128" width="11.125" style="253" customWidth="1"/>
    <col min="16129" max="16129" width="10.375" style="253" customWidth="1"/>
    <col min="16130" max="16130" width="10.875" style="253" customWidth="1"/>
    <col min="16131" max="16131" width="7.75" style="253" customWidth="1"/>
    <col min="16132" max="16132" width="9.875" style="253" customWidth="1"/>
    <col min="16133" max="16133" width="10.625" style="253" customWidth="1"/>
    <col min="16134" max="16384" width="6.125" style="253"/>
  </cols>
  <sheetData>
    <row r="1" spans="1:11">
      <c r="A1" s="213"/>
      <c r="B1" s="256"/>
      <c r="C1" s="256"/>
      <c r="D1" s="256"/>
      <c r="E1" s="256"/>
      <c r="F1" s="257" t="s">
        <v>9</v>
      </c>
      <c r="G1" s="256"/>
      <c r="H1" s="256"/>
      <c r="I1" s="256"/>
      <c r="J1" s="256"/>
      <c r="K1" s="285"/>
    </row>
    <row r="2" spans="1:11">
      <c r="A2" s="213"/>
      <c r="B2" s="213"/>
      <c r="C2" s="213"/>
      <c r="D2" s="213"/>
      <c r="E2" s="213"/>
      <c r="F2" s="258"/>
      <c r="G2" s="213"/>
      <c r="H2" s="213"/>
      <c r="I2" s="213"/>
      <c r="J2" s="213"/>
      <c r="K2" s="285"/>
    </row>
    <row r="3" ht="26.25" customHeight="1" spans="1:11">
      <c r="A3" s="213"/>
      <c r="B3" s="213"/>
      <c r="C3" s="213"/>
      <c r="D3" s="213"/>
      <c r="E3" s="213"/>
      <c r="F3" s="258"/>
      <c r="G3" s="213"/>
      <c r="H3" s="213"/>
      <c r="I3" s="213"/>
      <c r="J3" s="286" t="s">
        <v>35</v>
      </c>
      <c r="K3" s="286"/>
    </row>
    <row r="4" s="251" customFormat="1" ht="102" spans="1:11">
      <c r="A4" s="259" t="s">
        <v>36</v>
      </c>
      <c r="B4" s="260" t="s">
        <v>37</v>
      </c>
      <c r="C4" s="260" t="s">
        <v>38</v>
      </c>
      <c r="D4" s="260" t="s">
        <v>39</v>
      </c>
      <c r="E4" s="260" t="s">
        <v>40</v>
      </c>
      <c r="F4" s="261" t="s">
        <v>382</v>
      </c>
      <c r="G4" s="262" t="s">
        <v>42</v>
      </c>
      <c r="H4" s="260" t="s">
        <v>383</v>
      </c>
      <c r="I4" s="260" t="s">
        <v>384</v>
      </c>
      <c r="J4" s="260" t="s">
        <v>44</v>
      </c>
      <c r="K4" s="287" t="s">
        <v>45</v>
      </c>
    </row>
    <row r="5" spans="1:11">
      <c r="A5" s="263"/>
      <c r="B5" s="213"/>
      <c r="C5" s="213"/>
      <c r="D5" s="213"/>
      <c r="E5" s="213"/>
      <c r="F5" s="261"/>
      <c r="G5" s="262"/>
      <c r="H5" s="264"/>
      <c r="I5" s="264"/>
      <c r="J5" s="288"/>
      <c r="K5" s="285"/>
    </row>
    <row r="6" ht="25.5" spans="1:11">
      <c r="A6" s="263">
        <v>1.1</v>
      </c>
      <c r="B6" s="213"/>
      <c r="C6" s="213"/>
      <c r="D6" s="256" t="s">
        <v>48</v>
      </c>
      <c r="E6" s="213" t="s">
        <v>385</v>
      </c>
      <c r="F6" s="261" t="s">
        <v>386</v>
      </c>
      <c r="G6" s="213" t="s">
        <v>51</v>
      </c>
      <c r="H6" s="215">
        <v>110</v>
      </c>
      <c r="I6" s="215">
        <f>SUM(H6:H6)</f>
        <v>110</v>
      </c>
      <c r="J6" s="220">
        <v>14450</v>
      </c>
      <c r="K6" s="285">
        <f>SUM(I6*J6)</f>
        <v>1589500</v>
      </c>
    </row>
    <row r="7" ht="409.5" customHeight="1" spans="1:11">
      <c r="A7" s="263"/>
      <c r="B7" s="213"/>
      <c r="C7" s="213"/>
      <c r="D7" s="213"/>
      <c r="E7" s="213"/>
      <c r="F7" s="301" t="s">
        <v>387</v>
      </c>
      <c r="G7" s="213"/>
      <c r="H7" s="215"/>
      <c r="I7" s="215"/>
      <c r="J7" s="215"/>
      <c r="K7" s="285"/>
    </row>
    <row r="8" spans="1:11">
      <c r="A8" s="263"/>
      <c r="B8" s="213"/>
      <c r="C8" s="213"/>
      <c r="D8" s="213"/>
      <c r="E8" s="213"/>
      <c r="F8" s="258"/>
      <c r="G8" s="213"/>
      <c r="H8" s="215"/>
      <c r="I8" s="215"/>
      <c r="J8" s="215"/>
      <c r="K8" s="285"/>
    </row>
    <row r="9" spans="1:11">
      <c r="A9" s="259"/>
      <c r="B9" s="262"/>
      <c r="C9" s="262"/>
      <c r="D9" s="262"/>
      <c r="E9" s="262"/>
      <c r="F9" s="261" t="s">
        <v>388</v>
      </c>
      <c r="G9" s="262"/>
      <c r="H9" s="264"/>
      <c r="I9" s="264"/>
      <c r="J9" s="264"/>
      <c r="K9" s="287"/>
    </row>
    <row r="10" spans="1:11">
      <c r="A10" s="263"/>
      <c r="B10" s="213"/>
      <c r="C10" s="213"/>
      <c r="D10" s="213"/>
      <c r="E10" s="213"/>
      <c r="F10" s="261"/>
      <c r="G10" s="213"/>
      <c r="H10" s="215"/>
      <c r="I10" s="215"/>
      <c r="J10" s="215"/>
      <c r="K10" s="285"/>
    </row>
    <row r="11" ht="25.5" spans="1:11">
      <c r="A11" s="263">
        <v>1.2</v>
      </c>
      <c r="B11" s="213"/>
      <c r="C11" s="213"/>
      <c r="D11" s="256" t="s">
        <v>389</v>
      </c>
      <c r="E11" s="213" t="s">
        <v>390</v>
      </c>
      <c r="F11" s="261" t="s">
        <v>391</v>
      </c>
      <c r="G11" s="213" t="s">
        <v>187</v>
      </c>
      <c r="H11" s="215">
        <v>1</v>
      </c>
      <c r="I11" s="215">
        <f>SUM(H11:H11)</f>
        <v>1</v>
      </c>
      <c r="J11" s="299">
        <v>750000</v>
      </c>
      <c r="K11" s="285">
        <f t="shared" ref="K11:K21" si="0">SUM(I11*J11)</f>
        <v>750000</v>
      </c>
    </row>
    <row r="12" spans="1:11">
      <c r="A12" s="263"/>
      <c r="B12" s="275"/>
      <c r="C12" s="275"/>
      <c r="D12" s="275"/>
      <c r="E12" s="213"/>
      <c r="F12" s="257" t="s">
        <v>392</v>
      </c>
      <c r="G12" s="213"/>
      <c r="H12" s="215"/>
      <c r="I12" s="215"/>
      <c r="J12" s="215"/>
      <c r="K12" s="285"/>
    </row>
    <row r="13" spans="1:11">
      <c r="A13" s="263"/>
      <c r="B13" s="275"/>
      <c r="C13" s="275"/>
      <c r="D13" s="275"/>
      <c r="E13" s="213"/>
      <c r="F13" s="257" t="s">
        <v>393</v>
      </c>
      <c r="G13" s="213"/>
      <c r="H13" s="215"/>
      <c r="I13" s="215"/>
      <c r="J13" s="215"/>
      <c r="K13" s="285"/>
    </row>
    <row r="14" ht="114.75" spans="1:11">
      <c r="A14" s="263"/>
      <c r="B14" s="275"/>
      <c r="C14" s="275"/>
      <c r="D14" s="275"/>
      <c r="E14" s="213"/>
      <c r="F14" s="265" t="s">
        <v>394</v>
      </c>
      <c r="G14" s="213"/>
      <c r="H14" s="215"/>
      <c r="I14" s="215"/>
      <c r="J14" s="215"/>
      <c r="K14" s="285"/>
    </row>
    <row r="15" spans="1:11">
      <c r="A15" s="263"/>
      <c r="B15" s="275"/>
      <c r="C15" s="275"/>
      <c r="D15" s="275"/>
      <c r="E15" s="213"/>
      <c r="F15" s="257" t="s">
        <v>395</v>
      </c>
      <c r="G15" s="213"/>
      <c r="H15" s="215"/>
      <c r="I15" s="215"/>
      <c r="J15" s="215"/>
      <c r="K15" s="285"/>
    </row>
    <row r="16" ht="89.25" spans="1:11">
      <c r="A16" s="263"/>
      <c r="B16" s="275"/>
      <c r="C16" s="275"/>
      <c r="D16" s="275"/>
      <c r="E16" s="213"/>
      <c r="F16" s="265" t="s">
        <v>396</v>
      </c>
      <c r="G16" s="213"/>
      <c r="H16" s="215"/>
      <c r="I16" s="215"/>
      <c r="J16" s="215"/>
      <c r="K16" s="285"/>
    </row>
    <row r="17" spans="1:11">
      <c r="A17" s="263"/>
      <c r="B17" s="275"/>
      <c r="C17" s="275"/>
      <c r="D17" s="275"/>
      <c r="E17" s="213"/>
      <c r="F17" s="257" t="s">
        <v>397</v>
      </c>
      <c r="G17" s="213"/>
      <c r="H17" s="215"/>
      <c r="I17" s="215"/>
      <c r="J17" s="215"/>
      <c r="K17" s="285"/>
    </row>
    <row r="18" ht="89.25" spans="1:12">
      <c r="A18" s="263"/>
      <c r="B18" s="275"/>
      <c r="C18" s="275"/>
      <c r="D18" s="275"/>
      <c r="E18" s="213"/>
      <c r="F18" s="265" t="s">
        <v>398</v>
      </c>
      <c r="G18" s="213"/>
      <c r="H18" s="215"/>
      <c r="I18" s="215"/>
      <c r="J18" s="215"/>
      <c r="K18" s="285"/>
      <c r="L18" s="252"/>
    </row>
    <row r="19" spans="1:11">
      <c r="A19" s="263"/>
      <c r="B19" s="275"/>
      <c r="C19" s="275"/>
      <c r="D19" s="275"/>
      <c r="E19" s="213"/>
      <c r="F19" s="258"/>
      <c r="G19" s="213"/>
      <c r="H19" s="215"/>
      <c r="I19" s="215"/>
      <c r="J19" s="215"/>
      <c r="K19" s="285"/>
    </row>
    <row r="20" ht="25.5" spans="1:11">
      <c r="A20" s="263">
        <v>1.3</v>
      </c>
      <c r="B20" s="213"/>
      <c r="C20" s="213"/>
      <c r="D20" s="256" t="s">
        <v>389</v>
      </c>
      <c r="E20" s="213" t="s">
        <v>399</v>
      </c>
      <c r="F20" s="257" t="s">
        <v>400</v>
      </c>
      <c r="G20" s="213"/>
      <c r="H20" s="215"/>
      <c r="I20" s="215"/>
      <c r="J20" s="215"/>
      <c r="K20" s="285"/>
    </row>
    <row r="21" spans="1:11">
      <c r="A21" s="263"/>
      <c r="B21" s="275"/>
      <c r="C21" s="275"/>
      <c r="D21" s="275"/>
      <c r="E21" s="213"/>
      <c r="F21" s="257" t="s">
        <v>401</v>
      </c>
      <c r="G21" s="213" t="s">
        <v>187</v>
      </c>
      <c r="H21" s="215">
        <v>1</v>
      </c>
      <c r="I21" s="215">
        <f>SUM(H21:H21)</f>
        <v>1</v>
      </c>
      <c r="J21" s="215">
        <v>178000</v>
      </c>
      <c r="K21" s="285">
        <f t="shared" si="0"/>
        <v>178000</v>
      </c>
    </row>
    <row r="22" s="252" customFormat="1" ht="91.5" customHeight="1" spans="1:11">
      <c r="A22" s="276"/>
      <c r="B22" s="277"/>
      <c r="C22" s="277"/>
      <c r="D22" s="277"/>
      <c r="E22" s="278"/>
      <c r="F22" s="265" t="s">
        <v>402</v>
      </c>
      <c r="G22" s="278"/>
      <c r="H22" s="279"/>
      <c r="I22" s="279"/>
      <c r="J22" s="279"/>
      <c r="K22" s="285"/>
    </row>
    <row r="23" spans="1:11">
      <c r="A23" s="263"/>
      <c r="B23" s="213"/>
      <c r="C23" s="213"/>
      <c r="D23" s="213"/>
      <c r="E23" s="213"/>
      <c r="F23" s="258"/>
      <c r="G23" s="213"/>
      <c r="H23" s="215"/>
      <c r="I23" s="215"/>
      <c r="J23" s="215"/>
      <c r="K23" s="285"/>
    </row>
    <row r="24" spans="1:11">
      <c r="A24" s="259" t="s">
        <v>69</v>
      </c>
      <c r="B24" s="280"/>
      <c r="C24" s="280"/>
      <c r="D24" s="280"/>
      <c r="E24" s="280"/>
      <c r="F24" s="261" t="s">
        <v>82</v>
      </c>
      <c r="G24" s="262"/>
      <c r="H24" s="264"/>
      <c r="I24" s="264"/>
      <c r="J24" s="264"/>
      <c r="K24" s="285"/>
    </row>
    <row r="25" spans="1:11">
      <c r="A25" s="263"/>
      <c r="B25" s="275"/>
      <c r="C25" s="275"/>
      <c r="D25" s="275"/>
      <c r="E25" s="275"/>
      <c r="F25" s="261"/>
      <c r="G25" s="213"/>
      <c r="H25" s="215"/>
      <c r="I25" s="215"/>
      <c r="J25" s="215"/>
      <c r="K25" s="285"/>
    </row>
    <row r="26" ht="25.5" spans="1:11">
      <c r="A26" s="263">
        <v>2.1</v>
      </c>
      <c r="B26" s="275"/>
      <c r="C26" s="275"/>
      <c r="D26" s="230" t="s">
        <v>313</v>
      </c>
      <c r="E26" s="275" t="s">
        <v>403</v>
      </c>
      <c r="F26" s="282" t="s">
        <v>404</v>
      </c>
      <c r="G26" s="213" t="s">
        <v>63</v>
      </c>
      <c r="H26" s="215">
        <v>15</v>
      </c>
      <c r="I26" s="215">
        <f>SUM(H26:H26)</f>
        <v>15</v>
      </c>
      <c r="J26" s="215">
        <v>20800</v>
      </c>
      <c r="K26" s="285">
        <f t="shared" ref="K26" si="1">SUM(I26*J26)</f>
        <v>312000</v>
      </c>
    </row>
    <row r="27" ht="153" customHeight="1" spans="1:11">
      <c r="A27" s="283"/>
      <c r="B27" s="275"/>
      <c r="C27" s="275"/>
      <c r="D27" s="275"/>
      <c r="E27" s="275"/>
      <c r="F27" s="284" t="s">
        <v>405</v>
      </c>
      <c r="G27" s="213"/>
      <c r="H27" s="215"/>
      <c r="I27" s="215"/>
      <c r="J27" s="215"/>
      <c r="K27" s="285"/>
    </row>
    <row r="28" spans="1:11">
      <c r="A28" s="263"/>
      <c r="B28" s="275"/>
      <c r="C28" s="275"/>
      <c r="D28" s="275"/>
      <c r="E28" s="275"/>
      <c r="F28" s="266"/>
      <c r="G28" s="213"/>
      <c r="H28" s="215"/>
      <c r="I28" s="215"/>
      <c r="J28" s="215"/>
      <c r="K28" s="285"/>
    </row>
    <row r="29" ht="25.5" spans="1:11">
      <c r="A29" s="263">
        <v>2.2</v>
      </c>
      <c r="B29" s="275"/>
      <c r="C29" s="275"/>
      <c r="D29" s="230" t="s">
        <v>313</v>
      </c>
      <c r="E29" s="275" t="s">
        <v>403</v>
      </c>
      <c r="F29" s="282" t="s">
        <v>406</v>
      </c>
      <c r="G29" s="213" t="s">
        <v>63</v>
      </c>
      <c r="H29" s="215">
        <v>10</v>
      </c>
      <c r="I29" s="215">
        <f>SUM(H29:H29)</f>
        <v>10</v>
      </c>
      <c r="J29" s="215">
        <v>20800</v>
      </c>
      <c r="K29" s="285">
        <f t="shared" ref="K29" si="2">SUM(I29*J29)</f>
        <v>208000</v>
      </c>
    </row>
    <row r="30" ht="140.25" spans="1:11">
      <c r="A30" s="283"/>
      <c r="B30" s="275"/>
      <c r="C30" s="275"/>
      <c r="D30" s="275"/>
      <c r="E30" s="275"/>
      <c r="F30" s="284" t="s">
        <v>407</v>
      </c>
      <c r="G30" s="213"/>
      <c r="H30" s="215"/>
      <c r="I30" s="215"/>
      <c r="J30" s="215"/>
      <c r="K30" s="285"/>
    </row>
    <row r="31" spans="1:11">
      <c r="A31" s="263"/>
      <c r="B31" s="275"/>
      <c r="C31" s="275"/>
      <c r="D31" s="275"/>
      <c r="E31" s="275"/>
      <c r="F31" s="266"/>
      <c r="G31" s="213"/>
      <c r="H31" s="215"/>
      <c r="I31" s="215"/>
      <c r="J31" s="215"/>
      <c r="K31" s="285"/>
    </row>
    <row r="32" ht="25.5" spans="1:11">
      <c r="A32" s="263">
        <v>2.3</v>
      </c>
      <c r="B32" s="275"/>
      <c r="C32" s="275"/>
      <c r="D32" s="230" t="s">
        <v>313</v>
      </c>
      <c r="E32" s="275" t="s">
        <v>403</v>
      </c>
      <c r="F32" s="282" t="s">
        <v>408</v>
      </c>
      <c r="G32" s="213" t="s">
        <v>63</v>
      </c>
      <c r="H32" s="215">
        <v>4</v>
      </c>
      <c r="I32" s="215">
        <f>SUM(H32:H32)</f>
        <v>4</v>
      </c>
      <c r="J32" s="215">
        <v>8350</v>
      </c>
      <c r="K32" s="285">
        <f t="shared" ref="K32" si="3">SUM(I32*J32)</f>
        <v>33400</v>
      </c>
    </row>
    <row r="33" ht="114.75" spans="1:11">
      <c r="A33" s="283"/>
      <c r="B33" s="275"/>
      <c r="C33" s="275"/>
      <c r="D33" s="275"/>
      <c r="E33" s="275"/>
      <c r="F33" s="284" t="s">
        <v>409</v>
      </c>
      <c r="G33" s="213"/>
      <c r="H33" s="215"/>
      <c r="I33" s="215"/>
      <c r="J33" s="215"/>
      <c r="K33" s="285"/>
    </row>
    <row r="34" spans="1:11">
      <c r="A34" s="263"/>
      <c r="B34" s="275"/>
      <c r="C34" s="275"/>
      <c r="D34" s="275"/>
      <c r="E34" s="275"/>
      <c r="F34" s="281"/>
      <c r="G34" s="213"/>
      <c r="H34" s="215"/>
      <c r="I34" s="215"/>
      <c r="J34" s="241"/>
      <c r="K34" s="285"/>
    </row>
    <row r="35" ht="25.5" spans="1:11">
      <c r="A35" s="263">
        <v>2.4</v>
      </c>
      <c r="B35" s="275"/>
      <c r="C35" s="275"/>
      <c r="D35" s="275" t="s">
        <v>410</v>
      </c>
      <c r="E35" s="275" t="s">
        <v>411</v>
      </c>
      <c r="F35" s="257" t="s">
        <v>412</v>
      </c>
      <c r="G35" s="213" t="s">
        <v>63</v>
      </c>
      <c r="H35" s="215">
        <v>12</v>
      </c>
      <c r="I35" s="215">
        <f>SUM(H35:H35)</f>
        <v>12</v>
      </c>
      <c r="J35" s="299">
        <v>3500</v>
      </c>
      <c r="K35" s="285">
        <f t="shared" ref="K35" si="4">SUM(I35*J35)</f>
        <v>42000</v>
      </c>
    </row>
    <row r="36" ht="51" spans="1:11">
      <c r="A36" s="263"/>
      <c r="B36" s="275"/>
      <c r="C36" s="275"/>
      <c r="D36" s="275"/>
      <c r="E36" s="213"/>
      <c r="F36" s="266" t="s">
        <v>413</v>
      </c>
      <c r="G36" s="213"/>
      <c r="H36" s="215"/>
      <c r="I36" s="215">
        <f>SUM(H36:H36)</f>
        <v>0</v>
      </c>
      <c r="J36" s="215"/>
      <c r="K36" s="285"/>
    </row>
    <row r="37" spans="1:11">
      <c r="A37" s="263"/>
      <c r="B37" s="275"/>
      <c r="C37" s="275"/>
      <c r="D37" s="275"/>
      <c r="E37" s="275"/>
      <c r="F37" s="281"/>
      <c r="G37" s="213"/>
      <c r="H37" s="215"/>
      <c r="I37" s="215"/>
      <c r="J37" s="215"/>
      <c r="K37" s="285"/>
    </row>
    <row r="38" ht="30" spans="1:11">
      <c r="A38" s="263">
        <v>2.5</v>
      </c>
      <c r="B38" s="275"/>
      <c r="C38" s="113"/>
      <c r="D38" s="113" t="s">
        <v>414</v>
      </c>
      <c r="E38" s="113" t="s">
        <v>415</v>
      </c>
      <c r="F38" s="244" t="s">
        <v>370</v>
      </c>
      <c r="G38" s="213" t="s">
        <v>63</v>
      </c>
      <c r="H38" s="215">
        <v>15</v>
      </c>
      <c r="I38" s="215">
        <f>SUM(H38:H38)</f>
        <v>15</v>
      </c>
      <c r="J38" s="299">
        <v>14760</v>
      </c>
      <c r="K38" s="285">
        <f t="shared" ref="K38" si="5">SUM(I38*J38)</f>
        <v>221400</v>
      </c>
    </row>
    <row r="39" ht="120" spans="1:11">
      <c r="A39" s="263"/>
      <c r="B39" s="275"/>
      <c r="C39" s="275"/>
      <c r="D39" s="275"/>
      <c r="E39" s="275"/>
      <c r="F39" s="302" t="s">
        <v>416</v>
      </c>
      <c r="G39" s="213"/>
      <c r="H39" s="215"/>
      <c r="I39" s="215"/>
      <c r="J39" s="215"/>
      <c r="K39" s="285"/>
    </row>
    <row r="40" spans="1:11">
      <c r="A40" s="263"/>
      <c r="B40" s="275"/>
      <c r="C40" s="275"/>
      <c r="D40" s="275"/>
      <c r="E40" s="275"/>
      <c r="F40" s="266"/>
      <c r="G40" s="213"/>
      <c r="H40" s="215"/>
      <c r="I40" s="215"/>
      <c r="J40" s="215"/>
      <c r="K40" s="285"/>
    </row>
    <row r="41" ht="25.5" spans="1:11">
      <c r="A41" s="263">
        <v>2.6</v>
      </c>
      <c r="B41" s="275"/>
      <c r="C41" s="275"/>
      <c r="D41" s="226" t="s">
        <v>389</v>
      </c>
      <c r="E41" s="229" t="s">
        <v>417</v>
      </c>
      <c r="F41" s="237" t="s">
        <v>418</v>
      </c>
      <c r="G41" s="213" t="s">
        <v>63</v>
      </c>
      <c r="H41" s="215">
        <v>1</v>
      </c>
      <c r="I41" s="215">
        <f>SUM(H41:H41)</f>
        <v>1</v>
      </c>
      <c r="J41" s="299">
        <v>770000</v>
      </c>
      <c r="K41" s="285">
        <f t="shared" ref="K41" si="6">SUM(I41*J41)</f>
        <v>770000</v>
      </c>
    </row>
    <row r="42" spans="1:11">
      <c r="A42" s="263"/>
      <c r="B42" s="280"/>
      <c r="C42" s="280"/>
      <c r="D42" s="275"/>
      <c r="E42" s="275"/>
      <c r="F42" s="303" t="s">
        <v>419</v>
      </c>
      <c r="G42" s="213"/>
      <c r="H42" s="215"/>
      <c r="I42" s="215"/>
      <c r="J42" s="215"/>
      <c r="K42" s="285"/>
    </row>
    <row r="43" spans="1:11">
      <c r="A43" s="259"/>
      <c r="B43" s="280"/>
      <c r="C43" s="280"/>
      <c r="D43" s="280"/>
      <c r="E43" s="280"/>
      <c r="F43" s="303" t="s">
        <v>420</v>
      </c>
      <c r="G43" s="262"/>
      <c r="H43" s="264"/>
      <c r="I43" s="264"/>
      <c r="J43" s="264"/>
      <c r="K43" s="285"/>
    </row>
    <row r="44" ht="89.25" spans="1:11">
      <c r="A44" s="263"/>
      <c r="B44" s="275"/>
      <c r="C44" s="275"/>
      <c r="D44" s="275"/>
      <c r="E44" s="275"/>
      <c r="F44" s="231" t="s">
        <v>421</v>
      </c>
      <c r="G44" s="213"/>
      <c r="H44" s="215"/>
      <c r="I44" s="215"/>
      <c r="J44" s="215"/>
      <c r="K44" s="285"/>
    </row>
    <row r="45" spans="1:11">
      <c r="A45" s="263"/>
      <c r="B45" s="280"/>
      <c r="C45" s="280"/>
      <c r="D45" s="275"/>
      <c r="E45" s="275"/>
      <c r="F45" s="303" t="s">
        <v>422</v>
      </c>
      <c r="G45" s="213"/>
      <c r="H45" s="215"/>
      <c r="I45" s="215"/>
      <c r="J45" s="215"/>
      <c r="K45" s="285"/>
    </row>
    <row r="46" ht="51" spans="1:11">
      <c r="A46" s="259"/>
      <c r="B46" s="280"/>
      <c r="C46" s="280"/>
      <c r="D46" s="280"/>
      <c r="E46" s="280"/>
      <c r="F46" s="231" t="s">
        <v>423</v>
      </c>
      <c r="G46" s="262"/>
      <c r="H46" s="264"/>
      <c r="I46" s="264"/>
      <c r="J46" s="264"/>
      <c r="K46" s="285"/>
    </row>
    <row r="47" spans="1:11">
      <c r="A47" s="263"/>
      <c r="B47" s="275"/>
      <c r="C47" s="275"/>
      <c r="D47" s="275"/>
      <c r="E47" s="275"/>
      <c r="F47" s="303" t="s">
        <v>424</v>
      </c>
      <c r="G47" s="213"/>
      <c r="H47" s="215"/>
      <c r="I47" s="215"/>
      <c r="J47" s="215"/>
      <c r="K47" s="285"/>
    </row>
    <row r="48" ht="38.25" spans="1:11">
      <c r="A48" s="263"/>
      <c r="B48" s="275"/>
      <c r="C48" s="275"/>
      <c r="D48" s="275"/>
      <c r="E48" s="275"/>
      <c r="F48" s="231" t="s">
        <v>425</v>
      </c>
      <c r="G48" s="213"/>
      <c r="H48" s="215"/>
      <c r="I48" s="215"/>
      <c r="J48" s="215"/>
      <c r="K48" s="285"/>
    </row>
    <row r="49" spans="1:11">
      <c r="A49" s="263"/>
      <c r="B49" s="275"/>
      <c r="C49" s="275"/>
      <c r="D49" s="275"/>
      <c r="E49" s="275"/>
      <c r="F49" s="266"/>
      <c r="G49" s="213"/>
      <c r="H49" s="215"/>
      <c r="I49" s="215"/>
      <c r="J49" s="300"/>
      <c r="K49" s="285"/>
    </row>
    <row r="50" spans="1:11">
      <c r="A50" s="263"/>
      <c r="B50" s="275"/>
      <c r="C50" s="275"/>
      <c r="D50" s="275"/>
      <c r="E50" s="275"/>
      <c r="F50" s="258"/>
      <c r="G50" s="213"/>
      <c r="H50" s="215"/>
      <c r="I50" s="215"/>
      <c r="J50" s="300"/>
      <c r="K50" s="285"/>
    </row>
    <row r="51" ht="24.75" customHeight="1" spans="1:11">
      <c r="A51" s="259"/>
      <c r="B51" s="280"/>
      <c r="C51" s="280"/>
      <c r="D51" s="280"/>
      <c r="E51" s="280"/>
      <c r="F51" s="261" t="s">
        <v>426</v>
      </c>
      <c r="G51" s="262"/>
      <c r="H51" s="264"/>
      <c r="I51" s="264"/>
      <c r="J51" s="264"/>
      <c r="K51" s="287">
        <f>SUM(K6:K50)</f>
        <v>4104300</v>
      </c>
    </row>
  </sheetData>
  <mergeCells count="1">
    <mergeCell ref="J3:K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3"/>
  <sheetViews>
    <sheetView zoomScale="85" zoomScaleNormal="85" workbookViewId="0">
      <selection activeCell="L103" sqref="L103"/>
    </sheetView>
  </sheetViews>
  <sheetFormatPr defaultColWidth="6.125" defaultRowHeight="12.75"/>
  <cols>
    <col min="1" max="1" width="6.75" style="253" customWidth="1"/>
    <col min="2" max="2" width="3.875" style="253" customWidth="1"/>
    <col min="3" max="3" width="3.375" style="253" hidden="1" customWidth="1"/>
    <col min="4" max="4" width="5.25" style="253" hidden="1" customWidth="1"/>
    <col min="5" max="5" width="9" style="253" customWidth="1"/>
    <col min="6" max="6" width="43.125" style="254" customWidth="1"/>
    <col min="7" max="7" width="4.375" style="253" customWidth="1"/>
    <col min="8" max="8" width="9.625" style="253" customWidth="1"/>
    <col min="9" max="9" width="11.125" style="253" customWidth="1"/>
    <col min="10" max="10" width="8.25" style="253" customWidth="1"/>
    <col min="11" max="11" width="13.5" style="253" customWidth="1"/>
    <col min="12" max="12" width="12.125" style="255" customWidth="1"/>
    <col min="13" max="13" width="9.375" style="253" customWidth="1"/>
    <col min="14" max="14" width="6.125" style="253"/>
    <col min="15" max="15" width="10.75" style="253" customWidth="1"/>
    <col min="16" max="17" width="9.25" style="253" customWidth="1"/>
    <col min="18" max="250" width="6.125" style="253"/>
    <col min="251" max="251" width="5" style="253" customWidth="1"/>
    <col min="252" max="252" width="8.875" style="253" customWidth="1"/>
    <col min="253" max="253" width="5" style="253" customWidth="1"/>
    <col min="254" max="254" width="8.25" style="253" customWidth="1"/>
    <col min="255" max="255" width="16.125" style="253" customWidth="1"/>
    <col min="256" max="256" width="86" style="253" customWidth="1"/>
    <col min="257" max="257" width="5" style="253" customWidth="1"/>
    <col min="258" max="258" width="11.125" style="253" customWidth="1"/>
    <col min="259" max="259" width="10.375" style="253" customWidth="1"/>
    <col min="260" max="260" width="10.875" style="253" customWidth="1"/>
    <col min="261" max="261" width="7.75" style="253" customWidth="1"/>
    <col min="262" max="262" width="9.875" style="253" customWidth="1"/>
    <col min="263" max="263" width="10.625" style="253" customWidth="1"/>
    <col min="264" max="506" width="6.125" style="253"/>
    <col min="507" max="507" width="5" style="253" customWidth="1"/>
    <col min="508" max="508" width="8.875" style="253" customWidth="1"/>
    <col min="509" max="509" width="5" style="253" customWidth="1"/>
    <col min="510" max="510" width="8.25" style="253" customWidth="1"/>
    <col min="511" max="511" width="16.125" style="253" customWidth="1"/>
    <col min="512" max="512" width="86" style="253" customWidth="1"/>
    <col min="513" max="513" width="5" style="253" customWidth="1"/>
    <col min="514" max="514" width="11.125" style="253" customWidth="1"/>
    <col min="515" max="515" width="10.375" style="253" customWidth="1"/>
    <col min="516" max="516" width="10.875" style="253" customWidth="1"/>
    <col min="517" max="517" width="7.75" style="253" customWidth="1"/>
    <col min="518" max="518" width="9.875" style="253" customWidth="1"/>
    <col min="519" max="519" width="10.625" style="253" customWidth="1"/>
    <col min="520" max="762" width="6.125" style="253"/>
    <col min="763" max="763" width="5" style="253" customWidth="1"/>
    <col min="764" max="764" width="8.875" style="253" customWidth="1"/>
    <col min="765" max="765" width="5" style="253" customWidth="1"/>
    <col min="766" max="766" width="8.25" style="253" customWidth="1"/>
    <col min="767" max="767" width="16.125" style="253" customWidth="1"/>
    <col min="768" max="768" width="86" style="253" customWidth="1"/>
    <col min="769" max="769" width="5" style="253" customWidth="1"/>
    <col min="770" max="770" width="11.125" style="253" customWidth="1"/>
    <col min="771" max="771" width="10.375" style="253" customWidth="1"/>
    <col min="772" max="772" width="10.875" style="253" customWidth="1"/>
    <col min="773" max="773" width="7.75" style="253" customWidth="1"/>
    <col min="774" max="774" width="9.875" style="253" customWidth="1"/>
    <col min="775" max="775" width="10.625" style="253" customWidth="1"/>
    <col min="776" max="1018" width="6.125" style="253"/>
    <col min="1019" max="1019" width="5" style="253" customWidth="1"/>
    <col min="1020" max="1020" width="8.875" style="253" customWidth="1"/>
    <col min="1021" max="1021" width="5" style="253" customWidth="1"/>
    <col min="1022" max="1022" width="8.25" style="253" customWidth="1"/>
    <col min="1023" max="1023" width="16.125" style="253" customWidth="1"/>
    <col min="1024" max="1024" width="86" style="253" customWidth="1"/>
    <col min="1025" max="1025" width="5" style="253" customWidth="1"/>
    <col min="1026" max="1026" width="11.125" style="253" customWidth="1"/>
    <col min="1027" max="1027" width="10.375" style="253" customWidth="1"/>
    <col min="1028" max="1028" width="10.875" style="253" customWidth="1"/>
    <col min="1029" max="1029" width="7.75" style="253" customWidth="1"/>
    <col min="1030" max="1030" width="9.875" style="253" customWidth="1"/>
    <col min="1031" max="1031" width="10.625" style="253" customWidth="1"/>
    <col min="1032" max="1274" width="6.125" style="253"/>
    <col min="1275" max="1275" width="5" style="253" customWidth="1"/>
    <col min="1276" max="1276" width="8.875" style="253" customWidth="1"/>
    <col min="1277" max="1277" width="5" style="253" customWidth="1"/>
    <col min="1278" max="1278" width="8.25" style="253" customWidth="1"/>
    <col min="1279" max="1279" width="16.125" style="253" customWidth="1"/>
    <col min="1280" max="1280" width="86" style="253" customWidth="1"/>
    <col min="1281" max="1281" width="5" style="253" customWidth="1"/>
    <col min="1282" max="1282" width="11.125" style="253" customWidth="1"/>
    <col min="1283" max="1283" width="10.375" style="253" customWidth="1"/>
    <col min="1284" max="1284" width="10.875" style="253" customWidth="1"/>
    <col min="1285" max="1285" width="7.75" style="253" customWidth="1"/>
    <col min="1286" max="1286" width="9.875" style="253" customWidth="1"/>
    <col min="1287" max="1287" width="10.625" style="253" customWidth="1"/>
    <col min="1288" max="1530" width="6.125" style="253"/>
    <col min="1531" max="1531" width="5" style="253" customWidth="1"/>
    <col min="1532" max="1532" width="8.875" style="253" customWidth="1"/>
    <col min="1533" max="1533" width="5" style="253" customWidth="1"/>
    <col min="1534" max="1534" width="8.25" style="253" customWidth="1"/>
    <col min="1535" max="1535" width="16.125" style="253" customWidth="1"/>
    <col min="1536" max="1536" width="86" style="253" customWidth="1"/>
    <col min="1537" max="1537" width="5" style="253" customWidth="1"/>
    <col min="1538" max="1538" width="11.125" style="253" customWidth="1"/>
    <col min="1539" max="1539" width="10.375" style="253" customWidth="1"/>
    <col min="1540" max="1540" width="10.875" style="253" customWidth="1"/>
    <col min="1541" max="1541" width="7.75" style="253" customWidth="1"/>
    <col min="1542" max="1542" width="9.875" style="253" customWidth="1"/>
    <col min="1543" max="1543" width="10.625" style="253" customWidth="1"/>
    <col min="1544" max="1786" width="6.125" style="253"/>
    <col min="1787" max="1787" width="5" style="253" customWidth="1"/>
    <col min="1788" max="1788" width="8.875" style="253" customWidth="1"/>
    <col min="1789" max="1789" width="5" style="253" customWidth="1"/>
    <col min="1790" max="1790" width="8.25" style="253" customWidth="1"/>
    <col min="1791" max="1791" width="16.125" style="253" customWidth="1"/>
    <col min="1792" max="1792" width="86" style="253" customWidth="1"/>
    <col min="1793" max="1793" width="5" style="253" customWidth="1"/>
    <col min="1794" max="1794" width="11.125" style="253" customWidth="1"/>
    <col min="1795" max="1795" width="10.375" style="253" customWidth="1"/>
    <col min="1796" max="1796" width="10.875" style="253" customWidth="1"/>
    <col min="1797" max="1797" width="7.75" style="253" customWidth="1"/>
    <col min="1798" max="1798" width="9.875" style="253" customWidth="1"/>
    <col min="1799" max="1799" width="10.625" style="253" customWidth="1"/>
    <col min="1800" max="2042" width="6.125" style="253"/>
    <col min="2043" max="2043" width="5" style="253" customWidth="1"/>
    <col min="2044" max="2044" width="8.875" style="253" customWidth="1"/>
    <col min="2045" max="2045" width="5" style="253" customWidth="1"/>
    <col min="2046" max="2046" width="8.25" style="253" customWidth="1"/>
    <col min="2047" max="2047" width="16.125" style="253" customWidth="1"/>
    <col min="2048" max="2048" width="86" style="253" customWidth="1"/>
    <col min="2049" max="2049" width="5" style="253" customWidth="1"/>
    <col min="2050" max="2050" width="11.125" style="253" customWidth="1"/>
    <col min="2051" max="2051" width="10.375" style="253" customWidth="1"/>
    <col min="2052" max="2052" width="10.875" style="253" customWidth="1"/>
    <col min="2053" max="2053" width="7.75" style="253" customWidth="1"/>
    <col min="2054" max="2054" width="9.875" style="253" customWidth="1"/>
    <col min="2055" max="2055" width="10.625" style="253" customWidth="1"/>
    <col min="2056" max="2298" width="6.125" style="253"/>
    <col min="2299" max="2299" width="5" style="253" customWidth="1"/>
    <col min="2300" max="2300" width="8.875" style="253" customWidth="1"/>
    <col min="2301" max="2301" width="5" style="253" customWidth="1"/>
    <col min="2302" max="2302" width="8.25" style="253" customWidth="1"/>
    <col min="2303" max="2303" width="16.125" style="253" customWidth="1"/>
    <col min="2304" max="2304" width="86" style="253" customWidth="1"/>
    <col min="2305" max="2305" width="5" style="253" customWidth="1"/>
    <col min="2306" max="2306" width="11.125" style="253" customWidth="1"/>
    <col min="2307" max="2307" width="10.375" style="253" customWidth="1"/>
    <col min="2308" max="2308" width="10.875" style="253" customWidth="1"/>
    <col min="2309" max="2309" width="7.75" style="253" customWidth="1"/>
    <col min="2310" max="2310" width="9.875" style="253" customWidth="1"/>
    <col min="2311" max="2311" width="10.625" style="253" customWidth="1"/>
    <col min="2312" max="2554" width="6.125" style="253"/>
    <col min="2555" max="2555" width="5" style="253" customWidth="1"/>
    <col min="2556" max="2556" width="8.875" style="253" customWidth="1"/>
    <col min="2557" max="2557" width="5" style="253" customWidth="1"/>
    <col min="2558" max="2558" width="8.25" style="253" customWidth="1"/>
    <col min="2559" max="2559" width="16.125" style="253" customWidth="1"/>
    <col min="2560" max="2560" width="86" style="253" customWidth="1"/>
    <col min="2561" max="2561" width="5" style="253" customWidth="1"/>
    <col min="2562" max="2562" width="11.125" style="253" customWidth="1"/>
    <col min="2563" max="2563" width="10.375" style="253" customWidth="1"/>
    <col min="2564" max="2564" width="10.875" style="253" customWidth="1"/>
    <col min="2565" max="2565" width="7.75" style="253" customWidth="1"/>
    <col min="2566" max="2566" width="9.875" style="253" customWidth="1"/>
    <col min="2567" max="2567" width="10.625" style="253" customWidth="1"/>
    <col min="2568" max="2810" width="6.125" style="253"/>
    <col min="2811" max="2811" width="5" style="253" customWidth="1"/>
    <col min="2812" max="2812" width="8.875" style="253" customWidth="1"/>
    <col min="2813" max="2813" width="5" style="253" customWidth="1"/>
    <col min="2814" max="2814" width="8.25" style="253" customWidth="1"/>
    <col min="2815" max="2815" width="16.125" style="253" customWidth="1"/>
    <col min="2816" max="2816" width="86" style="253" customWidth="1"/>
    <col min="2817" max="2817" width="5" style="253" customWidth="1"/>
    <col min="2818" max="2818" width="11.125" style="253" customWidth="1"/>
    <col min="2819" max="2819" width="10.375" style="253" customWidth="1"/>
    <col min="2820" max="2820" width="10.875" style="253" customWidth="1"/>
    <col min="2821" max="2821" width="7.75" style="253" customWidth="1"/>
    <col min="2822" max="2822" width="9.875" style="253" customWidth="1"/>
    <col min="2823" max="2823" width="10.625" style="253" customWidth="1"/>
    <col min="2824" max="3066" width="6.125" style="253"/>
    <col min="3067" max="3067" width="5" style="253" customWidth="1"/>
    <col min="3068" max="3068" width="8.875" style="253" customWidth="1"/>
    <col min="3069" max="3069" width="5" style="253" customWidth="1"/>
    <col min="3070" max="3070" width="8.25" style="253" customWidth="1"/>
    <col min="3071" max="3071" width="16.125" style="253" customWidth="1"/>
    <col min="3072" max="3072" width="86" style="253" customWidth="1"/>
    <col min="3073" max="3073" width="5" style="253" customWidth="1"/>
    <col min="3074" max="3074" width="11.125" style="253" customWidth="1"/>
    <col min="3075" max="3075" width="10.375" style="253" customWidth="1"/>
    <col min="3076" max="3076" width="10.875" style="253" customWidth="1"/>
    <col min="3077" max="3077" width="7.75" style="253" customWidth="1"/>
    <col min="3078" max="3078" width="9.875" style="253" customWidth="1"/>
    <col min="3079" max="3079" width="10.625" style="253" customWidth="1"/>
    <col min="3080" max="3322" width="6.125" style="253"/>
    <col min="3323" max="3323" width="5" style="253" customWidth="1"/>
    <col min="3324" max="3324" width="8.875" style="253" customWidth="1"/>
    <col min="3325" max="3325" width="5" style="253" customWidth="1"/>
    <col min="3326" max="3326" width="8.25" style="253" customWidth="1"/>
    <col min="3327" max="3327" width="16.125" style="253" customWidth="1"/>
    <col min="3328" max="3328" width="86" style="253" customWidth="1"/>
    <col min="3329" max="3329" width="5" style="253" customWidth="1"/>
    <col min="3330" max="3330" width="11.125" style="253" customWidth="1"/>
    <col min="3331" max="3331" width="10.375" style="253" customWidth="1"/>
    <col min="3332" max="3332" width="10.875" style="253" customWidth="1"/>
    <col min="3333" max="3333" width="7.75" style="253" customWidth="1"/>
    <col min="3334" max="3334" width="9.875" style="253" customWidth="1"/>
    <col min="3335" max="3335" width="10.625" style="253" customWidth="1"/>
    <col min="3336" max="3578" width="6.125" style="253"/>
    <col min="3579" max="3579" width="5" style="253" customWidth="1"/>
    <col min="3580" max="3580" width="8.875" style="253" customWidth="1"/>
    <col min="3581" max="3581" width="5" style="253" customWidth="1"/>
    <col min="3582" max="3582" width="8.25" style="253" customWidth="1"/>
    <col min="3583" max="3583" width="16.125" style="253" customWidth="1"/>
    <col min="3584" max="3584" width="86" style="253" customWidth="1"/>
    <col min="3585" max="3585" width="5" style="253" customWidth="1"/>
    <col min="3586" max="3586" width="11.125" style="253" customWidth="1"/>
    <col min="3587" max="3587" width="10.375" style="253" customWidth="1"/>
    <col min="3588" max="3588" width="10.875" style="253" customWidth="1"/>
    <col min="3589" max="3589" width="7.75" style="253" customWidth="1"/>
    <col min="3590" max="3590" width="9.875" style="253" customWidth="1"/>
    <col min="3591" max="3591" width="10.625" style="253" customWidth="1"/>
    <col min="3592" max="3834" width="6.125" style="253"/>
    <col min="3835" max="3835" width="5" style="253" customWidth="1"/>
    <col min="3836" max="3836" width="8.875" style="253" customWidth="1"/>
    <col min="3837" max="3837" width="5" style="253" customWidth="1"/>
    <col min="3838" max="3838" width="8.25" style="253" customWidth="1"/>
    <col min="3839" max="3839" width="16.125" style="253" customWidth="1"/>
    <col min="3840" max="3840" width="86" style="253" customWidth="1"/>
    <col min="3841" max="3841" width="5" style="253" customWidth="1"/>
    <col min="3842" max="3842" width="11.125" style="253" customWidth="1"/>
    <col min="3843" max="3843" width="10.375" style="253" customWidth="1"/>
    <col min="3844" max="3844" width="10.875" style="253" customWidth="1"/>
    <col min="3845" max="3845" width="7.75" style="253" customWidth="1"/>
    <col min="3846" max="3846" width="9.875" style="253" customWidth="1"/>
    <col min="3847" max="3847" width="10.625" style="253" customWidth="1"/>
    <col min="3848" max="4090" width="6.125" style="253"/>
    <col min="4091" max="4091" width="5" style="253" customWidth="1"/>
    <col min="4092" max="4092" width="8.875" style="253" customWidth="1"/>
    <col min="4093" max="4093" width="5" style="253" customWidth="1"/>
    <col min="4094" max="4094" width="8.25" style="253" customWidth="1"/>
    <col min="4095" max="4095" width="16.125" style="253" customWidth="1"/>
    <col min="4096" max="4096" width="86" style="253" customWidth="1"/>
    <col min="4097" max="4097" width="5" style="253" customWidth="1"/>
    <col min="4098" max="4098" width="11.125" style="253" customWidth="1"/>
    <col min="4099" max="4099" width="10.375" style="253" customWidth="1"/>
    <col min="4100" max="4100" width="10.875" style="253" customWidth="1"/>
    <col min="4101" max="4101" width="7.75" style="253" customWidth="1"/>
    <col min="4102" max="4102" width="9.875" style="253" customWidth="1"/>
    <col min="4103" max="4103" width="10.625" style="253" customWidth="1"/>
    <col min="4104" max="4346" width="6.125" style="253"/>
    <col min="4347" max="4347" width="5" style="253" customWidth="1"/>
    <col min="4348" max="4348" width="8.875" style="253" customWidth="1"/>
    <col min="4349" max="4349" width="5" style="253" customWidth="1"/>
    <col min="4350" max="4350" width="8.25" style="253" customWidth="1"/>
    <col min="4351" max="4351" width="16.125" style="253" customWidth="1"/>
    <col min="4352" max="4352" width="86" style="253" customWidth="1"/>
    <col min="4353" max="4353" width="5" style="253" customWidth="1"/>
    <col min="4354" max="4354" width="11.125" style="253" customWidth="1"/>
    <col min="4355" max="4355" width="10.375" style="253" customWidth="1"/>
    <col min="4356" max="4356" width="10.875" style="253" customWidth="1"/>
    <col min="4357" max="4357" width="7.75" style="253" customWidth="1"/>
    <col min="4358" max="4358" width="9.875" style="253" customWidth="1"/>
    <col min="4359" max="4359" width="10.625" style="253" customWidth="1"/>
    <col min="4360" max="4602" width="6.125" style="253"/>
    <col min="4603" max="4603" width="5" style="253" customWidth="1"/>
    <col min="4604" max="4604" width="8.875" style="253" customWidth="1"/>
    <col min="4605" max="4605" width="5" style="253" customWidth="1"/>
    <col min="4606" max="4606" width="8.25" style="253" customWidth="1"/>
    <col min="4607" max="4607" width="16.125" style="253" customWidth="1"/>
    <col min="4608" max="4608" width="86" style="253" customWidth="1"/>
    <col min="4609" max="4609" width="5" style="253" customWidth="1"/>
    <col min="4610" max="4610" width="11.125" style="253" customWidth="1"/>
    <col min="4611" max="4611" width="10.375" style="253" customWidth="1"/>
    <col min="4612" max="4612" width="10.875" style="253" customWidth="1"/>
    <col min="4613" max="4613" width="7.75" style="253" customWidth="1"/>
    <col min="4614" max="4614" width="9.875" style="253" customWidth="1"/>
    <col min="4615" max="4615" width="10.625" style="253" customWidth="1"/>
    <col min="4616" max="4858" width="6.125" style="253"/>
    <col min="4859" max="4859" width="5" style="253" customWidth="1"/>
    <col min="4860" max="4860" width="8.875" style="253" customWidth="1"/>
    <col min="4861" max="4861" width="5" style="253" customWidth="1"/>
    <col min="4862" max="4862" width="8.25" style="253" customWidth="1"/>
    <col min="4863" max="4863" width="16.125" style="253" customWidth="1"/>
    <col min="4864" max="4864" width="86" style="253" customWidth="1"/>
    <col min="4865" max="4865" width="5" style="253" customWidth="1"/>
    <col min="4866" max="4866" width="11.125" style="253" customWidth="1"/>
    <col min="4867" max="4867" width="10.375" style="253" customWidth="1"/>
    <col min="4868" max="4868" width="10.875" style="253" customWidth="1"/>
    <col min="4869" max="4869" width="7.75" style="253" customWidth="1"/>
    <col min="4870" max="4870" width="9.875" style="253" customWidth="1"/>
    <col min="4871" max="4871" width="10.625" style="253" customWidth="1"/>
    <col min="4872" max="5114" width="6.125" style="253"/>
    <col min="5115" max="5115" width="5" style="253" customWidth="1"/>
    <col min="5116" max="5116" width="8.875" style="253" customWidth="1"/>
    <col min="5117" max="5117" width="5" style="253" customWidth="1"/>
    <col min="5118" max="5118" width="8.25" style="253" customWidth="1"/>
    <col min="5119" max="5119" width="16.125" style="253" customWidth="1"/>
    <col min="5120" max="5120" width="86" style="253" customWidth="1"/>
    <col min="5121" max="5121" width="5" style="253" customWidth="1"/>
    <col min="5122" max="5122" width="11.125" style="253" customWidth="1"/>
    <col min="5123" max="5123" width="10.375" style="253" customWidth="1"/>
    <col min="5124" max="5124" width="10.875" style="253" customWidth="1"/>
    <col min="5125" max="5125" width="7.75" style="253" customWidth="1"/>
    <col min="5126" max="5126" width="9.875" style="253" customWidth="1"/>
    <col min="5127" max="5127" width="10.625" style="253" customWidth="1"/>
    <col min="5128" max="5370" width="6.125" style="253"/>
    <col min="5371" max="5371" width="5" style="253" customWidth="1"/>
    <col min="5372" max="5372" width="8.875" style="253" customWidth="1"/>
    <col min="5373" max="5373" width="5" style="253" customWidth="1"/>
    <col min="5374" max="5374" width="8.25" style="253" customWidth="1"/>
    <col min="5375" max="5375" width="16.125" style="253" customWidth="1"/>
    <col min="5376" max="5376" width="86" style="253" customWidth="1"/>
    <col min="5377" max="5377" width="5" style="253" customWidth="1"/>
    <col min="5378" max="5378" width="11.125" style="253" customWidth="1"/>
    <col min="5379" max="5379" width="10.375" style="253" customWidth="1"/>
    <col min="5380" max="5380" width="10.875" style="253" customWidth="1"/>
    <col min="5381" max="5381" width="7.75" style="253" customWidth="1"/>
    <col min="5382" max="5382" width="9.875" style="253" customWidth="1"/>
    <col min="5383" max="5383" width="10.625" style="253" customWidth="1"/>
    <col min="5384" max="5626" width="6.125" style="253"/>
    <col min="5627" max="5627" width="5" style="253" customWidth="1"/>
    <col min="5628" max="5628" width="8.875" style="253" customWidth="1"/>
    <col min="5629" max="5629" width="5" style="253" customWidth="1"/>
    <col min="5630" max="5630" width="8.25" style="253" customWidth="1"/>
    <col min="5631" max="5631" width="16.125" style="253" customWidth="1"/>
    <col min="5632" max="5632" width="86" style="253" customWidth="1"/>
    <col min="5633" max="5633" width="5" style="253" customWidth="1"/>
    <col min="5634" max="5634" width="11.125" style="253" customWidth="1"/>
    <col min="5635" max="5635" width="10.375" style="253" customWidth="1"/>
    <col min="5636" max="5636" width="10.875" style="253" customWidth="1"/>
    <col min="5637" max="5637" width="7.75" style="253" customWidth="1"/>
    <col min="5638" max="5638" width="9.875" style="253" customWidth="1"/>
    <col min="5639" max="5639" width="10.625" style="253" customWidth="1"/>
    <col min="5640" max="5882" width="6.125" style="253"/>
    <col min="5883" max="5883" width="5" style="253" customWidth="1"/>
    <col min="5884" max="5884" width="8.875" style="253" customWidth="1"/>
    <col min="5885" max="5885" width="5" style="253" customWidth="1"/>
    <col min="5886" max="5886" width="8.25" style="253" customWidth="1"/>
    <col min="5887" max="5887" width="16.125" style="253" customWidth="1"/>
    <col min="5888" max="5888" width="86" style="253" customWidth="1"/>
    <col min="5889" max="5889" width="5" style="253" customWidth="1"/>
    <col min="5890" max="5890" width="11.125" style="253" customWidth="1"/>
    <col min="5891" max="5891" width="10.375" style="253" customWidth="1"/>
    <col min="5892" max="5892" width="10.875" style="253" customWidth="1"/>
    <col min="5893" max="5893" width="7.75" style="253" customWidth="1"/>
    <col min="5894" max="5894" width="9.875" style="253" customWidth="1"/>
    <col min="5895" max="5895" width="10.625" style="253" customWidth="1"/>
    <col min="5896" max="6138" width="6.125" style="253"/>
    <col min="6139" max="6139" width="5" style="253" customWidth="1"/>
    <col min="6140" max="6140" width="8.875" style="253" customWidth="1"/>
    <col min="6141" max="6141" width="5" style="253" customWidth="1"/>
    <col min="6142" max="6142" width="8.25" style="253" customWidth="1"/>
    <col min="6143" max="6143" width="16.125" style="253" customWidth="1"/>
    <col min="6144" max="6144" width="86" style="253" customWidth="1"/>
    <col min="6145" max="6145" width="5" style="253" customWidth="1"/>
    <col min="6146" max="6146" width="11.125" style="253" customWidth="1"/>
    <col min="6147" max="6147" width="10.375" style="253" customWidth="1"/>
    <col min="6148" max="6148" width="10.875" style="253" customWidth="1"/>
    <col min="6149" max="6149" width="7.75" style="253" customWidth="1"/>
    <col min="6150" max="6150" width="9.875" style="253" customWidth="1"/>
    <col min="6151" max="6151" width="10.625" style="253" customWidth="1"/>
    <col min="6152" max="6394" width="6.125" style="253"/>
    <col min="6395" max="6395" width="5" style="253" customWidth="1"/>
    <col min="6396" max="6396" width="8.875" style="253" customWidth="1"/>
    <col min="6397" max="6397" width="5" style="253" customWidth="1"/>
    <col min="6398" max="6398" width="8.25" style="253" customWidth="1"/>
    <col min="6399" max="6399" width="16.125" style="253" customWidth="1"/>
    <col min="6400" max="6400" width="86" style="253" customWidth="1"/>
    <col min="6401" max="6401" width="5" style="253" customWidth="1"/>
    <col min="6402" max="6402" width="11.125" style="253" customWidth="1"/>
    <col min="6403" max="6403" width="10.375" style="253" customWidth="1"/>
    <col min="6404" max="6404" width="10.875" style="253" customWidth="1"/>
    <col min="6405" max="6405" width="7.75" style="253" customWidth="1"/>
    <col min="6406" max="6406" width="9.875" style="253" customWidth="1"/>
    <col min="6407" max="6407" width="10.625" style="253" customWidth="1"/>
    <col min="6408" max="6650" width="6.125" style="253"/>
    <col min="6651" max="6651" width="5" style="253" customWidth="1"/>
    <col min="6652" max="6652" width="8.875" style="253" customWidth="1"/>
    <col min="6653" max="6653" width="5" style="253" customWidth="1"/>
    <col min="6654" max="6654" width="8.25" style="253" customWidth="1"/>
    <col min="6655" max="6655" width="16.125" style="253" customWidth="1"/>
    <col min="6656" max="6656" width="86" style="253" customWidth="1"/>
    <col min="6657" max="6657" width="5" style="253" customWidth="1"/>
    <col min="6658" max="6658" width="11.125" style="253" customWidth="1"/>
    <col min="6659" max="6659" width="10.375" style="253" customWidth="1"/>
    <col min="6660" max="6660" width="10.875" style="253" customWidth="1"/>
    <col min="6661" max="6661" width="7.75" style="253" customWidth="1"/>
    <col min="6662" max="6662" width="9.875" style="253" customWidth="1"/>
    <col min="6663" max="6663" width="10.625" style="253" customWidth="1"/>
    <col min="6664" max="6906" width="6.125" style="253"/>
    <col min="6907" max="6907" width="5" style="253" customWidth="1"/>
    <col min="6908" max="6908" width="8.875" style="253" customWidth="1"/>
    <col min="6909" max="6909" width="5" style="253" customWidth="1"/>
    <col min="6910" max="6910" width="8.25" style="253" customWidth="1"/>
    <col min="6911" max="6911" width="16.125" style="253" customWidth="1"/>
    <col min="6912" max="6912" width="86" style="253" customWidth="1"/>
    <col min="6913" max="6913" width="5" style="253" customWidth="1"/>
    <col min="6914" max="6914" width="11.125" style="253" customWidth="1"/>
    <col min="6915" max="6915" width="10.375" style="253" customWidth="1"/>
    <col min="6916" max="6916" width="10.875" style="253" customWidth="1"/>
    <col min="6917" max="6917" width="7.75" style="253" customWidth="1"/>
    <col min="6918" max="6918" width="9.875" style="253" customWidth="1"/>
    <col min="6919" max="6919" width="10.625" style="253" customWidth="1"/>
    <col min="6920" max="7162" width="6.125" style="253"/>
    <col min="7163" max="7163" width="5" style="253" customWidth="1"/>
    <col min="7164" max="7164" width="8.875" style="253" customWidth="1"/>
    <col min="7165" max="7165" width="5" style="253" customWidth="1"/>
    <col min="7166" max="7166" width="8.25" style="253" customWidth="1"/>
    <col min="7167" max="7167" width="16.125" style="253" customWidth="1"/>
    <col min="7168" max="7168" width="86" style="253" customWidth="1"/>
    <col min="7169" max="7169" width="5" style="253" customWidth="1"/>
    <col min="7170" max="7170" width="11.125" style="253" customWidth="1"/>
    <col min="7171" max="7171" width="10.375" style="253" customWidth="1"/>
    <col min="7172" max="7172" width="10.875" style="253" customWidth="1"/>
    <col min="7173" max="7173" width="7.75" style="253" customWidth="1"/>
    <col min="7174" max="7174" width="9.875" style="253" customWidth="1"/>
    <col min="7175" max="7175" width="10.625" style="253" customWidth="1"/>
    <col min="7176" max="7418" width="6.125" style="253"/>
    <col min="7419" max="7419" width="5" style="253" customWidth="1"/>
    <col min="7420" max="7420" width="8.875" style="253" customWidth="1"/>
    <col min="7421" max="7421" width="5" style="253" customWidth="1"/>
    <col min="7422" max="7422" width="8.25" style="253" customWidth="1"/>
    <col min="7423" max="7423" width="16.125" style="253" customWidth="1"/>
    <col min="7424" max="7424" width="86" style="253" customWidth="1"/>
    <col min="7425" max="7425" width="5" style="253" customWidth="1"/>
    <col min="7426" max="7426" width="11.125" style="253" customWidth="1"/>
    <col min="7427" max="7427" width="10.375" style="253" customWidth="1"/>
    <col min="7428" max="7428" width="10.875" style="253" customWidth="1"/>
    <col min="7429" max="7429" width="7.75" style="253" customWidth="1"/>
    <col min="7430" max="7430" width="9.875" style="253" customWidth="1"/>
    <col min="7431" max="7431" width="10.625" style="253" customWidth="1"/>
    <col min="7432" max="7674" width="6.125" style="253"/>
    <col min="7675" max="7675" width="5" style="253" customWidth="1"/>
    <col min="7676" max="7676" width="8.875" style="253" customWidth="1"/>
    <col min="7677" max="7677" width="5" style="253" customWidth="1"/>
    <col min="7678" max="7678" width="8.25" style="253" customWidth="1"/>
    <col min="7679" max="7679" width="16.125" style="253" customWidth="1"/>
    <col min="7680" max="7680" width="86" style="253" customWidth="1"/>
    <col min="7681" max="7681" width="5" style="253" customWidth="1"/>
    <col min="7682" max="7682" width="11.125" style="253" customWidth="1"/>
    <col min="7683" max="7683" width="10.375" style="253" customWidth="1"/>
    <col min="7684" max="7684" width="10.875" style="253" customWidth="1"/>
    <col min="7685" max="7685" width="7.75" style="253" customWidth="1"/>
    <col min="7686" max="7686" width="9.875" style="253" customWidth="1"/>
    <col min="7687" max="7687" width="10.625" style="253" customWidth="1"/>
    <col min="7688" max="7930" width="6.125" style="253"/>
    <col min="7931" max="7931" width="5" style="253" customWidth="1"/>
    <col min="7932" max="7932" width="8.875" style="253" customWidth="1"/>
    <col min="7933" max="7933" width="5" style="253" customWidth="1"/>
    <col min="7934" max="7934" width="8.25" style="253" customWidth="1"/>
    <col min="7935" max="7935" width="16.125" style="253" customWidth="1"/>
    <col min="7936" max="7936" width="86" style="253" customWidth="1"/>
    <col min="7937" max="7937" width="5" style="253" customWidth="1"/>
    <col min="7938" max="7938" width="11.125" style="253" customWidth="1"/>
    <col min="7939" max="7939" width="10.375" style="253" customWidth="1"/>
    <col min="7940" max="7940" width="10.875" style="253" customWidth="1"/>
    <col min="7941" max="7941" width="7.75" style="253" customWidth="1"/>
    <col min="7942" max="7942" width="9.875" style="253" customWidth="1"/>
    <col min="7943" max="7943" width="10.625" style="253" customWidth="1"/>
    <col min="7944" max="8186" width="6.125" style="253"/>
    <col min="8187" max="8187" width="5" style="253" customWidth="1"/>
    <col min="8188" max="8188" width="8.875" style="253" customWidth="1"/>
    <col min="8189" max="8189" width="5" style="253" customWidth="1"/>
    <col min="8190" max="8190" width="8.25" style="253" customWidth="1"/>
    <col min="8191" max="8191" width="16.125" style="253" customWidth="1"/>
    <col min="8192" max="8192" width="86" style="253" customWidth="1"/>
    <col min="8193" max="8193" width="5" style="253" customWidth="1"/>
    <col min="8194" max="8194" width="11.125" style="253" customWidth="1"/>
    <col min="8195" max="8195" width="10.375" style="253" customWidth="1"/>
    <col min="8196" max="8196" width="10.875" style="253" customWidth="1"/>
    <col min="8197" max="8197" width="7.75" style="253" customWidth="1"/>
    <col min="8198" max="8198" width="9.875" style="253" customWidth="1"/>
    <col min="8199" max="8199" width="10.625" style="253" customWidth="1"/>
    <col min="8200" max="8442" width="6.125" style="253"/>
    <col min="8443" max="8443" width="5" style="253" customWidth="1"/>
    <col min="8444" max="8444" width="8.875" style="253" customWidth="1"/>
    <col min="8445" max="8445" width="5" style="253" customWidth="1"/>
    <col min="8446" max="8446" width="8.25" style="253" customWidth="1"/>
    <col min="8447" max="8447" width="16.125" style="253" customWidth="1"/>
    <col min="8448" max="8448" width="86" style="253" customWidth="1"/>
    <col min="8449" max="8449" width="5" style="253" customWidth="1"/>
    <col min="8450" max="8450" width="11.125" style="253" customWidth="1"/>
    <col min="8451" max="8451" width="10.375" style="253" customWidth="1"/>
    <col min="8452" max="8452" width="10.875" style="253" customWidth="1"/>
    <col min="8453" max="8453" width="7.75" style="253" customWidth="1"/>
    <col min="8454" max="8454" width="9.875" style="253" customWidth="1"/>
    <col min="8455" max="8455" width="10.625" style="253" customWidth="1"/>
    <col min="8456" max="8698" width="6.125" style="253"/>
    <col min="8699" max="8699" width="5" style="253" customWidth="1"/>
    <col min="8700" max="8700" width="8.875" style="253" customWidth="1"/>
    <col min="8701" max="8701" width="5" style="253" customWidth="1"/>
    <col min="8702" max="8702" width="8.25" style="253" customWidth="1"/>
    <col min="8703" max="8703" width="16.125" style="253" customWidth="1"/>
    <col min="8704" max="8704" width="86" style="253" customWidth="1"/>
    <col min="8705" max="8705" width="5" style="253" customWidth="1"/>
    <col min="8706" max="8706" width="11.125" style="253" customWidth="1"/>
    <col min="8707" max="8707" width="10.375" style="253" customWidth="1"/>
    <col min="8708" max="8708" width="10.875" style="253" customWidth="1"/>
    <col min="8709" max="8709" width="7.75" style="253" customWidth="1"/>
    <col min="8710" max="8710" width="9.875" style="253" customWidth="1"/>
    <col min="8711" max="8711" width="10.625" style="253" customWidth="1"/>
    <col min="8712" max="8954" width="6.125" style="253"/>
    <col min="8955" max="8955" width="5" style="253" customWidth="1"/>
    <col min="8956" max="8956" width="8.875" style="253" customWidth="1"/>
    <col min="8957" max="8957" width="5" style="253" customWidth="1"/>
    <col min="8958" max="8958" width="8.25" style="253" customWidth="1"/>
    <col min="8959" max="8959" width="16.125" style="253" customWidth="1"/>
    <col min="8960" max="8960" width="86" style="253" customWidth="1"/>
    <col min="8961" max="8961" width="5" style="253" customWidth="1"/>
    <col min="8962" max="8962" width="11.125" style="253" customWidth="1"/>
    <col min="8963" max="8963" width="10.375" style="253" customWidth="1"/>
    <col min="8964" max="8964" width="10.875" style="253" customWidth="1"/>
    <col min="8965" max="8965" width="7.75" style="253" customWidth="1"/>
    <col min="8966" max="8966" width="9.875" style="253" customWidth="1"/>
    <col min="8967" max="8967" width="10.625" style="253" customWidth="1"/>
    <col min="8968" max="9210" width="6.125" style="253"/>
    <col min="9211" max="9211" width="5" style="253" customWidth="1"/>
    <col min="9212" max="9212" width="8.875" style="253" customWidth="1"/>
    <col min="9213" max="9213" width="5" style="253" customWidth="1"/>
    <col min="9214" max="9214" width="8.25" style="253" customWidth="1"/>
    <col min="9215" max="9215" width="16.125" style="253" customWidth="1"/>
    <col min="9216" max="9216" width="86" style="253" customWidth="1"/>
    <col min="9217" max="9217" width="5" style="253" customWidth="1"/>
    <col min="9218" max="9218" width="11.125" style="253" customWidth="1"/>
    <col min="9219" max="9219" width="10.375" style="253" customWidth="1"/>
    <col min="9220" max="9220" width="10.875" style="253" customWidth="1"/>
    <col min="9221" max="9221" width="7.75" style="253" customWidth="1"/>
    <col min="9222" max="9222" width="9.875" style="253" customWidth="1"/>
    <col min="9223" max="9223" width="10.625" style="253" customWidth="1"/>
    <col min="9224" max="9466" width="6.125" style="253"/>
    <col min="9467" max="9467" width="5" style="253" customWidth="1"/>
    <col min="9468" max="9468" width="8.875" style="253" customWidth="1"/>
    <col min="9469" max="9469" width="5" style="253" customWidth="1"/>
    <col min="9470" max="9470" width="8.25" style="253" customWidth="1"/>
    <col min="9471" max="9471" width="16.125" style="253" customWidth="1"/>
    <col min="9472" max="9472" width="86" style="253" customWidth="1"/>
    <col min="9473" max="9473" width="5" style="253" customWidth="1"/>
    <col min="9474" max="9474" width="11.125" style="253" customWidth="1"/>
    <col min="9475" max="9475" width="10.375" style="253" customWidth="1"/>
    <col min="9476" max="9476" width="10.875" style="253" customWidth="1"/>
    <col min="9477" max="9477" width="7.75" style="253" customWidth="1"/>
    <col min="9478" max="9478" width="9.875" style="253" customWidth="1"/>
    <col min="9479" max="9479" width="10.625" style="253" customWidth="1"/>
    <col min="9480" max="9722" width="6.125" style="253"/>
    <col min="9723" max="9723" width="5" style="253" customWidth="1"/>
    <col min="9724" max="9724" width="8.875" style="253" customWidth="1"/>
    <col min="9725" max="9725" width="5" style="253" customWidth="1"/>
    <col min="9726" max="9726" width="8.25" style="253" customWidth="1"/>
    <col min="9727" max="9727" width="16.125" style="253" customWidth="1"/>
    <col min="9728" max="9728" width="86" style="253" customWidth="1"/>
    <col min="9729" max="9729" width="5" style="253" customWidth="1"/>
    <col min="9730" max="9730" width="11.125" style="253" customWidth="1"/>
    <col min="9731" max="9731" width="10.375" style="253" customWidth="1"/>
    <col min="9732" max="9732" width="10.875" style="253" customWidth="1"/>
    <col min="9733" max="9733" width="7.75" style="253" customWidth="1"/>
    <col min="9734" max="9734" width="9.875" style="253" customWidth="1"/>
    <col min="9735" max="9735" width="10.625" style="253" customWidth="1"/>
    <col min="9736" max="9978" width="6.125" style="253"/>
    <col min="9979" max="9979" width="5" style="253" customWidth="1"/>
    <col min="9980" max="9980" width="8.875" style="253" customWidth="1"/>
    <col min="9981" max="9981" width="5" style="253" customWidth="1"/>
    <col min="9982" max="9982" width="8.25" style="253" customWidth="1"/>
    <col min="9983" max="9983" width="16.125" style="253" customWidth="1"/>
    <col min="9984" max="9984" width="86" style="253" customWidth="1"/>
    <col min="9985" max="9985" width="5" style="253" customWidth="1"/>
    <col min="9986" max="9986" width="11.125" style="253" customWidth="1"/>
    <col min="9987" max="9987" width="10.375" style="253" customWidth="1"/>
    <col min="9988" max="9988" width="10.875" style="253" customWidth="1"/>
    <col min="9989" max="9989" width="7.75" style="253" customWidth="1"/>
    <col min="9990" max="9990" width="9.875" style="253" customWidth="1"/>
    <col min="9991" max="9991" width="10.625" style="253" customWidth="1"/>
    <col min="9992" max="10234" width="6.125" style="253"/>
    <col min="10235" max="10235" width="5" style="253" customWidth="1"/>
    <col min="10236" max="10236" width="8.875" style="253" customWidth="1"/>
    <col min="10237" max="10237" width="5" style="253" customWidth="1"/>
    <col min="10238" max="10238" width="8.25" style="253" customWidth="1"/>
    <col min="10239" max="10239" width="16.125" style="253" customWidth="1"/>
    <col min="10240" max="10240" width="86" style="253" customWidth="1"/>
    <col min="10241" max="10241" width="5" style="253" customWidth="1"/>
    <col min="10242" max="10242" width="11.125" style="253" customWidth="1"/>
    <col min="10243" max="10243" width="10.375" style="253" customWidth="1"/>
    <col min="10244" max="10244" width="10.875" style="253" customWidth="1"/>
    <col min="10245" max="10245" width="7.75" style="253" customWidth="1"/>
    <col min="10246" max="10246" width="9.875" style="253" customWidth="1"/>
    <col min="10247" max="10247" width="10.625" style="253" customWidth="1"/>
    <col min="10248" max="10490" width="6.125" style="253"/>
    <col min="10491" max="10491" width="5" style="253" customWidth="1"/>
    <col min="10492" max="10492" width="8.875" style="253" customWidth="1"/>
    <col min="10493" max="10493" width="5" style="253" customWidth="1"/>
    <col min="10494" max="10494" width="8.25" style="253" customWidth="1"/>
    <col min="10495" max="10495" width="16.125" style="253" customWidth="1"/>
    <col min="10496" max="10496" width="86" style="253" customWidth="1"/>
    <col min="10497" max="10497" width="5" style="253" customWidth="1"/>
    <col min="10498" max="10498" width="11.125" style="253" customWidth="1"/>
    <col min="10499" max="10499" width="10.375" style="253" customWidth="1"/>
    <col min="10500" max="10500" width="10.875" style="253" customWidth="1"/>
    <col min="10501" max="10501" width="7.75" style="253" customWidth="1"/>
    <col min="10502" max="10502" width="9.875" style="253" customWidth="1"/>
    <col min="10503" max="10503" width="10.625" style="253" customWidth="1"/>
    <col min="10504" max="10746" width="6.125" style="253"/>
    <col min="10747" max="10747" width="5" style="253" customWidth="1"/>
    <col min="10748" max="10748" width="8.875" style="253" customWidth="1"/>
    <col min="10749" max="10749" width="5" style="253" customWidth="1"/>
    <col min="10750" max="10750" width="8.25" style="253" customWidth="1"/>
    <col min="10751" max="10751" width="16.125" style="253" customWidth="1"/>
    <col min="10752" max="10752" width="86" style="253" customWidth="1"/>
    <col min="10753" max="10753" width="5" style="253" customWidth="1"/>
    <col min="10754" max="10754" width="11.125" style="253" customWidth="1"/>
    <col min="10755" max="10755" width="10.375" style="253" customWidth="1"/>
    <col min="10756" max="10756" width="10.875" style="253" customWidth="1"/>
    <col min="10757" max="10757" width="7.75" style="253" customWidth="1"/>
    <col min="10758" max="10758" width="9.875" style="253" customWidth="1"/>
    <col min="10759" max="10759" width="10.625" style="253" customWidth="1"/>
    <col min="10760" max="11002" width="6.125" style="253"/>
    <col min="11003" max="11003" width="5" style="253" customWidth="1"/>
    <col min="11004" max="11004" width="8.875" style="253" customWidth="1"/>
    <col min="11005" max="11005" width="5" style="253" customWidth="1"/>
    <col min="11006" max="11006" width="8.25" style="253" customWidth="1"/>
    <col min="11007" max="11007" width="16.125" style="253" customWidth="1"/>
    <col min="11008" max="11008" width="86" style="253" customWidth="1"/>
    <col min="11009" max="11009" width="5" style="253" customWidth="1"/>
    <col min="11010" max="11010" width="11.125" style="253" customWidth="1"/>
    <col min="11011" max="11011" width="10.375" style="253" customWidth="1"/>
    <col min="11012" max="11012" width="10.875" style="253" customWidth="1"/>
    <col min="11013" max="11013" width="7.75" style="253" customWidth="1"/>
    <col min="11014" max="11014" width="9.875" style="253" customWidth="1"/>
    <col min="11015" max="11015" width="10.625" style="253" customWidth="1"/>
    <col min="11016" max="11258" width="6.125" style="253"/>
    <col min="11259" max="11259" width="5" style="253" customWidth="1"/>
    <col min="11260" max="11260" width="8.875" style="253" customWidth="1"/>
    <col min="11261" max="11261" width="5" style="253" customWidth="1"/>
    <col min="11262" max="11262" width="8.25" style="253" customWidth="1"/>
    <col min="11263" max="11263" width="16.125" style="253" customWidth="1"/>
    <col min="11264" max="11264" width="86" style="253" customWidth="1"/>
    <col min="11265" max="11265" width="5" style="253" customWidth="1"/>
    <col min="11266" max="11266" width="11.125" style="253" customWidth="1"/>
    <col min="11267" max="11267" width="10.375" style="253" customWidth="1"/>
    <col min="11268" max="11268" width="10.875" style="253" customWidth="1"/>
    <col min="11269" max="11269" width="7.75" style="253" customWidth="1"/>
    <col min="11270" max="11270" width="9.875" style="253" customWidth="1"/>
    <col min="11271" max="11271" width="10.625" style="253" customWidth="1"/>
    <col min="11272" max="11514" width="6.125" style="253"/>
    <col min="11515" max="11515" width="5" style="253" customWidth="1"/>
    <col min="11516" max="11516" width="8.875" style="253" customWidth="1"/>
    <col min="11517" max="11517" width="5" style="253" customWidth="1"/>
    <col min="11518" max="11518" width="8.25" style="253" customWidth="1"/>
    <col min="11519" max="11519" width="16.125" style="253" customWidth="1"/>
    <col min="11520" max="11520" width="86" style="253" customWidth="1"/>
    <col min="11521" max="11521" width="5" style="253" customWidth="1"/>
    <col min="11522" max="11522" width="11.125" style="253" customWidth="1"/>
    <col min="11523" max="11523" width="10.375" style="253" customWidth="1"/>
    <col min="11524" max="11524" width="10.875" style="253" customWidth="1"/>
    <col min="11525" max="11525" width="7.75" style="253" customWidth="1"/>
    <col min="11526" max="11526" width="9.875" style="253" customWidth="1"/>
    <col min="11527" max="11527" width="10.625" style="253" customWidth="1"/>
    <col min="11528" max="11770" width="6.125" style="253"/>
    <col min="11771" max="11771" width="5" style="253" customWidth="1"/>
    <col min="11772" max="11772" width="8.875" style="253" customWidth="1"/>
    <col min="11773" max="11773" width="5" style="253" customWidth="1"/>
    <col min="11774" max="11774" width="8.25" style="253" customWidth="1"/>
    <col min="11775" max="11775" width="16.125" style="253" customWidth="1"/>
    <col min="11776" max="11776" width="86" style="253" customWidth="1"/>
    <col min="11777" max="11777" width="5" style="253" customWidth="1"/>
    <col min="11778" max="11778" width="11.125" style="253" customWidth="1"/>
    <col min="11779" max="11779" width="10.375" style="253" customWidth="1"/>
    <col min="11780" max="11780" width="10.875" style="253" customWidth="1"/>
    <col min="11781" max="11781" width="7.75" style="253" customWidth="1"/>
    <col min="11782" max="11782" width="9.875" style="253" customWidth="1"/>
    <col min="11783" max="11783" width="10.625" style="253" customWidth="1"/>
    <col min="11784" max="12026" width="6.125" style="253"/>
    <col min="12027" max="12027" width="5" style="253" customWidth="1"/>
    <col min="12028" max="12028" width="8.875" style="253" customWidth="1"/>
    <col min="12029" max="12029" width="5" style="253" customWidth="1"/>
    <col min="12030" max="12030" width="8.25" style="253" customWidth="1"/>
    <col min="12031" max="12031" width="16.125" style="253" customWidth="1"/>
    <col min="12032" max="12032" width="86" style="253" customWidth="1"/>
    <col min="12033" max="12033" width="5" style="253" customWidth="1"/>
    <col min="12034" max="12034" width="11.125" style="253" customWidth="1"/>
    <col min="12035" max="12035" width="10.375" style="253" customWidth="1"/>
    <col min="12036" max="12036" width="10.875" style="253" customWidth="1"/>
    <col min="12037" max="12037" width="7.75" style="253" customWidth="1"/>
    <col min="12038" max="12038" width="9.875" style="253" customWidth="1"/>
    <col min="12039" max="12039" width="10.625" style="253" customWidth="1"/>
    <col min="12040" max="12282" width="6.125" style="253"/>
    <col min="12283" max="12283" width="5" style="253" customWidth="1"/>
    <col min="12284" max="12284" width="8.875" style="253" customWidth="1"/>
    <col min="12285" max="12285" width="5" style="253" customWidth="1"/>
    <col min="12286" max="12286" width="8.25" style="253" customWidth="1"/>
    <col min="12287" max="12287" width="16.125" style="253" customWidth="1"/>
    <col min="12288" max="12288" width="86" style="253" customWidth="1"/>
    <col min="12289" max="12289" width="5" style="253" customWidth="1"/>
    <col min="12290" max="12290" width="11.125" style="253" customWidth="1"/>
    <col min="12291" max="12291" width="10.375" style="253" customWidth="1"/>
    <col min="12292" max="12292" width="10.875" style="253" customWidth="1"/>
    <col min="12293" max="12293" width="7.75" style="253" customWidth="1"/>
    <col min="12294" max="12294" width="9.875" style="253" customWidth="1"/>
    <col min="12295" max="12295" width="10.625" style="253" customWidth="1"/>
    <col min="12296" max="12538" width="6.125" style="253"/>
    <col min="12539" max="12539" width="5" style="253" customWidth="1"/>
    <col min="12540" max="12540" width="8.875" style="253" customWidth="1"/>
    <col min="12541" max="12541" width="5" style="253" customWidth="1"/>
    <col min="12542" max="12542" width="8.25" style="253" customWidth="1"/>
    <col min="12543" max="12543" width="16.125" style="253" customWidth="1"/>
    <col min="12544" max="12544" width="86" style="253" customWidth="1"/>
    <col min="12545" max="12545" width="5" style="253" customWidth="1"/>
    <col min="12546" max="12546" width="11.125" style="253" customWidth="1"/>
    <col min="12547" max="12547" width="10.375" style="253" customWidth="1"/>
    <col min="12548" max="12548" width="10.875" style="253" customWidth="1"/>
    <col min="12549" max="12549" width="7.75" style="253" customWidth="1"/>
    <col min="12550" max="12550" width="9.875" style="253" customWidth="1"/>
    <col min="12551" max="12551" width="10.625" style="253" customWidth="1"/>
    <col min="12552" max="12794" width="6.125" style="253"/>
    <col min="12795" max="12795" width="5" style="253" customWidth="1"/>
    <col min="12796" max="12796" width="8.875" style="253" customWidth="1"/>
    <col min="12797" max="12797" width="5" style="253" customWidth="1"/>
    <col min="12798" max="12798" width="8.25" style="253" customWidth="1"/>
    <col min="12799" max="12799" width="16.125" style="253" customWidth="1"/>
    <col min="12800" max="12800" width="86" style="253" customWidth="1"/>
    <col min="12801" max="12801" width="5" style="253" customWidth="1"/>
    <col min="12802" max="12802" width="11.125" style="253" customWidth="1"/>
    <col min="12803" max="12803" width="10.375" style="253" customWidth="1"/>
    <col min="12804" max="12804" width="10.875" style="253" customWidth="1"/>
    <col min="12805" max="12805" width="7.75" style="253" customWidth="1"/>
    <col min="12806" max="12806" width="9.875" style="253" customWidth="1"/>
    <col min="12807" max="12807" width="10.625" style="253" customWidth="1"/>
    <col min="12808" max="13050" width="6.125" style="253"/>
    <col min="13051" max="13051" width="5" style="253" customWidth="1"/>
    <col min="13052" max="13052" width="8.875" style="253" customWidth="1"/>
    <col min="13053" max="13053" width="5" style="253" customWidth="1"/>
    <col min="13054" max="13054" width="8.25" style="253" customWidth="1"/>
    <col min="13055" max="13055" width="16.125" style="253" customWidth="1"/>
    <col min="13056" max="13056" width="86" style="253" customWidth="1"/>
    <col min="13057" max="13057" width="5" style="253" customWidth="1"/>
    <col min="13058" max="13058" width="11.125" style="253" customWidth="1"/>
    <col min="13059" max="13059" width="10.375" style="253" customWidth="1"/>
    <col min="13060" max="13060" width="10.875" style="253" customWidth="1"/>
    <col min="13061" max="13061" width="7.75" style="253" customWidth="1"/>
    <col min="13062" max="13062" width="9.875" style="253" customWidth="1"/>
    <col min="13063" max="13063" width="10.625" style="253" customWidth="1"/>
    <col min="13064" max="13306" width="6.125" style="253"/>
    <col min="13307" max="13307" width="5" style="253" customWidth="1"/>
    <col min="13308" max="13308" width="8.875" style="253" customWidth="1"/>
    <col min="13309" max="13309" width="5" style="253" customWidth="1"/>
    <col min="13310" max="13310" width="8.25" style="253" customWidth="1"/>
    <col min="13311" max="13311" width="16.125" style="253" customWidth="1"/>
    <col min="13312" max="13312" width="86" style="253" customWidth="1"/>
    <col min="13313" max="13313" width="5" style="253" customWidth="1"/>
    <col min="13314" max="13314" width="11.125" style="253" customWidth="1"/>
    <col min="13315" max="13315" width="10.375" style="253" customWidth="1"/>
    <col min="13316" max="13316" width="10.875" style="253" customWidth="1"/>
    <col min="13317" max="13317" width="7.75" style="253" customWidth="1"/>
    <col min="13318" max="13318" width="9.875" style="253" customWidth="1"/>
    <col min="13319" max="13319" width="10.625" style="253" customWidth="1"/>
    <col min="13320" max="13562" width="6.125" style="253"/>
    <col min="13563" max="13563" width="5" style="253" customWidth="1"/>
    <col min="13564" max="13564" width="8.875" style="253" customWidth="1"/>
    <col min="13565" max="13565" width="5" style="253" customWidth="1"/>
    <col min="13566" max="13566" width="8.25" style="253" customWidth="1"/>
    <col min="13567" max="13567" width="16.125" style="253" customWidth="1"/>
    <col min="13568" max="13568" width="86" style="253" customWidth="1"/>
    <col min="13569" max="13569" width="5" style="253" customWidth="1"/>
    <col min="13570" max="13570" width="11.125" style="253" customWidth="1"/>
    <col min="13571" max="13571" width="10.375" style="253" customWidth="1"/>
    <col min="13572" max="13572" width="10.875" style="253" customWidth="1"/>
    <col min="13573" max="13573" width="7.75" style="253" customWidth="1"/>
    <col min="13574" max="13574" width="9.875" style="253" customWidth="1"/>
    <col min="13575" max="13575" width="10.625" style="253" customWidth="1"/>
    <col min="13576" max="13818" width="6.125" style="253"/>
    <col min="13819" max="13819" width="5" style="253" customWidth="1"/>
    <col min="13820" max="13820" width="8.875" style="253" customWidth="1"/>
    <col min="13821" max="13821" width="5" style="253" customWidth="1"/>
    <col min="13822" max="13822" width="8.25" style="253" customWidth="1"/>
    <col min="13823" max="13823" width="16.125" style="253" customWidth="1"/>
    <col min="13824" max="13824" width="86" style="253" customWidth="1"/>
    <col min="13825" max="13825" width="5" style="253" customWidth="1"/>
    <col min="13826" max="13826" width="11.125" style="253" customWidth="1"/>
    <col min="13827" max="13827" width="10.375" style="253" customWidth="1"/>
    <col min="13828" max="13828" width="10.875" style="253" customWidth="1"/>
    <col min="13829" max="13829" width="7.75" style="253" customWidth="1"/>
    <col min="13830" max="13830" width="9.875" style="253" customWidth="1"/>
    <col min="13831" max="13831" width="10.625" style="253" customWidth="1"/>
    <col min="13832" max="14074" width="6.125" style="253"/>
    <col min="14075" max="14075" width="5" style="253" customWidth="1"/>
    <col min="14076" max="14076" width="8.875" style="253" customWidth="1"/>
    <col min="14077" max="14077" width="5" style="253" customWidth="1"/>
    <col min="14078" max="14078" width="8.25" style="253" customWidth="1"/>
    <col min="14079" max="14079" width="16.125" style="253" customWidth="1"/>
    <col min="14080" max="14080" width="86" style="253" customWidth="1"/>
    <col min="14081" max="14081" width="5" style="253" customWidth="1"/>
    <col min="14082" max="14082" width="11.125" style="253" customWidth="1"/>
    <col min="14083" max="14083" width="10.375" style="253" customWidth="1"/>
    <col min="14084" max="14084" width="10.875" style="253" customWidth="1"/>
    <col min="14085" max="14085" width="7.75" style="253" customWidth="1"/>
    <col min="14086" max="14086" width="9.875" style="253" customWidth="1"/>
    <col min="14087" max="14087" width="10.625" style="253" customWidth="1"/>
    <col min="14088" max="14330" width="6.125" style="253"/>
    <col min="14331" max="14331" width="5" style="253" customWidth="1"/>
    <col min="14332" max="14332" width="8.875" style="253" customWidth="1"/>
    <col min="14333" max="14333" width="5" style="253" customWidth="1"/>
    <col min="14334" max="14334" width="8.25" style="253" customWidth="1"/>
    <col min="14335" max="14335" width="16.125" style="253" customWidth="1"/>
    <col min="14336" max="14336" width="86" style="253" customWidth="1"/>
    <col min="14337" max="14337" width="5" style="253" customWidth="1"/>
    <col min="14338" max="14338" width="11.125" style="253" customWidth="1"/>
    <col min="14339" max="14339" width="10.375" style="253" customWidth="1"/>
    <col min="14340" max="14340" width="10.875" style="253" customWidth="1"/>
    <col min="14341" max="14341" width="7.75" style="253" customWidth="1"/>
    <col min="14342" max="14342" width="9.875" style="253" customWidth="1"/>
    <col min="14343" max="14343" width="10.625" style="253" customWidth="1"/>
    <col min="14344" max="14586" width="6.125" style="253"/>
    <col min="14587" max="14587" width="5" style="253" customWidth="1"/>
    <col min="14588" max="14588" width="8.875" style="253" customWidth="1"/>
    <col min="14589" max="14589" width="5" style="253" customWidth="1"/>
    <col min="14590" max="14590" width="8.25" style="253" customWidth="1"/>
    <col min="14591" max="14591" width="16.125" style="253" customWidth="1"/>
    <col min="14592" max="14592" width="86" style="253" customWidth="1"/>
    <col min="14593" max="14593" width="5" style="253" customWidth="1"/>
    <col min="14594" max="14594" width="11.125" style="253" customWidth="1"/>
    <col min="14595" max="14595" width="10.375" style="253" customWidth="1"/>
    <col min="14596" max="14596" width="10.875" style="253" customWidth="1"/>
    <col min="14597" max="14597" width="7.75" style="253" customWidth="1"/>
    <col min="14598" max="14598" width="9.875" style="253" customWidth="1"/>
    <col min="14599" max="14599" width="10.625" style="253" customWidth="1"/>
    <col min="14600" max="14842" width="6.125" style="253"/>
    <col min="14843" max="14843" width="5" style="253" customWidth="1"/>
    <col min="14844" max="14844" width="8.875" style="253" customWidth="1"/>
    <col min="14845" max="14845" width="5" style="253" customWidth="1"/>
    <col min="14846" max="14846" width="8.25" style="253" customWidth="1"/>
    <col min="14847" max="14847" width="16.125" style="253" customWidth="1"/>
    <col min="14848" max="14848" width="86" style="253" customWidth="1"/>
    <col min="14849" max="14849" width="5" style="253" customWidth="1"/>
    <col min="14850" max="14850" width="11.125" style="253" customWidth="1"/>
    <col min="14851" max="14851" width="10.375" style="253" customWidth="1"/>
    <col min="14852" max="14852" width="10.875" style="253" customWidth="1"/>
    <col min="14853" max="14853" width="7.75" style="253" customWidth="1"/>
    <col min="14854" max="14854" width="9.875" style="253" customWidth="1"/>
    <col min="14855" max="14855" width="10.625" style="253" customWidth="1"/>
    <col min="14856" max="15098" width="6.125" style="253"/>
    <col min="15099" max="15099" width="5" style="253" customWidth="1"/>
    <col min="15100" max="15100" width="8.875" style="253" customWidth="1"/>
    <col min="15101" max="15101" width="5" style="253" customWidth="1"/>
    <col min="15102" max="15102" width="8.25" style="253" customWidth="1"/>
    <col min="15103" max="15103" width="16.125" style="253" customWidth="1"/>
    <col min="15104" max="15104" width="86" style="253" customWidth="1"/>
    <col min="15105" max="15105" width="5" style="253" customWidth="1"/>
    <col min="15106" max="15106" width="11.125" style="253" customWidth="1"/>
    <col min="15107" max="15107" width="10.375" style="253" customWidth="1"/>
    <col min="15108" max="15108" width="10.875" style="253" customWidth="1"/>
    <col min="15109" max="15109" width="7.75" style="253" customWidth="1"/>
    <col min="15110" max="15110" width="9.875" style="253" customWidth="1"/>
    <col min="15111" max="15111" width="10.625" style="253" customWidth="1"/>
    <col min="15112" max="15354" width="6.125" style="253"/>
    <col min="15355" max="15355" width="5" style="253" customWidth="1"/>
    <col min="15356" max="15356" width="8.875" style="253" customWidth="1"/>
    <col min="15357" max="15357" width="5" style="253" customWidth="1"/>
    <col min="15358" max="15358" width="8.25" style="253" customWidth="1"/>
    <col min="15359" max="15359" width="16.125" style="253" customWidth="1"/>
    <col min="15360" max="15360" width="86" style="253" customWidth="1"/>
    <col min="15361" max="15361" width="5" style="253" customWidth="1"/>
    <col min="15362" max="15362" width="11.125" style="253" customWidth="1"/>
    <col min="15363" max="15363" width="10.375" style="253" customWidth="1"/>
    <col min="15364" max="15364" width="10.875" style="253" customWidth="1"/>
    <col min="15365" max="15365" width="7.75" style="253" customWidth="1"/>
    <col min="15366" max="15366" width="9.875" style="253" customWidth="1"/>
    <col min="15367" max="15367" width="10.625" style="253" customWidth="1"/>
    <col min="15368" max="15610" width="6.125" style="253"/>
    <col min="15611" max="15611" width="5" style="253" customWidth="1"/>
    <col min="15612" max="15612" width="8.875" style="253" customWidth="1"/>
    <col min="15613" max="15613" width="5" style="253" customWidth="1"/>
    <col min="15614" max="15614" width="8.25" style="253" customWidth="1"/>
    <col min="15615" max="15615" width="16.125" style="253" customWidth="1"/>
    <col min="15616" max="15616" width="86" style="253" customWidth="1"/>
    <col min="15617" max="15617" width="5" style="253" customWidth="1"/>
    <col min="15618" max="15618" width="11.125" style="253" customWidth="1"/>
    <col min="15619" max="15619" width="10.375" style="253" customWidth="1"/>
    <col min="15620" max="15620" width="10.875" style="253" customWidth="1"/>
    <col min="15621" max="15621" width="7.75" style="253" customWidth="1"/>
    <col min="15622" max="15622" width="9.875" style="253" customWidth="1"/>
    <col min="15623" max="15623" width="10.625" style="253" customWidth="1"/>
    <col min="15624" max="15866" width="6.125" style="253"/>
    <col min="15867" max="15867" width="5" style="253" customWidth="1"/>
    <col min="15868" max="15868" width="8.875" style="253" customWidth="1"/>
    <col min="15869" max="15869" width="5" style="253" customWidth="1"/>
    <col min="15870" max="15870" width="8.25" style="253" customWidth="1"/>
    <col min="15871" max="15871" width="16.125" style="253" customWidth="1"/>
    <col min="15872" max="15872" width="86" style="253" customWidth="1"/>
    <col min="15873" max="15873" width="5" style="253" customWidth="1"/>
    <col min="15874" max="15874" width="11.125" style="253" customWidth="1"/>
    <col min="15875" max="15875" width="10.375" style="253" customWidth="1"/>
    <col min="15876" max="15876" width="10.875" style="253" customWidth="1"/>
    <col min="15877" max="15877" width="7.75" style="253" customWidth="1"/>
    <col min="15878" max="15878" width="9.875" style="253" customWidth="1"/>
    <col min="15879" max="15879" width="10.625" style="253" customWidth="1"/>
    <col min="15880" max="16122" width="6.125" style="253"/>
    <col min="16123" max="16123" width="5" style="253" customWidth="1"/>
    <col min="16124" max="16124" width="8.875" style="253" customWidth="1"/>
    <col min="16125" max="16125" width="5" style="253" customWidth="1"/>
    <col min="16126" max="16126" width="8.25" style="253" customWidth="1"/>
    <col min="16127" max="16127" width="16.125" style="253" customWidth="1"/>
    <col min="16128" max="16128" width="86" style="253" customWidth="1"/>
    <col min="16129" max="16129" width="5" style="253" customWidth="1"/>
    <col min="16130" max="16130" width="11.125" style="253" customWidth="1"/>
    <col min="16131" max="16131" width="10.375" style="253" customWidth="1"/>
    <col min="16132" max="16132" width="10.875" style="253" customWidth="1"/>
    <col min="16133" max="16133" width="7.75" style="253" customWidth="1"/>
    <col min="16134" max="16134" width="9.875" style="253" customWidth="1"/>
    <col min="16135" max="16135" width="10.625" style="253" customWidth="1"/>
    <col min="16136" max="16384" width="6.125" style="253"/>
  </cols>
  <sheetData>
    <row r="1" spans="1:12">
      <c r="A1" s="213"/>
      <c r="B1" s="256"/>
      <c r="C1" s="256"/>
      <c r="D1" s="256"/>
      <c r="E1" s="256"/>
      <c r="F1" s="257" t="s">
        <v>427</v>
      </c>
      <c r="G1" s="256"/>
      <c r="H1" s="256"/>
      <c r="I1" s="256"/>
      <c r="J1" s="256"/>
      <c r="K1" s="256"/>
      <c r="L1" s="285"/>
    </row>
    <row r="2" spans="1:12">
      <c r="A2" s="213"/>
      <c r="B2" s="213"/>
      <c r="C2" s="213"/>
      <c r="D2" s="213"/>
      <c r="E2" s="213"/>
      <c r="F2" s="258"/>
      <c r="G2" s="213"/>
      <c r="H2" s="213"/>
      <c r="I2" s="213"/>
      <c r="J2" s="213"/>
      <c r="K2" s="213"/>
      <c r="L2" s="285"/>
    </row>
    <row r="3" ht="26.25" customHeight="1" spans="1:12">
      <c r="A3" s="213"/>
      <c r="B3" s="213"/>
      <c r="C3" s="213"/>
      <c r="D3" s="213"/>
      <c r="E3" s="213"/>
      <c r="F3" s="258"/>
      <c r="G3" s="213"/>
      <c r="H3" s="213"/>
      <c r="I3" s="213"/>
      <c r="J3" s="213"/>
      <c r="K3" s="286" t="s">
        <v>35</v>
      </c>
      <c r="L3" s="286"/>
    </row>
    <row r="4" s="251" customFormat="1" ht="42.75" customHeight="1" spans="1:12">
      <c r="A4" s="259" t="s">
        <v>36</v>
      </c>
      <c r="B4" s="260" t="s">
        <v>37</v>
      </c>
      <c r="C4" s="260" t="s">
        <v>38</v>
      </c>
      <c r="D4" s="260" t="s">
        <v>39</v>
      </c>
      <c r="E4" s="260" t="s">
        <v>40</v>
      </c>
      <c r="F4" s="261" t="s">
        <v>382</v>
      </c>
      <c r="G4" s="262" t="s">
        <v>42</v>
      </c>
      <c r="H4" s="260" t="s">
        <v>428</v>
      </c>
      <c r="I4" s="260" t="s">
        <v>429</v>
      </c>
      <c r="J4" s="260" t="s">
        <v>384</v>
      </c>
      <c r="K4" s="260" t="s">
        <v>44</v>
      </c>
      <c r="L4" s="287" t="s">
        <v>45</v>
      </c>
    </row>
    <row r="5" spans="1:12">
      <c r="A5" s="263"/>
      <c r="B5" s="213"/>
      <c r="C5" s="213"/>
      <c r="D5" s="213"/>
      <c r="E5" s="213"/>
      <c r="F5" s="261"/>
      <c r="G5" s="262"/>
      <c r="H5" s="264"/>
      <c r="I5" s="264"/>
      <c r="J5" s="264"/>
      <c r="K5" s="288"/>
      <c r="L5" s="285"/>
    </row>
    <row r="6" ht="60.75" customHeight="1" spans="1:12">
      <c r="A6" s="263">
        <v>1.1</v>
      </c>
      <c r="B6" s="213"/>
      <c r="C6" s="213"/>
      <c r="D6" s="256" t="s">
        <v>48</v>
      </c>
      <c r="E6" s="213" t="s">
        <v>49</v>
      </c>
      <c r="F6" s="261" t="s">
        <v>430</v>
      </c>
      <c r="G6" s="213" t="s">
        <v>51</v>
      </c>
      <c r="H6" s="215">
        <v>40</v>
      </c>
      <c r="I6" s="215">
        <v>0</v>
      </c>
      <c r="J6" s="215">
        <f>SUM(H6:I6)</f>
        <v>40</v>
      </c>
      <c r="K6" s="171">
        <v>8950</v>
      </c>
      <c r="L6" s="285">
        <f>SUM(J6*K6)</f>
        <v>358000</v>
      </c>
    </row>
    <row r="7" ht="155.25" customHeight="1" spans="1:12">
      <c r="A7" s="263"/>
      <c r="B7" s="213"/>
      <c r="C7" s="213"/>
      <c r="D7" s="213"/>
      <c r="E7" s="213"/>
      <c r="F7" s="265" t="s">
        <v>431</v>
      </c>
      <c r="G7" s="213"/>
      <c r="H7" s="215"/>
      <c r="I7" s="215"/>
      <c r="J7" s="215"/>
      <c r="K7" s="220"/>
      <c r="L7" s="285"/>
    </row>
    <row r="8" spans="1:12">
      <c r="A8" s="263"/>
      <c r="B8" s="213"/>
      <c r="C8" s="213"/>
      <c r="D8" s="213"/>
      <c r="E8" s="213"/>
      <c r="F8" s="266"/>
      <c r="G8" s="213"/>
      <c r="H8" s="215"/>
      <c r="I8" s="215"/>
      <c r="J8" s="215"/>
      <c r="K8" s="220"/>
      <c r="L8" s="285"/>
    </row>
    <row r="9" ht="25.5" spans="1:12">
      <c r="A9" s="263">
        <v>1.2</v>
      </c>
      <c r="B9" s="213"/>
      <c r="C9" s="213"/>
      <c r="D9" s="256" t="s">
        <v>48</v>
      </c>
      <c r="E9" s="213" t="s">
        <v>49</v>
      </c>
      <c r="F9" s="261" t="s">
        <v>432</v>
      </c>
      <c r="G9" s="213" t="s">
        <v>51</v>
      </c>
      <c r="H9" s="215">
        <f>200-33</f>
        <v>167</v>
      </c>
      <c r="I9" s="215">
        <v>85</v>
      </c>
      <c r="J9" s="215">
        <f>SUM(H9:I9)</f>
        <v>252</v>
      </c>
      <c r="K9" s="220">
        <v>8950</v>
      </c>
      <c r="L9" s="285">
        <f t="shared" ref="L9:L66" si="0">SUM(J9*K9)</f>
        <v>2255400</v>
      </c>
    </row>
    <row r="10" ht="159" customHeight="1" spans="1:12">
      <c r="A10" s="263"/>
      <c r="B10" s="213"/>
      <c r="C10" s="213"/>
      <c r="D10" s="213"/>
      <c r="E10" s="213"/>
      <c r="F10" s="265" t="s">
        <v>433</v>
      </c>
      <c r="G10" s="213"/>
      <c r="H10" s="215"/>
      <c r="I10" s="215"/>
      <c r="J10" s="215"/>
      <c r="K10" s="220"/>
      <c r="L10" s="285"/>
    </row>
    <row r="11" spans="1:12">
      <c r="A11" s="263"/>
      <c r="B11" s="213"/>
      <c r="C11" s="213"/>
      <c r="D11" s="213"/>
      <c r="E11" s="213"/>
      <c r="F11" s="266"/>
      <c r="G11" s="213"/>
      <c r="H11" s="215"/>
      <c r="I11" s="215"/>
      <c r="J11" s="215"/>
      <c r="K11" s="220"/>
      <c r="L11" s="285"/>
    </row>
    <row r="12" ht="25.5" spans="1:12">
      <c r="A12" s="263">
        <v>1.3</v>
      </c>
      <c r="B12" s="213"/>
      <c r="C12" s="213"/>
      <c r="D12" s="256" t="s">
        <v>48</v>
      </c>
      <c r="E12" s="213" t="s">
        <v>283</v>
      </c>
      <c r="F12" s="257" t="s">
        <v>434</v>
      </c>
      <c r="G12" s="267" t="s">
        <v>130</v>
      </c>
      <c r="H12" s="215">
        <v>30</v>
      </c>
      <c r="I12" s="215">
        <v>0</v>
      </c>
      <c r="J12" s="215">
        <f>SUM(H12:I12)</f>
        <v>30</v>
      </c>
      <c r="K12" s="220">
        <v>2900</v>
      </c>
      <c r="L12" s="285">
        <f t="shared" si="0"/>
        <v>87000</v>
      </c>
    </row>
    <row r="13" ht="155.25" customHeight="1" spans="1:12">
      <c r="A13" s="263"/>
      <c r="B13" s="213"/>
      <c r="C13" s="213"/>
      <c r="D13" s="213"/>
      <c r="E13" s="213"/>
      <c r="F13" s="266" t="s">
        <v>435</v>
      </c>
      <c r="G13" s="267"/>
      <c r="H13" s="215"/>
      <c r="I13" s="215"/>
      <c r="J13" s="215"/>
      <c r="K13" s="220"/>
      <c r="L13" s="285"/>
    </row>
    <row r="14" spans="1:12">
      <c r="A14" s="263"/>
      <c r="B14" s="213"/>
      <c r="C14" s="213"/>
      <c r="D14" s="213"/>
      <c r="E14" s="213"/>
      <c r="F14" s="258"/>
      <c r="G14" s="213"/>
      <c r="H14" s="215"/>
      <c r="I14" s="215"/>
      <c r="J14" s="215"/>
      <c r="K14" s="220"/>
      <c r="L14" s="285"/>
    </row>
    <row r="15" ht="25.5" spans="1:12">
      <c r="A15" s="268">
        <v>1.4</v>
      </c>
      <c r="B15" s="260"/>
      <c r="C15" s="256" t="s">
        <v>158</v>
      </c>
      <c r="D15" s="256" t="s">
        <v>289</v>
      </c>
      <c r="E15" s="256" t="s">
        <v>290</v>
      </c>
      <c r="F15" s="257" t="s">
        <v>436</v>
      </c>
      <c r="G15" s="256" t="s">
        <v>130</v>
      </c>
      <c r="H15" s="215">
        <f>(3*3.6)+(25*3.6)</f>
        <v>100.8</v>
      </c>
      <c r="I15" s="215">
        <v>0</v>
      </c>
      <c r="J15" s="215">
        <f>SUM(H15:I15)</f>
        <v>100.8</v>
      </c>
      <c r="K15" s="220">
        <v>1600</v>
      </c>
      <c r="L15" s="285">
        <f t="shared" si="0"/>
        <v>161280</v>
      </c>
    </row>
    <row r="16" ht="78.75" customHeight="1" spans="1:12">
      <c r="A16" s="260"/>
      <c r="B16" s="260"/>
      <c r="C16" s="260"/>
      <c r="D16" s="260"/>
      <c r="E16" s="260"/>
      <c r="F16" s="265" t="s">
        <v>437</v>
      </c>
      <c r="G16" s="256"/>
      <c r="H16" s="215"/>
      <c r="I16" s="215"/>
      <c r="J16" s="215"/>
      <c r="K16" s="220"/>
      <c r="L16" s="285"/>
    </row>
    <row r="17" spans="1:12">
      <c r="A17" s="260"/>
      <c r="B17" s="260"/>
      <c r="C17" s="260"/>
      <c r="D17" s="260"/>
      <c r="E17" s="260"/>
      <c r="F17" s="266"/>
      <c r="G17" s="256"/>
      <c r="H17" s="215"/>
      <c r="I17" s="215"/>
      <c r="J17" s="215"/>
      <c r="K17" s="220"/>
      <c r="L17" s="285"/>
    </row>
    <row r="18" spans="1:12">
      <c r="A18" s="268">
        <v>1.5</v>
      </c>
      <c r="B18" s="260"/>
      <c r="C18" s="260"/>
      <c r="D18" s="267" t="s">
        <v>289</v>
      </c>
      <c r="E18" s="267" t="s">
        <v>290</v>
      </c>
      <c r="F18" s="257" t="s">
        <v>438</v>
      </c>
      <c r="G18" s="267" t="s">
        <v>130</v>
      </c>
      <c r="H18" s="215">
        <v>12</v>
      </c>
      <c r="I18" s="215">
        <v>0</v>
      </c>
      <c r="J18" s="215">
        <f>SUM(H18:I18)</f>
        <v>12</v>
      </c>
      <c r="K18" s="220">
        <v>1600</v>
      </c>
      <c r="L18" s="285">
        <f t="shared" si="0"/>
        <v>19200</v>
      </c>
    </row>
    <row r="19" ht="73.9" customHeight="1" spans="1:12">
      <c r="A19" s="260"/>
      <c r="B19" s="260"/>
      <c r="C19" s="260"/>
      <c r="D19" s="269"/>
      <c r="E19" s="269"/>
      <c r="F19" s="265" t="s">
        <v>439</v>
      </c>
      <c r="G19" s="267"/>
      <c r="H19" s="215"/>
      <c r="I19" s="215"/>
      <c r="J19" s="215"/>
      <c r="K19" s="220"/>
      <c r="L19" s="285"/>
    </row>
    <row r="20" spans="1:12">
      <c r="A20" s="260"/>
      <c r="B20" s="260"/>
      <c r="C20" s="260"/>
      <c r="D20" s="269"/>
      <c r="E20" s="269"/>
      <c r="F20" s="266"/>
      <c r="G20" s="267"/>
      <c r="H20" s="215"/>
      <c r="I20" s="215"/>
      <c r="J20" s="215"/>
      <c r="K20" s="220"/>
      <c r="L20" s="285"/>
    </row>
    <row r="21" ht="25.5" spans="1:12">
      <c r="A21" s="256">
        <v>1.6</v>
      </c>
      <c r="B21" s="260"/>
      <c r="C21" s="260"/>
      <c r="D21" s="270" t="s">
        <v>295</v>
      </c>
      <c r="E21" s="270" t="s">
        <v>296</v>
      </c>
      <c r="F21" s="271" t="s">
        <v>297</v>
      </c>
      <c r="G21" s="270" t="s">
        <v>130</v>
      </c>
      <c r="H21" s="272">
        <v>1</v>
      </c>
      <c r="I21" s="272">
        <v>6</v>
      </c>
      <c r="J21" s="215">
        <f>SUM(H21:I21)</f>
        <v>7</v>
      </c>
      <c r="K21" s="220">
        <v>8950</v>
      </c>
      <c r="L21" s="285">
        <f t="shared" si="0"/>
        <v>62650</v>
      </c>
    </row>
    <row r="22" ht="150" customHeight="1" spans="1:12">
      <c r="A22" s="260"/>
      <c r="B22" s="260"/>
      <c r="C22" s="260"/>
      <c r="D22" s="273"/>
      <c r="E22" s="273"/>
      <c r="F22" s="274" t="s">
        <v>440</v>
      </c>
      <c r="G22" s="273"/>
      <c r="H22" s="272"/>
      <c r="I22" s="272"/>
      <c r="J22" s="272"/>
      <c r="K22" s="220"/>
      <c r="L22" s="285"/>
    </row>
    <row r="23" spans="1:12">
      <c r="A23" s="263"/>
      <c r="B23" s="213"/>
      <c r="C23" s="213"/>
      <c r="D23" s="213"/>
      <c r="E23" s="213"/>
      <c r="F23" s="258"/>
      <c r="G23" s="213"/>
      <c r="H23" s="215"/>
      <c r="I23" s="215"/>
      <c r="J23" s="215"/>
      <c r="K23" s="220"/>
      <c r="L23" s="285"/>
    </row>
    <row r="24" spans="1:12">
      <c r="A24" s="259"/>
      <c r="B24" s="262"/>
      <c r="C24" s="262"/>
      <c r="D24" s="262"/>
      <c r="E24" s="262"/>
      <c r="F24" s="261" t="s">
        <v>388</v>
      </c>
      <c r="G24" s="262"/>
      <c r="H24" s="264"/>
      <c r="I24" s="264"/>
      <c r="J24" s="264"/>
      <c r="K24" s="289"/>
      <c r="L24" s="287"/>
    </row>
    <row r="25" spans="1:12">
      <c r="A25" s="263"/>
      <c r="B25" s="213"/>
      <c r="C25" s="213"/>
      <c r="D25" s="213"/>
      <c r="E25" s="213"/>
      <c r="F25" s="261"/>
      <c r="G25" s="213"/>
      <c r="H25" s="215"/>
      <c r="I25" s="215"/>
      <c r="J25" s="215"/>
      <c r="K25" s="220"/>
      <c r="L25" s="285"/>
    </row>
    <row r="26" ht="25.5" spans="1:17">
      <c r="A26" s="263">
        <v>1.7</v>
      </c>
      <c r="B26" s="213"/>
      <c r="C26" s="213"/>
      <c r="D26" s="256" t="s">
        <v>389</v>
      </c>
      <c r="E26" s="213" t="s">
        <v>390</v>
      </c>
      <c r="F26" s="261" t="s">
        <v>441</v>
      </c>
      <c r="G26" s="213" t="s">
        <v>187</v>
      </c>
      <c r="H26" s="215">
        <v>1</v>
      </c>
      <c r="I26" s="215">
        <v>0</v>
      </c>
      <c r="J26" s="215">
        <f>SUM(H26:I26)</f>
        <v>1</v>
      </c>
      <c r="K26" s="290">
        <v>999250</v>
      </c>
      <c r="L26" s="285">
        <f t="shared" si="0"/>
        <v>999250</v>
      </c>
      <c r="Q26" s="291"/>
    </row>
    <row r="27" ht="25.5" spans="1:12">
      <c r="A27" s="263"/>
      <c r="B27" s="275"/>
      <c r="C27" s="275"/>
      <c r="D27" s="275"/>
      <c r="E27" s="213"/>
      <c r="F27" s="257" t="s">
        <v>442</v>
      </c>
      <c r="G27" s="213"/>
      <c r="H27" s="215"/>
      <c r="I27" s="215"/>
      <c r="J27" s="215"/>
      <c r="K27" s="220"/>
      <c r="L27" s="285"/>
    </row>
    <row r="28" spans="1:12">
      <c r="A28" s="263"/>
      <c r="B28" s="275"/>
      <c r="C28" s="275"/>
      <c r="D28" s="275"/>
      <c r="E28" s="213"/>
      <c r="F28" s="257" t="s">
        <v>393</v>
      </c>
      <c r="G28" s="213"/>
      <c r="H28" s="215"/>
      <c r="I28" s="215"/>
      <c r="J28" s="215"/>
      <c r="K28" s="220"/>
      <c r="L28" s="285"/>
    </row>
    <row r="29" ht="204" spans="1:12">
      <c r="A29" s="263"/>
      <c r="B29" s="275"/>
      <c r="C29" s="275"/>
      <c r="D29" s="275"/>
      <c r="E29" s="213"/>
      <c r="F29" s="265" t="s">
        <v>443</v>
      </c>
      <c r="G29" s="213"/>
      <c r="H29" s="215"/>
      <c r="I29" s="215"/>
      <c r="J29" s="215"/>
      <c r="K29" s="220"/>
      <c r="L29" s="285"/>
    </row>
    <row r="30" spans="1:12">
      <c r="A30" s="263"/>
      <c r="B30" s="275"/>
      <c r="C30" s="275"/>
      <c r="D30" s="275"/>
      <c r="E30" s="213"/>
      <c r="F30" s="257" t="s">
        <v>395</v>
      </c>
      <c r="G30" s="213"/>
      <c r="H30" s="215"/>
      <c r="I30" s="215"/>
      <c r="J30" s="215"/>
      <c r="K30" s="220"/>
      <c r="L30" s="285"/>
    </row>
    <row r="31" ht="117" customHeight="1" spans="1:12">
      <c r="A31" s="263"/>
      <c r="B31" s="275"/>
      <c r="C31" s="275"/>
      <c r="D31" s="275"/>
      <c r="E31" s="213"/>
      <c r="F31" s="265" t="s">
        <v>444</v>
      </c>
      <c r="G31" s="213"/>
      <c r="H31" s="215"/>
      <c r="I31" s="215"/>
      <c r="J31" s="215"/>
      <c r="K31" s="220"/>
      <c r="L31" s="285"/>
    </row>
    <row r="32" spans="1:12">
      <c r="A32" s="263"/>
      <c r="B32" s="275"/>
      <c r="C32" s="275"/>
      <c r="D32" s="275"/>
      <c r="E32" s="213"/>
      <c r="F32" s="257" t="s">
        <v>397</v>
      </c>
      <c r="G32" s="213"/>
      <c r="H32" s="215"/>
      <c r="I32" s="215"/>
      <c r="J32" s="215"/>
      <c r="K32" s="220"/>
      <c r="L32" s="285"/>
    </row>
    <row r="33" ht="140.25" spans="1:12">
      <c r="A33" s="263"/>
      <c r="B33" s="275"/>
      <c r="C33" s="275"/>
      <c r="D33" s="275"/>
      <c r="E33" s="213"/>
      <c r="F33" s="265" t="s">
        <v>445</v>
      </c>
      <c r="G33" s="213"/>
      <c r="H33" s="215"/>
      <c r="I33" s="215"/>
      <c r="J33" s="215"/>
      <c r="K33" s="220"/>
      <c r="L33" s="285"/>
    </row>
    <row r="34" spans="1:12">
      <c r="A34" s="263"/>
      <c r="B34" s="275"/>
      <c r="C34" s="275"/>
      <c r="D34" s="275"/>
      <c r="E34" s="213"/>
      <c r="F34" s="258"/>
      <c r="G34" s="213"/>
      <c r="H34" s="215"/>
      <c r="I34" s="215"/>
      <c r="J34" s="215"/>
      <c r="K34" s="220"/>
      <c r="L34" s="285"/>
    </row>
    <row r="35" ht="25.5" spans="1:12">
      <c r="A35" s="263">
        <v>1.8</v>
      </c>
      <c r="B35" s="213"/>
      <c r="C35" s="213"/>
      <c r="D35" s="256" t="s">
        <v>389</v>
      </c>
      <c r="E35" s="213" t="s">
        <v>399</v>
      </c>
      <c r="F35" s="257" t="s">
        <v>446</v>
      </c>
      <c r="G35" s="213"/>
      <c r="H35" s="215"/>
      <c r="I35" s="215"/>
      <c r="J35" s="215"/>
      <c r="K35" s="220"/>
      <c r="L35" s="285"/>
    </row>
    <row r="36" spans="1:16">
      <c r="A36" s="263"/>
      <c r="B36" s="275"/>
      <c r="C36" s="275"/>
      <c r="D36" s="275"/>
      <c r="E36" s="213"/>
      <c r="F36" s="257" t="s">
        <v>447</v>
      </c>
      <c r="G36" s="213" t="s">
        <v>187</v>
      </c>
      <c r="H36" s="215">
        <v>1</v>
      </c>
      <c r="I36" s="215">
        <v>0</v>
      </c>
      <c r="J36" s="215">
        <f>SUM(H36:I36)</f>
        <v>1</v>
      </c>
      <c r="K36" s="220">
        <v>85000</v>
      </c>
      <c r="L36" s="285">
        <f t="shared" si="0"/>
        <v>85000</v>
      </c>
      <c r="O36" s="291"/>
      <c r="P36" s="291"/>
    </row>
    <row r="37" s="252" customFormat="1" ht="217.5" customHeight="1" spans="1:12">
      <c r="A37" s="276"/>
      <c r="B37" s="277"/>
      <c r="C37" s="277"/>
      <c r="D37" s="277"/>
      <c r="E37" s="278"/>
      <c r="F37" s="265" t="s">
        <v>448</v>
      </c>
      <c r="G37" s="278"/>
      <c r="H37" s="279"/>
      <c r="I37" s="279"/>
      <c r="J37" s="279"/>
      <c r="K37" s="292"/>
      <c r="L37" s="285"/>
    </row>
    <row r="38" spans="1:12">
      <c r="A38" s="263"/>
      <c r="B38" s="213"/>
      <c r="C38" s="213"/>
      <c r="D38" s="213"/>
      <c r="E38" s="213"/>
      <c r="F38" s="258"/>
      <c r="G38" s="213"/>
      <c r="H38" s="215"/>
      <c r="I38" s="215"/>
      <c r="J38" s="215"/>
      <c r="K38" s="220"/>
      <c r="L38" s="285"/>
    </row>
    <row r="39" spans="1:12">
      <c r="A39" s="259" t="s">
        <v>69</v>
      </c>
      <c r="B39" s="280"/>
      <c r="C39" s="280"/>
      <c r="D39" s="280"/>
      <c r="E39" s="280"/>
      <c r="F39" s="261" t="s">
        <v>82</v>
      </c>
      <c r="G39" s="262"/>
      <c r="H39" s="264"/>
      <c r="I39" s="264"/>
      <c r="J39" s="264"/>
      <c r="K39" s="289"/>
      <c r="L39" s="285"/>
    </row>
    <row r="40" spans="1:12">
      <c r="A40" s="263"/>
      <c r="B40" s="275"/>
      <c r="C40" s="275"/>
      <c r="D40" s="275"/>
      <c r="E40" s="275"/>
      <c r="F40" s="261"/>
      <c r="G40" s="213"/>
      <c r="H40" s="215"/>
      <c r="I40" s="215"/>
      <c r="J40" s="215"/>
      <c r="K40" s="220"/>
      <c r="L40" s="285"/>
    </row>
    <row r="41" ht="38.25" spans="1:12">
      <c r="A41" s="263">
        <v>2.1</v>
      </c>
      <c r="B41" s="275"/>
      <c r="C41" s="275"/>
      <c r="D41" s="256" t="s">
        <v>203</v>
      </c>
      <c r="E41" s="256" t="s">
        <v>204</v>
      </c>
      <c r="F41" s="261" t="s">
        <v>449</v>
      </c>
      <c r="G41" s="213" t="s">
        <v>51</v>
      </c>
      <c r="H41" s="215">
        <f>10*4</f>
        <v>40</v>
      </c>
      <c r="I41" s="215"/>
      <c r="J41" s="215">
        <f>SUM(H41:I41)</f>
        <v>40</v>
      </c>
      <c r="K41" s="293">
        <v>2500</v>
      </c>
      <c r="L41" s="285">
        <f t="shared" si="0"/>
        <v>100000</v>
      </c>
    </row>
    <row r="42" ht="89.45" customHeight="1" spans="1:12">
      <c r="A42" s="263"/>
      <c r="B42" s="275"/>
      <c r="C42" s="275"/>
      <c r="D42" s="275"/>
      <c r="E42" s="275"/>
      <c r="F42" s="265" t="s">
        <v>450</v>
      </c>
      <c r="G42" s="213"/>
      <c r="H42" s="215"/>
      <c r="I42" s="215"/>
      <c r="J42" s="215"/>
      <c r="K42" s="220"/>
      <c r="L42" s="285"/>
    </row>
    <row r="43" spans="1:12">
      <c r="A43" s="263"/>
      <c r="B43" s="275"/>
      <c r="C43" s="275"/>
      <c r="D43" s="275"/>
      <c r="E43" s="275"/>
      <c r="F43" s="266" t="s">
        <v>451</v>
      </c>
      <c r="G43" s="213"/>
      <c r="H43" s="215"/>
      <c r="I43" s="215"/>
      <c r="J43" s="215"/>
      <c r="K43" s="220"/>
      <c r="L43" s="285"/>
    </row>
    <row r="44" spans="1:12">
      <c r="A44" s="263"/>
      <c r="B44" s="275"/>
      <c r="C44" s="275"/>
      <c r="D44" s="275"/>
      <c r="E44" s="275"/>
      <c r="F44" s="266"/>
      <c r="G44" s="213"/>
      <c r="H44" s="215"/>
      <c r="I44" s="215"/>
      <c r="J44" s="215"/>
      <c r="K44" s="220"/>
      <c r="L44" s="285"/>
    </row>
    <row r="45" ht="25.5" spans="1:12">
      <c r="A45" s="263">
        <v>2.2</v>
      </c>
      <c r="B45" s="275"/>
      <c r="C45" s="275"/>
      <c r="D45" s="275" t="s">
        <v>83</v>
      </c>
      <c r="E45" s="275" t="s">
        <v>452</v>
      </c>
      <c r="F45" s="261" t="s">
        <v>453</v>
      </c>
      <c r="G45" s="213"/>
      <c r="H45" s="215"/>
      <c r="I45" s="215"/>
      <c r="J45" s="215"/>
      <c r="K45" s="294"/>
      <c r="L45" s="285"/>
    </row>
    <row r="46" ht="108" customHeight="1" spans="1:12">
      <c r="A46" s="263"/>
      <c r="B46" s="275"/>
      <c r="C46" s="275"/>
      <c r="D46" s="275"/>
      <c r="E46" s="275"/>
      <c r="F46" s="266" t="s">
        <v>454</v>
      </c>
      <c r="G46" s="213"/>
      <c r="H46" s="215"/>
      <c r="I46" s="215"/>
      <c r="J46" s="215"/>
      <c r="K46" s="220"/>
      <c r="L46" s="285"/>
    </row>
    <row r="47" ht="15" spans="1:12">
      <c r="A47" s="263" t="s">
        <v>209</v>
      </c>
      <c r="B47" s="275"/>
      <c r="C47" s="275"/>
      <c r="D47" s="275"/>
      <c r="E47" s="275"/>
      <c r="F47" s="281" t="s">
        <v>455</v>
      </c>
      <c r="G47" s="213" t="s">
        <v>51</v>
      </c>
      <c r="H47" s="215">
        <f>13*4.5+40</f>
        <v>98.5</v>
      </c>
      <c r="I47" s="215">
        <v>15</v>
      </c>
      <c r="J47" s="215">
        <f t="shared" ref="J47:J50" si="1">SUM(H47:I47)</f>
        <v>113.5</v>
      </c>
      <c r="K47" s="242">
        <v>1890</v>
      </c>
      <c r="L47" s="285">
        <f t="shared" si="0"/>
        <v>214515</v>
      </c>
    </row>
    <row r="48" ht="15" spans="1:12">
      <c r="A48" s="263" t="s">
        <v>211</v>
      </c>
      <c r="B48" s="275"/>
      <c r="C48" s="275"/>
      <c r="D48" s="275"/>
      <c r="E48" s="275"/>
      <c r="F48" s="281" t="s">
        <v>456</v>
      </c>
      <c r="G48" s="213" t="s">
        <v>51</v>
      </c>
      <c r="H48" s="215">
        <v>5</v>
      </c>
      <c r="I48" s="215">
        <v>5</v>
      </c>
      <c r="J48" s="215">
        <f t="shared" si="1"/>
        <v>10</v>
      </c>
      <c r="K48" s="242">
        <v>2100</v>
      </c>
      <c r="L48" s="285">
        <f t="shared" si="0"/>
        <v>21000</v>
      </c>
    </row>
    <row r="49" ht="15" spans="1:12">
      <c r="A49" s="263" t="s">
        <v>213</v>
      </c>
      <c r="B49" s="275"/>
      <c r="C49" s="275"/>
      <c r="D49" s="275"/>
      <c r="E49" s="275"/>
      <c r="F49" s="281" t="s">
        <v>457</v>
      </c>
      <c r="G49" s="213" t="s">
        <v>51</v>
      </c>
      <c r="H49" s="215">
        <v>5</v>
      </c>
      <c r="I49" s="215">
        <v>5</v>
      </c>
      <c r="J49" s="215">
        <f t="shared" si="1"/>
        <v>10</v>
      </c>
      <c r="K49" s="242">
        <v>2300</v>
      </c>
      <c r="L49" s="285">
        <f t="shared" si="0"/>
        <v>23000</v>
      </c>
    </row>
    <row r="50" ht="15" spans="1:12">
      <c r="A50" s="263" t="s">
        <v>215</v>
      </c>
      <c r="B50" s="275"/>
      <c r="C50" s="275"/>
      <c r="D50" s="275"/>
      <c r="E50" s="275"/>
      <c r="F50" s="281" t="s">
        <v>458</v>
      </c>
      <c r="G50" s="213" t="s">
        <v>51</v>
      </c>
      <c r="H50" s="215">
        <v>5</v>
      </c>
      <c r="I50" s="215">
        <v>5</v>
      </c>
      <c r="J50" s="215">
        <f t="shared" si="1"/>
        <v>10</v>
      </c>
      <c r="K50" s="242">
        <v>1280</v>
      </c>
      <c r="L50" s="285">
        <f t="shared" si="0"/>
        <v>12800</v>
      </c>
    </row>
    <row r="51" spans="1:12">
      <c r="A51" s="263"/>
      <c r="B51" s="275"/>
      <c r="C51" s="275"/>
      <c r="D51" s="275"/>
      <c r="E51" s="275"/>
      <c r="F51" s="266"/>
      <c r="G51" s="213"/>
      <c r="H51" s="215"/>
      <c r="I51" s="215"/>
      <c r="J51" s="215"/>
      <c r="K51" s="215"/>
      <c r="L51" s="285"/>
    </row>
    <row r="52" spans="1:12">
      <c r="A52" s="263"/>
      <c r="B52" s="275"/>
      <c r="C52" s="275"/>
      <c r="D52" s="275"/>
      <c r="E52" s="275"/>
      <c r="F52" s="281"/>
      <c r="G52" s="213"/>
      <c r="H52" s="215"/>
      <c r="I52" s="215"/>
      <c r="J52" s="215"/>
      <c r="K52" s="215"/>
      <c r="L52" s="285"/>
    </row>
    <row r="53" ht="25.5" spans="1:12">
      <c r="A53" s="263">
        <v>2.3</v>
      </c>
      <c r="B53" s="275"/>
      <c r="C53" s="275"/>
      <c r="D53" s="275" t="s">
        <v>83</v>
      </c>
      <c r="E53" s="275" t="s">
        <v>459</v>
      </c>
      <c r="F53" s="261" t="s">
        <v>460</v>
      </c>
      <c r="G53" s="213" t="s">
        <v>51</v>
      </c>
      <c r="H53" s="215">
        <f>31+(1.5*3.6*4)</f>
        <v>52.6</v>
      </c>
      <c r="I53" s="215">
        <v>1</v>
      </c>
      <c r="J53" s="215">
        <f t="shared" ref="J53" si="2">SUM(H53:I53)</f>
        <v>53.6</v>
      </c>
      <c r="K53" s="295">
        <v>5750</v>
      </c>
      <c r="L53" s="285">
        <f t="shared" si="0"/>
        <v>308200</v>
      </c>
    </row>
    <row r="54" ht="89.25" spans="1:12">
      <c r="A54" s="263"/>
      <c r="B54" s="275"/>
      <c r="C54" s="275"/>
      <c r="D54" s="275"/>
      <c r="E54" s="275"/>
      <c r="F54" s="266" t="s">
        <v>461</v>
      </c>
      <c r="G54" s="213"/>
      <c r="H54" s="215"/>
      <c r="I54" s="215"/>
      <c r="J54" s="215"/>
      <c r="K54" s="215"/>
      <c r="L54" s="285"/>
    </row>
    <row r="55" spans="1:12">
      <c r="A55" s="263"/>
      <c r="B55" s="275"/>
      <c r="C55" s="275"/>
      <c r="D55" s="275"/>
      <c r="E55" s="275"/>
      <c r="F55" s="266" t="s">
        <v>462</v>
      </c>
      <c r="G55" s="213"/>
      <c r="H55" s="215"/>
      <c r="I55" s="215"/>
      <c r="J55" s="215"/>
      <c r="K55" s="215"/>
      <c r="L55" s="285"/>
    </row>
    <row r="56" spans="1:12">
      <c r="A56" s="263"/>
      <c r="B56" s="275"/>
      <c r="C56" s="275"/>
      <c r="D56" s="275"/>
      <c r="E56" s="275"/>
      <c r="F56" s="266"/>
      <c r="G56" s="213"/>
      <c r="H56" s="215"/>
      <c r="I56" s="215"/>
      <c r="J56" s="215"/>
      <c r="K56" s="215"/>
      <c r="L56" s="285"/>
    </row>
    <row r="57" ht="25.5" spans="1:12">
      <c r="A57" s="263">
        <v>2.4</v>
      </c>
      <c r="B57" s="280"/>
      <c r="C57" s="280"/>
      <c r="D57" s="275" t="s">
        <v>83</v>
      </c>
      <c r="E57" s="275" t="s">
        <v>354</v>
      </c>
      <c r="F57" s="261" t="s">
        <v>355</v>
      </c>
      <c r="G57" s="213" t="s">
        <v>98</v>
      </c>
      <c r="H57" s="215">
        <v>10</v>
      </c>
      <c r="I57" s="215">
        <v>0</v>
      </c>
      <c r="J57" s="215">
        <f>SUM(H57:I57)</f>
        <v>10</v>
      </c>
      <c r="K57" s="215">
        <v>8200</v>
      </c>
      <c r="L57" s="285">
        <f t="shared" si="0"/>
        <v>82000</v>
      </c>
    </row>
    <row r="58" ht="138.75" customHeight="1" spans="1:12">
      <c r="A58" s="259"/>
      <c r="B58" s="280"/>
      <c r="C58" s="280"/>
      <c r="D58" s="280"/>
      <c r="E58" s="280"/>
      <c r="F58" s="258" t="s">
        <v>463</v>
      </c>
      <c r="G58" s="262"/>
      <c r="H58" s="264"/>
      <c r="I58" s="264"/>
      <c r="J58" s="264"/>
      <c r="K58" s="264"/>
      <c r="L58" s="285"/>
    </row>
    <row r="59" spans="1:12">
      <c r="A59" s="263"/>
      <c r="B59" s="275"/>
      <c r="C59" s="275"/>
      <c r="D59" s="275"/>
      <c r="E59" s="275"/>
      <c r="F59" s="266"/>
      <c r="G59" s="213"/>
      <c r="H59" s="215"/>
      <c r="I59" s="215"/>
      <c r="J59" s="215"/>
      <c r="K59" s="215"/>
      <c r="L59" s="285"/>
    </row>
    <row r="60" ht="38.25" spans="1:12">
      <c r="A60" s="263">
        <v>2.5</v>
      </c>
      <c r="B60" s="280"/>
      <c r="C60" s="280"/>
      <c r="D60" s="275" t="s">
        <v>83</v>
      </c>
      <c r="E60" s="275" t="s">
        <v>310</v>
      </c>
      <c r="F60" s="261" t="s">
        <v>311</v>
      </c>
      <c r="G60" s="213" t="s">
        <v>51</v>
      </c>
      <c r="H60" s="215">
        <f>30+(1.35*3.6*4)</f>
        <v>49.44</v>
      </c>
      <c r="I60" s="215">
        <v>0</v>
      </c>
      <c r="J60" s="215">
        <f>SUM(H60:I60)</f>
        <v>49.44</v>
      </c>
      <c r="K60" s="215">
        <v>7450</v>
      </c>
      <c r="L60" s="285">
        <f t="shared" si="0"/>
        <v>368328</v>
      </c>
    </row>
    <row r="61" ht="134.25" customHeight="1" spans="1:12">
      <c r="A61" s="259"/>
      <c r="B61" s="280"/>
      <c r="C61" s="280"/>
      <c r="D61" s="280"/>
      <c r="E61" s="280"/>
      <c r="F61" s="258" t="s">
        <v>464</v>
      </c>
      <c r="G61" s="262"/>
      <c r="H61" s="264"/>
      <c r="I61" s="264"/>
      <c r="J61" s="264"/>
      <c r="K61" s="264"/>
      <c r="L61" s="285"/>
    </row>
    <row r="62" spans="1:12">
      <c r="A62" s="263"/>
      <c r="B62" s="275"/>
      <c r="C62" s="275"/>
      <c r="D62" s="275"/>
      <c r="E62" s="275"/>
      <c r="F62" s="266"/>
      <c r="G62" s="213"/>
      <c r="H62" s="215"/>
      <c r="I62" s="215"/>
      <c r="J62" s="215"/>
      <c r="K62" s="215"/>
      <c r="L62" s="285"/>
    </row>
    <row r="63" ht="25.5" spans="1:12">
      <c r="A63" s="263">
        <v>2.6</v>
      </c>
      <c r="B63" s="275"/>
      <c r="C63" s="275"/>
      <c r="D63" s="275" t="s">
        <v>410</v>
      </c>
      <c r="E63" s="275" t="s">
        <v>403</v>
      </c>
      <c r="F63" s="282" t="s">
        <v>465</v>
      </c>
      <c r="G63" s="213" t="s">
        <v>63</v>
      </c>
      <c r="H63" s="215">
        <f>11+11</f>
        <v>22</v>
      </c>
      <c r="I63" s="215">
        <v>11</v>
      </c>
      <c r="J63" s="215">
        <f t="shared" ref="J63:J100" si="3">SUM(H63:I63)</f>
        <v>33</v>
      </c>
      <c r="K63" s="215">
        <v>13980</v>
      </c>
      <c r="L63" s="285">
        <f t="shared" si="0"/>
        <v>461340</v>
      </c>
    </row>
    <row r="64" ht="135" customHeight="1" spans="1:12">
      <c r="A64" s="283"/>
      <c r="B64" s="275"/>
      <c r="C64" s="275"/>
      <c r="D64" s="275"/>
      <c r="E64" s="275"/>
      <c r="F64" s="284" t="s">
        <v>466</v>
      </c>
      <c r="G64" s="213"/>
      <c r="H64" s="215"/>
      <c r="I64" s="215"/>
      <c r="J64" s="215"/>
      <c r="K64" s="215"/>
      <c r="L64" s="285"/>
    </row>
    <row r="65" spans="1:12">
      <c r="A65" s="263"/>
      <c r="B65" s="275"/>
      <c r="C65" s="275"/>
      <c r="D65" s="275"/>
      <c r="E65" s="275"/>
      <c r="F65" s="258"/>
      <c r="G65" s="213"/>
      <c r="H65" s="215"/>
      <c r="I65" s="215"/>
      <c r="J65" s="215">
        <f t="shared" si="3"/>
        <v>0</v>
      </c>
      <c r="K65" s="215"/>
      <c r="L65" s="285"/>
    </row>
    <row r="66" ht="25.5" spans="1:12">
      <c r="A66" s="263">
        <v>2.7</v>
      </c>
      <c r="B66" s="275"/>
      <c r="C66" s="275"/>
      <c r="D66" s="275" t="s">
        <v>467</v>
      </c>
      <c r="E66" s="275" t="s">
        <v>468</v>
      </c>
      <c r="F66" s="282" t="s">
        <v>469</v>
      </c>
      <c r="G66" s="213" t="s">
        <v>187</v>
      </c>
      <c r="H66" s="215">
        <v>6</v>
      </c>
      <c r="I66" s="215">
        <v>0</v>
      </c>
      <c r="J66" s="215">
        <f t="shared" si="3"/>
        <v>6</v>
      </c>
      <c r="K66" s="215">
        <v>8500</v>
      </c>
      <c r="L66" s="285">
        <f t="shared" si="0"/>
        <v>51000</v>
      </c>
    </row>
    <row r="67" ht="51" spans="1:12">
      <c r="A67" s="213"/>
      <c r="B67" s="213"/>
      <c r="C67" s="213"/>
      <c r="D67" s="213"/>
      <c r="E67" s="213"/>
      <c r="F67" s="258" t="s">
        <v>470</v>
      </c>
      <c r="G67" s="213"/>
      <c r="H67" s="213"/>
      <c r="I67" s="213"/>
      <c r="J67" s="215">
        <f t="shared" si="3"/>
        <v>0</v>
      </c>
      <c r="K67" s="213"/>
      <c r="L67" s="285"/>
    </row>
    <row r="68" spans="1:12">
      <c r="A68" s="263"/>
      <c r="B68" s="275"/>
      <c r="C68" s="275"/>
      <c r="D68" s="275"/>
      <c r="E68" s="213"/>
      <c r="F68" s="258"/>
      <c r="G68" s="213"/>
      <c r="H68" s="215"/>
      <c r="I68" s="215"/>
      <c r="J68" s="215">
        <f t="shared" si="3"/>
        <v>0</v>
      </c>
      <c r="K68" s="215"/>
      <c r="L68" s="285"/>
    </row>
    <row r="69" spans="1:12">
      <c r="A69" s="263">
        <v>2.8</v>
      </c>
      <c r="B69" s="275"/>
      <c r="C69" s="275"/>
      <c r="D69" s="275" t="s">
        <v>95</v>
      </c>
      <c r="E69" s="275" t="s">
        <v>100</v>
      </c>
      <c r="F69" s="282" t="s">
        <v>471</v>
      </c>
      <c r="G69" s="213" t="s">
        <v>63</v>
      </c>
      <c r="H69" s="215">
        <v>12</v>
      </c>
      <c r="I69" s="215">
        <v>5</v>
      </c>
      <c r="J69" s="215">
        <f t="shared" si="3"/>
        <v>17</v>
      </c>
      <c r="K69" s="215">
        <v>1200</v>
      </c>
      <c r="L69" s="285">
        <f t="shared" ref="L69:L100" si="4">SUM(J69*K69)</f>
        <v>20400</v>
      </c>
    </row>
    <row r="70" ht="33" customHeight="1" spans="1:12">
      <c r="A70" s="263"/>
      <c r="B70" s="275"/>
      <c r="C70" s="275"/>
      <c r="D70" s="275"/>
      <c r="E70" s="213"/>
      <c r="F70" s="284" t="s">
        <v>102</v>
      </c>
      <c r="G70" s="213"/>
      <c r="H70" s="215"/>
      <c r="I70" s="215"/>
      <c r="J70" s="215">
        <f t="shared" si="3"/>
        <v>0</v>
      </c>
      <c r="K70" s="215"/>
      <c r="L70" s="285"/>
    </row>
    <row r="71" spans="1:12">
      <c r="A71" s="263"/>
      <c r="B71" s="275"/>
      <c r="C71" s="275"/>
      <c r="D71" s="275"/>
      <c r="E71" s="213"/>
      <c r="F71" s="258"/>
      <c r="G71" s="213"/>
      <c r="H71" s="215"/>
      <c r="I71" s="215"/>
      <c r="J71" s="215">
        <f t="shared" si="3"/>
        <v>0</v>
      </c>
      <c r="K71" s="215"/>
      <c r="L71" s="285"/>
    </row>
    <row r="72" ht="25.5" spans="1:12">
      <c r="A72" s="263">
        <v>2.9</v>
      </c>
      <c r="B72" s="275"/>
      <c r="C72" s="275"/>
      <c r="D72" s="275" t="s">
        <v>410</v>
      </c>
      <c r="E72" s="275" t="s">
        <v>411</v>
      </c>
      <c r="F72" s="257" t="s">
        <v>412</v>
      </c>
      <c r="G72" s="213" t="s">
        <v>63</v>
      </c>
      <c r="H72" s="215">
        <v>12</v>
      </c>
      <c r="I72" s="215">
        <v>5</v>
      </c>
      <c r="J72" s="215">
        <f t="shared" si="3"/>
        <v>17</v>
      </c>
      <c r="K72" s="299">
        <v>3500</v>
      </c>
      <c r="L72" s="285">
        <f t="shared" si="4"/>
        <v>59500</v>
      </c>
    </row>
    <row r="73" ht="51" spans="1:12">
      <c r="A73" s="263"/>
      <c r="B73" s="275"/>
      <c r="C73" s="275"/>
      <c r="D73" s="275"/>
      <c r="E73" s="213"/>
      <c r="F73" s="266" t="s">
        <v>413</v>
      </c>
      <c r="G73" s="213"/>
      <c r="H73" s="215"/>
      <c r="I73" s="215"/>
      <c r="J73" s="215">
        <f t="shared" si="3"/>
        <v>0</v>
      </c>
      <c r="K73" s="215"/>
      <c r="L73" s="285"/>
    </row>
    <row r="74" spans="1:12">
      <c r="A74" s="263"/>
      <c r="B74" s="275"/>
      <c r="C74" s="275"/>
      <c r="D74" s="275"/>
      <c r="E74" s="213"/>
      <c r="F74" s="266"/>
      <c r="G74" s="213"/>
      <c r="H74" s="215"/>
      <c r="I74" s="215"/>
      <c r="J74" s="215">
        <f t="shared" si="3"/>
        <v>0</v>
      </c>
      <c r="K74" s="215"/>
      <c r="L74" s="285"/>
    </row>
    <row r="75" ht="25.5" spans="1:12">
      <c r="A75" s="283">
        <v>2.1</v>
      </c>
      <c r="B75" s="275"/>
      <c r="C75" s="275"/>
      <c r="D75" s="275" t="s">
        <v>239</v>
      </c>
      <c r="E75" s="275" t="s">
        <v>334</v>
      </c>
      <c r="F75" s="282" t="s">
        <v>335</v>
      </c>
      <c r="G75" s="213" t="s">
        <v>187</v>
      </c>
      <c r="H75" s="215">
        <v>4</v>
      </c>
      <c r="I75" s="215">
        <v>0</v>
      </c>
      <c r="J75" s="215">
        <f t="shared" si="3"/>
        <v>4</v>
      </c>
      <c r="K75" s="215">
        <v>9000</v>
      </c>
      <c r="L75" s="285">
        <f t="shared" si="4"/>
        <v>36000</v>
      </c>
    </row>
    <row r="76" ht="99.75" customHeight="1" spans="1:12">
      <c r="A76" s="263"/>
      <c r="B76" s="275"/>
      <c r="C76" s="275"/>
      <c r="D76" s="275"/>
      <c r="E76" s="213"/>
      <c r="F76" s="284" t="s">
        <v>336</v>
      </c>
      <c r="G76" s="213"/>
      <c r="H76" s="215"/>
      <c r="I76" s="215"/>
      <c r="J76" s="215">
        <f t="shared" si="3"/>
        <v>0</v>
      </c>
      <c r="K76" s="215"/>
      <c r="L76" s="285"/>
    </row>
    <row r="77" spans="1:12">
      <c r="A77" s="263"/>
      <c r="B77" s="275"/>
      <c r="C77" s="275"/>
      <c r="D77" s="275"/>
      <c r="E77" s="213"/>
      <c r="F77" s="258"/>
      <c r="G77" s="213"/>
      <c r="H77" s="215"/>
      <c r="I77" s="215"/>
      <c r="J77" s="215">
        <f t="shared" si="3"/>
        <v>0</v>
      </c>
      <c r="K77" s="215"/>
      <c r="L77" s="285"/>
    </row>
    <row r="78" spans="1:12">
      <c r="A78" s="283">
        <v>2.11</v>
      </c>
      <c r="B78" s="280"/>
      <c r="C78" s="280"/>
      <c r="D78" s="275"/>
      <c r="E78" s="275"/>
      <c r="F78" s="261" t="s">
        <v>363</v>
      </c>
      <c r="G78" s="296" t="s">
        <v>130</v>
      </c>
      <c r="H78" s="295">
        <f>25+(2.5*8)</f>
        <v>45</v>
      </c>
      <c r="I78" s="295">
        <v>15</v>
      </c>
      <c r="J78" s="215">
        <f t="shared" si="3"/>
        <v>60</v>
      </c>
      <c r="K78" s="295">
        <v>2800</v>
      </c>
      <c r="L78" s="285">
        <f t="shared" si="4"/>
        <v>168000</v>
      </c>
    </row>
    <row r="79" ht="76.5" spans="1:12">
      <c r="A79" s="259"/>
      <c r="B79" s="280"/>
      <c r="C79" s="280"/>
      <c r="D79" s="275"/>
      <c r="E79" s="275"/>
      <c r="F79" s="266" t="s">
        <v>472</v>
      </c>
      <c r="G79" s="213"/>
      <c r="H79" s="215"/>
      <c r="I79" s="215"/>
      <c r="J79" s="215">
        <f t="shared" si="3"/>
        <v>0</v>
      </c>
      <c r="K79" s="215"/>
      <c r="L79" s="285"/>
    </row>
    <row r="80" spans="1:12">
      <c r="A80" s="213"/>
      <c r="B80" s="213"/>
      <c r="C80" s="213"/>
      <c r="D80" s="213"/>
      <c r="E80" s="213"/>
      <c r="F80" s="258"/>
      <c r="G80" s="213"/>
      <c r="H80" s="213"/>
      <c r="I80" s="213"/>
      <c r="J80" s="215">
        <f t="shared" si="3"/>
        <v>0</v>
      </c>
      <c r="K80" s="213"/>
      <c r="L80" s="285"/>
    </row>
    <row r="81" ht="25.5" spans="1:12">
      <c r="A81" s="283">
        <v>2.12</v>
      </c>
      <c r="B81" s="275"/>
      <c r="C81" s="275"/>
      <c r="D81" s="275" t="s">
        <v>239</v>
      </c>
      <c r="E81" s="275" t="s">
        <v>473</v>
      </c>
      <c r="F81" s="261" t="s">
        <v>474</v>
      </c>
      <c r="G81" s="213" t="s">
        <v>187</v>
      </c>
      <c r="H81" s="215">
        <v>1</v>
      </c>
      <c r="I81" s="215">
        <v>0</v>
      </c>
      <c r="J81" s="215">
        <f t="shared" si="3"/>
        <v>1</v>
      </c>
      <c r="K81" s="215">
        <v>34150</v>
      </c>
      <c r="L81" s="285">
        <f t="shared" si="4"/>
        <v>34150</v>
      </c>
    </row>
    <row r="82" ht="140.25" spans="1:12">
      <c r="A82" s="263"/>
      <c r="B82" s="275"/>
      <c r="C82" s="275"/>
      <c r="D82" s="275"/>
      <c r="E82" s="275"/>
      <c r="F82" s="266" t="s">
        <v>475</v>
      </c>
      <c r="G82" s="213"/>
      <c r="H82" s="215"/>
      <c r="I82" s="215"/>
      <c r="J82" s="215">
        <f t="shared" si="3"/>
        <v>0</v>
      </c>
      <c r="K82" s="215"/>
      <c r="L82" s="285"/>
    </row>
    <row r="83" spans="1:12">
      <c r="A83" s="283"/>
      <c r="B83" s="275"/>
      <c r="C83" s="275"/>
      <c r="D83" s="275"/>
      <c r="E83" s="275"/>
      <c r="F83" s="284"/>
      <c r="G83" s="213"/>
      <c r="H83" s="215"/>
      <c r="I83" s="215"/>
      <c r="J83" s="215">
        <f t="shared" si="3"/>
        <v>0</v>
      </c>
      <c r="K83" s="215"/>
      <c r="L83" s="285"/>
    </row>
    <row r="84" ht="25.5" spans="1:12">
      <c r="A84" s="283">
        <v>2.13</v>
      </c>
      <c r="B84" s="275"/>
      <c r="C84" s="275"/>
      <c r="D84" s="297" t="s">
        <v>246</v>
      </c>
      <c r="E84" s="297" t="s">
        <v>346</v>
      </c>
      <c r="F84" s="261" t="s">
        <v>347</v>
      </c>
      <c r="G84" s="296" t="s">
        <v>249</v>
      </c>
      <c r="H84" s="295">
        <v>1</v>
      </c>
      <c r="I84" s="295">
        <v>0</v>
      </c>
      <c r="J84" s="215">
        <f t="shared" si="3"/>
        <v>1</v>
      </c>
      <c r="K84" s="295">
        <v>65000</v>
      </c>
      <c r="L84" s="285">
        <f t="shared" si="4"/>
        <v>65000</v>
      </c>
    </row>
    <row r="85" spans="1:12">
      <c r="A85" s="263"/>
      <c r="B85" s="275"/>
      <c r="C85" s="275"/>
      <c r="D85" s="297"/>
      <c r="E85" s="296"/>
      <c r="F85" s="284" t="s">
        <v>476</v>
      </c>
      <c r="G85" s="296"/>
      <c r="H85" s="295"/>
      <c r="I85" s="295"/>
      <c r="J85" s="215">
        <f t="shared" si="3"/>
        <v>0</v>
      </c>
      <c r="K85" s="295"/>
      <c r="L85" s="285"/>
    </row>
    <row r="86" spans="1:12">
      <c r="A86" s="263"/>
      <c r="B86" s="275"/>
      <c r="C86" s="275"/>
      <c r="D86" s="297"/>
      <c r="E86" s="296"/>
      <c r="F86" s="284" t="s">
        <v>251</v>
      </c>
      <c r="G86" s="296"/>
      <c r="H86" s="295"/>
      <c r="I86" s="295"/>
      <c r="J86" s="215">
        <f t="shared" si="3"/>
        <v>0</v>
      </c>
      <c r="K86" s="295"/>
      <c r="L86" s="285"/>
    </row>
    <row r="87" ht="143.25" customHeight="1" spans="1:12">
      <c r="A87" s="263"/>
      <c r="B87" s="275"/>
      <c r="C87" s="275"/>
      <c r="D87" s="297"/>
      <c r="E87" s="296"/>
      <c r="F87" s="284" t="s">
        <v>477</v>
      </c>
      <c r="G87" s="296"/>
      <c r="H87" s="295"/>
      <c r="I87" s="295"/>
      <c r="J87" s="215">
        <f t="shared" si="3"/>
        <v>0</v>
      </c>
      <c r="K87" s="295"/>
      <c r="L87" s="285"/>
    </row>
    <row r="88" spans="1:12">
      <c r="A88" s="263"/>
      <c r="B88" s="275"/>
      <c r="C88" s="275"/>
      <c r="D88" s="297"/>
      <c r="E88" s="297"/>
      <c r="F88" s="282" t="s">
        <v>253</v>
      </c>
      <c r="G88" s="296"/>
      <c r="H88" s="295"/>
      <c r="I88" s="295"/>
      <c r="J88" s="215">
        <f t="shared" si="3"/>
        <v>0</v>
      </c>
      <c r="K88" s="295"/>
      <c r="L88" s="285"/>
    </row>
    <row r="89" ht="128.25" customHeight="1" spans="1:12">
      <c r="A89" s="263"/>
      <c r="B89" s="275"/>
      <c r="C89" s="275"/>
      <c r="D89" s="297"/>
      <c r="E89" s="296"/>
      <c r="F89" s="266" t="s">
        <v>478</v>
      </c>
      <c r="G89" s="296"/>
      <c r="H89" s="295"/>
      <c r="I89" s="295"/>
      <c r="J89" s="215">
        <f t="shared" si="3"/>
        <v>0</v>
      </c>
      <c r="K89" s="295"/>
      <c r="L89" s="285"/>
    </row>
    <row r="90" spans="1:12">
      <c r="A90" s="263"/>
      <c r="B90" s="275"/>
      <c r="C90" s="275"/>
      <c r="D90" s="297"/>
      <c r="E90" s="296"/>
      <c r="F90" s="257" t="s">
        <v>351</v>
      </c>
      <c r="G90" s="296"/>
      <c r="H90" s="295"/>
      <c r="I90" s="295"/>
      <c r="J90" s="215">
        <f t="shared" si="3"/>
        <v>0</v>
      </c>
      <c r="K90" s="295"/>
      <c r="L90" s="285"/>
    </row>
    <row r="91" ht="33" customHeight="1" spans="1:12">
      <c r="A91" s="263"/>
      <c r="B91" s="275"/>
      <c r="C91" s="275"/>
      <c r="D91" s="297"/>
      <c r="E91" s="296"/>
      <c r="F91" s="266" t="s">
        <v>479</v>
      </c>
      <c r="G91" s="296"/>
      <c r="H91" s="295"/>
      <c r="I91" s="295"/>
      <c r="J91" s="215">
        <f t="shared" si="3"/>
        <v>0</v>
      </c>
      <c r="K91" s="295"/>
      <c r="L91" s="285"/>
    </row>
    <row r="92" spans="1:12">
      <c r="A92" s="263"/>
      <c r="B92" s="275"/>
      <c r="C92" s="275"/>
      <c r="D92" s="297"/>
      <c r="E92" s="297"/>
      <c r="F92" s="282" t="s">
        <v>255</v>
      </c>
      <c r="G92" s="296"/>
      <c r="H92" s="295"/>
      <c r="I92" s="295"/>
      <c r="J92" s="215">
        <f t="shared" si="3"/>
        <v>0</v>
      </c>
      <c r="K92" s="295"/>
      <c r="L92" s="285"/>
    </row>
    <row r="93" ht="81.75" customHeight="1" spans="1:12">
      <c r="A93" s="263"/>
      <c r="B93" s="275"/>
      <c r="C93" s="275"/>
      <c r="D93" s="297"/>
      <c r="E93" s="296"/>
      <c r="F93" s="284" t="s">
        <v>480</v>
      </c>
      <c r="G93" s="296"/>
      <c r="H93" s="295"/>
      <c r="I93" s="295"/>
      <c r="J93" s="215">
        <f t="shared" si="3"/>
        <v>0</v>
      </c>
      <c r="K93" s="295"/>
      <c r="L93" s="285"/>
    </row>
    <row r="94" spans="1:12">
      <c r="A94" s="263"/>
      <c r="B94" s="275"/>
      <c r="C94" s="275"/>
      <c r="D94" s="275"/>
      <c r="E94" s="275"/>
      <c r="F94" s="258"/>
      <c r="G94" s="213"/>
      <c r="H94" s="215"/>
      <c r="I94" s="215"/>
      <c r="J94" s="215">
        <f t="shared" si="3"/>
        <v>0</v>
      </c>
      <c r="K94" s="300"/>
      <c r="L94" s="285"/>
    </row>
    <row r="95" spans="1:12">
      <c r="A95" s="298" t="s">
        <v>81</v>
      </c>
      <c r="B95" s="280"/>
      <c r="C95" s="280"/>
      <c r="D95" s="280"/>
      <c r="E95" s="280"/>
      <c r="F95" s="261" t="s">
        <v>126</v>
      </c>
      <c r="G95" s="262"/>
      <c r="H95" s="264"/>
      <c r="I95" s="264"/>
      <c r="J95" s="264">
        <f t="shared" si="3"/>
        <v>0</v>
      </c>
      <c r="K95" s="288"/>
      <c r="L95" s="287"/>
    </row>
    <row r="96" spans="1:12">
      <c r="A96" s="283"/>
      <c r="B96" s="275"/>
      <c r="C96" s="275"/>
      <c r="D96" s="275"/>
      <c r="E96" s="275"/>
      <c r="F96" s="261"/>
      <c r="G96" s="213"/>
      <c r="H96" s="215"/>
      <c r="I96" s="215"/>
      <c r="J96" s="215">
        <f t="shared" si="3"/>
        <v>0</v>
      </c>
      <c r="K96" s="300"/>
      <c r="L96" s="285"/>
    </row>
    <row r="97" spans="1:12">
      <c r="A97" s="263">
        <v>3.1</v>
      </c>
      <c r="B97" s="275"/>
      <c r="C97" s="275"/>
      <c r="D97" s="275" t="s">
        <v>127</v>
      </c>
      <c r="E97" s="275" t="s">
        <v>128</v>
      </c>
      <c r="F97" s="257" t="s">
        <v>273</v>
      </c>
      <c r="G97" s="213" t="s">
        <v>130</v>
      </c>
      <c r="H97" s="215">
        <v>21</v>
      </c>
      <c r="I97" s="215">
        <v>5</v>
      </c>
      <c r="J97" s="215">
        <f t="shared" si="3"/>
        <v>26</v>
      </c>
      <c r="K97" s="300">
        <v>485</v>
      </c>
      <c r="L97" s="285">
        <f t="shared" si="4"/>
        <v>12610</v>
      </c>
    </row>
    <row r="98" ht="51" spans="1:12">
      <c r="A98" s="263"/>
      <c r="B98" s="275"/>
      <c r="C98" s="275"/>
      <c r="D98" s="275"/>
      <c r="E98" s="275"/>
      <c r="F98" s="266" t="s">
        <v>131</v>
      </c>
      <c r="G98" s="213"/>
      <c r="H98" s="215"/>
      <c r="I98" s="215"/>
      <c r="J98" s="215">
        <f t="shared" si="3"/>
        <v>0</v>
      </c>
      <c r="K98" s="300"/>
      <c r="L98" s="285"/>
    </row>
    <row r="99" spans="1:12">
      <c r="A99" s="283"/>
      <c r="B99" s="275"/>
      <c r="C99" s="275"/>
      <c r="D99" s="275"/>
      <c r="E99" s="275"/>
      <c r="F99" s="261"/>
      <c r="G99" s="213"/>
      <c r="H99" s="215"/>
      <c r="I99" s="215"/>
      <c r="J99" s="215">
        <f t="shared" si="3"/>
        <v>0</v>
      </c>
      <c r="K99" s="300"/>
      <c r="L99" s="285"/>
    </row>
    <row r="100" ht="25.5" spans="1:12">
      <c r="A100" s="263">
        <v>3.2</v>
      </c>
      <c r="B100" s="275"/>
      <c r="C100" s="275"/>
      <c r="D100" s="275" t="s">
        <v>127</v>
      </c>
      <c r="E100" s="275" t="s">
        <v>134</v>
      </c>
      <c r="F100" s="257" t="s">
        <v>135</v>
      </c>
      <c r="G100" s="213" t="s">
        <v>130</v>
      </c>
      <c r="H100" s="215">
        <v>5</v>
      </c>
      <c r="I100" s="215">
        <v>5</v>
      </c>
      <c r="J100" s="215">
        <f t="shared" si="3"/>
        <v>10</v>
      </c>
      <c r="K100" s="300">
        <v>325</v>
      </c>
      <c r="L100" s="285">
        <f t="shared" si="4"/>
        <v>3250</v>
      </c>
    </row>
    <row r="101" ht="51" spans="1:12">
      <c r="A101" s="263"/>
      <c r="B101" s="275"/>
      <c r="C101" s="275"/>
      <c r="D101" s="275"/>
      <c r="E101" s="275"/>
      <c r="F101" s="266" t="s">
        <v>136</v>
      </c>
      <c r="G101" s="213"/>
      <c r="H101" s="215"/>
      <c r="I101" s="215"/>
      <c r="J101" s="215"/>
      <c r="K101" s="300"/>
      <c r="L101" s="285"/>
    </row>
    <row r="102" spans="1:12">
      <c r="A102" s="263"/>
      <c r="B102" s="275"/>
      <c r="C102" s="275"/>
      <c r="D102" s="275"/>
      <c r="E102" s="275"/>
      <c r="F102" s="258"/>
      <c r="G102" s="213"/>
      <c r="H102" s="215"/>
      <c r="I102" s="215"/>
      <c r="J102" s="215"/>
      <c r="K102" s="300"/>
      <c r="L102" s="285"/>
    </row>
    <row r="103" ht="24.75" customHeight="1" spans="1:12">
      <c r="A103" s="259"/>
      <c r="B103" s="280"/>
      <c r="C103" s="280"/>
      <c r="D103" s="280"/>
      <c r="E103" s="280"/>
      <c r="F103" s="261" t="s">
        <v>481</v>
      </c>
      <c r="G103" s="262"/>
      <c r="H103" s="264"/>
      <c r="I103" s="264"/>
      <c r="J103" s="264"/>
      <c r="K103" s="264"/>
      <c r="L103" s="287">
        <f>SUM(L6:L102)</f>
        <v>6068873</v>
      </c>
    </row>
  </sheetData>
  <mergeCells count="1">
    <mergeCell ref="K3:L3"/>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L196"/>
  <sheetViews>
    <sheetView zoomScale="85" zoomScaleNormal="85" workbookViewId="0">
      <selection activeCell="L24" sqref="K$1:L$1048576"/>
    </sheetView>
  </sheetViews>
  <sheetFormatPr defaultColWidth="6.5" defaultRowHeight="15"/>
  <cols>
    <col min="1" max="1" width="4.5" style="89" customWidth="1"/>
    <col min="2" max="2" width="9.75" style="89" customWidth="1"/>
    <col min="3" max="3" width="4.875" style="89" customWidth="1"/>
    <col min="4" max="4" width="8.25" style="89" customWidth="1"/>
    <col min="5" max="5" width="11.375" style="89" customWidth="1"/>
    <col min="6" max="6" width="86.75" style="89" customWidth="1"/>
    <col min="7" max="7" width="5" style="89" customWidth="1"/>
    <col min="8" max="8" width="8.5" style="89" customWidth="1"/>
    <col min="9" max="9" width="9" style="89" customWidth="1"/>
    <col min="10" max="10" width="13.5" style="89" customWidth="1"/>
    <col min="11" max="220" width="6.5" style="89" customWidth="1"/>
    <col min="221" max="16384" width="6.5" style="90"/>
  </cols>
  <sheetData>
    <row r="1" ht="24" customHeight="1" spans="1:10">
      <c r="A1" s="91" t="s">
        <v>482</v>
      </c>
      <c r="B1" s="92"/>
      <c r="C1" s="92"/>
      <c r="D1" s="92"/>
      <c r="E1" s="92"/>
      <c r="F1" s="92"/>
      <c r="G1" s="92"/>
      <c r="H1" s="92"/>
      <c r="I1" s="150"/>
      <c r="J1" s="151"/>
    </row>
    <row r="2" ht="24" customHeight="1" spans="1:10">
      <c r="A2" s="93"/>
      <c r="B2" s="93"/>
      <c r="C2" s="93"/>
      <c r="D2" s="93"/>
      <c r="E2" s="93"/>
      <c r="F2" s="93"/>
      <c r="G2" s="93"/>
      <c r="H2" s="93"/>
      <c r="I2" s="152"/>
      <c r="J2" s="152"/>
    </row>
    <row r="3" ht="24" customHeight="1" spans="1:10">
      <c r="A3" s="94"/>
      <c r="B3" s="95"/>
      <c r="C3" s="95"/>
      <c r="D3" s="95"/>
      <c r="E3" s="95"/>
      <c r="F3" s="95"/>
      <c r="G3" s="95"/>
      <c r="H3" s="95"/>
      <c r="I3" s="153" t="s">
        <v>35</v>
      </c>
      <c r="J3" s="154"/>
    </row>
    <row r="4" ht="60.75" spans="1:10">
      <c r="A4" s="94"/>
      <c r="B4" s="96" t="s">
        <v>37</v>
      </c>
      <c r="C4" s="96" t="s">
        <v>38</v>
      </c>
      <c r="D4" s="96" t="s">
        <v>39</v>
      </c>
      <c r="E4" s="96" t="s">
        <v>40</v>
      </c>
      <c r="F4" s="96" t="s">
        <v>483</v>
      </c>
      <c r="G4" s="96" t="s">
        <v>484</v>
      </c>
      <c r="H4" s="96" t="s">
        <v>43</v>
      </c>
      <c r="I4" s="155" t="s">
        <v>44</v>
      </c>
      <c r="J4" s="156" t="s">
        <v>45</v>
      </c>
    </row>
    <row r="5" spans="1:10">
      <c r="A5" s="97"/>
      <c r="B5" s="97"/>
      <c r="C5" s="97"/>
      <c r="D5" s="97"/>
      <c r="E5" s="97"/>
      <c r="F5" s="97"/>
      <c r="G5" s="97"/>
      <c r="H5" s="97"/>
      <c r="I5" s="157"/>
      <c r="J5" s="157"/>
    </row>
    <row r="6" spans="1:10">
      <c r="A6" s="98" t="s">
        <v>46</v>
      </c>
      <c r="B6" s="98"/>
      <c r="C6" s="99" t="s">
        <v>158</v>
      </c>
      <c r="D6" s="98"/>
      <c r="E6" s="98"/>
      <c r="F6" s="98" t="s">
        <v>154</v>
      </c>
      <c r="G6" s="98" t="s">
        <v>113</v>
      </c>
      <c r="H6" s="98">
        <v>1</v>
      </c>
      <c r="I6" s="158">
        <v>100000</v>
      </c>
      <c r="J6" s="159">
        <f>SUM(H6*I6)</f>
        <v>100000</v>
      </c>
    </row>
    <row r="7" ht="15.75" spans="1:10">
      <c r="A7" s="100"/>
      <c r="B7" s="101"/>
      <c r="C7" s="102"/>
      <c r="D7" s="103"/>
      <c r="E7" s="104"/>
      <c r="F7" s="105"/>
      <c r="G7" s="106"/>
      <c r="H7" s="107"/>
      <c r="I7" s="160"/>
      <c r="J7" s="160"/>
    </row>
    <row r="8" ht="15.75" spans="1:10">
      <c r="A8" s="108" t="s">
        <v>69</v>
      </c>
      <c r="B8" s="96"/>
      <c r="C8" s="96"/>
      <c r="D8" s="96"/>
      <c r="E8" s="96"/>
      <c r="F8" s="109" t="s">
        <v>156</v>
      </c>
      <c r="G8" s="96"/>
      <c r="H8" s="96"/>
      <c r="I8" s="155"/>
      <c r="J8" s="156"/>
    </row>
    <row r="9" ht="150" spans="1:10">
      <c r="A9" s="99">
        <v>2.1</v>
      </c>
      <c r="B9" s="99" t="s">
        <v>157</v>
      </c>
      <c r="C9" s="99" t="s">
        <v>158</v>
      </c>
      <c r="D9" s="99" t="s">
        <v>159</v>
      </c>
      <c r="E9" s="99" t="s">
        <v>485</v>
      </c>
      <c r="F9" s="110" t="s">
        <v>486</v>
      </c>
      <c r="G9" s="111" t="s">
        <v>162</v>
      </c>
      <c r="H9" s="111">
        <f>4*4.3</f>
        <v>17.2</v>
      </c>
      <c r="I9" s="161">
        <v>2050</v>
      </c>
      <c r="J9" s="159">
        <f>SUM(H9*I9)</f>
        <v>35260</v>
      </c>
    </row>
    <row r="10" spans="1:10">
      <c r="A10" s="112"/>
      <c r="B10" s="112"/>
      <c r="C10" s="112"/>
      <c r="D10" s="112"/>
      <c r="E10" s="112"/>
      <c r="F10" s="112"/>
      <c r="G10" s="112"/>
      <c r="H10" s="113"/>
      <c r="I10" s="162"/>
      <c r="J10" s="163"/>
    </row>
    <row r="11" ht="150" spans="1:10">
      <c r="A11" s="114">
        <v>2.2</v>
      </c>
      <c r="B11" s="114" t="s">
        <v>157</v>
      </c>
      <c r="C11" s="114" t="s">
        <v>158</v>
      </c>
      <c r="D11" s="114" t="s">
        <v>159</v>
      </c>
      <c r="E11" s="114" t="s">
        <v>163</v>
      </c>
      <c r="F11" s="115" t="s">
        <v>487</v>
      </c>
      <c r="G11" s="116" t="s">
        <v>162</v>
      </c>
      <c r="H11" s="89">
        <f>1.25*3+0.25</f>
        <v>4</v>
      </c>
      <c r="I11" s="162">
        <v>1800</v>
      </c>
      <c r="J11" s="159">
        <f>SUM(H11*I11)</f>
        <v>7200</v>
      </c>
    </row>
    <row r="12" spans="1:10">
      <c r="A12" s="112"/>
      <c r="B12" s="112"/>
      <c r="C12" s="112"/>
      <c r="D12" s="112"/>
      <c r="E12" s="112"/>
      <c r="F12" s="112"/>
      <c r="G12" s="112"/>
      <c r="H12" s="113"/>
      <c r="I12" s="162"/>
      <c r="J12" s="163"/>
    </row>
    <row r="13" ht="195" spans="1:10">
      <c r="A13" s="114">
        <v>2.3</v>
      </c>
      <c r="B13" s="114" t="s">
        <v>165</v>
      </c>
      <c r="C13" s="114" t="s">
        <v>158</v>
      </c>
      <c r="D13" s="114" t="s">
        <v>166</v>
      </c>
      <c r="E13" s="114" t="s">
        <v>167</v>
      </c>
      <c r="F13" s="115" t="s">
        <v>168</v>
      </c>
      <c r="G13" s="116" t="s">
        <v>162</v>
      </c>
      <c r="H13" s="212">
        <f>SUM(H9)*2+4</f>
        <v>38.4</v>
      </c>
      <c r="I13" s="162">
        <v>650</v>
      </c>
      <c r="J13" s="159">
        <f>SUM(H13*I13)</f>
        <v>24960</v>
      </c>
    </row>
    <row r="14" spans="1:10">
      <c r="A14" s="112"/>
      <c r="B14" s="112"/>
      <c r="C14" s="112"/>
      <c r="D14" s="112"/>
      <c r="E14" s="112"/>
      <c r="F14" s="112"/>
      <c r="G14" s="112"/>
      <c r="H14" s="113"/>
      <c r="I14" s="162"/>
      <c r="J14" s="163"/>
    </row>
    <row r="15" ht="195" spans="1:10">
      <c r="A15" s="114">
        <v>2.4</v>
      </c>
      <c r="B15" s="114" t="s">
        <v>165</v>
      </c>
      <c r="C15" s="114" t="s">
        <v>158</v>
      </c>
      <c r="D15" s="114" t="s">
        <v>169</v>
      </c>
      <c r="E15" s="114" t="s">
        <v>488</v>
      </c>
      <c r="F15" s="115" t="s">
        <v>168</v>
      </c>
      <c r="G15" s="116" t="s">
        <v>162</v>
      </c>
      <c r="H15" s="212">
        <f>(26*4.3)</f>
        <v>111.8</v>
      </c>
      <c r="I15" s="162">
        <v>650</v>
      </c>
      <c r="J15" s="159">
        <f>SUM(H15*I15)</f>
        <v>72670</v>
      </c>
    </row>
    <row r="16" spans="1:10">
      <c r="A16" s="122"/>
      <c r="B16" s="122"/>
      <c r="C16" s="122"/>
      <c r="D16" s="122"/>
      <c r="E16" s="122"/>
      <c r="F16" s="112"/>
      <c r="G16" s="122"/>
      <c r="H16" s="113"/>
      <c r="I16" s="162"/>
      <c r="J16" s="163"/>
    </row>
    <row r="17" ht="90" spans="1:10">
      <c r="A17" s="114">
        <v>2.5</v>
      </c>
      <c r="B17" s="114" t="s">
        <v>489</v>
      </c>
      <c r="C17" s="114" t="s">
        <v>158</v>
      </c>
      <c r="D17" s="114" t="s">
        <v>172</v>
      </c>
      <c r="E17" s="114" t="s">
        <v>490</v>
      </c>
      <c r="F17" s="115" t="s">
        <v>491</v>
      </c>
      <c r="G17" s="116" t="s">
        <v>162</v>
      </c>
      <c r="H17" s="113">
        <v>5</v>
      </c>
      <c r="I17" s="162">
        <v>1800</v>
      </c>
      <c r="J17" s="159">
        <f>SUM(H17*I17)</f>
        <v>9000</v>
      </c>
    </row>
    <row r="18" spans="1:10">
      <c r="A18" s="114"/>
      <c r="B18" s="114"/>
      <c r="C18" s="114"/>
      <c r="D18" s="114"/>
      <c r="E18" s="114"/>
      <c r="F18" s="115"/>
      <c r="G18" s="116"/>
      <c r="H18" s="113"/>
      <c r="I18" s="162"/>
      <c r="J18" s="163"/>
    </row>
    <row r="19" ht="90" spans="1:10">
      <c r="A19" s="114">
        <v>2.6</v>
      </c>
      <c r="B19" s="114" t="s">
        <v>489</v>
      </c>
      <c r="C19" s="114" t="s">
        <v>158</v>
      </c>
      <c r="D19" s="114" t="s">
        <v>172</v>
      </c>
      <c r="E19" s="114" t="s">
        <v>173</v>
      </c>
      <c r="F19" s="115" t="s">
        <v>492</v>
      </c>
      <c r="G19" s="116" t="s">
        <v>162</v>
      </c>
      <c r="H19" s="113">
        <v>65</v>
      </c>
      <c r="I19" s="162">
        <v>1850</v>
      </c>
      <c r="J19" s="159">
        <f>SUM(H19*I19)</f>
        <v>120250</v>
      </c>
    </row>
    <row r="20" spans="1:10">
      <c r="A20" s="123"/>
      <c r="B20" s="123"/>
      <c r="C20" s="123"/>
      <c r="D20" s="123"/>
      <c r="E20" s="123"/>
      <c r="F20" s="115"/>
      <c r="G20" s="124"/>
      <c r="H20" s="125"/>
      <c r="I20" s="164"/>
      <c r="J20" s="165"/>
    </row>
    <row r="21" ht="14.25" customHeight="1" spans="1:10">
      <c r="A21" s="126"/>
      <c r="B21" s="126"/>
      <c r="C21" s="126"/>
      <c r="D21" s="126"/>
      <c r="E21" s="126"/>
      <c r="F21" s="127"/>
      <c r="G21" s="126"/>
      <c r="H21" s="98"/>
      <c r="I21" s="166"/>
      <c r="J21" s="167"/>
    </row>
    <row r="22" ht="19.5" customHeight="1" spans="1:10">
      <c r="A22" s="108" t="s">
        <v>81</v>
      </c>
      <c r="B22" s="128"/>
      <c r="C22" s="128"/>
      <c r="D22" s="128"/>
      <c r="E22" s="128"/>
      <c r="F22" s="96" t="s">
        <v>493</v>
      </c>
      <c r="G22" s="128"/>
      <c r="H22" s="128"/>
      <c r="I22" s="168"/>
      <c r="J22" s="169"/>
    </row>
    <row r="23" ht="19.5" customHeight="1" spans="1:10">
      <c r="A23" s="129"/>
      <c r="B23" s="130"/>
      <c r="C23" s="130"/>
      <c r="D23" s="130"/>
      <c r="E23" s="130"/>
      <c r="F23" s="97" t="s">
        <v>494</v>
      </c>
      <c r="G23" s="130"/>
      <c r="H23" s="130"/>
      <c r="I23" s="170"/>
      <c r="J23" s="129"/>
    </row>
    <row r="24" ht="30" spans="1:10">
      <c r="A24" s="113">
        <v>3.1</v>
      </c>
      <c r="B24" s="131"/>
      <c r="C24" s="113" t="s">
        <v>158</v>
      </c>
      <c r="D24" s="113" t="s">
        <v>48</v>
      </c>
      <c r="E24" s="113" t="s">
        <v>495</v>
      </c>
      <c r="F24" s="112" t="s">
        <v>496</v>
      </c>
      <c r="G24" s="113" t="s">
        <v>130</v>
      </c>
      <c r="H24" s="113">
        <v>5</v>
      </c>
      <c r="I24" s="171">
        <v>8950</v>
      </c>
      <c r="J24" s="117">
        <f t="shared" ref="J24:J60" si="0">SUM(H24*I24)</f>
        <v>44750</v>
      </c>
    </row>
    <row r="25" ht="90" spans="1:10">
      <c r="A25" s="131"/>
      <c r="B25" s="131"/>
      <c r="C25" s="131"/>
      <c r="D25" s="131"/>
      <c r="E25" s="131"/>
      <c r="F25" s="113" t="s">
        <v>497</v>
      </c>
      <c r="G25" s="131"/>
      <c r="H25" s="131"/>
      <c r="I25" s="172"/>
      <c r="J25" s="117"/>
    </row>
    <row r="26" ht="15.95" customHeight="1" spans="1:10">
      <c r="A26" s="131"/>
      <c r="B26" s="131"/>
      <c r="C26" s="131"/>
      <c r="D26" s="131"/>
      <c r="E26" s="131"/>
      <c r="F26" s="131"/>
      <c r="G26" s="131"/>
      <c r="H26" s="131"/>
      <c r="I26" s="172"/>
      <c r="J26" s="117"/>
    </row>
    <row r="27" ht="25.5" spans="1:10">
      <c r="A27" s="113">
        <v>3.2</v>
      </c>
      <c r="B27" s="131"/>
      <c r="C27" s="113"/>
      <c r="D27" s="113"/>
      <c r="E27" s="213" t="s">
        <v>498</v>
      </c>
      <c r="F27" s="214" t="s">
        <v>499</v>
      </c>
      <c r="G27" s="213" t="s">
        <v>51</v>
      </c>
      <c r="H27" s="215">
        <v>60</v>
      </c>
      <c r="I27" s="220">
        <v>14450</v>
      </c>
      <c r="J27" s="117">
        <f t="shared" si="0"/>
        <v>867000</v>
      </c>
    </row>
    <row r="28" ht="240.75" spans="1:10">
      <c r="A28" s="131"/>
      <c r="B28" s="131"/>
      <c r="C28" s="131"/>
      <c r="D28" s="131"/>
      <c r="E28" s="213"/>
      <c r="F28" s="216" t="s">
        <v>500</v>
      </c>
      <c r="G28" s="213"/>
      <c r="H28" s="215"/>
      <c r="I28" s="220"/>
      <c r="J28" s="215"/>
    </row>
    <row r="29" s="88" customFormat="1" spans="1:220">
      <c r="A29" s="140"/>
      <c r="B29" s="140"/>
      <c r="C29" s="140"/>
      <c r="D29" s="140"/>
      <c r="E29" s="141"/>
      <c r="F29" s="140"/>
      <c r="G29" s="143"/>
      <c r="H29" s="144"/>
      <c r="I29" s="175"/>
      <c r="J29" s="176"/>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77"/>
      <c r="BX29" s="177"/>
      <c r="BY29" s="177"/>
      <c r="BZ29" s="177"/>
      <c r="CA29" s="177"/>
      <c r="CB29" s="177"/>
      <c r="CC29" s="177"/>
      <c r="CD29" s="177"/>
      <c r="CE29" s="177"/>
      <c r="CF29" s="177"/>
      <c r="CG29" s="177"/>
      <c r="CH29" s="177"/>
      <c r="CI29" s="177"/>
      <c r="CJ29" s="177"/>
      <c r="CK29" s="177"/>
      <c r="CL29" s="177"/>
      <c r="CM29" s="177"/>
      <c r="CN29" s="177"/>
      <c r="CO29" s="177"/>
      <c r="CP29" s="177"/>
      <c r="CQ29" s="177"/>
      <c r="CR29" s="177"/>
      <c r="CS29" s="177"/>
      <c r="CT29" s="177"/>
      <c r="CU29" s="177"/>
      <c r="CV29" s="177"/>
      <c r="CW29" s="177"/>
      <c r="CX29" s="177"/>
      <c r="CY29" s="177"/>
      <c r="CZ29" s="177"/>
      <c r="DA29" s="177"/>
      <c r="DB29" s="177"/>
      <c r="DC29" s="177"/>
      <c r="DD29" s="177"/>
      <c r="DE29" s="177"/>
      <c r="DF29" s="177"/>
      <c r="DG29" s="177"/>
      <c r="DH29" s="177"/>
      <c r="DI29" s="177"/>
      <c r="DJ29" s="177"/>
      <c r="DK29" s="177"/>
      <c r="DL29" s="177"/>
      <c r="DM29" s="177"/>
      <c r="DN29" s="177"/>
      <c r="DO29" s="177"/>
      <c r="DP29" s="177"/>
      <c r="DQ29" s="177"/>
      <c r="DR29" s="177"/>
      <c r="DS29" s="177"/>
      <c r="DT29" s="177"/>
      <c r="DU29" s="177"/>
      <c r="DV29" s="177"/>
      <c r="DW29" s="177"/>
      <c r="DX29" s="177"/>
      <c r="DY29" s="177"/>
      <c r="DZ29" s="177"/>
      <c r="EA29" s="177"/>
      <c r="EB29" s="177"/>
      <c r="EC29" s="177"/>
      <c r="ED29" s="177"/>
      <c r="EE29" s="177"/>
      <c r="EF29" s="177"/>
      <c r="EG29" s="177"/>
      <c r="EH29" s="177"/>
      <c r="EI29" s="177"/>
      <c r="EJ29" s="177"/>
      <c r="EK29" s="177"/>
      <c r="EL29" s="177"/>
      <c r="EM29" s="177"/>
      <c r="EN29" s="177"/>
      <c r="EO29" s="177"/>
      <c r="EP29" s="177"/>
      <c r="EQ29" s="177"/>
      <c r="ER29" s="177"/>
      <c r="ES29" s="177"/>
      <c r="ET29" s="177"/>
      <c r="EU29" s="177"/>
      <c r="EV29" s="177"/>
      <c r="EW29" s="177"/>
      <c r="EX29" s="177"/>
      <c r="EY29" s="177"/>
      <c r="EZ29" s="177"/>
      <c r="FA29" s="177"/>
      <c r="FB29" s="177"/>
      <c r="FC29" s="177"/>
      <c r="FD29" s="177"/>
      <c r="FE29" s="177"/>
      <c r="FF29" s="177"/>
      <c r="FG29" s="177"/>
      <c r="FH29" s="177"/>
      <c r="FI29" s="177"/>
      <c r="FJ29" s="177"/>
      <c r="FK29" s="177"/>
      <c r="FL29" s="177"/>
      <c r="FM29" s="177"/>
      <c r="FN29" s="177"/>
      <c r="FO29" s="177"/>
      <c r="FP29" s="177"/>
      <c r="FQ29" s="177"/>
      <c r="FR29" s="177"/>
      <c r="FS29" s="177"/>
      <c r="FT29" s="177"/>
      <c r="FU29" s="177"/>
      <c r="FV29" s="177"/>
      <c r="FW29" s="177"/>
      <c r="FX29" s="177"/>
      <c r="FY29" s="177"/>
      <c r="FZ29" s="177"/>
      <c r="GA29" s="177"/>
      <c r="GB29" s="177"/>
      <c r="GC29" s="177"/>
      <c r="GD29" s="177"/>
      <c r="GE29" s="177"/>
      <c r="GF29" s="177"/>
      <c r="GG29" s="177"/>
      <c r="GH29" s="177"/>
      <c r="GI29" s="177"/>
      <c r="GJ29" s="177"/>
      <c r="GK29" s="177"/>
      <c r="GL29" s="177"/>
      <c r="GM29" s="177"/>
      <c r="GN29" s="177"/>
      <c r="GO29" s="177"/>
      <c r="GP29" s="177"/>
      <c r="GQ29" s="177"/>
      <c r="GR29" s="177"/>
      <c r="GS29" s="177"/>
      <c r="GT29" s="177"/>
      <c r="GU29" s="177"/>
      <c r="GV29" s="177"/>
      <c r="GW29" s="177"/>
      <c r="GX29" s="177"/>
      <c r="GY29" s="177"/>
      <c r="GZ29" s="177"/>
      <c r="HA29" s="177"/>
      <c r="HB29" s="177"/>
      <c r="HC29" s="177"/>
      <c r="HD29" s="177"/>
      <c r="HE29" s="177"/>
      <c r="HF29" s="177"/>
      <c r="HG29" s="177"/>
      <c r="HH29" s="177"/>
      <c r="HI29" s="177"/>
      <c r="HJ29" s="177"/>
      <c r="HK29" s="177"/>
      <c r="HL29" s="177"/>
    </row>
    <row r="30" ht="15.95" customHeight="1" spans="1:10">
      <c r="A30" s="131"/>
      <c r="B30" s="131"/>
      <c r="C30" s="131"/>
      <c r="D30" s="131"/>
      <c r="E30" s="131"/>
      <c r="F30" s="145" t="s">
        <v>501</v>
      </c>
      <c r="G30" s="131"/>
      <c r="H30" s="146"/>
      <c r="I30" s="172"/>
      <c r="J30" s="117"/>
    </row>
    <row r="31" ht="30" spans="1:10">
      <c r="A31" s="113">
        <v>3.3</v>
      </c>
      <c r="B31" s="131"/>
      <c r="C31" s="113" t="s">
        <v>158</v>
      </c>
      <c r="D31" s="113" t="s">
        <v>295</v>
      </c>
      <c r="E31" s="113" t="s">
        <v>502</v>
      </c>
      <c r="F31" s="112" t="s">
        <v>503</v>
      </c>
      <c r="G31" s="113" t="s">
        <v>130</v>
      </c>
      <c r="H31" s="146">
        <f>7*3</f>
        <v>21</v>
      </c>
      <c r="I31" s="171">
        <v>6400</v>
      </c>
      <c r="J31" s="117">
        <f>SUM(H31*I31)</f>
        <v>134400</v>
      </c>
    </row>
    <row r="32" ht="75" spans="1:10">
      <c r="A32" s="131"/>
      <c r="B32" s="131"/>
      <c r="C32" s="131"/>
      <c r="D32" s="131"/>
      <c r="E32" s="131"/>
      <c r="F32" s="113" t="s">
        <v>504</v>
      </c>
      <c r="G32" s="131"/>
      <c r="H32" s="146"/>
      <c r="I32" s="172"/>
      <c r="J32" s="117"/>
    </row>
    <row r="33" spans="1:10">
      <c r="A33" s="131"/>
      <c r="B33" s="131"/>
      <c r="C33" s="131"/>
      <c r="D33" s="131"/>
      <c r="E33" s="131"/>
      <c r="F33" s="115"/>
      <c r="G33" s="131"/>
      <c r="H33" s="146"/>
      <c r="I33" s="172"/>
      <c r="J33" s="117"/>
    </row>
    <row r="34" ht="30" spans="1:10">
      <c r="A34" s="113">
        <v>3.4</v>
      </c>
      <c r="B34" s="131"/>
      <c r="C34" s="113" t="s">
        <v>158</v>
      </c>
      <c r="D34" s="113" t="s">
        <v>295</v>
      </c>
      <c r="E34" s="113" t="s">
        <v>296</v>
      </c>
      <c r="F34" s="112" t="s">
        <v>297</v>
      </c>
      <c r="G34" s="113" t="s">
        <v>130</v>
      </c>
      <c r="H34" s="146">
        <v>3</v>
      </c>
      <c r="I34" s="171">
        <v>8950</v>
      </c>
      <c r="J34" s="117">
        <f t="shared" si="0"/>
        <v>26850</v>
      </c>
    </row>
    <row r="35" ht="90" spans="1:10">
      <c r="A35" s="131"/>
      <c r="B35" s="131"/>
      <c r="C35" s="131"/>
      <c r="D35" s="131"/>
      <c r="E35" s="131"/>
      <c r="F35" s="113" t="s">
        <v>505</v>
      </c>
      <c r="G35" s="131"/>
      <c r="H35" s="146"/>
      <c r="I35" s="172" t="s">
        <v>506</v>
      </c>
      <c r="J35" s="117"/>
    </row>
    <row r="36" spans="1:10">
      <c r="A36" s="113"/>
      <c r="B36" s="146"/>
      <c r="C36" s="113"/>
      <c r="D36" s="113"/>
      <c r="E36" s="113"/>
      <c r="F36" s="113"/>
      <c r="G36" s="113"/>
      <c r="H36" s="113"/>
      <c r="I36" s="171"/>
      <c r="J36" s="117"/>
    </row>
    <row r="37" ht="30" spans="1:10">
      <c r="A37" s="113">
        <v>3.5</v>
      </c>
      <c r="B37" s="146"/>
      <c r="C37" s="113" t="s">
        <v>158</v>
      </c>
      <c r="D37" s="113" t="s">
        <v>507</v>
      </c>
      <c r="E37" s="113" t="s">
        <v>508</v>
      </c>
      <c r="F37" s="112" t="s">
        <v>509</v>
      </c>
      <c r="G37" s="113" t="s">
        <v>63</v>
      </c>
      <c r="H37" s="113">
        <v>7</v>
      </c>
      <c r="I37" s="171">
        <v>1600</v>
      </c>
      <c r="J37" s="117">
        <f t="shared" si="0"/>
        <v>11200</v>
      </c>
    </row>
    <row r="38" ht="90" spans="1:10">
      <c r="A38" s="131"/>
      <c r="B38" s="146"/>
      <c r="C38" s="131"/>
      <c r="D38" s="131"/>
      <c r="E38" s="131"/>
      <c r="F38" s="113" t="s">
        <v>510</v>
      </c>
      <c r="G38" s="131"/>
      <c r="H38" s="131"/>
      <c r="I38" s="172"/>
      <c r="J38" s="117"/>
    </row>
    <row r="39" ht="15.95" customHeight="1" spans="1:10">
      <c r="A39" s="131"/>
      <c r="B39" s="146"/>
      <c r="C39" s="131"/>
      <c r="D39" s="131"/>
      <c r="E39" s="131"/>
      <c r="F39" s="115"/>
      <c r="G39" s="131"/>
      <c r="H39" s="131"/>
      <c r="I39" s="172"/>
      <c r="J39" s="117"/>
    </row>
    <row r="40" ht="30" spans="1:10">
      <c r="A40" s="113">
        <v>3.6</v>
      </c>
      <c r="B40" s="146"/>
      <c r="C40" s="113" t="s">
        <v>158</v>
      </c>
      <c r="D40" s="113" t="s">
        <v>511</v>
      </c>
      <c r="E40" s="113" t="s">
        <v>512</v>
      </c>
      <c r="F40" s="112" t="s">
        <v>513</v>
      </c>
      <c r="G40" s="113" t="s">
        <v>63</v>
      </c>
      <c r="H40" s="113">
        <v>1</v>
      </c>
      <c r="I40" s="172">
        <v>16000</v>
      </c>
      <c r="J40" s="117">
        <f t="shared" si="0"/>
        <v>16000</v>
      </c>
    </row>
    <row r="41" ht="105" spans="1:10">
      <c r="A41" s="131"/>
      <c r="B41" s="146"/>
      <c r="C41" s="131"/>
      <c r="D41" s="131"/>
      <c r="E41" s="131"/>
      <c r="F41" s="113" t="s">
        <v>514</v>
      </c>
      <c r="G41" s="131"/>
      <c r="H41" s="131"/>
      <c r="I41" s="113"/>
      <c r="J41" s="117"/>
    </row>
    <row r="42" ht="21" customHeight="1" spans="1:10">
      <c r="A42" s="131"/>
      <c r="B42" s="146"/>
      <c r="C42" s="131"/>
      <c r="D42" s="131"/>
      <c r="E42" s="131"/>
      <c r="F42" s="113" t="s">
        <v>515</v>
      </c>
      <c r="G42" s="131"/>
      <c r="H42" s="131"/>
      <c r="I42" s="113"/>
      <c r="J42" s="117"/>
    </row>
    <row r="43" ht="21" customHeight="1" spans="1:10">
      <c r="A43" s="131"/>
      <c r="B43" s="146"/>
      <c r="C43" s="131"/>
      <c r="D43" s="131"/>
      <c r="E43" s="131"/>
      <c r="F43" s="113"/>
      <c r="G43" s="131"/>
      <c r="H43" s="131"/>
      <c r="I43" s="113"/>
      <c r="J43" s="117"/>
    </row>
    <row r="44" ht="21" customHeight="1" spans="1:10">
      <c r="A44" s="113">
        <v>3.7</v>
      </c>
      <c r="B44" s="146"/>
      <c r="C44" s="113" t="s">
        <v>158</v>
      </c>
      <c r="D44" s="113" t="s">
        <v>60</v>
      </c>
      <c r="E44" s="113" t="s">
        <v>516</v>
      </c>
      <c r="F44" s="217" t="s">
        <v>517</v>
      </c>
      <c r="G44" s="113" t="s">
        <v>63</v>
      </c>
      <c r="H44" s="113">
        <v>1.8</v>
      </c>
      <c r="I44" s="113">
        <v>27000</v>
      </c>
      <c r="J44" s="117">
        <f t="shared" ref="J44" si="1">SUM(H44*I44)</f>
        <v>48600</v>
      </c>
    </row>
    <row r="45" ht="21" customHeight="1" spans="1:10">
      <c r="A45" s="131"/>
      <c r="B45" s="146"/>
      <c r="C45" s="131"/>
      <c r="D45" s="131"/>
      <c r="E45" s="131"/>
      <c r="F45" s="217" t="s">
        <v>518</v>
      </c>
      <c r="G45" s="131"/>
      <c r="H45" s="131"/>
      <c r="I45" s="113"/>
      <c r="J45" s="117"/>
    </row>
    <row r="46" ht="120" spans="1:10">
      <c r="A46" s="131"/>
      <c r="B46" s="146"/>
      <c r="C46" s="131"/>
      <c r="D46" s="131"/>
      <c r="E46" s="131"/>
      <c r="F46" s="218" t="s">
        <v>519</v>
      </c>
      <c r="G46" s="131"/>
      <c r="H46" s="131"/>
      <c r="I46" s="113"/>
      <c r="J46" s="117"/>
    </row>
    <row r="47" ht="21" customHeight="1" spans="1:10">
      <c r="A47" s="131"/>
      <c r="B47" s="146"/>
      <c r="C47" s="131"/>
      <c r="D47" s="131"/>
      <c r="E47" s="131"/>
      <c r="F47" s="113"/>
      <c r="G47" s="131"/>
      <c r="H47" s="131"/>
      <c r="I47" s="113"/>
      <c r="J47" s="117"/>
    </row>
    <row r="48" spans="1:10">
      <c r="A48" s="146">
        <v>3.8</v>
      </c>
      <c r="B48" s="146"/>
      <c r="C48" s="113" t="s">
        <v>158</v>
      </c>
      <c r="D48" s="113" t="s">
        <v>60</v>
      </c>
      <c r="E48" s="113" t="s">
        <v>520</v>
      </c>
      <c r="F48" s="112" t="s">
        <v>521</v>
      </c>
      <c r="G48" s="113" t="s">
        <v>63</v>
      </c>
      <c r="H48" s="113">
        <f>8+7.5</f>
        <v>15.5</v>
      </c>
      <c r="I48" s="171">
        <v>2200</v>
      </c>
      <c r="J48" s="117">
        <f t="shared" si="0"/>
        <v>34100</v>
      </c>
    </row>
    <row r="49" ht="90" spans="1:10">
      <c r="A49" s="131"/>
      <c r="B49" s="146"/>
      <c r="C49" s="131"/>
      <c r="D49" s="131"/>
      <c r="E49" s="131"/>
      <c r="F49" s="219" t="s">
        <v>522</v>
      </c>
      <c r="G49" s="131"/>
      <c r="H49" s="131"/>
      <c r="I49" s="172"/>
      <c r="J49" s="117"/>
    </row>
    <row r="50" ht="15.95" customHeight="1" spans="1:10">
      <c r="A50" s="131"/>
      <c r="B50" s="146"/>
      <c r="C50" s="131"/>
      <c r="D50" s="131"/>
      <c r="E50" s="131"/>
      <c r="F50" s="113" t="s">
        <v>523</v>
      </c>
      <c r="G50" s="131"/>
      <c r="H50" s="131"/>
      <c r="I50" s="113"/>
      <c r="J50" s="117"/>
    </row>
    <row r="51" ht="15.95" customHeight="1" spans="1:10">
      <c r="A51" s="179"/>
      <c r="B51" s="180"/>
      <c r="C51" s="179"/>
      <c r="D51" s="179"/>
      <c r="E51" s="179"/>
      <c r="F51" s="125"/>
      <c r="G51" s="179"/>
      <c r="H51" s="179"/>
      <c r="I51" s="125"/>
      <c r="J51" s="196"/>
    </row>
    <row r="52" ht="23.25" customHeight="1" spans="1:10">
      <c r="A52" s="108" t="s">
        <v>108</v>
      </c>
      <c r="B52" s="182"/>
      <c r="C52" s="128"/>
      <c r="D52" s="128"/>
      <c r="E52" s="128"/>
      <c r="F52" s="96" t="s">
        <v>70</v>
      </c>
      <c r="G52" s="128"/>
      <c r="H52" s="128"/>
      <c r="I52" s="221"/>
      <c r="J52" s="197"/>
    </row>
    <row r="53" spans="1:10">
      <c r="A53" s="129"/>
      <c r="B53" s="183"/>
      <c r="C53" s="130"/>
      <c r="D53" s="130"/>
      <c r="E53" s="130"/>
      <c r="F53" s="97"/>
      <c r="G53" s="130"/>
      <c r="H53" s="130"/>
      <c r="I53" s="129"/>
      <c r="J53" s="198"/>
    </row>
    <row r="54" ht="16.5" customHeight="1" spans="1:10">
      <c r="A54" s="129">
        <v>4.1</v>
      </c>
      <c r="B54" s="130"/>
      <c r="C54" s="129" t="s">
        <v>71</v>
      </c>
      <c r="D54" s="129" t="s">
        <v>307</v>
      </c>
      <c r="E54" s="129" t="s">
        <v>524</v>
      </c>
      <c r="F54" s="184" t="s">
        <v>73</v>
      </c>
      <c r="G54" s="129" t="s">
        <v>130</v>
      </c>
      <c r="H54" s="183">
        <v>65</v>
      </c>
      <c r="I54" s="222">
        <v>2050</v>
      </c>
      <c r="J54" s="198">
        <f t="shared" si="0"/>
        <v>133250</v>
      </c>
    </row>
    <row r="55" ht="90" spans="1:10">
      <c r="A55" s="113"/>
      <c r="B55" s="131"/>
      <c r="C55" s="113"/>
      <c r="D55" s="113"/>
      <c r="E55" s="113"/>
      <c r="F55" s="115" t="s">
        <v>525</v>
      </c>
      <c r="G55" s="113"/>
      <c r="H55" s="146"/>
      <c r="I55" s="113"/>
      <c r="J55" s="117"/>
    </row>
    <row r="56" spans="1:10">
      <c r="A56" s="131"/>
      <c r="B56" s="131"/>
      <c r="C56" s="131"/>
      <c r="D56" s="131"/>
      <c r="E56" s="131"/>
      <c r="F56" s="113"/>
      <c r="G56" s="185"/>
      <c r="H56" s="185"/>
      <c r="I56" s="113"/>
      <c r="J56" s="117"/>
    </row>
    <row r="57" ht="15.95" customHeight="1" spans="1:10">
      <c r="A57" s="113">
        <v>4.2</v>
      </c>
      <c r="B57" s="131"/>
      <c r="C57" s="113" t="s">
        <v>71</v>
      </c>
      <c r="D57" s="113" t="s">
        <v>307</v>
      </c>
      <c r="E57" s="113" t="s">
        <v>526</v>
      </c>
      <c r="F57" s="112" t="s">
        <v>527</v>
      </c>
      <c r="G57" s="113" t="s">
        <v>63</v>
      </c>
      <c r="H57" s="146">
        <v>25</v>
      </c>
      <c r="I57" s="223">
        <v>450</v>
      </c>
      <c r="J57" s="117">
        <f t="shared" si="0"/>
        <v>11250</v>
      </c>
    </row>
    <row r="58" ht="75" spans="1:10">
      <c r="A58" s="131"/>
      <c r="B58" s="131"/>
      <c r="C58" s="131"/>
      <c r="D58" s="131"/>
      <c r="E58" s="131"/>
      <c r="F58" s="115" t="s">
        <v>528</v>
      </c>
      <c r="G58" s="185"/>
      <c r="H58" s="185"/>
      <c r="I58" s="113"/>
      <c r="J58" s="117"/>
    </row>
    <row r="59" spans="1:10">
      <c r="A59" s="131"/>
      <c r="B59" s="131"/>
      <c r="C59" s="131"/>
      <c r="D59" s="131"/>
      <c r="E59" s="131"/>
      <c r="F59" s="113"/>
      <c r="G59" s="185"/>
      <c r="H59" s="185"/>
      <c r="I59" s="113"/>
      <c r="J59" s="117"/>
    </row>
    <row r="60" ht="15.95" customHeight="1" spans="1:10">
      <c r="A60" s="113">
        <v>4.3</v>
      </c>
      <c r="B60" s="131"/>
      <c r="C60" s="113" t="s">
        <v>71</v>
      </c>
      <c r="D60" s="113" t="s">
        <v>307</v>
      </c>
      <c r="E60" s="113" t="s">
        <v>529</v>
      </c>
      <c r="F60" s="112" t="s">
        <v>530</v>
      </c>
      <c r="G60" s="113" t="s">
        <v>63</v>
      </c>
      <c r="H60" s="146">
        <v>5</v>
      </c>
      <c r="I60" s="223">
        <v>400</v>
      </c>
      <c r="J60" s="117">
        <f t="shared" si="0"/>
        <v>2000</v>
      </c>
    </row>
    <row r="61" ht="75" spans="1:10">
      <c r="A61" s="131"/>
      <c r="B61" s="131"/>
      <c r="C61" s="131"/>
      <c r="D61" s="131"/>
      <c r="E61" s="131"/>
      <c r="F61" s="113" t="s">
        <v>531</v>
      </c>
      <c r="G61" s="131"/>
      <c r="H61" s="131"/>
      <c r="I61" s="113"/>
      <c r="J61" s="117"/>
    </row>
    <row r="62" spans="1:10">
      <c r="A62" s="131"/>
      <c r="B62" s="131"/>
      <c r="C62" s="131"/>
      <c r="D62" s="131"/>
      <c r="E62" s="131"/>
      <c r="F62" s="113"/>
      <c r="G62" s="131"/>
      <c r="H62" s="131"/>
      <c r="I62" s="113"/>
      <c r="J62" s="117"/>
    </row>
    <row r="63" spans="1:10">
      <c r="A63" s="113">
        <v>4.4</v>
      </c>
      <c r="B63" s="131"/>
      <c r="C63" s="113" t="s">
        <v>71</v>
      </c>
      <c r="D63" s="113" t="s">
        <v>307</v>
      </c>
      <c r="E63" s="113" t="s">
        <v>532</v>
      </c>
      <c r="F63" s="112" t="s">
        <v>533</v>
      </c>
      <c r="G63" s="113" t="s">
        <v>63</v>
      </c>
      <c r="H63" s="146">
        <v>10</v>
      </c>
      <c r="I63" s="223">
        <v>400</v>
      </c>
      <c r="J63" s="117">
        <f t="shared" ref="J63" si="2">SUM(H63*I63)</f>
        <v>4000</v>
      </c>
    </row>
    <row r="64" ht="75" spans="1:10">
      <c r="A64" s="131"/>
      <c r="B64" s="131"/>
      <c r="C64" s="131"/>
      <c r="D64" s="131"/>
      <c r="E64" s="131"/>
      <c r="F64" s="115" t="s">
        <v>528</v>
      </c>
      <c r="G64" s="185"/>
      <c r="H64" s="185"/>
      <c r="I64" s="113"/>
      <c r="J64" s="117"/>
    </row>
    <row r="65" spans="1:10">
      <c r="A65" s="131"/>
      <c r="B65" s="131"/>
      <c r="C65" s="131"/>
      <c r="D65" s="131"/>
      <c r="E65" s="131"/>
      <c r="F65" s="115"/>
      <c r="G65" s="185"/>
      <c r="H65" s="185"/>
      <c r="I65" s="113"/>
      <c r="J65" s="117"/>
    </row>
    <row r="66" spans="1:10">
      <c r="A66" s="113">
        <v>4.5</v>
      </c>
      <c r="B66" s="131"/>
      <c r="C66" s="113" t="s">
        <v>71</v>
      </c>
      <c r="D66" s="113" t="s">
        <v>307</v>
      </c>
      <c r="E66" s="113" t="s">
        <v>532</v>
      </c>
      <c r="F66" s="112" t="s">
        <v>534</v>
      </c>
      <c r="G66" s="113" t="s">
        <v>63</v>
      </c>
      <c r="H66" s="146">
        <f>5*4</f>
        <v>20</v>
      </c>
      <c r="I66" s="223">
        <v>400</v>
      </c>
      <c r="J66" s="117">
        <f t="shared" ref="J66" si="3">SUM(H66*I66)</f>
        <v>8000</v>
      </c>
    </row>
    <row r="67" ht="75" spans="1:10">
      <c r="A67" s="131"/>
      <c r="B67" s="131"/>
      <c r="C67" s="131"/>
      <c r="D67" s="131"/>
      <c r="E67" s="131"/>
      <c r="F67" s="115" t="s">
        <v>528</v>
      </c>
      <c r="G67" s="185"/>
      <c r="H67" s="185"/>
      <c r="I67" s="113"/>
      <c r="J67" s="117"/>
    </row>
    <row r="68" spans="1:10">
      <c r="A68" s="131"/>
      <c r="B68" s="131"/>
      <c r="C68" s="131"/>
      <c r="D68" s="131"/>
      <c r="E68" s="131"/>
      <c r="F68" s="113"/>
      <c r="G68" s="185"/>
      <c r="H68" s="185"/>
      <c r="I68" s="113"/>
      <c r="J68" s="117"/>
    </row>
    <row r="69" spans="1:10">
      <c r="A69" s="186">
        <v>4.6</v>
      </c>
      <c r="B69" s="139"/>
      <c r="C69" s="121" t="s">
        <v>71</v>
      </c>
      <c r="D69" s="187"/>
      <c r="E69" s="119" t="s">
        <v>535</v>
      </c>
      <c r="F69" s="139" t="s">
        <v>536</v>
      </c>
      <c r="G69" s="120" t="s">
        <v>130</v>
      </c>
      <c r="H69" s="131">
        <f>42*3.2</f>
        <v>134.4</v>
      </c>
      <c r="I69" s="113">
        <v>475</v>
      </c>
      <c r="J69" s="117">
        <f t="shared" ref="J69:J133" si="4">SUM(H69*I69)</f>
        <v>63840</v>
      </c>
    </row>
    <row r="70" ht="60" spans="1:10">
      <c r="A70" s="188"/>
      <c r="B70" s="139"/>
      <c r="C70" s="139"/>
      <c r="D70" s="139"/>
      <c r="E70" s="139"/>
      <c r="F70" s="189" t="s">
        <v>537</v>
      </c>
      <c r="G70" s="120"/>
      <c r="H70" s="131"/>
      <c r="I70" s="113"/>
      <c r="J70" s="117"/>
    </row>
    <row r="71" ht="15.75" spans="1:10">
      <c r="A71" s="179"/>
      <c r="B71" s="180"/>
      <c r="C71" s="179"/>
      <c r="D71" s="179"/>
      <c r="E71" s="179"/>
      <c r="F71" s="125"/>
      <c r="G71" s="179"/>
      <c r="H71" s="179"/>
      <c r="I71" s="125"/>
      <c r="J71" s="196"/>
    </row>
    <row r="72" ht="16.5" customHeight="1" spans="1:10">
      <c r="A72" s="108" t="s">
        <v>125</v>
      </c>
      <c r="B72" s="190"/>
      <c r="C72" s="190"/>
      <c r="D72" s="190"/>
      <c r="E72" s="190"/>
      <c r="F72" s="96" t="s">
        <v>82</v>
      </c>
      <c r="G72" s="190"/>
      <c r="H72" s="190"/>
      <c r="I72" s="96"/>
      <c r="J72" s="201"/>
    </row>
    <row r="73" ht="12.75" customHeight="1" spans="1:10">
      <c r="A73" s="129"/>
      <c r="B73" s="130"/>
      <c r="C73" s="129"/>
      <c r="D73" s="129"/>
      <c r="E73" s="129"/>
      <c r="F73" s="129"/>
      <c r="G73" s="129"/>
      <c r="H73" s="129"/>
      <c r="I73" s="129"/>
      <c r="J73" s="198"/>
    </row>
    <row r="74" ht="30" spans="1:10">
      <c r="A74" s="113">
        <v>5.1</v>
      </c>
      <c r="B74" s="131"/>
      <c r="C74" s="113" t="s">
        <v>538</v>
      </c>
      <c r="D74" s="224" t="s">
        <v>203</v>
      </c>
      <c r="E74" s="224" t="s">
        <v>204</v>
      </c>
      <c r="F74" s="184" t="s">
        <v>539</v>
      </c>
      <c r="G74" s="120" t="s">
        <v>130</v>
      </c>
      <c r="H74" s="131">
        <f>(2+0.5)*4.3</f>
        <v>10.75</v>
      </c>
      <c r="I74" s="241">
        <v>2690</v>
      </c>
      <c r="J74" s="117">
        <f t="shared" ref="J74" si="5">SUM(H74*I74)</f>
        <v>28917.5</v>
      </c>
    </row>
    <row r="75" ht="60" spans="1:10">
      <c r="A75" s="129"/>
      <c r="B75" s="130"/>
      <c r="C75" s="129"/>
      <c r="D75" s="225"/>
      <c r="E75" s="225"/>
      <c r="F75" s="224" t="s">
        <v>540</v>
      </c>
      <c r="G75" s="129"/>
      <c r="H75" s="129"/>
      <c r="I75" s="129"/>
      <c r="J75" s="198"/>
    </row>
    <row r="76" ht="12.75" customHeight="1" spans="1:10">
      <c r="A76" s="129"/>
      <c r="B76" s="130"/>
      <c r="C76" s="129"/>
      <c r="D76" s="129"/>
      <c r="E76" s="129"/>
      <c r="F76" s="129"/>
      <c r="G76" s="129"/>
      <c r="H76" s="129"/>
      <c r="I76" s="129"/>
      <c r="J76" s="198"/>
    </row>
    <row r="77" ht="12.75" customHeight="1" spans="1:10">
      <c r="A77" s="129">
        <v>5.2</v>
      </c>
      <c r="B77" s="130"/>
      <c r="C77" s="129"/>
      <c r="D77" s="226" t="s">
        <v>203</v>
      </c>
      <c r="E77" s="227" t="s">
        <v>204</v>
      </c>
      <c r="F77" s="228" t="s">
        <v>541</v>
      </c>
      <c r="G77" s="229" t="s">
        <v>51</v>
      </c>
      <c r="H77" s="131">
        <f>(3*3)+(3*3*2.5)</f>
        <v>31.5</v>
      </c>
      <c r="I77" s="241">
        <v>4000</v>
      </c>
      <c r="J77" s="117">
        <f t="shared" ref="J77" si="6">SUM(H77*I77)</f>
        <v>126000</v>
      </c>
    </row>
    <row r="78" ht="51" spans="1:10">
      <c r="A78" s="129"/>
      <c r="B78" s="130"/>
      <c r="C78" s="129"/>
      <c r="D78" s="230"/>
      <c r="E78" s="230"/>
      <c r="F78" s="231" t="s">
        <v>542</v>
      </c>
      <c r="G78" s="229"/>
      <c r="H78" s="129"/>
      <c r="I78" s="129"/>
      <c r="J78" s="198"/>
    </row>
    <row r="79" ht="12.75" customHeight="1" spans="1:10">
      <c r="A79" s="129"/>
      <c r="B79" s="130"/>
      <c r="C79" s="129"/>
      <c r="D79" s="129"/>
      <c r="E79" s="129"/>
      <c r="F79" s="129"/>
      <c r="G79" s="129"/>
      <c r="H79" s="129"/>
      <c r="I79" s="129"/>
      <c r="J79" s="198"/>
    </row>
    <row r="80" ht="12.75" customHeight="1" spans="1:10">
      <c r="A80" s="129">
        <v>5.3</v>
      </c>
      <c r="B80" s="130"/>
      <c r="C80" s="129"/>
      <c r="D80" s="225" t="s">
        <v>83</v>
      </c>
      <c r="E80" s="225" t="s">
        <v>84</v>
      </c>
      <c r="F80" s="184" t="s">
        <v>543</v>
      </c>
      <c r="G80" s="174"/>
      <c r="H80" s="129"/>
      <c r="I80" s="129"/>
      <c r="J80" s="198"/>
    </row>
    <row r="81" ht="12.75" customHeight="1" spans="1:10">
      <c r="A81" s="129"/>
      <c r="B81" s="130"/>
      <c r="C81" s="129"/>
      <c r="D81" s="225"/>
      <c r="E81" s="225"/>
      <c r="F81" s="232" t="s">
        <v>544</v>
      </c>
      <c r="G81" s="174"/>
      <c r="H81" s="129"/>
      <c r="I81" s="129"/>
      <c r="J81" s="198"/>
    </row>
    <row r="82" ht="12.75" customHeight="1" spans="1:10">
      <c r="A82" s="129" t="s">
        <v>209</v>
      </c>
      <c r="B82" s="130"/>
      <c r="C82" s="129"/>
      <c r="D82" s="225"/>
      <c r="E82" s="225"/>
      <c r="F82" s="233" t="s">
        <v>545</v>
      </c>
      <c r="G82" s="174" t="s">
        <v>51</v>
      </c>
      <c r="H82" s="129">
        <f>(3+3+4+1+3+1.5+1.5+1+3+1)*3.1</f>
        <v>68.2</v>
      </c>
      <c r="I82" s="242">
        <v>1890</v>
      </c>
      <c r="J82" s="117">
        <f t="shared" ref="J82:J85" si="7">SUM(H82*I82)</f>
        <v>128898</v>
      </c>
    </row>
    <row r="83" ht="12.75" customHeight="1" spans="1:10">
      <c r="A83" s="129" t="s">
        <v>211</v>
      </c>
      <c r="B83" s="130"/>
      <c r="C83" s="129"/>
      <c r="D83" s="225"/>
      <c r="E83" s="225"/>
      <c r="F83" s="233" t="s">
        <v>546</v>
      </c>
      <c r="G83" s="174" t="s">
        <v>51</v>
      </c>
      <c r="H83" s="129">
        <v>5</v>
      </c>
      <c r="I83" s="242">
        <v>2100</v>
      </c>
      <c r="J83" s="117">
        <f t="shared" si="7"/>
        <v>10500</v>
      </c>
    </row>
    <row r="84" s="88" customFormat="1" spans="1:220">
      <c r="A84" s="191" t="s">
        <v>213</v>
      </c>
      <c r="B84" s="140"/>
      <c r="C84" s="140"/>
      <c r="D84" s="225"/>
      <c r="E84" s="225"/>
      <c r="F84" s="233" t="s">
        <v>547</v>
      </c>
      <c r="G84" s="174" t="s">
        <v>51</v>
      </c>
      <c r="H84" s="194">
        <v>5</v>
      </c>
      <c r="I84" s="242">
        <v>2300</v>
      </c>
      <c r="J84" s="117">
        <f t="shared" si="7"/>
        <v>11500</v>
      </c>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7"/>
      <c r="BR84" s="177"/>
      <c r="BS84" s="177"/>
      <c r="BT84" s="177"/>
      <c r="BU84" s="177"/>
      <c r="BV84" s="177"/>
      <c r="BW84" s="177"/>
      <c r="BX84" s="177"/>
      <c r="BY84" s="177"/>
      <c r="BZ84" s="177"/>
      <c r="CA84" s="177"/>
      <c r="CB84" s="177"/>
      <c r="CC84" s="177"/>
      <c r="CD84" s="177"/>
      <c r="CE84" s="177"/>
      <c r="CF84" s="177"/>
      <c r="CG84" s="177"/>
      <c r="CH84" s="177"/>
      <c r="CI84" s="177"/>
      <c r="CJ84" s="177"/>
      <c r="CK84" s="177"/>
      <c r="CL84" s="177"/>
      <c r="CM84" s="177"/>
      <c r="CN84" s="177"/>
      <c r="CO84" s="177"/>
      <c r="CP84" s="177"/>
      <c r="CQ84" s="177"/>
      <c r="CR84" s="177"/>
      <c r="CS84" s="177"/>
      <c r="CT84" s="177"/>
      <c r="CU84" s="177"/>
      <c r="CV84" s="177"/>
      <c r="CW84" s="177"/>
      <c r="CX84" s="177"/>
      <c r="CY84" s="177"/>
      <c r="CZ84" s="177"/>
      <c r="DA84" s="177"/>
      <c r="DB84" s="177"/>
      <c r="DC84" s="177"/>
      <c r="DD84" s="177"/>
      <c r="DE84" s="177"/>
      <c r="DF84" s="177"/>
      <c r="DG84" s="177"/>
      <c r="DH84" s="177"/>
      <c r="DI84" s="177"/>
      <c r="DJ84" s="177"/>
      <c r="DK84" s="177"/>
      <c r="DL84" s="177"/>
      <c r="DM84" s="177"/>
      <c r="DN84" s="177"/>
      <c r="DO84" s="177"/>
      <c r="DP84" s="177"/>
      <c r="DQ84" s="177"/>
      <c r="DR84" s="177"/>
      <c r="DS84" s="177"/>
      <c r="DT84" s="177"/>
      <c r="DU84" s="177"/>
      <c r="DV84" s="177"/>
      <c r="DW84" s="177"/>
      <c r="DX84" s="177"/>
      <c r="DY84" s="177"/>
      <c r="DZ84" s="177"/>
      <c r="EA84" s="177"/>
      <c r="EB84" s="177"/>
      <c r="EC84" s="177"/>
      <c r="ED84" s="177"/>
      <c r="EE84" s="177"/>
      <c r="EF84" s="177"/>
      <c r="EG84" s="177"/>
      <c r="EH84" s="177"/>
      <c r="EI84" s="177"/>
      <c r="EJ84" s="177"/>
      <c r="EK84" s="177"/>
      <c r="EL84" s="177"/>
      <c r="EM84" s="177"/>
      <c r="EN84" s="177"/>
      <c r="EO84" s="177"/>
      <c r="EP84" s="177"/>
      <c r="EQ84" s="177"/>
      <c r="ER84" s="177"/>
      <c r="ES84" s="177"/>
      <c r="ET84" s="177"/>
      <c r="EU84" s="177"/>
      <c r="EV84" s="177"/>
      <c r="EW84" s="177"/>
      <c r="EX84" s="177"/>
      <c r="EY84" s="177"/>
      <c r="EZ84" s="177"/>
      <c r="FA84" s="177"/>
      <c r="FB84" s="177"/>
      <c r="FC84" s="177"/>
      <c r="FD84" s="177"/>
      <c r="FE84" s="177"/>
      <c r="FF84" s="177"/>
      <c r="FG84" s="177"/>
      <c r="FH84" s="177"/>
      <c r="FI84" s="177"/>
      <c r="FJ84" s="177"/>
      <c r="FK84" s="177"/>
      <c r="FL84" s="177"/>
      <c r="FM84" s="177"/>
      <c r="FN84" s="177"/>
      <c r="FO84" s="177"/>
      <c r="FP84" s="177"/>
      <c r="FQ84" s="177"/>
      <c r="FR84" s="177"/>
      <c r="FS84" s="177"/>
      <c r="FT84" s="177"/>
      <c r="FU84" s="177"/>
      <c r="FV84" s="177"/>
      <c r="FW84" s="177"/>
      <c r="FX84" s="177"/>
      <c r="FY84" s="177"/>
      <c r="FZ84" s="177"/>
      <c r="GA84" s="177"/>
      <c r="GB84" s="177"/>
      <c r="GC84" s="177"/>
      <c r="GD84" s="177"/>
      <c r="GE84" s="177"/>
      <c r="GF84" s="177"/>
      <c r="GG84" s="177"/>
      <c r="GH84" s="177"/>
      <c r="GI84" s="177"/>
      <c r="GJ84" s="177"/>
      <c r="GK84" s="177"/>
      <c r="GL84" s="177"/>
      <c r="GM84" s="177"/>
      <c r="GN84" s="177"/>
      <c r="GO84" s="177"/>
      <c r="GP84" s="177"/>
      <c r="GQ84" s="177"/>
      <c r="GR84" s="177"/>
      <c r="GS84" s="177"/>
      <c r="GT84" s="177"/>
      <c r="GU84" s="177"/>
      <c r="GV84" s="177"/>
      <c r="GW84" s="177"/>
      <c r="GX84" s="177"/>
      <c r="GY84" s="177"/>
      <c r="GZ84" s="177"/>
      <c r="HA84" s="177"/>
      <c r="HB84" s="177"/>
      <c r="HC84" s="177"/>
      <c r="HD84" s="177"/>
      <c r="HE84" s="177"/>
      <c r="HF84" s="177"/>
      <c r="HG84" s="177"/>
      <c r="HH84" s="177"/>
      <c r="HI84" s="177"/>
      <c r="HJ84" s="177"/>
      <c r="HK84" s="177"/>
      <c r="HL84" s="177"/>
    </row>
    <row r="85" spans="1:10">
      <c r="A85" s="131" t="s">
        <v>215</v>
      </c>
      <c r="B85" s="131"/>
      <c r="C85" s="131"/>
      <c r="D85" s="225"/>
      <c r="E85" s="225"/>
      <c r="F85" s="233" t="s">
        <v>548</v>
      </c>
      <c r="G85" s="174" t="s">
        <v>51</v>
      </c>
      <c r="H85" s="131">
        <v>5</v>
      </c>
      <c r="I85" s="242">
        <v>1280</v>
      </c>
      <c r="J85" s="117">
        <f t="shared" si="7"/>
        <v>6400</v>
      </c>
    </row>
    <row r="86" spans="1:10">
      <c r="A86" s="131"/>
      <c r="B86" s="131"/>
      <c r="C86" s="131"/>
      <c r="D86" s="225"/>
      <c r="E86" s="225"/>
      <c r="F86" s="233"/>
      <c r="G86" s="174"/>
      <c r="H86" s="131"/>
      <c r="I86" s="113"/>
      <c r="J86" s="117"/>
    </row>
    <row r="87" ht="12.75" customHeight="1" spans="1:10">
      <c r="A87" s="113">
        <v>5.4</v>
      </c>
      <c r="B87" s="131"/>
      <c r="C87" s="113" t="s">
        <v>538</v>
      </c>
      <c r="D87" s="113" t="s">
        <v>549</v>
      </c>
      <c r="E87" s="113" t="s">
        <v>550</v>
      </c>
      <c r="F87" s="112" t="s">
        <v>551</v>
      </c>
      <c r="G87" s="113" t="s">
        <v>130</v>
      </c>
      <c r="H87" s="113">
        <v>8</v>
      </c>
      <c r="I87" s="113">
        <v>19500</v>
      </c>
      <c r="J87" s="117">
        <f t="shared" si="4"/>
        <v>156000</v>
      </c>
    </row>
    <row r="88" ht="51" spans="1:10">
      <c r="A88" s="131"/>
      <c r="B88" s="131"/>
      <c r="C88" s="131"/>
      <c r="D88" s="131"/>
      <c r="E88" s="131"/>
      <c r="F88" s="234" t="s">
        <v>552</v>
      </c>
      <c r="G88" s="131"/>
      <c r="H88" s="131"/>
      <c r="I88" s="113"/>
      <c r="J88" s="117"/>
    </row>
    <row r="89" spans="1:10">
      <c r="A89" s="113"/>
      <c r="B89" s="131"/>
      <c r="C89" s="113"/>
      <c r="D89" s="113"/>
      <c r="E89" s="113"/>
      <c r="F89" s="234" t="s">
        <v>553</v>
      </c>
      <c r="G89" s="113"/>
      <c r="H89" s="113"/>
      <c r="I89" s="134"/>
      <c r="J89" s="117"/>
    </row>
    <row r="90" spans="1:10">
      <c r="A90" s="131"/>
      <c r="B90" s="131"/>
      <c r="C90" s="131"/>
      <c r="D90" s="131"/>
      <c r="E90" s="131"/>
      <c r="F90" s="115"/>
      <c r="G90" s="131"/>
      <c r="H90" s="131"/>
      <c r="I90" s="113"/>
      <c r="J90" s="117"/>
    </row>
    <row r="91" ht="12.75" customHeight="1" spans="1:10">
      <c r="A91" s="113">
        <v>5.5</v>
      </c>
      <c r="B91" s="131"/>
      <c r="C91" s="113" t="s">
        <v>538</v>
      </c>
      <c r="D91" s="113" t="s">
        <v>554</v>
      </c>
      <c r="E91" s="113" t="s">
        <v>555</v>
      </c>
      <c r="F91" s="112" t="s">
        <v>556</v>
      </c>
      <c r="G91" s="113" t="s">
        <v>130</v>
      </c>
      <c r="H91" s="113">
        <v>1.5</v>
      </c>
      <c r="I91" s="113">
        <v>8900</v>
      </c>
      <c r="J91" s="117">
        <f t="shared" si="4"/>
        <v>13350</v>
      </c>
    </row>
    <row r="92" ht="75" spans="1:10">
      <c r="A92" s="131"/>
      <c r="B92" s="131"/>
      <c r="C92" s="131"/>
      <c r="D92" s="131"/>
      <c r="E92" s="131"/>
      <c r="F92" s="113" t="s">
        <v>557</v>
      </c>
      <c r="G92" s="131"/>
      <c r="H92" s="131"/>
      <c r="I92" s="113"/>
      <c r="J92" s="117"/>
    </row>
    <row r="93" spans="1:10">
      <c r="A93" s="131"/>
      <c r="B93" s="131"/>
      <c r="C93" s="131"/>
      <c r="D93" s="131"/>
      <c r="E93" s="131"/>
      <c r="F93" s="115"/>
      <c r="G93" s="131"/>
      <c r="H93" s="131"/>
      <c r="I93" s="113"/>
      <c r="J93" s="117"/>
    </row>
    <row r="94" ht="12.75" customHeight="1" spans="1:10">
      <c r="A94" s="113">
        <v>5.6</v>
      </c>
      <c r="B94" s="131"/>
      <c r="C94" s="113" t="s">
        <v>538</v>
      </c>
      <c r="D94" s="113" t="s">
        <v>554</v>
      </c>
      <c r="E94" s="113" t="s">
        <v>554</v>
      </c>
      <c r="F94" s="112" t="s">
        <v>558</v>
      </c>
      <c r="G94" s="113" t="s">
        <v>130</v>
      </c>
      <c r="H94" s="113">
        <f>1.5*4</f>
        <v>6</v>
      </c>
      <c r="I94" s="113">
        <v>6500</v>
      </c>
      <c r="J94" s="117">
        <f t="shared" si="4"/>
        <v>39000</v>
      </c>
    </row>
    <row r="95" ht="75" spans="1:10">
      <c r="A95" s="131"/>
      <c r="B95" s="131"/>
      <c r="C95" s="131"/>
      <c r="D95" s="131"/>
      <c r="E95" s="131"/>
      <c r="F95" s="113" t="s">
        <v>559</v>
      </c>
      <c r="G95" s="131"/>
      <c r="H95" s="131"/>
      <c r="I95" s="113"/>
      <c r="J95" s="117"/>
    </row>
    <row r="96" spans="1:10">
      <c r="A96" s="131"/>
      <c r="B96" s="131"/>
      <c r="C96" s="131"/>
      <c r="D96" s="131"/>
      <c r="E96" s="131"/>
      <c r="F96" s="113"/>
      <c r="G96" s="131"/>
      <c r="H96" s="131"/>
      <c r="I96" s="113"/>
      <c r="J96" s="117"/>
    </row>
    <row r="97" spans="1:10">
      <c r="A97" s="113">
        <v>5.7</v>
      </c>
      <c r="B97" s="131"/>
      <c r="C97" s="113" t="s">
        <v>538</v>
      </c>
      <c r="D97" s="113" t="s">
        <v>554</v>
      </c>
      <c r="E97" s="113" t="s">
        <v>554</v>
      </c>
      <c r="F97" s="112" t="s">
        <v>560</v>
      </c>
      <c r="G97" s="113" t="s">
        <v>130</v>
      </c>
      <c r="H97" s="113">
        <f>1.5*4</f>
        <v>6</v>
      </c>
      <c r="I97" s="113">
        <v>7500</v>
      </c>
      <c r="J97" s="117">
        <f t="shared" ref="J97:J100" si="8">SUM(H97*I97)</f>
        <v>45000</v>
      </c>
    </row>
    <row r="98" ht="75" spans="1:10">
      <c r="A98" s="131"/>
      <c r="B98" s="131"/>
      <c r="C98" s="131"/>
      <c r="D98" s="131"/>
      <c r="E98" s="131"/>
      <c r="F98" s="113" t="s">
        <v>561</v>
      </c>
      <c r="G98" s="131"/>
      <c r="H98" s="131"/>
      <c r="I98" s="113"/>
      <c r="J98" s="117"/>
    </row>
    <row r="99" spans="1:10">
      <c r="A99" s="131"/>
      <c r="B99" s="131"/>
      <c r="C99" s="131"/>
      <c r="D99" s="131"/>
      <c r="E99" s="131"/>
      <c r="F99" s="113"/>
      <c r="G99" s="131"/>
      <c r="H99" s="131"/>
      <c r="I99" s="113"/>
      <c r="J99" s="117"/>
    </row>
    <row r="100" ht="25.5" spans="1:10">
      <c r="A100" s="113">
        <v>5.8</v>
      </c>
      <c r="B100" s="131"/>
      <c r="C100" s="113" t="s">
        <v>538</v>
      </c>
      <c r="D100" s="230" t="s">
        <v>103</v>
      </c>
      <c r="E100" s="230" t="s">
        <v>562</v>
      </c>
      <c r="F100" s="235" t="s">
        <v>563</v>
      </c>
      <c r="G100" s="229" t="s">
        <v>130</v>
      </c>
      <c r="H100" s="131">
        <f>(3+5+7)*3</f>
        <v>45</v>
      </c>
      <c r="I100" s="113">
        <v>5500</v>
      </c>
      <c r="J100" s="117">
        <f t="shared" si="8"/>
        <v>247500</v>
      </c>
    </row>
    <row r="101" ht="51" spans="1:10">
      <c r="A101" s="131"/>
      <c r="B101" s="131"/>
      <c r="C101" s="131"/>
      <c r="D101" s="230"/>
      <c r="E101" s="229"/>
      <c r="F101" s="236" t="s">
        <v>564</v>
      </c>
      <c r="G101" s="131"/>
      <c r="H101" s="131"/>
      <c r="I101" s="113"/>
      <c r="J101" s="117"/>
    </row>
    <row r="102" spans="1:10">
      <c r="A102" s="131"/>
      <c r="B102" s="131"/>
      <c r="C102" s="131"/>
      <c r="D102" s="131"/>
      <c r="E102" s="131"/>
      <c r="F102" s="113"/>
      <c r="G102" s="131"/>
      <c r="H102" s="131"/>
      <c r="I102" s="113"/>
      <c r="J102" s="117"/>
    </row>
    <row r="103" ht="24.75" customHeight="1" spans="1:10">
      <c r="A103" s="113">
        <v>5.9</v>
      </c>
      <c r="B103" s="131"/>
      <c r="C103" s="113" t="s">
        <v>538</v>
      </c>
      <c r="D103" s="230" t="s">
        <v>103</v>
      </c>
      <c r="E103" s="230" t="s">
        <v>310</v>
      </c>
      <c r="F103" s="237" t="s">
        <v>565</v>
      </c>
      <c r="G103" s="229" t="s">
        <v>130</v>
      </c>
      <c r="H103" s="131">
        <f>(2.5*3)-(1.7*2.4)</f>
        <v>3.42</v>
      </c>
      <c r="I103" s="113">
        <v>1600</v>
      </c>
      <c r="J103" s="117">
        <f t="shared" ref="J103" si="9">SUM(H103*I103)</f>
        <v>5472</v>
      </c>
    </row>
    <row r="104" ht="25.5" spans="1:10">
      <c r="A104" s="131"/>
      <c r="B104" s="131"/>
      <c r="C104" s="131"/>
      <c r="D104" s="131"/>
      <c r="E104" s="230"/>
      <c r="F104" s="238" t="s">
        <v>566</v>
      </c>
      <c r="G104" s="131"/>
      <c r="H104" s="131"/>
      <c r="I104" s="113"/>
      <c r="J104" s="117"/>
    </row>
    <row r="105" spans="1:10">
      <c r="A105" s="131"/>
      <c r="B105" s="131"/>
      <c r="C105" s="131"/>
      <c r="D105" s="131"/>
      <c r="E105" s="131"/>
      <c r="F105" s="113"/>
      <c r="G105" s="131"/>
      <c r="H105" s="131"/>
      <c r="I105" s="113"/>
      <c r="J105" s="117"/>
    </row>
    <row r="106" ht="25.5" spans="1:10">
      <c r="A106" s="146">
        <v>5.1</v>
      </c>
      <c r="B106" s="131"/>
      <c r="C106" s="113" t="s">
        <v>538</v>
      </c>
      <c r="D106" s="230" t="s">
        <v>103</v>
      </c>
      <c r="E106" s="230" t="s">
        <v>567</v>
      </c>
      <c r="F106" s="237" t="s">
        <v>568</v>
      </c>
      <c r="G106" s="229" t="s">
        <v>130</v>
      </c>
      <c r="H106" s="131">
        <f>2.6*3</f>
        <v>7.8</v>
      </c>
      <c r="I106" s="113">
        <v>19250</v>
      </c>
      <c r="J106" s="117">
        <f t="shared" ref="J106" si="10">SUM(H106*I106)</f>
        <v>150150</v>
      </c>
    </row>
    <row r="107" ht="63.75" spans="1:10">
      <c r="A107" s="131"/>
      <c r="B107" s="131"/>
      <c r="C107" s="131"/>
      <c r="D107" s="131"/>
      <c r="E107" s="230"/>
      <c r="F107" s="239" t="s">
        <v>569</v>
      </c>
      <c r="G107" s="131"/>
      <c r="H107" s="131"/>
      <c r="I107" s="113"/>
      <c r="J107" s="117"/>
    </row>
    <row r="108" spans="1:10">
      <c r="A108" s="131"/>
      <c r="B108" s="131"/>
      <c r="C108" s="131"/>
      <c r="D108" s="131"/>
      <c r="E108" s="229"/>
      <c r="F108" s="237"/>
      <c r="G108" s="131"/>
      <c r="H108" s="131"/>
      <c r="I108" s="113"/>
      <c r="J108" s="117"/>
    </row>
    <row r="109" spans="1:10">
      <c r="A109" s="113">
        <v>5.11</v>
      </c>
      <c r="B109" s="131"/>
      <c r="C109" s="113" t="s">
        <v>538</v>
      </c>
      <c r="D109" s="230" t="s">
        <v>103</v>
      </c>
      <c r="E109" s="230" t="s">
        <v>570</v>
      </c>
      <c r="F109" s="237" t="s">
        <v>571</v>
      </c>
      <c r="G109" s="229" t="s">
        <v>130</v>
      </c>
      <c r="H109" s="131">
        <f>3.2*3</f>
        <v>9.6</v>
      </c>
      <c r="I109" s="113">
        <v>25000</v>
      </c>
      <c r="J109" s="117">
        <f t="shared" ref="J109" si="11">SUM(H109*I109)</f>
        <v>240000</v>
      </c>
    </row>
    <row r="110" ht="51" spans="1:10">
      <c r="A110" s="131"/>
      <c r="B110" s="131"/>
      <c r="C110" s="131"/>
      <c r="D110" s="131"/>
      <c r="E110" s="230"/>
      <c r="F110" s="239" t="s">
        <v>572</v>
      </c>
      <c r="G110" s="131"/>
      <c r="H110" s="131"/>
      <c r="I110" s="113"/>
      <c r="J110" s="117"/>
    </row>
    <row r="111" spans="1:10">
      <c r="A111" s="131"/>
      <c r="B111" s="131"/>
      <c r="C111" s="131"/>
      <c r="D111" s="131"/>
      <c r="E111" s="229"/>
      <c r="F111" s="226"/>
      <c r="G111" s="131"/>
      <c r="H111" s="131"/>
      <c r="I111" s="113"/>
      <c r="J111" s="117"/>
    </row>
    <row r="112" spans="1:10">
      <c r="A112" s="113">
        <v>5.12</v>
      </c>
      <c r="B112" s="131"/>
      <c r="C112" s="113" t="s">
        <v>538</v>
      </c>
      <c r="D112" s="230" t="s">
        <v>103</v>
      </c>
      <c r="E112" s="230" t="s">
        <v>570</v>
      </c>
      <c r="F112" s="237" t="s">
        <v>573</v>
      </c>
      <c r="G112" s="229" t="s">
        <v>130</v>
      </c>
      <c r="H112" s="131">
        <f>2.8*3</f>
        <v>8.4</v>
      </c>
      <c r="I112" s="113">
        <v>26250</v>
      </c>
      <c r="J112" s="117">
        <f t="shared" ref="J112" si="12">SUM(H112*I112)</f>
        <v>220500</v>
      </c>
    </row>
    <row r="113" ht="38.25" spans="1:10">
      <c r="A113" s="131"/>
      <c r="B113" s="131"/>
      <c r="C113" s="131"/>
      <c r="D113" s="131"/>
      <c r="E113" s="230"/>
      <c r="F113" s="239" t="s">
        <v>574</v>
      </c>
      <c r="G113" s="131"/>
      <c r="H113" s="131"/>
      <c r="I113" s="113"/>
      <c r="J113" s="117"/>
    </row>
    <row r="114" spans="1:10">
      <c r="A114" s="131"/>
      <c r="B114" s="131"/>
      <c r="C114" s="131"/>
      <c r="D114" s="131"/>
      <c r="E114" s="230"/>
      <c r="F114" s="237"/>
      <c r="G114" s="131"/>
      <c r="H114" s="131"/>
      <c r="I114" s="113"/>
      <c r="J114" s="117"/>
    </row>
    <row r="115" spans="1:10">
      <c r="A115" s="113">
        <v>5.13</v>
      </c>
      <c r="B115" s="131"/>
      <c r="C115" s="113" t="s">
        <v>538</v>
      </c>
      <c r="D115" s="230" t="s">
        <v>575</v>
      </c>
      <c r="E115" s="230" t="s">
        <v>570</v>
      </c>
      <c r="F115" s="237" t="s">
        <v>576</v>
      </c>
      <c r="G115" s="229" t="s">
        <v>242</v>
      </c>
      <c r="H115" s="131">
        <v>1</v>
      </c>
      <c r="I115" s="113">
        <v>10000</v>
      </c>
      <c r="J115" s="117">
        <f t="shared" ref="J115" si="13">SUM(H115*I115)</f>
        <v>10000</v>
      </c>
    </row>
    <row r="116" ht="25.5" spans="1:10">
      <c r="A116" s="131"/>
      <c r="B116" s="131"/>
      <c r="C116" s="131"/>
      <c r="D116" s="131"/>
      <c r="E116" s="230"/>
      <c r="F116" s="239" t="s">
        <v>577</v>
      </c>
      <c r="G116" s="131"/>
      <c r="H116" s="131"/>
      <c r="I116" s="113"/>
      <c r="J116" s="117"/>
    </row>
    <row r="117" spans="1:10">
      <c r="A117" s="131"/>
      <c r="B117" s="131"/>
      <c r="C117" s="131"/>
      <c r="D117" s="131"/>
      <c r="E117" s="230"/>
      <c r="F117" s="239"/>
      <c r="G117" s="131"/>
      <c r="H117" s="131"/>
      <c r="I117" s="113"/>
      <c r="J117" s="117"/>
    </row>
    <row r="118" ht="25.5" spans="1:10">
      <c r="A118" s="113">
        <v>5.14</v>
      </c>
      <c r="B118" s="131"/>
      <c r="C118" s="113" t="s">
        <v>538</v>
      </c>
      <c r="D118" s="230" t="s">
        <v>578</v>
      </c>
      <c r="E118" s="230" t="s">
        <v>579</v>
      </c>
      <c r="F118" s="228" t="s">
        <v>580</v>
      </c>
      <c r="G118" s="229" t="s">
        <v>242</v>
      </c>
      <c r="H118" s="131">
        <v>1</v>
      </c>
      <c r="I118" s="113">
        <v>25500</v>
      </c>
      <c r="J118" s="117">
        <f t="shared" ref="J118" si="14">SUM(H118*I118)</f>
        <v>25500</v>
      </c>
    </row>
    <row r="119" ht="25.5" spans="1:10">
      <c r="A119" s="131"/>
      <c r="B119" s="131"/>
      <c r="C119" s="131"/>
      <c r="D119" s="131"/>
      <c r="E119" s="229"/>
      <c r="F119" s="240" t="s">
        <v>581</v>
      </c>
      <c r="G119" s="131"/>
      <c r="H119" s="131"/>
      <c r="I119" s="113"/>
      <c r="J119" s="117"/>
    </row>
    <row r="120" spans="1:10">
      <c r="A120" s="131"/>
      <c r="B120" s="131"/>
      <c r="C120" s="131"/>
      <c r="D120" s="131"/>
      <c r="E120" s="230"/>
      <c r="F120" s="239"/>
      <c r="G120" s="131"/>
      <c r="H120" s="131"/>
      <c r="I120" s="113"/>
      <c r="J120" s="117"/>
    </row>
    <row r="121" spans="1:10">
      <c r="A121" s="113">
        <v>5.15</v>
      </c>
      <c r="B121" s="131"/>
      <c r="C121" s="113" t="s">
        <v>538</v>
      </c>
      <c r="D121" s="230" t="s">
        <v>578</v>
      </c>
      <c r="E121" s="230" t="s">
        <v>582</v>
      </c>
      <c r="F121" s="228" t="s">
        <v>583</v>
      </c>
      <c r="G121" s="229" t="s">
        <v>242</v>
      </c>
      <c r="H121" s="131">
        <v>1</v>
      </c>
      <c r="I121" s="113">
        <v>68750</v>
      </c>
      <c r="J121" s="117">
        <f t="shared" ref="J121" si="15">SUM(H121*I121)</f>
        <v>68750</v>
      </c>
    </row>
    <row r="122" ht="25.5" spans="1:10">
      <c r="A122" s="131"/>
      <c r="B122" s="131"/>
      <c r="C122" s="131"/>
      <c r="D122" s="131"/>
      <c r="E122" s="229"/>
      <c r="F122" s="240" t="s">
        <v>584</v>
      </c>
      <c r="G122" s="131"/>
      <c r="H122" s="131"/>
      <c r="I122" s="113"/>
      <c r="J122" s="117"/>
    </row>
    <row r="123" spans="1:10">
      <c r="A123" s="131"/>
      <c r="B123" s="131"/>
      <c r="C123" s="131"/>
      <c r="E123" s="230"/>
      <c r="F123" s="239"/>
      <c r="G123" s="131"/>
      <c r="H123" s="131"/>
      <c r="I123" s="113"/>
      <c r="J123" s="117"/>
    </row>
    <row r="124" spans="1:10">
      <c r="A124" s="113">
        <v>5.16</v>
      </c>
      <c r="B124" s="131"/>
      <c r="C124" s="113" t="s">
        <v>538</v>
      </c>
      <c r="D124" s="230" t="s">
        <v>95</v>
      </c>
      <c r="E124" s="230" t="s">
        <v>100</v>
      </c>
      <c r="F124" s="235" t="s">
        <v>101</v>
      </c>
      <c r="G124" s="229" t="s">
        <v>98</v>
      </c>
      <c r="H124" s="131">
        <v>40</v>
      </c>
      <c r="I124" s="243">
        <v>1350</v>
      </c>
      <c r="J124" s="117">
        <f t="shared" ref="J124" si="16">SUM(H124*I124)</f>
        <v>54000</v>
      </c>
    </row>
    <row r="125" spans="1:10">
      <c r="A125" s="131"/>
      <c r="B125" s="131"/>
      <c r="C125" s="131"/>
      <c r="D125" s="230"/>
      <c r="E125" s="229"/>
      <c r="F125" s="236" t="s">
        <v>102</v>
      </c>
      <c r="G125" s="229"/>
      <c r="H125" s="131"/>
      <c r="I125" s="113"/>
      <c r="J125" s="117"/>
    </row>
    <row r="126" spans="1:10">
      <c r="A126" s="131"/>
      <c r="B126" s="131"/>
      <c r="C126" s="131"/>
      <c r="D126" s="230"/>
      <c r="E126" s="229"/>
      <c r="F126" s="236"/>
      <c r="G126" s="229"/>
      <c r="H126" s="131"/>
      <c r="I126" s="113"/>
      <c r="J126" s="117"/>
    </row>
    <row r="127" spans="1:10">
      <c r="A127" s="113">
        <v>5.17</v>
      </c>
      <c r="B127" s="131"/>
      <c r="C127" s="113" t="s">
        <v>538</v>
      </c>
      <c r="D127" s="230" t="s">
        <v>585</v>
      </c>
      <c r="E127" s="230" t="s">
        <v>586</v>
      </c>
      <c r="F127" s="235" t="s">
        <v>587</v>
      </c>
      <c r="G127" s="229" t="s">
        <v>98</v>
      </c>
      <c r="H127" s="131">
        <v>5</v>
      </c>
      <c r="I127" s="243">
        <v>8650</v>
      </c>
      <c r="J127" s="117">
        <f t="shared" ref="J127" si="17">SUM(H127*I127)</f>
        <v>43250</v>
      </c>
    </row>
    <row r="128" spans="1:10">
      <c r="A128" s="131"/>
      <c r="B128" s="131"/>
      <c r="C128" s="131"/>
      <c r="D128" s="230"/>
      <c r="E128" s="229"/>
      <c r="F128" s="236" t="s">
        <v>588</v>
      </c>
      <c r="G128" s="229"/>
      <c r="H128" s="131"/>
      <c r="I128" s="113"/>
      <c r="J128" s="117"/>
    </row>
    <row r="129" spans="1:10">
      <c r="A129" s="131"/>
      <c r="B129" s="131"/>
      <c r="C129" s="131"/>
      <c r="D129" s="230"/>
      <c r="E129" s="229"/>
      <c r="F129" s="236"/>
      <c r="G129" s="229"/>
      <c r="H129" s="131"/>
      <c r="I129" s="113"/>
      <c r="J129" s="117"/>
    </row>
    <row r="130" spans="1:10">
      <c r="A130" s="113">
        <v>5.18</v>
      </c>
      <c r="B130" s="131"/>
      <c r="C130" s="113" t="s">
        <v>538</v>
      </c>
      <c r="D130" s="230" t="s">
        <v>589</v>
      </c>
      <c r="E130" s="230" t="s">
        <v>590</v>
      </c>
      <c r="F130" s="235" t="s">
        <v>591</v>
      </c>
      <c r="G130" s="229" t="s">
        <v>242</v>
      </c>
      <c r="H130" s="131">
        <v>4</v>
      </c>
      <c r="I130" s="243">
        <v>10000</v>
      </c>
      <c r="J130" s="117">
        <f t="shared" ref="J130" si="18">SUM(H130*I130)</f>
        <v>40000</v>
      </c>
    </row>
    <row r="131" spans="1:10">
      <c r="A131" s="131"/>
      <c r="B131" s="131"/>
      <c r="C131" s="131"/>
      <c r="D131" s="131"/>
      <c r="E131" s="229"/>
      <c r="F131" s="226"/>
      <c r="G131" s="131"/>
      <c r="H131" s="131"/>
      <c r="I131" s="113"/>
      <c r="J131" s="117"/>
    </row>
    <row r="132" ht="12.75" customHeight="1" spans="1:10">
      <c r="A132" s="131"/>
      <c r="B132" s="131"/>
      <c r="C132" s="131"/>
      <c r="D132" s="131"/>
      <c r="E132" s="131"/>
      <c r="F132" s="145" t="s">
        <v>592</v>
      </c>
      <c r="G132" s="131"/>
      <c r="H132" s="131"/>
      <c r="I132" s="113"/>
      <c r="J132" s="117"/>
    </row>
    <row r="133" ht="12.75" customHeight="1" spans="1:10">
      <c r="A133" s="113">
        <v>5.19</v>
      </c>
      <c r="B133" s="131"/>
      <c r="C133" s="113" t="s">
        <v>538</v>
      </c>
      <c r="D133" s="113" t="s">
        <v>593</v>
      </c>
      <c r="E133" s="113" t="s">
        <v>594</v>
      </c>
      <c r="F133" s="184" t="s">
        <v>595</v>
      </c>
      <c r="G133" s="113" t="s">
        <v>187</v>
      </c>
      <c r="H133" s="113">
        <v>1</v>
      </c>
      <c r="I133" s="113">
        <v>58900</v>
      </c>
      <c r="J133" s="117">
        <f t="shared" si="4"/>
        <v>58900</v>
      </c>
    </row>
    <row r="134" ht="12.75" customHeight="1" spans="1:10">
      <c r="A134" s="131"/>
      <c r="B134" s="131"/>
      <c r="C134" s="131"/>
      <c r="D134" s="131"/>
      <c r="E134" s="131"/>
      <c r="F134" s="219" t="s">
        <v>596</v>
      </c>
      <c r="G134" s="131"/>
      <c r="H134" s="131"/>
      <c r="I134" s="113"/>
      <c r="J134" s="117"/>
    </row>
    <row r="135" ht="12.75" customHeight="1" spans="1:10">
      <c r="A135" s="131"/>
      <c r="B135" s="131"/>
      <c r="C135" s="131"/>
      <c r="D135" s="131"/>
      <c r="E135" s="131"/>
      <c r="F135" s="219" t="s">
        <v>251</v>
      </c>
      <c r="G135" s="131"/>
      <c r="H135" s="131"/>
      <c r="I135" s="113"/>
      <c r="J135" s="117"/>
    </row>
    <row r="136" ht="60" spans="1:10">
      <c r="A136" s="131"/>
      <c r="B136" s="131"/>
      <c r="C136" s="131"/>
      <c r="D136" s="131"/>
      <c r="E136" s="131"/>
      <c r="F136" s="219" t="s">
        <v>597</v>
      </c>
      <c r="G136" s="131"/>
      <c r="H136" s="131"/>
      <c r="I136" s="113"/>
      <c r="J136" s="117"/>
    </row>
    <row r="137" ht="12.75" customHeight="1" spans="1:10">
      <c r="A137" s="131"/>
      <c r="B137" s="131"/>
      <c r="C137" s="131"/>
      <c r="D137" s="131"/>
      <c r="E137" s="131"/>
      <c r="F137" s="244" t="s">
        <v>253</v>
      </c>
      <c r="G137" s="131"/>
      <c r="H137" s="131"/>
      <c r="I137" s="113"/>
      <c r="J137" s="117"/>
    </row>
    <row r="138" ht="75" spans="1:10">
      <c r="A138" s="131"/>
      <c r="B138" s="131"/>
      <c r="C138" s="131"/>
      <c r="D138" s="131"/>
      <c r="E138" s="131"/>
      <c r="F138" s="232" t="s">
        <v>598</v>
      </c>
      <c r="G138" s="131"/>
      <c r="H138" s="131"/>
      <c r="I138" s="113"/>
      <c r="J138" s="117"/>
    </row>
    <row r="139" ht="12.75" customHeight="1" spans="1:10">
      <c r="A139" s="131"/>
      <c r="B139" s="131"/>
      <c r="C139" s="131"/>
      <c r="D139" s="131"/>
      <c r="E139" s="131"/>
      <c r="F139" s="245" t="s">
        <v>351</v>
      </c>
      <c r="G139" s="131"/>
      <c r="H139" s="131"/>
      <c r="I139" s="113"/>
      <c r="J139" s="117"/>
    </row>
    <row r="140" spans="1:10">
      <c r="A140" s="131"/>
      <c r="B140" s="131"/>
      <c r="C140" s="131"/>
      <c r="D140" s="131"/>
      <c r="E140" s="131"/>
      <c r="F140" s="232" t="s">
        <v>599</v>
      </c>
      <c r="G140" s="131"/>
      <c r="H140" s="131"/>
      <c r="I140" s="113"/>
      <c r="J140" s="117"/>
    </row>
    <row r="141" ht="12.75" customHeight="1" spans="1:10">
      <c r="A141" s="131"/>
      <c r="B141" s="131"/>
      <c r="C141" s="131"/>
      <c r="D141" s="131"/>
      <c r="E141" s="131"/>
      <c r="F141" s="244" t="s">
        <v>255</v>
      </c>
      <c r="G141" s="131"/>
      <c r="H141" s="131"/>
      <c r="I141" s="113"/>
      <c r="J141" s="117"/>
    </row>
    <row r="142" ht="45" spans="1:10">
      <c r="A142" s="131"/>
      <c r="B142" s="131"/>
      <c r="C142" s="131"/>
      <c r="D142" s="131"/>
      <c r="E142" s="131"/>
      <c r="F142" s="219" t="s">
        <v>600</v>
      </c>
      <c r="G142" s="131"/>
      <c r="H142" s="131"/>
      <c r="I142" s="113"/>
      <c r="J142" s="117"/>
    </row>
    <row r="143" spans="1:10">
      <c r="A143" s="131"/>
      <c r="B143" s="131"/>
      <c r="C143" s="131"/>
      <c r="D143" s="131"/>
      <c r="E143" s="131"/>
      <c r="F143" s="113"/>
      <c r="G143" s="131"/>
      <c r="H143" s="131"/>
      <c r="I143" s="113"/>
      <c r="J143" s="117"/>
    </row>
    <row r="144" spans="1:10">
      <c r="A144" s="146">
        <v>5.2</v>
      </c>
      <c r="B144" s="131"/>
      <c r="C144" s="113" t="s">
        <v>538</v>
      </c>
      <c r="D144" s="113" t="s">
        <v>593</v>
      </c>
      <c r="E144" s="113" t="s">
        <v>594</v>
      </c>
      <c r="F144" s="184" t="s">
        <v>601</v>
      </c>
      <c r="G144" s="113" t="s">
        <v>187</v>
      </c>
      <c r="H144" s="113">
        <v>1</v>
      </c>
      <c r="I144" s="113">
        <v>58900</v>
      </c>
      <c r="J144" s="117">
        <f t="shared" ref="J144" si="19">SUM(H144*I144)</f>
        <v>58900</v>
      </c>
    </row>
    <row r="145" ht="12.75" customHeight="1" spans="1:10">
      <c r="A145" s="131"/>
      <c r="B145" s="131"/>
      <c r="C145" s="131"/>
      <c r="D145" s="131"/>
      <c r="E145" s="131"/>
      <c r="F145" s="219" t="s">
        <v>596</v>
      </c>
      <c r="G145" s="131"/>
      <c r="H145" s="131"/>
      <c r="I145" s="113"/>
      <c r="J145" s="117"/>
    </row>
    <row r="146" spans="1:10">
      <c r="A146" s="131"/>
      <c r="B146" s="131"/>
      <c r="C146" s="131"/>
      <c r="D146" s="131"/>
      <c r="E146" s="131"/>
      <c r="F146" s="219" t="s">
        <v>251</v>
      </c>
      <c r="G146" s="131"/>
      <c r="H146" s="131"/>
      <c r="I146" s="113"/>
      <c r="J146" s="117"/>
    </row>
    <row r="147" ht="60" spans="1:10">
      <c r="A147" s="131"/>
      <c r="B147" s="131"/>
      <c r="C147" s="131"/>
      <c r="D147" s="131"/>
      <c r="E147" s="131"/>
      <c r="F147" s="219" t="s">
        <v>602</v>
      </c>
      <c r="G147" s="131"/>
      <c r="H147" s="131"/>
      <c r="I147" s="113"/>
      <c r="J147" s="117"/>
    </row>
    <row r="148" spans="1:10">
      <c r="A148" s="131"/>
      <c r="B148" s="131"/>
      <c r="C148" s="131"/>
      <c r="D148" s="131"/>
      <c r="E148" s="131"/>
      <c r="F148" s="244" t="s">
        <v>253</v>
      </c>
      <c r="G148" s="131"/>
      <c r="H148" s="131"/>
      <c r="I148" s="113"/>
      <c r="J148" s="117"/>
    </row>
    <row r="149" ht="60" spans="1:10">
      <c r="A149" s="131"/>
      <c r="B149" s="131"/>
      <c r="C149" s="131"/>
      <c r="D149" s="131"/>
      <c r="E149" s="131"/>
      <c r="F149" s="232" t="s">
        <v>603</v>
      </c>
      <c r="G149" s="131"/>
      <c r="H149" s="131"/>
      <c r="I149" s="113"/>
      <c r="J149" s="117"/>
    </row>
    <row r="150" ht="12.75" customHeight="1" spans="1:10">
      <c r="A150" s="131"/>
      <c r="B150" s="131"/>
      <c r="C150" s="131"/>
      <c r="D150" s="131"/>
      <c r="E150" s="131"/>
      <c r="F150" s="245" t="s">
        <v>351</v>
      </c>
      <c r="G150" s="131"/>
      <c r="H150" s="131"/>
      <c r="I150" s="113"/>
      <c r="J150" s="117"/>
    </row>
    <row r="151" spans="1:10">
      <c r="A151" s="131"/>
      <c r="B151" s="131"/>
      <c r="C151" s="131"/>
      <c r="D151" s="131"/>
      <c r="E151" s="131"/>
      <c r="F151" s="232" t="s">
        <v>599</v>
      </c>
      <c r="G151" s="131"/>
      <c r="H151" s="131"/>
      <c r="I151" s="113"/>
      <c r="J151" s="117"/>
    </row>
    <row r="152" ht="12.75" customHeight="1" spans="1:10">
      <c r="A152" s="131"/>
      <c r="B152" s="131"/>
      <c r="C152" s="131"/>
      <c r="D152" s="131"/>
      <c r="E152" s="131"/>
      <c r="F152" s="244" t="s">
        <v>255</v>
      </c>
      <c r="G152" s="131"/>
      <c r="H152" s="131"/>
      <c r="I152" s="113"/>
      <c r="J152" s="117"/>
    </row>
    <row r="153" ht="45" spans="1:10">
      <c r="A153" s="131"/>
      <c r="B153" s="131"/>
      <c r="C153" s="131"/>
      <c r="D153" s="131"/>
      <c r="E153" s="131"/>
      <c r="F153" s="219" t="s">
        <v>600</v>
      </c>
      <c r="G153" s="131"/>
      <c r="H153" s="131"/>
      <c r="I153" s="113"/>
      <c r="J153" s="117"/>
    </row>
    <row r="154" ht="12.75" customHeight="1" spans="1:10">
      <c r="A154" s="131"/>
      <c r="B154" s="131"/>
      <c r="C154" s="131"/>
      <c r="D154" s="131"/>
      <c r="E154" s="131"/>
      <c r="F154" s="113"/>
      <c r="G154" s="131"/>
      <c r="H154" s="131"/>
      <c r="I154" s="113"/>
      <c r="J154" s="117"/>
    </row>
    <row r="155" spans="1:10">
      <c r="A155" s="113">
        <v>5.21</v>
      </c>
      <c r="B155" s="131"/>
      <c r="C155" s="113" t="s">
        <v>538</v>
      </c>
      <c r="D155" s="113" t="s">
        <v>604</v>
      </c>
      <c r="E155" s="113" t="s">
        <v>257</v>
      </c>
      <c r="F155" s="112" t="s">
        <v>605</v>
      </c>
      <c r="G155" s="113" t="s">
        <v>187</v>
      </c>
      <c r="H155" s="113">
        <v>1</v>
      </c>
      <c r="I155" s="113">
        <v>75000</v>
      </c>
      <c r="J155" s="117">
        <f t="shared" ref="J155" si="20">SUM(H155*I155)</f>
        <v>75000</v>
      </c>
    </row>
    <row r="156" ht="51" spans="1:10">
      <c r="A156" s="131"/>
      <c r="B156" s="131"/>
      <c r="C156" s="131"/>
      <c r="D156" s="131"/>
      <c r="E156" s="131"/>
      <c r="F156" s="234" t="s">
        <v>606</v>
      </c>
      <c r="G156" s="131"/>
      <c r="H156" s="131"/>
      <c r="I156" s="113"/>
      <c r="J156" s="117"/>
    </row>
    <row r="157" spans="1:10">
      <c r="A157" s="113"/>
      <c r="B157" s="131"/>
      <c r="C157" s="113"/>
      <c r="D157" s="113"/>
      <c r="E157" s="113"/>
      <c r="F157" s="234" t="s">
        <v>553</v>
      </c>
      <c r="G157" s="113"/>
      <c r="H157" s="113"/>
      <c r="I157" s="134"/>
      <c r="J157" s="117"/>
    </row>
    <row r="158" spans="1:10">
      <c r="A158" s="131"/>
      <c r="B158" s="131"/>
      <c r="C158" s="131"/>
      <c r="D158" s="131"/>
      <c r="E158" s="131"/>
      <c r="F158" s="115"/>
      <c r="G158" s="131"/>
      <c r="H158" s="131"/>
      <c r="I158" s="113"/>
      <c r="J158" s="117"/>
    </row>
    <row r="159" ht="30" spans="1:10">
      <c r="A159" s="146">
        <v>5.22</v>
      </c>
      <c r="B159" s="131"/>
      <c r="C159" s="113" t="s">
        <v>538</v>
      </c>
      <c r="D159" s="113" t="s">
        <v>607</v>
      </c>
      <c r="E159" s="113" t="s">
        <v>608</v>
      </c>
      <c r="F159" s="244" t="s">
        <v>370</v>
      </c>
      <c r="G159" s="113" t="s">
        <v>98</v>
      </c>
      <c r="H159" s="113">
        <v>2</v>
      </c>
      <c r="I159" s="113">
        <v>16000</v>
      </c>
      <c r="J159" s="117">
        <f t="shared" ref="J159" si="21">SUM(H159*I159)</f>
        <v>32000</v>
      </c>
    </row>
    <row r="160" ht="75" spans="1:10">
      <c r="A160" s="113"/>
      <c r="B160" s="131"/>
      <c r="C160" s="113"/>
      <c r="D160" s="113"/>
      <c r="E160" s="113"/>
      <c r="F160" s="219" t="s">
        <v>609</v>
      </c>
      <c r="G160" s="113"/>
      <c r="H160" s="113"/>
      <c r="I160" s="113"/>
      <c r="J160" s="117"/>
    </row>
    <row r="161" ht="15.75" spans="1:10">
      <c r="A161" s="179"/>
      <c r="B161" s="179"/>
      <c r="C161" s="179"/>
      <c r="D161" s="179"/>
      <c r="E161" s="179"/>
      <c r="F161" s="181"/>
      <c r="G161" s="179"/>
      <c r="H161" s="179"/>
      <c r="I161" s="125"/>
      <c r="J161" s="196"/>
    </row>
    <row r="162" ht="13.5" customHeight="1" spans="1:10">
      <c r="A162" s="108" t="s">
        <v>267</v>
      </c>
      <c r="B162" s="190"/>
      <c r="C162" s="190"/>
      <c r="D162" s="190"/>
      <c r="E162" s="190"/>
      <c r="F162" s="96" t="s">
        <v>610</v>
      </c>
      <c r="G162" s="190"/>
      <c r="H162" s="190"/>
      <c r="I162" s="96"/>
      <c r="J162" s="201"/>
    </row>
    <row r="163" ht="13.5" customHeight="1" spans="1:10">
      <c r="A163" s="129"/>
      <c r="B163" s="130"/>
      <c r="C163" s="130"/>
      <c r="D163" s="130"/>
      <c r="E163" s="130"/>
      <c r="F163" s="129"/>
      <c r="G163" s="130"/>
      <c r="H163" s="130"/>
      <c r="I163" s="129"/>
      <c r="J163" s="198"/>
    </row>
    <row r="164" ht="16.5" customHeight="1" spans="1:10">
      <c r="A164" s="131"/>
      <c r="B164" s="131"/>
      <c r="C164" s="131"/>
      <c r="D164" s="131"/>
      <c r="E164" s="131"/>
      <c r="F164" s="145" t="s">
        <v>611</v>
      </c>
      <c r="G164" s="131"/>
      <c r="H164" s="131"/>
      <c r="I164" s="113"/>
      <c r="J164" s="117"/>
    </row>
    <row r="165" ht="15.95" customHeight="1" spans="1:10">
      <c r="A165" s="113">
        <v>6.1</v>
      </c>
      <c r="B165" s="131"/>
      <c r="C165" s="113" t="s">
        <v>612</v>
      </c>
      <c r="D165" s="113" t="s">
        <v>613</v>
      </c>
      <c r="E165" s="131"/>
      <c r="F165" s="113" t="s">
        <v>614</v>
      </c>
      <c r="G165" s="113" t="s">
        <v>187</v>
      </c>
      <c r="H165" s="113">
        <v>1</v>
      </c>
      <c r="I165" s="113">
        <v>2500</v>
      </c>
      <c r="J165" s="117">
        <f t="shared" ref="J165:J182" si="22">SUM(H165*I165)</f>
        <v>2500</v>
      </c>
    </row>
    <row r="166" ht="15.95" customHeight="1" spans="1:10">
      <c r="A166" s="113">
        <v>6.2</v>
      </c>
      <c r="B166" s="131"/>
      <c r="C166" s="113" t="s">
        <v>612</v>
      </c>
      <c r="D166" s="113" t="s">
        <v>613</v>
      </c>
      <c r="E166" s="131"/>
      <c r="F166" s="113" t="s">
        <v>615</v>
      </c>
      <c r="G166" s="113" t="s">
        <v>187</v>
      </c>
      <c r="H166" s="113">
        <v>1</v>
      </c>
      <c r="I166" s="113">
        <v>1500</v>
      </c>
      <c r="J166" s="117">
        <f t="shared" si="22"/>
        <v>1500</v>
      </c>
    </row>
    <row r="167" ht="15.95" customHeight="1" spans="1:10">
      <c r="A167" s="113">
        <v>6.3</v>
      </c>
      <c r="B167" s="131"/>
      <c r="C167" s="113" t="s">
        <v>612</v>
      </c>
      <c r="D167" s="113" t="s">
        <v>613</v>
      </c>
      <c r="E167" s="131"/>
      <c r="F167" s="113" t="s">
        <v>616</v>
      </c>
      <c r="G167" s="113" t="s">
        <v>187</v>
      </c>
      <c r="H167" s="113">
        <v>1</v>
      </c>
      <c r="I167" s="113">
        <v>500</v>
      </c>
      <c r="J167" s="117">
        <f t="shared" si="22"/>
        <v>500</v>
      </c>
    </row>
    <row r="168" ht="15.95" customHeight="1" spans="1:10">
      <c r="A168" s="113">
        <v>6.4</v>
      </c>
      <c r="B168" s="131"/>
      <c r="C168" s="113" t="s">
        <v>612</v>
      </c>
      <c r="D168" s="113" t="s">
        <v>613</v>
      </c>
      <c r="E168" s="131"/>
      <c r="F168" s="113" t="s">
        <v>617</v>
      </c>
      <c r="G168" s="113" t="s">
        <v>187</v>
      </c>
      <c r="H168" s="113">
        <v>1</v>
      </c>
      <c r="I168" s="113">
        <v>1800</v>
      </c>
      <c r="J168" s="117">
        <f t="shared" si="22"/>
        <v>1800</v>
      </c>
    </row>
    <row r="169" ht="15.95" customHeight="1" spans="1:10">
      <c r="A169" s="113">
        <v>6.6</v>
      </c>
      <c r="B169" s="131"/>
      <c r="C169" s="113" t="s">
        <v>612</v>
      </c>
      <c r="D169" s="113" t="s">
        <v>613</v>
      </c>
      <c r="E169" s="131"/>
      <c r="F169" s="113" t="s">
        <v>618</v>
      </c>
      <c r="G169" s="113" t="s">
        <v>187</v>
      </c>
      <c r="H169" s="113">
        <v>1</v>
      </c>
      <c r="I169" s="113">
        <v>500</v>
      </c>
      <c r="J169" s="117">
        <f t="shared" si="22"/>
        <v>500</v>
      </c>
    </row>
    <row r="170" ht="15.95" customHeight="1" spans="1:10">
      <c r="A170" s="113">
        <v>6.7</v>
      </c>
      <c r="B170" s="131"/>
      <c r="C170" s="113" t="s">
        <v>612</v>
      </c>
      <c r="D170" s="113" t="s">
        <v>613</v>
      </c>
      <c r="E170" s="131"/>
      <c r="F170" s="113" t="s">
        <v>619</v>
      </c>
      <c r="G170" s="113" t="s">
        <v>187</v>
      </c>
      <c r="H170" s="113">
        <v>1</v>
      </c>
      <c r="I170" s="113">
        <v>500</v>
      </c>
      <c r="J170" s="117">
        <f t="shared" si="22"/>
        <v>500</v>
      </c>
    </row>
    <row r="171" ht="15.95" customHeight="1" spans="1:10">
      <c r="A171" s="113">
        <v>6.8</v>
      </c>
      <c r="B171" s="131"/>
      <c r="C171" s="113" t="s">
        <v>612</v>
      </c>
      <c r="D171" s="113" t="s">
        <v>613</v>
      </c>
      <c r="E171" s="131"/>
      <c r="F171" s="113" t="s">
        <v>620</v>
      </c>
      <c r="G171" s="113" t="s">
        <v>187</v>
      </c>
      <c r="H171" s="113">
        <v>1</v>
      </c>
      <c r="I171" s="113">
        <v>300</v>
      </c>
      <c r="J171" s="117">
        <f t="shared" si="22"/>
        <v>300</v>
      </c>
    </row>
    <row r="172" ht="15.95" customHeight="1" spans="1:10">
      <c r="A172" s="113">
        <v>6.9</v>
      </c>
      <c r="B172" s="131"/>
      <c r="C172" s="113" t="s">
        <v>612</v>
      </c>
      <c r="D172" s="113" t="s">
        <v>613</v>
      </c>
      <c r="E172" s="131"/>
      <c r="F172" s="113" t="s">
        <v>621</v>
      </c>
      <c r="G172" s="113" t="s">
        <v>187</v>
      </c>
      <c r="H172" s="113">
        <v>1</v>
      </c>
      <c r="I172" s="113">
        <v>500</v>
      </c>
      <c r="J172" s="117">
        <f t="shared" si="22"/>
        <v>500</v>
      </c>
    </row>
    <row r="173" ht="15.95" customHeight="1" spans="1:10">
      <c r="A173" s="146">
        <v>6.1</v>
      </c>
      <c r="B173" s="131"/>
      <c r="C173" s="113" t="s">
        <v>612</v>
      </c>
      <c r="D173" s="113" t="s">
        <v>613</v>
      </c>
      <c r="E173" s="131"/>
      <c r="F173" s="113" t="s">
        <v>622</v>
      </c>
      <c r="G173" s="113" t="s">
        <v>187</v>
      </c>
      <c r="H173" s="113">
        <v>1</v>
      </c>
      <c r="I173" s="113">
        <v>300</v>
      </c>
      <c r="J173" s="117">
        <f t="shared" si="22"/>
        <v>300</v>
      </c>
    </row>
    <row r="174" ht="15.95" customHeight="1" spans="1:10">
      <c r="A174" s="146">
        <v>6.11</v>
      </c>
      <c r="B174" s="131"/>
      <c r="C174" s="113" t="s">
        <v>612</v>
      </c>
      <c r="D174" s="113" t="s">
        <v>613</v>
      </c>
      <c r="E174" s="131"/>
      <c r="F174" s="113" t="s">
        <v>623</v>
      </c>
      <c r="G174" s="113" t="s">
        <v>187</v>
      </c>
      <c r="H174" s="113">
        <v>1</v>
      </c>
      <c r="I174" s="113">
        <v>250</v>
      </c>
      <c r="J174" s="117">
        <f t="shared" si="22"/>
        <v>250</v>
      </c>
    </row>
    <row r="175" ht="15.95" customHeight="1" spans="1:10">
      <c r="A175" s="146">
        <v>6.12</v>
      </c>
      <c r="B175" s="131"/>
      <c r="C175" s="113" t="s">
        <v>612</v>
      </c>
      <c r="D175" s="113" t="s">
        <v>613</v>
      </c>
      <c r="E175" s="131"/>
      <c r="F175" s="113" t="s">
        <v>624</v>
      </c>
      <c r="G175" s="113" t="s">
        <v>187</v>
      </c>
      <c r="H175" s="113">
        <v>1</v>
      </c>
      <c r="I175" s="113">
        <v>150</v>
      </c>
      <c r="J175" s="117">
        <f t="shared" si="22"/>
        <v>150</v>
      </c>
    </row>
    <row r="176" ht="15.95" customHeight="1" spans="1:10">
      <c r="A176" s="146">
        <v>6.13</v>
      </c>
      <c r="B176" s="131"/>
      <c r="C176" s="113" t="s">
        <v>612</v>
      </c>
      <c r="D176" s="113" t="s">
        <v>613</v>
      </c>
      <c r="E176" s="131"/>
      <c r="F176" s="113" t="s">
        <v>625</v>
      </c>
      <c r="G176" s="113" t="s">
        <v>187</v>
      </c>
      <c r="H176" s="113">
        <v>1</v>
      </c>
      <c r="I176" s="113">
        <v>100</v>
      </c>
      <c r="J176" s="117">
        <f t="shared" si="22"/>
        <v>100</v>
      </c>
    </row>
    <row r="177" ht="15.95" customHeight="1" spans="1:10">
      <c r="A177" s="180"/>
      <c r="B177" s="179"/>
      <c r="C177" s="125"/>
      <c r="D177" s="125"/>
      <c r="E177" s="179"/>
      <c r="F177" s="125"/>
      <c r="G177" s="125"/>
      <c r="H177" s="125"/>
      <c r="I177" s="125"/>
      <c r="J177" s="196"/>
    </row>
    <row r="178" ht="13.5" customHeight="1" spans="1:10">
      <c r="A178" s="108" t="s">
        <v>626</v>
      </c>
      <c r="B178" s="190"/>
      <c r="C178" s="190"/>
      <c r="D178" s="190"/>
      <c r="E178" s="190"/>
      <c r="F178" s="96" t="s">
        <v>627</v>
      </c>
      <c r="G178" s="190"/>
      <c r="H178" s="190"/>
      <c r="I178" s="96"/>
      <c r="J178" s="201"/>
    </row>
    <row r="179" ht="13.5" customHeight="1" spans="1:10">
      <c r="A179" s="129"/>
      <c r="B179" s="130"/>
      <c r="C179" s="130"/>
      <c r="D179" s="130"/>
      <c r="E179" s="130"/>
      <c r="F179" s="129"/>
      <c r="G179" s="130"/>
      <c r="H179" s="130"/>
      <c r="I179" s="129"/>
      <c r="J179" s="198"/>
    </row>
    <row r="180" ht="29.25" customHeight="1" spans="1:10">
      <c r="A180" s="113">
        <v>7.1</v>
      </c>
      <c r="B180" s="131"/>
      <c r="C180" s="113" t="s">
        <v>127</v>
      </c>
      <c r="D180" s="113" t="s">
        <v>628</v>
      </c>
      <c r="E180" s="131" t="s">
        <v>629</v>
      </c>
      <c r="F180" s="112" t="s">
        <v>630</v>
      </c>
      <c r="G180" s="113" t="s">
        <v>130</v>
      </c>
      <c r="H180" s="113">
        <v>80</v>
      </c>
      <c r="I180" s="113">
        <v>485</v>
      </c>
      <c r="J180" s="117">
        <f t="shared" si="22"/>
        <v>38800</v>
      </c>
    </row>
    <row r="181" ht="45" spans="1:10">
      <c r="A181" s="131"/>
      <c r="B181" s="131"/>
      <c r="C181" s="131"/>
      <c r="D181" s="131"/>
      <c r="E181" s="131"/>
      <c r="F181" s="113" t="s">
        <v>631</v>
      </c>
      <c r="G181" s="131"/>
      <c r="H181" s="131"/>
      <c r="I181" s="113"/>
      <c r="J181" s="117"/>
    </row>
    <row r="182" ht="30" spans="1:10">
      <c r="A182" s="113">
        <v>7.2</v>
      </c>
      <c r="B182" s="131"/>
      <c r="C182" s="113" t="s">
        <v>127</v>
      </c>
      <c r="D182" s="113" t="s">
        <v>632</v>
      </c>
      <c r="E182" s="131" t="s">
        <v>633</v>
      </c>
      <c r="F182" s="112" t="s">
        <v>135</v>
      </c>
      <c r="G182" s="113" t="s">
        <v>130</v>
      </c>
      <c r="H182" s="113">
        <v>100</v>
      </c>
      <c r="I182" s="113">
        <v>325</v>
      </c>
      <c r="J182" s="117">
        <f t="shared" si="22"/>
        <v>32500</v>
      </c>
    </row>
    <row r="183" ht="45" spans="1:10">
      <c r="A183" s="131"/>
      <c r="B183" s="131"/>
      <c r="C183" s="131"/>
      <c r="D183" s="131"/>
      <c r="E183" s="131"/>
      <c r="F183" s="113" t="s">
        <v>634</v>
      </c>
      <c r="G183" s="131"/>
      <c r="H183" s="131"/>
      <c r="I183" s="113"/>
      <c r="J183" s="113"/>
    </row>
    <row r="184" spans="1:10">
      <c r="A184" s="179"/>
      <c r="B184" s="179"/>
      <c r="C184" s="179"/>
      <c r="D184" s="179"/>
      <c r="E184" s="131"/>
      <c r="F184" s="113"/>
      <c r="G184" s="113"/>
      <c r="H184" s="179"/>
      <c r="I184" s="125"/>
      <c r="J184" s="125"/>
    </row>
    <row r="185" ht="30" spans="1:10">
      <c r="A185" s="113">
        <v>7.3</v>
      </c>
      <c r="B185" s="131"/>
      <c r="C185" s="113" t="s">
        <v>127</v>
      </c>
      <c r="D185" s="113" t="s">
        <v>628</v>
      </c>
      <c r="E185" s="225" t="s">
        <v>635</v>
      </c>
      <c r="F185" s="245" t="s">
        <v>636</v>
      </c>
      <c r="G185" s="174" t="s">
        <v>130</v>
      </c>
      <c r="H185" s="179">
        <v>70</v>
      </c>
      <c r="I185" s="113">
        <v>215</v>
      </c>
      <c r="J185" s="117">
        <f t="shared" ref="J185" si="23">SUM(H185*I185)</f>
        <v>15050</v>
      </c>
    </row>
    <row r="186" ht="30" spans="1:10">
      <c r="A186" s="179"/>
      <c r="B186" s="179"/>
      <c r="C186" s="179"/>
      <c r="D186" s="179"/>
      <c r="E186" s="225"/>
      <c r="F186" s="232" t="s">
        <v>637</v>
      </c>
      <c r="G186" s="174"/>
      <c r="H186" s="179"/>
      <c r="I186" s="125"/>
      <c r="J186" s="125"/>
    </row>
    <row r="187" spans="1:10">
      <c r="A187" s="179"/>
      <c r="B187" s="179"/>
      <c r="C187" s="179"/>
      <c r="D187" s="179"/>
      <c r="E187" s="179"/>
      <c r="F187" s="125"/>
      <c r="G187" s="179"/>
      <c r="H187" s="179"/>
      <c r="I187" s="125"/>
      <c r="J187" s="125"/>
    </row>
    <row r="188" spans="1:10">
      <c r="A188" s="113">
        <v>7.4</v>
      </c>
      <c r="B188" s="131"/>
      <c r="C188" s="113" t="s">
        <v>127</v>
      </c>
      <c r="D188" s="113" t="s">
        <v>638</v>
      </c>
      <c r="E188" s="225" t="s">
        <v>639</v>
      </c>
      <c r="F188" s="184" t="s">
        <v>640</v>
      </c>
      <c r="G188" s="174" t="s">
        <v>51</v>
      </c>
      <c r="H188" s="179">
        <v>70</v>
      </c>
      <c r="I188" s="113">
        <v>5200</v>
      </c>
      <c r="J188" s="117">
        <f t="shared" ref="J188" si="24">SUM(H188*I188)</f>
        <v>364000</v>
      </c>
    </row>
    <row r="189" ht="30" spans="1:10">
      <c r="A189" s="179"/>
      <c r="B189" s="179"/>
      <c r="C189" s="179"/>
      <c r="D189" s="179"/>
      <c r="E189" s="225"/>
      <c r="F189" s="174" t="s">
        <v>641</v>
      </c>
      <c r="G189" s="174"/>
      <c r="H189" s="179"/>
      <c r="I189" s="125"/>
      <c r="J189" s="125"/>
    </row>
    <row r="190" spans="1:10">
      <c r="A190" s="179"/>
      <c r="B190" s="179"/>
      <c r="C190" s="179"/>
      <c r="D190" s="179"/>
      <c r="E190" s="246"/>
      <c r="F190" s="247"/>
      <c r="G190" s="247"/>
      <c r="H190" s="179"/>
      <c r="I190" s="125"/>
      <c r="J190" s="125"/>
    </row>
    <row r="191" spans="1:10">
      <c r="A191" s="113">
        <v>7.5</v>
      </c>
      <c r="B191" s="131"/>
      <c r="C191" s="113" t="s">
        <v>127</v>
      </c>
      <c r="D191" s="113" t="s">
        <v>628</v>
      </c>
      <c r="E191" s="248" t="s">
        <v>128</v>
      </c>
      <c r="F191" s="249" t="s">
        <v>132</v>
      </c>
      <c r="G191" s="174" t="s">
        <v>51</v>
      </c>
      <c r="H191" s="179">
        <v>25</v>
      </c>
      <c r="I191" s="113">
        <v>2450</v>
      </c>
      <c r="J191" s="117">
        <f t="shared" ref="J191" si="25">SUM(H191*I191)</f>
        <v>61250</v>
      </c>
    </row>
    <row r="192" spans="1:10">
      <c r="A192" s="179"/>
      <c r="B192" s="179"/>
      <c r="C192" s="179"/>
      <c r="D192" s="179"/>
      <c r="E192" s="248"/>
      <c r="F192" s="231" t="s">
        <v>268</v>
      </c>
      <c r="G192" s="247"/>
      <c r="H192" s="179"/>
      <c r="I192" s="125"/>
      <c r="J192" s="125"/>
    </row>
    <row r="193" ht="15.75" spans="1:10">
      <c r="A193" s="179"/>
      <c r="B193" s="179"/>
      <c r="C193" s="179"/>
      <c r="D193" s="179"/>
      <c r="E193" s="179"/>
      <c r="F193" s="125"/>
      <c r="G193" s="179"/>
      <c r="H193" s="179"/>
      <c r="I193" s="125"/>
      <c r="J193" s="125"/>
    </row>
    <row r="194" ht="15.75" spans="1:10">
      <c r="A194" s="206"/>
      <c r="B194" s="207"/>
      <c r="C194" s="190"/>
      <c r="D194" s="190"/>
      <c r="E194" s="190"/>
      <c r="F194" s="96" t="s">
        <v>642</v>
      </c>
      <c r="G194" s="190"/>
      <c r="H194" s="190"/>
      <c r="I194" s="96"/>
      <c r="J194" s="250">
        <f>SUM(J6:J192)</f>
        <v>4190567.5</v>
      </c>
    </row>
    <row r="195" ht="16.5" customHeight="1" spans="1:8">
      <c r="A195" s="208"/>
      <c r="B195" s="208"/>
      <c r="C195" s="208"/>
      <c r="D195" s="208"/>
      <c r="E195" s="208"/>
      <c r="F195" s="208"/>
      <c r="G195" s="209"/>
      <c r="H195" s="209"/>
    </row>
    <row r="196" ht="12.75" customHeight="1" spans="10:10">
      <c r="J196" s="211"/>
    </row>
  </sheetData>
  <mergeCells count="3">
    <mergeCell ref="A1:H1"/>
    <mergeCell ref="A2:H2"/>
    <mergeCell ref="I3:J3"/>
  </mergeCells>
  <conditionalFormatting sqref="F88:F89">
    <cfRule type="duplicateValues" dxfId="0" priority="4"/>
  </conditionalFormatting>
  <conditionalFormatting sqref="F156:F157">
    <cfRule type="duplicateValues" dxfId="0" priority="2"/>
  </conditionalFormatting>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245"/>
  <sheetViews>
    <sheetView workbookViewId="0">
      <selection activeCell="J243" sqref="J243"/>
    </sheetView>
  </sheetViews>
  <sheetFormatPr defaultColWidth="6.5" defaultRowHeight="15"/>
  <cols>
    <col min="1" max="1" width="4.5" style="89" customWidth="1"/>
    <col min="2" max="2" width="9.75" style="89" customWidth="1"/>
    <col min="3" max="3" width="4.875" style="89" customWidth="1"/>
    <col min="4" max="4" width="8.25" style="89" customWidth="1"/>
    <col min="5" max="5" width="11.375" style="89" customWidth="1"/>
    <col min="6" max="6" width="86.75" style="89" customWidth="1"/>
    <col min="7" max="7" width="5" style="89" customWidth="1"/>
    <col min="8" max="8" width="8.5" style="89" customWidth="1"/>
    <col min="9" max="9" width="9" style="89" customWidth="1"/>
    <col min="10" max="10" width="13.5" style="89" customWidth="1"/>
    <col min="11" max="11" width="11.25" style="89" customWidth="1"/>
    <col min="12" max="222" width="6.5" style="89" customWidth="1"/>
    <col min="223" max="16384" width="6.5" style="90"/>
  </cols>
  <sheetData>
    <row r="1" ht="24" customHeight="1" spans="1:10">
      <c r="A1" s="91" t="s">
        <v>643</v>
      </c>
      <c r="B1" s="92"/>
      <c r="C1" s="92"/>
      <c r="D1" s="92"/>
      <c r="E1" s="92"/>
      <c r="F1" s="92"/>
      <c r="G1" s="92"/>
      <c r="H1" s="92"/>
      <c r="I1" s="150"/>
      <c r="J1" s="151"/>
    </row>
    <row r="2" ht="24" customHeight="1" spans="1:10">
      <c r="A2" s="93" t="s">
        <v>644</v>
      </c>
      <c r="B2" s="93"/>
      <c r="C2" s="93"/>
      <c r="D2" s="93"/>
      <c r="E2" s="93"/>
      <c r="F2" s="93"/>
      <c r="G2" s="93"/>
      <c r="H2" s="93"/>
      <c r="I2" s="152"/>
      <c r="J2" s="152"/>
    </row>
    <row r="3" ht="24" customHeight="1" spans="1:10">
      <c r="A3" s="94"/>
      <c r="B3" s="95"/>
      <c r="C3" s="95"/>
      <c r="D3" s="95"/>
      <c r="E3" s="95"/>
      <c r="F3" s="95"/>
      <c r="G3" s="95"/>
      <c r="H3" s="95"/>
      <c r="I3" s="153" t="s">
        <v>35</v>
      </c>
      <c r="J3" s="154"/>
    </row>
    <row r="4" ht="60.75" spans="1:10">
      <c r="A4" s="94"/>
      <c r="B4" s="96" t="s">
        <v>37</v>
      </c>
      <c r="C4" s="96" t="s">
        <v>38</v>
      </c>
      <c r="D4" s="96" t="s">
        <v>39</v>
      </c>
      <c r="E4" s="96" t="s">
        <v>40</v>
      </c>
      <c r="F4" s="96" t="s">
        <v>483</v>
      </c>
      <c r="G4" s="96" t="s">
        <v>484</v>
      </c>
      <c r="H4" s="96" t="s">
        <v>43</v>
      </c>
      <c r="I4" s="155" t="s">
        <v>44</v>
      </c>
      <c r="J4" s="156" t="s">
        <v>45</v>
      </c>
    </row>
    <row r="5" spans="1:10">
      <c r="A5" s="97"/>
      <c r="B5" s="97"/>
      <c r="C5" s="97"/>
      <c r="D5" s="97"/>
      <c r="E5" s="97"/>
      <c r="F5" s="97"/>
      <c r="G5" s="97"/>
      <c r="H5" s="97"/>
      <c r="I5" s="157"/>
      <c r="J5" s="157"/>
    </row>
    <row r="6" spans="1:10">
      <c r="A6" s="98" t="s">
        <v>46</v>
      </c>
      <c r="B6" s="98"/>
      <c r="C6" s="99" t="s">
        <v>158</v>
      </c>
      <c r="D6" s="98"/>
      <c r="E6" s="98"/>
      <c r="F6" s="98" t="s">
        <v>154</v>
      </c>
      <c r="G6" s="98" t="s">
        <v>113</v>
      </c>
      <c r="H6" s="98">
        <v>1</v>
      </c>
      <c r="I6" s="158">
        <v>150000</v>
      </c>
      <c r="J6" s="159">
        <f>SUM(H6*I6)</f>
        <v>150000</v>
      </c>
    </row>
    <row r="7" ht="15.75" spans="1:10">
      <c r="A7" s="100"/>
      <c r="B7" s="101"/>
      <c r="C7" s="102"/>
      <c r="D7" s="103"/>
      <c r="E7" s="104"/>
      <c r="F7" s="105"/>
      <c r="G7" s="106"/>
      <c r="H7" s="107"/>
      <c r="I7" s="160"/>
      <c r="J7" s="160"/>
    </row>
    <row r="8" ht="15.75" spans="1:10">
      <c r="A8" s="108" t="s">
        <v>69</v>
      </c>
      <c r="B8" s="96"/>
      <c r="C8" s="96"/>
      <c r="D8" s="96"/>
      <c r="E8" s="96"/>
      <c r="F8" s="109" t="s">
        <v>156</v>
      </c>
      <c r="G8" s="96"/>
      <c r="H8" s="96"/>
      <c r="I8" s="155"/>
      <c r="J8" s="156"/>
    </row>
    <row r="9" ht="150" spans="1:10">
      <c r="A9" s="99">
        <v>2.1</v>
      </c>
      <c r="B9" s="99" t="s">
        <v>157</v>
      </c>
      <c r="C9" s="99" t="s">
        <v>158</v>
      </c>
      <c r="D9" s="99" t="s">
        <v>159</v>
      </c>
      <c r="E9" s="99" t="s">
        <v>485</v>
      </c>
      <c r="F9" s="110" t="s">
        <v>486</v>
      </c>
      <c r="G9" s="111" t="s">
        <v>162</v>
      </c>
      <c r="H9" s="111">
        <v>231.77</v>
      </c>
      <c r="I9" s="161">
        <v>2050</v>
      </c>
      <c r="J9" s="159">
        <f>SUM(H9*I9)</f>
        <v>475128.5</v>
      </c>
    </row>
    <row r="10" spans="1:10">
      <c r="A10" s="112"/>
      <c r="B10" s="112"/>
      <c r="C10" s="112"/>
      <c r="D10" s="112"/>
      <c r="E10" s="112"/>
      <c r="F10" s="112"/>
      <c r="G10" s="112"/>
      <c r="H10" s="113"/>
      <c r="I10" s="162"/>
      <c r="J10" s="163"/>
    </row>
    <row r="11" ht="150" spans="1:10">
      <c r="A11" s="114">
        <v>2.2</v>
      </c>
      <c r="B11" s="114" t="s">
        <v>157</v>
      </c>
      <c r="C11" s="114" t="s">
        <v>158</v>
      </c>
      <c r="D11" s="114" t="s">
        <v>159</v>
      </c>
      <c r="E11" s="114" t="s">
        <v>160</v>
      </c>
      <c r="F11" s="115" t="s">
        <v>645</v>
      </c>
      <c r="G11" s="116" t="s">
        <v>162</v>
      </c>
      <c r="H11" s="113">
        <v>49.1</v>
      </c>
      <c r="I11" s="162">
        <v>1850</v>
      </c>
      <c r="J11" s="159">
        <f>SUM(H11*I11)</f>
        <v>90835</v>
      </c>
    </row>
    <row r="12" spans="1:10">
      <c r="A12" s="112"/>
      <c r="B12" s="112"/>
      <c r="C12" s="112"/>
      <c r="D12" s="112"/>
      <c r="E12" s="112"/>
      <c r="F12" s="112"/>
      <c r="G12" s="112"/>
      <c r="H12" s="113"/>
      <c r="I12" s="162"/>
      <c r="J12" s="163"/>
    </row>
    <row r="13" ht="150" spans="1:10">
      <c r="A13" s="114">
        <v>2.3</v>
      </c>
      <c r="B13" s="114" t="s">
        <v>157</v>
      </c>
      <c r="C13" s="114" t="s">
        <v>158</v>
      </c>
      <c r="D13" s="114" t="s">
        <v>159</v>
      </c>
      <c r="E13" s="114" t="s">
        <v>163</v>
      </c>
      <c r="F13" s="115" t="s">
        <v>487</v>
      </c>
      <c r="G13" s="116" t="s">
        <v>162</v>
      </c>
      <c r="H13" s="113">
        <v>73.69</v>
      </c>
      <c r="I13" s="162">
        <v>1800</v>
      </c>
      <c r="J13" s="159">
        <f>SUM(H13*I13)</f>
        <v>132642</v>
      </c>
    </row>
    <row r="14" spans="1:10">
      <c r="A14" s="112"/>
      <c r="B14" s="112"/>
      <c r="C14" s="112"/>
      <c r="D14" s="112"/>
      <c r="E14" s="112"/>
      <c r="F14" s="112"/>
      <c r="G14" s="112"/>
      <c r="H14" s="113"/>
      <c r="I14" s="162"/>
      <c r="J14" s="163"/>
    </row>
    <row r="15" ht="195" spans="1:10">
      <c r="A15" s="114">
        <v>2.4</v>
      </c>
      <c r="B15" s="114" t="s">
        <v>165</v>
      </c>
      <c r="C15" s="114" t="s">
        <v>158</v>
      </c>
      <c r="D15" s="114" t="s">
        <v>166</v>
      </c>
      <c r="E15" s="114" t="s">
        <v>167</v>
      </c>
      <c r="F15" s="115" t="s">
        <v>168</v>
      </c>
      <c r="G15" s="116" t="s">
        <v>162</v>
      </c>
      <c r="H15" s="117">
        <f>SUM(H9:H13)*2</f>
        <v>709.12</v>
      </c>
      <c r="I15" s="162">
        <v>650</v>
      </c>
      <c r="J15" s="159">
        <f>SUM(H15*I15)</f>
        <v>460928</v>
      </c>
    </row>
    <row r="16" spans="1:10">
      <c r="A16" s="112"/>
      <c r="B16" s="112"/>
      <c r="C16" s="112"/>
      <c r="D16" s="112"/>
      <c r="E16" s="112"/>
      <c r="F16" s="112"/>
      <c r="G16" s="112"/>
      <c r="H16" s="113"/>
      <c r="I16" s="162"/>
      <c r="J16" s="163"/>
    </row>
    <row r="17" ht="195" spans="1:10">
      <c r="A17" s="114">
        <v>2.5</v>
      </c>
      <c r="B17" s="114" t="s">
        <v>165</v>
      </c>
      <c r="C17" s="114" t="s">
        <v>158</v>
      </c>
      <c r="D17" s="114" t="s">
        <v>169</v>
      </c>
      <c r="E17" s="114" t="s">
        <v>488</v>
      </c>
      <c r="F17" s="115" t="s">
        <v>168</v>
      </c>
      <c r="G17" s="116" t="s">
        <v>162</v>
      </c>
      <c r="H17" s="113">
        <v>106.21</v>
      </c>
      <c r="I17" s="162">
        <v>650</v>
      </c>
      <c r="J17" s="159">
        <f>SUM(H17*I17)</f>
        <v>69036.5</v>
      </c>
    </row>
    <row r="18" spans="1:10">
      <c r="A18" s="112"/>
      <c r="B18" s="112"/>
      <c r="C18" s="112"/>
      <c r="D18" s="112"/>
      <c r="E18" s="112"/>
      <c r="F18" s="112"/>
      <c r="G18" s="112"/>
      <c r="H18" s="113"/>
      <c r="I18" s="162"/>
      <c r="J18" s="163"/>
    </row>
    <row r="19" ht="75" spans="1:10">
      <c r="A19" s="118">
        <v>2.6</v>
      </c>
      <c r="B19" s="119"/>
      <c r="C19" s="119" t="s">
        <v>158</v>
      </c>
      <c r="D19" s="114" t="s">
        <v>646</v>
      </c>
      <c r="E19" s="114" t="s">
        <v>647</v>
      </c>
      <c r="F19" s="115" t="s">
        <v>648</v>
      </c>
      <c r="G19" s="120"/>
      <c r="H19" s="113"/>
      <c r="I19" s="162"/>
      <c r="J19" s="163"/>
    </row>
    <row r="20" ht="30" spans="1:10">
      <c r="A20" s="118"/>
      <c r="B20" s="119" t="s">
        <v>209</v>
      </c>
      <c r="C20" s="119"/>
      <c r="D20" s="114"/>
      <c r="E20" s="114"/>
      <c r="F20" s="121" t="s">
        <v>649</v>
      </c>
      <c r="G20" s="116" t="s">
        <v>162</v>
      </c>
      <c r="H20" s="113">
        <f>5+5</f>
        <v>10</v>
      </c>
      <c r="I20" s="162">
        <v>2200</v>
      </c>
      <c r="J20" s="159">
        <f>SUM(H20*I20)</f>
        <v>22000</v>
      </c>
    </row>
    <row r="21" spans="1:10">
      <c r="A21" s="122"/>
      <c r="B21" s="122"/>
      <c r="C21" s="122"/>
      <c r="D21" s="122"/>
      <c r="E21" s="122"/>
      <c r="F21" s="112"/>
      <c r="G21" s="122"/>
      <c r="H21" s="113"/>
      <c r="I21" s="162"/>
      <c r="J21" s="163"/>
    </row>
    <row r="22" ht="90" spans="1:10">
      <c r="A22" s="114">
        <v>2.7</v>
      </c>
      <c r="B22" s="114" t="s">
        <v>489</v>
      </c>
      <c r="C22" s="114" t="s">
        <v>158</v>
      </c>
      <c r="D22" s="114" t="s">
        <v>172</v>
      </c>
      <c r="E22" s="114" t="s">
        <v>490</v>
      </c>
      <c r="F22" s="115" t="s">
        <v>650</v>
      </c>
      <c r="G22" s="116" t="s">
        <v>162</v>
      </c>
      <c r="H22" s="113">
        <f>7</f>
        <v>7</v>
      </c>
      <c r="I22" s="162">
        <v>1850</v>
      </c>
      <c r="J22" s="159">
        <f>SUM(H22*I22)</f>
        <v>12950</v>
      </c>
    </row>
    <row r="23" spans="1:10">
      <c r="A23" s="114"/>
      <c r="B23" s="114"/>
      <c r="C23" s="114"/>
      <c r="D23" s="114"/>
      <c r="E23" s="114"/>
      <c r="F23" s="115"/>
      <c r="G23" s="116"/>
      <c r="H23" s="113"/>
      <c r="I23" s="162"/>
      <c r="J23" s="163"/>
    </row>
    <row r="24" ht="120" spans="1:10">
      <c r="A24" s="114">
        <v>2.8</v>
      </c>
      <c r="B24" s="114" t="s">
        <v>489</v>
      </c>
      <c r="C24" s="114" t="s">
        <v>158</v>
      </c>
      <c r="D24" s="114" t="s">
        <v>172</v>
      </c>
      <c r="E24" s="114" t="s">
        <v>651</v>
      </c>
      <c r="F24" s="115" t="s">
        <v>652</v>
      </c>
      <c r="G24" s="116" t="s">
        <v>162</v>
      </c>
      <c r="H24" s="113">
        <f>90</f>
        <v>90</v>
      </c>
      <c r="I24" s="162">
        <v>2250</v>
      </c>
      <c r="J24" s="159">
        <f>SUM(H24*I24)</f>
        <v>202500</v>
      </c>
    </row>
    <row r="25" spans="1:10">
      <c r="A25" s="114"/>
      <c r="B25" s="114"/>
      <c r="C25" s="114"/>
      <c r="D25" s="114"/>
      <c r="E25" s="114"/>
      <c r="F25" s="115"/>
      <c r="G25" s="116"/>
      <c r="H25" s="113"/>
      <c r="I25" s="162"/>
      <c r="J25" s="163"/>
    </row>
    <row r="26" ht="90" spans="1:10">
      <c r="A26" s="114">
        <v>2.9</v>
      </c>
      <c r="B26" s="114" t="s">
        <v>489</v>
      </c>
      <c r="C26" s="114" t="s">
        <v>158</v>
      </c>
      <c r="D26" s="114" t="s">
        <v>172</v>
      </c>
      <c r="E26" s="114" t="s">
        <v>173</v>
      </c>
      <c r="F26" s="115" t="s">
        <v>174</v>
      </c>
      <c r="G26" s="116" t="s">
        <v>162</v>
      </c>
      <c r="H26" s="113">
        <f>6+6</f>
        <v>12</v>
      </c>
      <c r="I26" s="162">
        <v>1800</v>
      </c>
      <c r="J26" s="159">
        <f>SUM(H26*I26)</f>
        <v>21600</v>
      </c>
    </row>
    <row r="27" spans="1:10">
      <c r="A27" s="123"/>
      <c r="B27" s="123"/>
      <c r="C27" s="123"/>
      <c r="D27" s="123"/>
      <c r="E27" s="123"/>
      <c r="F27" s="115"/>
      <c r="G27" s="124"/>
      <c r="H27" s="125"/>
      <c r="I27" s="164"/>
      <c r="J27" s="165"/>
    </row>
    <row r="28" ht="14.25" customHeight="1" spans="1:10">
      <c r="A28" s="126"/>
      <c r="B28" s="126"/>
      <c r="C28" s="126"/>
      <c r="D28" s="126"/>
      <c r="E28" s="126"/>
      <c r="F28" s="127"/>
      <c r="G28" s="126"/>
      <c r="H28" s="98"/>
      <c r="I28" s="166"/>
      <c r="J28" s="167"/>
    </row>
    <row r="29" ht="19.5" customHeight="1" spans="1:10">
      <c r="A29" s="108" t="s">
        <v>81</v>
      </c>
      <c r="B29" s="128"/>
      <c r="C29" s="128"/>
      <c r="D29" s="128"/>
      <c r="E29" s="128"/>
      <c r="F29" s="96" t="s">
        <v>493</v>
      </c>
      <c r="G29" s="128"/>
      <c r="H29" s="128"/>
      <c r="I29" s="168"/>
      <c r="J29" s="169"/>
    </row>
    <row r="30" ht="19.5" customHeight="1" spans="1:10">
      <c r="A30" s="129"/>
      <c r="B30" s="130"/>
      <c r="C30" s="130"/>
      <c r="D30" s="130"/>
      <c r="E30" s="130"/>
      <c r="F30" s="97" t="s">
        <v>494</v>
      </c>
      <c r="G30" s="130"/>
      <c r="H30" s="130"/>
      <c r="I30" s="170"/>
      <c r="J30" s="129"/>
    </row>
    <row r="31" ht="30" spans="1:10">
      <c r="A31" s="113">
        <v>3.1</v>
      </c>
      <c r="B31" s="131"/>
      <c r="C31" s="113" t="s">
        <v>158</v>
      </c>
      <c r="D31" s="113" t="s">
        <v>48</v>
      </c>
      <c r="E31" s="113" t="s">
        <v>495</v>
      </c>
      <c r="F31" s="112" t="s">
        <v>496</v>
      </c>
      <c r="G31" s="113" t="s">
        <v>130</v>
      </c>
      <c r="H31" s="113">
        <f>80+8</f>
        <v>88</v>
      </c>
      <c r="I31" s="171">
        <v>8950</v>
      </c>
      <c r="J31" s="117">
        <f t="shared" ref="J31:J117" si="0">SUM(H31*I31)</f>
        <v>787600</v>
      </c>
    </row>
    <row r="32" ht="90" spans="1:10">
      <c r="A32" s="131"/>
      <c r="B32" s="131"/>
      <c r="C32" s="131"/>
      <c r="D32" s="131"/>
      <c r="E32" s="131"/>
      <c r="F32" s="113" t="s">
        <v>497</v>
      </c>
      <c r="G32" s="131"/>
      <c r="H32" s="131"/>
      <c r="I32" s="172"/>
      <c r="J32" s="117"/>
    </row>
    <row r="33" ht="15.95" customHeight="1" spans="1:10">
      <c r="A33" s="131"/>
      <c r="B33" s="131"/>
      <c r="C33" s="131"/>
      <c r="D33" s="131"/>
      <c r="E33" s="131"/>
      <c r="F33" s="131"/>
      <c r="G33" s="131"/>
      <c r="H33" s="131"/>
      <c r="I33" s="172"/>
      <c r="J33" s="117"/>
    </row>
    <row r="34" ht="30" spans="1:10">
      <c r="A34" s="113">
        <v>3.2</v>
      </c>
      <c r="B34" s="131"/>
      <c r="C34" s="113" t="s">
        <v>158</v>
      </c>
      <c r="D34" s="113" t="s">
        <v>48</v>
      </c>
      <c r="E34" s="113" t="s">
        <v>653</v>
      </c>
      <c r="F34" s="112" t="s">
        <v>654</v>
      </c>
      <c r="G34" s="113" t="s">
        <v>130</v>
      </c>
      <c r="H34" s="113">
        <v>5</v>
      </c>
      <c r="I34" s="171">
        <v>8950</v>
      </c>
      <c r="J34" s="117">
        <f t="shared" si="0"/>
        <v>44750</v>
      </c>
    </row>
    <row r="35" ht="111.75" customHeight="1" spans="1:10">
      <c r="A35" s="131"/>
      <c r="B35" s="131"/>
      <c r="C35" s="131"/>
      <c r="D35" s="131"/>
      <c r="E35" s="131"/>
      <c r="F35" s="113" t="s">
        <v>655</v>
      </c>
      <c r="G35" s="131"/>
      <c r="H35" s="131"/>
      <c r="I35" s="172"/>
      <c r="J35" s="117"/>
    </row>
    <row r="36" ht="15.95" customHeight="1" spans="1:10">
      <c r="A36" s="131"/>
      <c r="B36" s="131"/>
      <c r="C36" s="131"/>
      <c r="D36" s="131"/>
      <c r="E36" s="131"/>
      <c r="F36" s="131"/>
      <c r="G36" s="131"/>
      <c r="H36" s="131"/>
      <c r="I36" s="172"/>
      <c r="J36" s="117"/>
    </row>
    <row r="37" ht="15.95" customHeight="1" spans="1:10">
      <c r="A37" s="131"/>
      <c r="B37" s="131"/>
      <c r="C37" s="131"/>
      <c r="D37" s="131"/>
      <c r="E37" s="131"/>
      <c r="F37" s="131"/>
      <c r="G37" s="131"/>
      <c r="H37" s="131"/>
      <c r="I37" s="172"/>
      <c r="J37" s="117"/>
    </row>
    <row r="38" ht="30" spans="1:10">
      <c r="A38" s="113">
        <v>3.2</v>
      </c>
      <c r="B38" s="131"/>
      <c r="C38" s="113" t="s">
        <v>158</v>
      </c>
      <c r="D38" s="113" t="s">
        <v>48</v>
      </c>
      <c r="E38" s="113" t="s">
        <v>656</v>
      </c>
      <c r="F38" s="132" t="s">
        <v>657</v>
      </c>
      <c r="G38" s="133" t="s">
        <v>130</v>
      </c>
      <c r="H38" s="134">
        <f>10</f>
        <v>10</v>
      </c>
      <c r="I38" s="171">
        <v>2900</v>
      </c>
      <c r="J38" s="173">
        <f>SUM(H38*I38)</f>
        <v>29000</v>
      </c>
    </row>
    <row r="39" ht="45" spans="1:10">
      <c r="A39" s="131"/>
      <c r="B39" s="131"/>
      <c r="C39" s="131"/>
      <c r="D39" s="131"/>
      <c r="E39" s="131"/>
      <c r="F39" s="135" t="s">
        <v>658</v>
      </c>
      <c r="G39" s="133"/>
      <c r="H39" s="134"/>
      <c r="I39" s="171"/>
      <c r="J39" s="174"/>
    </row>
    <row r="40" spans="1:10">
      <c r="A40" s="131"/>
      <c r="B40" s="131"/>
      <c r="C40" s="131"/>
      <c r="D40" s="131"/>
      <c r="E40" s="131"/>
      <c r="F40" s="131"/>
      <c r="G40" s="133"/>
      <c r="H40" s="134"/>
      <c r="I40" s="171"/>
      <c r="J40" s="174"/>
    </row>
    <row r="41" spans="1:10">
      <c r="A41" s="131"/>
      <c r="B41" s="131"/>
      <c r="C41" s="131"/>
      <c r="D41" s="131"/>
      <c r="E41" s="131"/>
      <c r="F41" s="135"/>
      <c r="G41" s="133"/>
      <c r="H41" s="134"/>
      <c r="I41" s="171"/>
      <c r="J41" s="174"/>
    </row>
    <row r="42" spans="1:10">
      <c r="A42" s="136">
        <v>3.4</v>
      </c>
      <c r="B42" s="137" t="s">
        <v>177</v>
      </c>
      <c r="C42" s="138" t="s">
        <v>158</v>
      </c>
      <c r="D42" s="138" t="s">
        <v>178</v>
      </c>
      <c r="E42" s="137" t="s">
        <v>179</v>
      </c>
      <c r="F42" s="139" t="s">
        <v>659</v>
      </c>
      <c r="G42" s="120" t="s">
        <v>130</v>
      </c>
      <c r="H42" s="112">
        <v>80</v>
      </c>
      <c r="I42" s="171">
        <v>1695</v>
      </c>
      <c r="J42" s="173">
        <f>SUM(H42*I42)</f>
        <v>135600</v>
      </c>
    </row>
    <row r="43" ht="105" spans="1:10">
      <c r="A43" s="136"/>
      <c r="B43" s="137"/>
      <c r="C43" s="138"/>
      <c r="D43" s="138"/>
      <c r="E43" s="137"/>
      <c r="F43" s="115" t="s">
        <v>285</v>
      </c>
      <c r="G43" s="120"/>
      <c r="H43" s="112"/>
      <c r="I43" s="171"/>
      <c r="J43" s="173"/>
    </row>
    <row r="44" spans="1:10">
      <c r="A44" s="136"/>
      <c r="B44" s="137"/>
      <c r="C44" s="138"/>
      <c r="D44" s="138"/>
      <c r="E44" s="137"/>
      <c r="F44" s="131"/>
      <c r="G44" s="120"/>
      <c r="H44" s="112"/>
      <c r="I44" s="171"/>
      <c r="J44" s="173"/>
    </row>
    <row r="45" spans="1:10">
      <c r="A45" s="131"/>
      <c r="B45" s="131"/>
      <c r="C45" s="131"/>
      <c r="D45" s="131"/>
      <c r="E45" s="131"/>
      <c r="F45" s="135"/>
      <c r="G45" s="133"/>
      <c r="H45" s="134"/>
      <c r="I45" s="171"/>
      <c r="J45" s="174"/>
    </row>
    <row r="46" s="88" customFormat="1" ht="60" spans="1:222">
      <c r="A46" s="140">
        <v>3.5</v>
      </c>
      <c r="B46" s="140" t="s">
        <v>660</v>
      </c>
      <c r="C46" s="140" t="s">
        <v>158</v>
      </c>
      <c r="D46" s="140" t="s">
        <v>178</v>
      </c>
      <c r="E46" s="141" t="s">
        <v>661</v>
      </c>
      <c r="F46" s="142" t="s">
        <v>662</v>
      </c>
      <c r="G46" s="143" t="s">
        <v>130</v>
      </c>
      <c r="H46" s="144">
        <f>5</f>
        <v>5</v>
      </c>
      <c r="I46" s="175">
        <v>6850</v>
      </c>
      <c r="J46" s="176">
        <f>SUM(H46*I46)</f>
        <v>34250</v>
      </c>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77"/>
      <c r="BX46" s="177"/>
      <c r="BY46" s="177"/>
      <c r="BZ46" s="177"/>
      <c r="CA46" s="177"/>
      <c r="CB46" s="177"/>
      <c r="CC46" s="177"/>
      <c r="CD46" s="177"/>
      <c r="CE46" s="177"/>
      <c r="CF46" s="177"/>
      <c r="CG46" s="177"/>
      <c r="CH46" s="177"/>
      <c r="CI46" s="177"/>
      <c r="CJ46" s="177"/>
      <c r="CK46" s="177"/>
      <c r="CL46" s="177"/>
      <c r="CM46" s="177"/>
      <c r="CN46" s="177"/>
      <c r="CO46" s="177"/>
      <c r="CP46" s="177"/>
      <c r="CQ46" s="177"/>
      <c r="CR46" s="177"/>
      <c r="CS46" s="177"/>
      <c r="CT46" s="177"/>
      <c r="CU46" s="177"/>
      <c r="CV46" s="177"/>
      <c r="CW46" s="177"/>
      <c r="CX46" s="177"/>
      <c r="CY46" s="177"/>
      <c r="CZ46" s="177"/>
      <c r="DA46" s="177"/>
      <c r="DB46" s="177"/>
      <c r="DC46" s="177"/>
      <c r="DD46" s="177"/>
      <c r="DE46" s="177"/>
      <c r="DF46" s="177"/>
      <c r="DG46" s="177"/>
      <c r="DH46" s="177"/>
      <c r="DI46" s="177"/>
      <c r="DJ46" s="177"/>
      <c r="DK46" s="177"/>
      <c r="DL46" s="177"/>
      <c r="DM46" s="177"/>
      <c r="DN46" s="177"/>
      <c r="DO46" s="177"/>
      <c r="DP46" s="177"/>
      <c r="DQ46" s="177"/>
      <c r="DR46" s="177"/>
      <c r="DS46" s="177"/>
      <c r="DT46" s="177"/>
      <c r="DU46" s="177"/>
      <c r="DV46" s="177"/>
      <c r="DW46" s="177"/>
      <c r="DX46" s="177"/>
      <c r="DY46" s="177"/>
      <c r="DZ46" s="177"/>
      <c r="EA46" s="177"/>
      <c r="EB46" s="177"/>
      <c r="EC46" s="177"/>
      <c r="ED46" s="177"/>
      <c r="EE46" s="177"/>
      <c r="EF46" s="177"/>
      <c r="EG46" s="177"/>
      <c r="EH46" s="177"/>
      <c r="EI46" s="177"/>
      <c r="EJ46" s="177"/>
      <c r="EK46" s="177"/>
      <c r="EL46" s="177"/>
      <c r="EM46" s="177"/>
      <c r="EN46" s="177"/>
      <c r="EO46" s="177"/>
      <c r="EP46" s="177"/>
      <c r="EQ46" s="177"/>
      <c r="ER46" s="177"/>
      <c r="ES46" s="177"/>
      <c r="ET46" s="177"/>
      <c r="EU46" s="177"/>
      <c r="EV46" s="177"/>
      <c r="EW46" s="177"/>
      <c r="EX46" s="177"/>
      <c r="EY46" s="177"/>
      <c r="EZ46" s="177"/>
      <c r="FA46" s="177"/>
      <c r="FB46" s="177"/>
      <c r="FC46" s="177"/>
      <c r="FD46" s="177"/>
      <c r="FE46" s="177"/>
      <c r="FF46" s="177"/>
      <c r="FG46" s="177"/>
      <c r="FH46" s="177"/>
      <c r="FI46" s="177"/>
      <c r="FJ46" s="177"/>
      <c r="FK46" s="177"/>
      <c r="FL46" s="177"/>
      <c r="FM46" s="177"/>
      <c r="FN46" s="177"/>
      <c r="FO46" s="177"/>
      <c r="FP46" s="177"/>
      <c r="FQ46" s="177"/>
      <c r="FR46" s="177"/>
      <c r="FS46" s="177"/>
      <c r="FT46" s="177"/>
      <c r="FU46" s="177"/>
      <c r="FV46" s="177"/>
      <c r="FW46" s="177"/>
      <c r="FX46" s="177"/>
      <c r="FY46" s="177"/>
      <c r="FZ46" s="177"/>
      <c r="GA46" s="177"/>
      <c r="GB46" s="177"/>
      <c r="GC46" s="177"/>
      <c r="GD46" s="177"/>
      <c r="GE46" s="177"/>
      <c r="GF46" s="177"/>
      <c r="GG46" s="177"/>
      <c r="GH46" s="177"/>
      <c r="GI46" s="177"/>
      <c r="GJ46" s="177"/>
      <c r="GK46" s="177"/>
      <c r="GL46" s="177"/>
      <c r="GM46" s="177"/>
      <c r="GN46" s="177"/>
      <c r="GO46" s="177"/>
      <c r="GP46" s="177"/>
      <c r="GQ46" s="177"/>
      <c r="GR46" s="177"/>
      <c r="GS46" s="177"/>
      <c r="GT46" s="177"/>
      <c r="GU46" s="177"/>
      <c r="GV46" s="177"/>
      <c r="GW46" s="177"/>
      <c r="GX46" s="177"/>
      <c r="GY46" s="177"/>
      <c r="GZ46" s="177"/>
      <c r="HA46" s="177"/>
      <c r="HB46" s="177"/>
      <c r="HC46" s="177"/>
      <c r="HD46" s="177"/>
      <c r="HE46" s="177"/>
      <c r="HF46" s="177"/>
      <c r="HG46" s="177"/>
      <c r="HH46" s="177"/>
      <c r="HI46" s="177"/>
      <c r="HJ46" s="177"/>
      <c r="HK46" s="177"/>
      <c r="HL46" s="177"/>
      <c r="HM46" s="177"/>
      <c r="HN46" s="177"/>
    </row>
    <row r="47" s="88" customFormat="1" ht="120.75" customHeight="1" spans="1:222">
      <c r="A47" s="140"/>
      <c r="B47" s="140"/>
      <c r="C47" s="140"/>
      <c r="D47" s="140"/>
      <c r="E47" s="141"/>
      <c r="F47" s="140" t="s">
        <v>663</v>
      </c>
      <c r="G47" s="143"/>
      <c r="H47" s="144"/>
      <c r="I47" s="175"/>
      <c r="J47" s="176"/>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77"/>
      <c r="BX47" s="177"/>
      <c r="BY47" s="177"/>
      <c r="BZ47" s="177"/>
      <c r="CA47" s="177"/>
      <c r="CB47" s="177"/>
      <c r="CC47" s="177"/>
      <c r="CD47" s="177"/>
      <c r="CE47" s="177"/>
      <c r="CF47" s="177"/>
      <c r="CG47" s="177"/>
      <c r="CH47" s="177"/>
      <c r="CI47" s="177"/>
      <c r="CJ47" s="177"/>
      <c r="CK47" s="177"/>
      <c r="CL47" s="177"/>
      <c r="CM47" s="177"/>
      <c r="CN47" s="177"/>
      <c r="CO47" s="177"/>
      <c r="CP47" s="177"/>
      <c r="CQ47" s="177"/>
      <c r="CR47" s="177"/>
      <c r="CS47" s="177"/>
      <c r="CT47" s="177"/>
      <c r="CU47" s="177"/>
      <c r="CV47" s="177"/>
      <c r="CW47" s="177"/>
      <c r="CX47" s="177"/>
      <c r="CY47" s="177"/>
      <c r="CZ47" s="177"/>
      <c r="DA47" s="177"/>
      <c r="DB47" s="177"/>
      <c r="DC47" s="177"/>
      <c r="DD47" s="177"/>
      <c r="DE47" s="177"/>
      <c r="DF47" s="177"/>
      <c r="DG47" s="177"/>
      <c r="DH47" s="177"/>
      <c r="DI47" s="177"/>
      <c r="DJ47" s="177"/>
      <c r="DK47" s="177"/>
      <c r="DL47" s="177"/>
      <c r="DM47" s="177"/>
      <c r="DN47" s="177"/>
      <c r="DO47" s="177"/>
      <c r="DP47" s="177"/>
      <c r="DQ47" s="177"/>
      <c r="DR47" s="177"/>
      <c r="DS47" s="177"/>
      <c r="DT47" s="177"/>
      <c r="DU47" s="177"/>
      <c r="DV47" s="177"/>
      <c r="DW47" s="177"/>
      <c r="DX47" s="177"/>
      <c r="DY47" s="177"/>
      <c r="DZ47" s="177"/>
      <c r="EA47" s="177"/>
      <c r="EB47" s="177"/>
      <c r="EC47" s="177"/>
      <c r="ED47" s="177"/>
      <c r="EE47" s="177"/>
      <c r="EF47" s="177"/>
      <c r="EG47" s="177"/>
      <c r="EH47" s="177"/>
      <c r="EI47" s="177"/>
      <c r="EJ47" s="177"/>
      <c r="EK47" s="177"/>
      <c r="EL47" s="177"/>
      <c r="EM47" s="177"/>
      <c r="EN47" s="177"/>
      <c r="EO47" s="177"/>
      <c r="EP47" s="177"/>
      <c r="EQ47" s="177"/>
      <c r="ER47" s="177"/>
      <c r="ES47" s="177"/>
      <c r="ET47" s="177"/>
      <c r="EU47" s="177"/>
      <c r="EV47" s="177"/>
      <c r="EW47" s="177"/>
      <c r="EX47" s="177"/>
      <c r="EY47" s="177"/>
      <c r="EZ47" s="177"/>
      <c r="FA47" s="177"/>
      <c r="FB47" s="177"/>
      <c r="FC47" s="177"/>
      <c r="FD47" s="177"/>
      <c r="FE47" s="177"/>
      <c r="FF47" s="177"/>
      <c r="FG47" s="177"/>
      <c r="FH47" s="177"/>
      <c r="FI47" s="177"/>
      <c r="FJ47" s="177"/>
      <c r="FK47" s="177"/>
      <c r="FL47" s="177"/>
      <c r="FM47" s="177"/>
      <c r="FN47" s="177"/>
      <c r="FO47" s="177"/>
      <c r="FP47" s="177"/>
      <c r="FQ47" s="177"/>
      <c r="FR47" s="177"/>
      <c r="FS47" s="177"/>
      <c r="FT47" s="177"/>
      <c r="FU47" s="177"/>
      <c r="FV47" s="177"/>
      <c r="FW47" s="177"/>
      <c r="FX47" s="177"/>
      <c r="FY47" s="177"/>
      <c r="FZ47" s="177"/>
      <c r="GA47" s="177"/>
      <c r="GB47" s="177"/>
      <c r="GC47" s="177"/>
      <c r="GD47" s="177"/>
      <c r="GE47" s="177"/>
      <c r="GF47" s="177"/>
      <c r="GG47" s="177"/>
      <c r="GH47" s="177"/>
      <c r="GI47" s="177"/>
      <c r="GJ47" s="177"/>
      <c r="GK47" s="177"/>
      <c r="GL47" s="177"/>
      <c r="GM47" s="177"/>
      <c r="GN47" s="177"/>
      <c r="GO47" s="177"/>
      <c r="GP47" s="177"/>
      <c r="GQ47" s="177"/>
      <c r="GR47" s="177"/>
      <c r="GS47" s="177"/>
      <c r="GT47" s="177"/>
      <c r="GU47" s="177"/>
      <c r="GV47" s="177"/>
      <c r="GW47" s="177"/>
      <c r="GX47" s="177"/>
      <c r="GY47" s="177"/>
      <c r="GZ47" s="177"/>
      <c r="HA47" s="177"/>
      <c r="HB47" s="177"/>
      <c r="HC47" s="177"/>
      <c r="HD47" s="177"/>
      <c r="HE47" s="177"/>
      <c r="HF47" s="177"/>
      <c r="HG47" s="177"/>
      <c r="HH47" s="177"/>
      <c r="HI47" s="177"/>
      <c r="HJ47" s="177"/>
      <c r="HK47" s="177"/>
      <c r="HL47" s="177"/>
      <c r="HM47" s="177"/>
      <c r="HN47" s="177"/>
    </row>
    <row r="48" s="88" customFormat="1" spans="1:222">
      <c r="A48" s="140"/>
      <c r="B48" s="140"/>
      <c r="C48" s="140"/>
      <c r="D48" s="140"/>
      <c r="E48" s="141"/>
      <c r="F48" s="131"/>
      <c r="G48" s="143"/>
      <c r="H48" s="144"/>
      <c r="I48" s="175"/>
      <c r="J48" s="176"/>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177"/>
      <c r="BX48" s="177"/>
      <c r="BY48" s="177"/>
      <c r="BZ48" s="177"/>
      <c r="CA48" s="177"/>
      <c r="CB48" s="177"/>
      <c r="CC48" s="177"/>
      <c r="CD48" s="177"/>
      <c r="CE48" s="177"/>
      <c r="CF48" s="177"/>
      <c r="CG48" s="177"/>
      <c r="CH48" s="177"/>
      <c r="CI48" s="177"/>
      <c r="CJ48" s="177"/>
      <c r="CK48" s="177"/>
      <c r="CL48" s="177"/>
      <c r="CM48" s="177"/>
      <c r="CN48" s="177"/>
      <c r="CO48" s="177"/>
      <c r="CP48" s="177"/>
      <c r="CQ48" s="177"/>
      <c r="CR48" s="177"/>
      <c r="CS48" s="177"/>
      <c r="CT48" s="177"/>
      <c r="CU48" s="177"/>
      <c r="CV48" s="177"/>
      <c r="CW48" s="177"/>
      <c r="CX48" s="177"/>
      <c r="CY48" s="177"/>
      <c r="CZ48" s="177"/>
      <c r="DA48" s="177"/>
      <c r="DB48" s="177"/>
      <c r="DC48" s="177"/>
      <c r="DD48" s="177"/>
      <c r="DE48" s="177"/>
      <c r="DF48" s="177"/>
      <c r="DG48" s="177"/>
      <c r="DH48" s="177"/>
      <c r="DI48" s="177"/>
      <c r="DJ48" s="177"/>
      <c r="DK48" s="177"/>
      <c r="DL48" s="177"/>
      <c r="DM48" s="177"/>
      <c r="DN48" s="177"/>
      <c r="DO48" s="177"/>
      <c r="DP48" s="177"/>
      <c r="DQ48" s="177"/>
      <c r="DR48" s="177"/>
      <c r="DS48" s="177"/>
      <c r="DT48" s="177"/>
      <c r="DU48" s="177"/>
      <c r="DV48" s="177"/>
      <c r="DW48" s="177"/>
      <c r="DX48" s="177"/>
      <c r="DY48" s="177"/>
      <c r="DZ48" s="177"/>
      <c r="EA48" s="177"/>
      <c r="EB48" s="177"/>
      <c r="EC48" s="177"/>
      <c r="ED48" s="177"/>
      <c r="EE48" s="177"/>
      <c r="EF48" s="177"/>
      <c r="EG48" s="177"/>
      <c r="EH48" s="177"/>
      <c r="EI48" s="177"/>
      <c r="EJ48" s="177"/>
      <c r="EK48" s="177"/>
      <c r="EL48" s="177"/>
      <c r="EM48" s="177"/>
      <c r="EN48" s="177"/>
      <c r="EO48" s="177"/>
      <c r="EP48" s="177"/>
      <c r="EQ48" s="177"/>
      <c r="ER48" s="177"/>
      <c r="ES48" s="177"/>
      <c r="ET48" s="177"/>
      <c r="EU48" s="177"/>
      <c r="EV48" s="177"/>
      <c r="EW48" s="177"/>
      <c r="EX48" s="177"/>
      <c r="EY48" s="177"/>
      <c r="EZ48" s="177"/>
      <c r="FA48" s="177"/>
      <c r="FB48" s="177"/>
      <c r="FC48" s="177"/>
      <c r="FD48" s="177"/>
      <c r="FE48" s="177"/>
      <c r="FF48" s="177"/>
      <c r="FG48" s="177"/>
      <c r="FH48" s="177"/>
      <c r="FI48" s="177"/>
      <c r="FJ48" s="177"/>
      <c r="FK48" s="177"/>
      <c r="FL48" s="177"/>
      <c r="FM48" s="177"/>
      <c r="FN48" s="177"/>
      <c r="FO48" s="177"/>
      <c r="FP48" s="177"/>
      <c r="FQ48" s="177"/>
      <c r="FR48" s="177"/>
      <c r="FS48" s="177"/>
      <c r="FT48" s="177"/>
      <c r="FU48" s="177"/>
      <c r="FV48" s="177"/>
      <c r="FW48" s="177"/>
      <c r="FX48" s="177"/>
      <c r="FY48" s="177"/>
      <c r="FZ48" s="177"/>
      <c r="GA48" s="177"/>
      <c r="GB48" s="177"/>
      <c r="GC48" s="177"/>
      <c r="GD48" s="177"/>
      <c r="GE48" s="177"/>
      <c r="GF48" s="177"/>
      <c r="GG48" s="177"/>
      <c r="GH48" s="177"/>
      <c r="GI48" s="177"/>
      <c r="GJ48" s="177"/>
      <c r="GK48" s="177"/>
      <c r="GL48" s="177"/>
      <c r="GM48" s="177"/>
      <c r="GN48" s="177"/>
      <c r="GO48" s="177"/>
      <c r="GP48" s="177"/>
      <c r="GQ48" s="177"/>
      <c r="GR48" s="177"/>
      <c r="GS48" s="177"/>
      <c r="GT48" s="177"/>
      <c r="GU48" s="177"/>
      <c r="GV48" s="177"/>
      <c r="GW48" s="177"/>
      <c r="GX48" s="177"/>
      <c r="GY48" s="177"/>
      <c r="GZ48" s="177"/>
      <c r="HA48" s="177"/>
      <c r="HB48" s="177"/>
      <c r="HC48" s="177"/>
      <c r="HD48" s="177"/>
      <c r="HE48" s="177"/>
      <c r="HF48" s="177"/>
      <c r="HG48" s="177"/>
      <c r="HH48" s="177"/>
      <c r="HI48" s="177"/>
      <c r="HJ48" s="177"/>
      <c r="HK48" s="177"/>
      <c r="HL48" s="177"/>
      <c r="HM48" s="177"/>
      <c r="HN48" s="177"/>
    </row>
    <row r="49" s="88" customFormat="1" spans="1:222">
      <c r="A49" s="140"/>
      <c r="B49" s="140"/>
      <c r="C49" s="140"/>
      <c r="D49" s="140"/>
      <c r="E49" s="141"/>
      <c r="F49" s="140"/>
      <c r="G49" s="143"/>
      <c r="H49" s="144"/>
      <c r="I49" s="175"/>
      <c r="J49" s="176"/>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77"/>
      <c r="BX49" s="177"/>
      <c r="BY49" s="177"/>
      <c r="BZ49" s="177"/>
      <c r="CA49" s="177"/>
      <c r="CB49" s="177"/>
      <c r="CC49" s="177"/>
      <c r="CD49" s="177"/>
      <c r="CE49" s="177"/>
      <c r="CF49" s="177"/>
      <c r="CG49" s="177"/>
      <c r="CH49" s="177"/>
      <c r="CI49" s="177"/>
      <c r="CJ49" s="177"/>
      <c r="CK49" s="177"/>
      <c r="CL49" s="177"/>
      <c r="CM49" s="177"/>
      <c r="CN49" s="177"/>
      <c r="CO49" s="177"/>
      <c r="CP49" s="177"/>
      <c r="CQ49" s="177"/>
      <c r="CR49" s="177"/>
      <c r="CS49" s="177"/>
      <c r="CT49" s="177"/>
      <c r="CU49" s="177"/>
      <c r="CV49" s="177"/>
      <c r="CW49" s="177"/>
      <c r="CX49" s="177"/>
      <c r="CY49" s="177"/>
      <c r="CZ49" s="177"/>
      <c r="DA49" s="177"/>
      <c r="DB49" s="177"/>
      <c r="DC49" s="177"/>
      <c r="DD49" s="177"/>
      <c r="DE49" s="177"/>
      <c r="DF49" s="177"/>
      <c r="DG49" s="177"/>
      <c r="DH49" s="177"/>
      <c r="DI49" s="177"/>
      <c r="DJ49" s="177"/>
      <c r="DK49" s="177"/>
      <c r="DL49" s="177"/>
      <c r="DM49" s="177"/>
      <c r="DN49" s="177"/>
      <c r="DO49" s="177"/>
      <c r="DP49" s="177"/>
      <c r="DQ49" s="177"/>
      <c r="DR49" s="177"/>
      <c r="DS49" s="177"/>
      <c r="DT49" s="177"/>
      <c r="DU49" s="177"/>
      <c r="DV49" s="177"/>
      <c r="DW49" s="177"/>
      <c r="DX49" s="177"/>
      <c r="DY49" s="177"/>
      <c r="DZ49" s="177"/>
      <c r="EA49" s="177"/>
      <c r="EB49" s="177"/>
      <c r="EC49" s="177"/>
      <c r="ED49" s="177"/>
      <c r="EE49" s="177"/>
      <c r="EF49" s="177"/>
      <c r="EG49" s="177"/>
      <c r="EH49" s="177"/>
      <c r="EI49" s="177"/>
      <c r="EJ49" s="177"/>
      <c r="EK49" s="177"/>
      <c r="EL49" s="177"/>
      <c r="EM49" s="177"/>
      <c r="EN49" s="177"/>
      <c r="EO49" s="177"/>
      <c r="EP49" s="177"/>
      <c r="EQ49" s="177"/>
      <c r="ER49" s="177"/>
      <c r="ES49" s="177"/>
      <c r="ET49" s="177"/>
      <c r="EU49" s="177"/>
      <c r="EV49" s="177"/>
      <c r="EW49" s="177"/>
      <c r="EX49" s="177"/>
      <c r="EY49" s="177"/>
      <c r="EZ49" s="177"/>
      <c r="FA49" s="177"/>
      <c r="FB49" s="177"/>
      <c r="FC49" s="177"/>
      <c r="FD49" s="177"/>
      <c r="FE49" s="177"/>
      <c r="FF49" s="177"/>
      <c r="FG49" s="177"/>
      <c r="FH49" s="177"/>
      <c r="FI49" s="177"/>
      <c r="FJ49" s="177"/>
      <c r="FK49" s="177"/>
      <c r="FL49" s="177"/>
      <c r="FM49" s="177"/>
      <c r="FN49" s="177"/>
      <c r="FO49" s="177"/>
      <c r="FP49" s="177"/>
      <c r="FQ49" s="177"/>
      <c r="FR49" s="177"/>
      <c r="FS49" s="177"/>
      <c r="FT49" s="177"/>
      <c r="FU49" s="177"/>
      <c r="FV49" s="177"/>
      <c r="FW49" s="177"/>
      <c r="FX49" s="177"/>
      <c r="FY49" s="177"/>
      <c r="FZ49" s="177"/>
      <c r="GA49" s="177"/>
      <c r="GB49" s="177"/>
      <c r="GC49" s="177"/>
      <c r="GD49" s="177"/>
      <c r="GE49" s="177"/>
      <c r="GF49" s="177"/>
      <c r="GG49" s="177"/>
      <c r="GH49" s="177"/>
      <c r="GI49" s="177"/>
      <c r="GJ49" s="177"/>
      <c r="GK49" s="177"/>
      <c r="GL49" s="177"/>
      <c r="GM49" s="177"/>
      <c r="GN49" s="177"/>
      <c r="GO49" s="177"/>
      <c r="GP49" s="177"/>
      <c r="GQ49" s="177"/>
      <c r="GR49" s="177"/>
      <c r="GS49" s="177"/>
      <c r="GT49" s="177"/>
      <c r="GU49" s="177"/>
      <c r="GV49" s="177"/>
      <c r="GW49" s="177"/>
      <c r="GX49" s="177"/>
      <c r="GY49" s="177"/>
      <c r="GZ49" s="177"/>
      <c r="HA49" s="177"/>
      <c r="HB49" s="177"/>
      <c r="HC49" s="177"/>
      <c r="HD49" s="177"/>
      <c r="HE49" s="177"/>
      <c r="HF49" s="177"/>
      <c r="HG49" s="177"/>
      <c r="HH49" s="177"/>
      <c r="HI49" s="177"/>
      <c r="HJ49" s="177"/>
      <c r="HK49" s="177"/>
      <c r="HL49" s="177"/>
      <c r="HM49" s="177"/>
      <c r="HN49" s="177"/>
    </row>
    <row r="50" ht="15.95" customHeight="1" spans="1:10">
      <c r="A50" s="131"/>
      <c r="B50" s="131"/>
      <c r="C50" s="131"/>
      <c r="D50" s="131"/>
      <c r="E50" s="131"/>
      <c r="F50" s="145" t="s">
        <v>501</v>
      </c>
      <c r="G50" s="131"/>
      <c r="H50" s="146"/>
      <c r="I50" s="172"/>
      <c r="J50" s="117"/>
    </row>
    <row r="51" ht="30" spans="1:10">
      <c r="A51" s="113">
        <v>3.6</v>
      </c>
      <c r="B51" s="131"/>
      <c r="C51" s="113" t="s">
        <v>158</v>
      </c>
      <c r="D51" s="113" t="s">
        <v>295</v>
      </c>
      <c r="E51" s="113" t="s">
        <v>502</v>
      </c>
      <c r="F51" s="112" t="s">
        <v>503</v>
      </c>
      <c r="G51" s="113" t="s">
        <v>130</v>
      </c>
      <c r="H51" s="146">
        <v>161.5</v>
      </c>
      <c r="I51" s="171">
        <v>7500</v>
      </c>
      <c r="J51" s="117">
        <f>SUM(H51*I51)</f>
        <v>1211250</v>
      </c>
    </row>
    <row r="52" ht="75" spans="1:10">
      <c r="A52" s="131"/>
      <c r="B52" s="131"/>
      <c r="C52" s="131"/>
      <c r="D52" s="131"/>
      <c r="E52" s="131"/>
      <c r="F52" s="113" t="s">
        <v>504</v>
      </c>
      <c r="G52" s="131"/>
      <c r="H52" s="146"/>
      <c r="I52" s="172"/>
      <c r="J52" s="117"/>
    </row>
    <row r="53" spans="1:10">
      <c r="A53" s="131"/>
      <c r="B53" s="131"/>
      <c r="C53" s="131"/>
      <c r="D53" s="131"/>
      <c r="E53" s="131"/>
      <c r="F53" s="115"/>
      <c r="G53" s="131"/>
      <c r="H53" s="146"/>
      <c r="I53" s="172"/>
      <c r="J53" s="117"/>
    </row>
    <row r="54" ht="30" spans="1:10">
      <c r="A54" s="113">
        <v>3.7</v>
      </c>
      <c r="B54" s="131"/>
      <c r="C54" s="113" t="s">
        <v>158</v>
      </c>
      <c r="D54" s="113" t="s">
        <v>295</v>
      </c>
      <c r="E54" s="113" t="s">
        <v>296</v>
      </c>
      <c r="F54" s="112" t="s">
        <v>664</v>
      </c>
      <c r="G54" s="113" t="s">
        <v>130</v>
      </c>
      <c r="H54" s="146">
        <v>100</v>
      </c>
      <c r="I54" s="171">
        <v>8950</v>
      </c>
      <c r="J54" s="117">
        <f t="shared" si="0"/>
        <v>895000</v>
      </c>
    </row>
    <row r="55" ht="90" spans="1:10">
      <c r="A55" s="131"/>
      <c r="B55" s="131"/>
      <c r="C55" s="131"/>
      <c r="D55" s="131"/>
      <c r="E55" s="131"/>
      <c r="F55" s="113" t="s">
        <v>665</v>
      </c>
      <c r="G55" s="131"/>
      <c r="H55" s="146"/>
      <c r="I55" s="172"/>
      <c r="J55" s="117"/>
    </row>
    <row r="56" spans="1:10">
      <c r="A56" s="131"/>
      <c r="B56" s="131"/>
      <c r="C56" s="131"/>
      <c r="D56" s="131"/>
      <c r="E56" s="131"/>
      <c r="F56" s="115"/>
      <c r="G56" s="131"/>
      <c r="H56" s="146"/>
      <c r="I56" s="172"/>
      <c r="J56" s="117"/>
    </row>
    <row r="57" spans="1:10">
      <c r="A57" s="136">
        <v>3.8</v>
      </c>
      <c r="B57" s="137"/>
      <c r="C57" s="147" t="s">
        <v>158</v>
      </c>
      <c r="D57" s="147" t="s">
        <v>289</v>
      </c>
      <c r="E57" s="138" t="s">
        <v>290</v>
      </c>
      <c r="F57" s="148" t="s">
        <v>666</v>
      </c>
      <c r="G57" s="120" t="s">
        <v>130</v>
      </c>
      <c r="H57" s="113">
        <v>140</v>
      </c>
      <c r="I57" s="162">
        <v>1600</v>
      </c>
      <c r="J57" s="117">
        <f t="shared" si="0"/>
        <v>224000</v>
      </c>
    </row>
    <row r="58" ht="60" spans="1:10">
      <c r="A58" s="149"/>
      <c r="B58" s="137"/>
      <c r="C58" s="137"/>
      <c r="D58" s="137"/>
      <c r="E58" s="137"/>
      <c r="F58" s="115" t="s">
        <v>667</v>
      </c>
      <c r="G58" s="120"/>
      <c r="H58" s="90"/>
      <c r="I58" s="178"/>
      <c r="J58" s="117"/>
    </row>
    <row r="59" spans="1:10">
      <c r="A59" s="149"/>
      <c r="B59" s="137"/>
      <c r="C59" s="137"/>
      <c r="D59" s="137"/>
      <c r="E59" s="137"/>
      <c r="F59" s="115"/>
      <c r="G59" s="120"/>
      <c r="H59" s="112"/>
      <c r="I59" s="178"/>
      <c r="J59" s="117"/>
    </row>
    <row r="60" spans="1:10">
      <c r="A60" s="131"/>
      <c r="B60" s="131"/>
      <c r="C60" s="131"/>
      <c r="D60" s="131"/>
      <c r="E60" s="131"/>
      <c r="F60" s="131"/>
      <c r="G60" s="131"/>
      <c r="H60" s="146"/>
      <c r="I60" s="172"/>
      <c r="J60" s="117"/>
    </row>
    <row r="61" ht="27.75" customHeight="1" spans="1:10">
      <c r="A61" s="113">
        <v>3.9</v>
      </c>
      <c r="B61" s="146"/>
      <c r="C61" s="113" t="s">
        <v>158</v>
      </c>
      <c r="D61" s="113" t="s">
        <v>295</v>
      </c>
      <c r="E61" s="113" t="s">
        <v>668</v>
      </c>
      <c r="F61" s="112" t="s">
        <v>669</v>
      </c>
      <c r="G61" s="113" t="s">
        <v>130</v>
      </c>
      <c r="H61" s="113">
        <v>30</v>
      </c>
      <c r="I61" s="171">
        <v>19500</v>
      </c>
      <c r="J61" s="117">
        <f t="shared" si="0"/>
        <v>585000</v>
      </c>
    </row>
    <row r="62" ht="45" spans="1:10">
      <c r="A62" s="131"/>
      <c r="B62" s="146"/>
      <c r="C62" s="131"/>
      <c r="D62" s="131"/>
      <c r="E62" s="131"/>
      <c r="F62" s="113" t="s">
        <v>670</v>
      </c>
      <c r="G62" s="131"/>
      <c r="H62" s="131"/>
      <c r="I62" s="172"/>
      <c r="J62" s="117"/>
    </row>
    <row r="63" spans="1:10">
      <c r="A63" s="131"/>
      <c r="B63" s="146"/>
      <c r="C63" s="131"/>
      <c r="D63" s="131"/>
      <c r="E63" s="131"/>
      <c r="F63" s="115"/>
      <c r="G63" s="131"/>
      <c r="H63" s="131"/>
      <c r="I63" s="172"/>
      <c r="J63" s="117"/>
    </row>
    <row r="64" ht="27.75" customHeight="1" spans="1:10">
      <c r="A64" s="146">
        <v>3.1</v>
      </c>
      <c r="B64" s="146"/>
      <c r="C64" s="113" t="s">
        <v>158</v>
      </c>
      <c r="D64" s="113" t="s">
        <v>295</v>
      </c>
      <c r="E64" s="113" t="s">
        <v>668</v>
      </c>
      <c r="F64" s="112" t="s">
        <v>671</v>
      </c>
      <c r="G64" s="113" t="s">
        <v>130</v>
      </c>
      <c r="H64" s="113">
        <v>109</v>
      </c>
      <c r="I64" s="171">
        <v>8700</v>
      </c>
      <c r="J64" s="117">
        <f t="shared" si="0"/>
        <v>948300</v>
      </c>
    </row>
    <row r="65" ht="45" spans="1:10">
      <c r="A65" s="131"/>
      <c r="B65" s="146"/>
      <c r="C65" s="131"/>
      <c r="D65" s="131"/>
      <c r="E65" s="131"/>
      <c r="F65" s="113" t="s">
        <v>672</v>
      </c>
      <c r="G65" s="131"/>
      <c r="H65" s="131"/>
      <c r="I65" s="172"/>
      <c r="J65" s="117"/>
    </row>
    <row r="66" spans="1:10">
      <c r="A66" s="131"/>
      <c r="B66" s="146"/>
      <c r="C66" s="131"/>
      <c r="D66" s="131"/>
      <c r="E66" s="131"/>
      <c r="F66" s="115"/>
      <c r="G66" s="131"/>
      <c r="H66" s="131"/>
      <c r="I66" s="172"/>
      <c r="J66" s="117"/>
    </row>
    <row r="67" spans="1:10">
      <c r="A67" s="113"/>
      <c r="B67" s="146"/>
      <c r="C67" s="113"/>
      <c r="D67" s="113"/>
      <c r="E67" s="113"/>
      <c r="F67" s="113"/>
      <c r="G67" s="113"/>
      <c r="H67" s="113"/>
      <c r="I67" s="171"/>
      <c r="J67" s="117"/>
    </row>
    <row r="68" ht="30" spans="1:10">
      <c r="A68" s="113">
        <v>3.11</v>
      </c>
      <c r="B68" s="146"/>
      <c r="C68" s="113" t="s">
        <v>158</v>
      </c>
      <c r="D68" s="113" t="s">
        <v>507</v>
      </c>
      <c r="E68" s="113" t="s">
        <v>508</v>
      </c>
      <c r="F68" s="112" t="s">
        <v>509</v>
      </c>
      <c r="G68" s="113" t="s">
        <v>63</v>
      </c>
      <c r="H68" s="113">
        <v>42</v>
      </c>
      <c r="I68" s="171">
        <v>2150</v>
      </c>
      <c r="J68" s="117">
        <f t="shared" si="0"/>
        <v>90300</v>
      </c>
    </row>
    <row r="69" ht="90" spans="1:10">
      <c r="A69" s="131"/>
      <c r="B69" s="146"/>
      <c r="C69" s="131"/>
      <c r="D69" s="131"/>
      <c r="E69" s="131"/>
      <c r="F69" s="113" t="s">
        <v>510</v>
      </c>
      <c r="G69" s="131"/>
      <c r="H69" s="131"/>
      <c r="I69" s="172"/>
      <c r="J69" s="117"/>
    </row>
    <row r="70" spans="1:10">
      <c r="A70" s="131"/>
      <c r="B70" s="146"/>
      <c r="C70" s="131"/>
      <c r="D70" s="131"/>
      <c r="E70" s="131"/>
      <c r="F70" s="115"/>
      <c r="G70" s="131"/>
      <c r="H70" s="131"/>
      <c r="I70" s="172"/>
      <c r="J70" s="117"/>
    </row>
    <row r="71" ht="15.95" customHeight="1" spans="1:10">
      <c r="A71" s="131"/>
      <c r="B71" s="146"/>
      <c r="C71" s="131"/>
      <c r="D71" s="131"/>
      <c r="E71" s="131"/>
      <c r="F71" s="113"/>
      <c r="G71" s="131"/>
      <c r="H71" s="131"/>
      <c r="I71" s="172"/>
      <c r="J71" s="117"/>
    </row>
    <row r="72" ht="30" spans="1:10">
      <c r="A72" s="146">
        <v>3.12</v>
      </c>
      <c r="B72" s="146"/>
      <c r="C72" s="113" t="s">
        <v>158</v>
      </c>
      <c r="D72" s="113" t="s">
        <v>507</v>
      </c>
      <c r="E72" s="113" t="s">
        <v>508</v>
      </c>
      <c r="F72" s="112" t="s">
        <v>673</v>
      </c>
      <c r="G72" s="113" t="s">
        <v>63</v>
      </c>
      <c r="H72" s="113">
        <v>42</v>
      </c>
      <c r="I72" s="171">
        <v>1550</v>
      </c>
      <c r="J72" s="117">
        <f t="shared" si="0"/>
        <v>65100</v>
      </c>
    </row>
    <row r="73" ht="75" spans="1:10">
      <c r="A73" s="131"/>
      <c r="B73" s="146"/>
      <c r="C73" s="131"/>
      <c r="D73" s="131"/>
      <c r="E73" s="131"/>
      <c r="F73" s="113" t="s">
        <v>674</v>
      </c>
      <c r="G73" s="131"/>
      <c r="H73" s="131"/>
      <c r="I73" s="172"/>
      <c r="J73" s="117"/>
    </row>
    <row r="74" ht="15.95" customHeight="1" spans="1:10">
      <c r="A74" s="131"/>
      <c r="B74" s="146"/>
      <c r="C74" s="131"/>
      <c r="D74" s="131"/>
      <c r="E74" s="131"/>
      <c r="F74" s="115"/>
      <c r="G74" s="131"/>
      <c r="H74" s="131"/>
      <c r="I74" s="172"/>
      <c r="J74" s="117"/>
    </row>
    <row r="75" ht="30" spans="1:10">
      <c r="A75" s="146">
        <v>3.13</v>
      </c>
      <c r="B75" s="146"/>
      <c r="C75" s="113" t="s">
        <v>158</v>
      </c>
      <c r="D75" s="113" t="s">
        <v>507</v>
      </c>
      <c r="E75" s="113" t="s">
        <v>508</v>
      </c>
      <c r="F75" s="112" t="s">
        <v>675</v>
      </c>
      <c r="G75" s="113" t="s">
        <v>63</v>
      </c>
      <c r="H75" s="113">
        <f>H72*2</f>
        <v>84</v>
      </c>
      <c r="I75" s="171">
        <v>800</v>
      </c>
      <c r="J75" s="117">
        <f t="shared" si="0"/>
        <v>67200</v>
      </c>
    </row>
    <row r="76" ht="60" spans="1:10">
      <c r="A76" s="131"/>
      <c r="B76" s="146"/>
      <c r="C76" s="131"/>
      <c r="D76" s="131"/>
      <c r="E76" s="131"/>
      <c r="F76" s="113" t="s">
        <v>676</v>
      </c>
      <c r="G76" s="131"/>
      <c r="H76" s="131"/>
      <c r="I76" s="172"/>
      <c r="J76" s="117"/>
    </row>
    <row r="77" ht="15.95" customHeight="1" spans="1:10">
      <c r="A77" s="131"/>
      <c r="B77" s="146"/>
      <c r="C77" s="131"/>
      <c r="D77" s="131"/>
      <c r="E77" s="131"/>
      <c r="F77" s="115"/>
      <c r="G77" s="131"/>
      <c r="H77" s="131"/>
      <c r="I77" s="172"/>
      <c r="J77" s="117"/>
    </row>
    <row r="78" ht="30" spans="1:10">
      <c r="A78" s="146" t="s">
        <v>677</v>
      </c>
      <c r="B78" s="146"/>
      <c r="C78" s="113" t="s">
        <v>158</v>
      </c>
      <c r="D78" s="113" t="s">
        <v>507</v>
      </c>
      <c r="E78" s="113" t="s">
        <v>678</v>
      </c>
      <c r="F78" s="112" t="s">
        <v>679</v>
      </c>
      <c r="G78" s="113" t="s">
        <v>63</v>
      </c>
      <c r="H78" s="113">
        <f>75</f>
        <v>75</v>
      </c>
      <c r="I78" s="171">
        <v>230</v>
      </c>
      <c r="J78" s="117">
        <f t="shared" ref="J78" si="1">SUM(H78*I78)</f>
        <v>17250</v>
      </c>
    </row>
    <row r="79" ht="60" spans="1:10">
      <c r="A79" s="131"/>
      <c r="B79" s="146"/>
      <c r="C79" s="131"/>
      <c r="D79" s="131"/>
      <c r="E79" s="131"/>
      <c r="F79" s="115" t="s">
        <v>680</v>
      </c>
      <c r="G79" s="131"/>
      <c r="H79" s="131"/>
      <c r="I79" s="172"/>
      <c r="J79" s="117"/>
    </row>
    <row r="80" ht="15.95" customHeight="1" spans="1:10">
      <c r="A80" s="131"/>
      <c r="B80" s="146"/>
      <c r="C80" s="131"/>
      <c r="D80" s="131"/>
      <c r="E80" s="131"/>
      <c r="F80" s="115"/>
      <c r="G80" s="131"/>
      <c r="H80" s="131"/>
      <c r="I80" s="172"/>
      <c r="J80" s="117"/>
    </row>
    <row r="81" ht="15.95" customHeight="1" spans="1:10">
      <c r="A81" s="131"/>
      <c r="B81" s="146"/>
      <c r="C81" s="131"/>
      <c r="D81" s="131"/>
      <c r="E81" s="131"/>
      <c r="F81" s="145" t="s">
        <v>388</v>
      </c>
      <c r="G81" s="131"/>
      <c r="H81" s="131"/>
      <c r="I81" s="172"/>
      <c r="J81" s="117"/>
    </row>
    <row r="82" ht="30" spans="1:10">
      <c r="A82" s="113">
        <v>3.14</v>
      </c>
      <c r="B82" s="146"/>
      <c r="C82" s="113" t="s">
        <v>158</v>
      </c>
      <c r="D82" s="113" t="s">
        <v>511</v>
      </c>
      <c r="E82" s="113" t="s">
        <v>512</v>
      </c>
      <c r="F82" s="112" t="s">
        <v>681</v>
      </c>
      <c r="G82" s="113" t="s">
        <v>63</v>
      </c>
      <c r="H82" s="113">
        <v>10</v>
      </c>
      <c r="I82" s="172">
        <v>8950</v>
      </c>
      <c r="J82" s="117">
        <f t="shared" si="0"/>
        <v>89500</v>
      </c>
    </row>
    <row r="83" ht="105" spans="1:10">
      <c r="A83" s="131"/>
      <c r="B83" s="146"/>
      <c r="C83" s="131"/>
      <c r="D83" s="131"/>
      <c r="E83" s="131"/>
      <c r="F83" s="113" t="s">
        <v>514</v>
      </c>
      <c r="G83" s="131"/>
      <c r="H83" s="131"/>
      <c r="I83" s="172"/>
      <c r="J83" s="117"/>
    </row>
    <row r="84" ht="21" customHeight="1" spans="1:10">
      <c r="A84" s="131"/>
      <c r="B84" s="146"/>
      <c r="C84" s="131"/>
      <c r="D84" s="131"/>
      <c r="E84" s="131"/>
      <c r="F84" s="113" t="s">
        <v>682</v>
      </c>
      <c r="G84" s="131"/>
      <c r="H84" s="131"/>
      <c r="I84" s="172"/>
      <c r="J84" s="117"/>
    </row>
    <row r="85" spans="1:10">
      <c r="A85" s="131"/>
      <c r="B85" s="146"/>
      <c r="C85" s="131"/>
      <c r="D85" s="131"/>
      <c r="E85" s="131"/>
      <c r="F85" s="115"/>
      <c r="G85" s="131"/>
      <c r="H85" s="131"/>
      <c r="I85" s="172"/>
      <c r="J85" s="117"/>
    </row>
    <row r="86" ht="21" customHeight="1" spans="1:10">
      <c r="A86" s="131"/>
      <c r="B86" s="146"/>
      <c r="C86" s="131"/>
      <c r="D86" s="131"/>
      <c r="E86" s="131"/>
      <c r="F86" s="113"/>
      <c r="G86" s="131"/>
      <c r="H86" s="131"/>
      <c r="I86" s="172"/>
      <c r="J86" s="117"/>
    </row>
    <row r="87" ht="31.5" customHeight="1" spans="1:10">
      <c r="A87" s="146">
        <v>3.15</v>
      </c>
      <c r="B87" s="146"/>
      <c r="C87" s="113" t="s">
        <v>158</v>
      </c>
      <c r="D87" s="113" t="s">
        <v>60</v>
      </c>
      <c r="E87" s="113" t="s">
        <v>520</v>
      </c>
      <c r="F87" s="112" t="s">
        <v>683</v>
      </c>
      <c r="G87" s="113" t="s">
        <v>63</v>
      </c>
      <c r="H87" s="113">
        <v>11</v>
      </c>
      <c r="I87" s="171">
        <v>3100</v>
      </c>
      <c r="J87" s="117">
        <f t="shared" si="0"/>
        <v>34100</v>
      </c>
    </row>
    <row r="88" ht="45" spans="1:10">
      <c r="A88" s="131"/>
      <c r="B88" s="146"/>
      <c r="C88" s="131"/>
      <c r="D88" s="131"/>
      <c r="E88" s="131"/>
      <c r="F88" s="113" t="s">
        <v>684</v>
      </c>
      <c r="G88" s="131"/>
      <c r="H88" s="131"/>
      <c r="I88" s="172"/>
      <c r="J88" s="117"/>
    </row>
    <row r="89" ht="15.95" customHeight="1" spans="1:10">
      <c r="A89" s="131"/>
      <c r="B89" s="146"/>
      <c r="C89" s="131"/>
      <c r="D89" s="131"/>
      <c r="E89" s="131"/>
      <c r="F89" s="113" t="s">
        <v>523</v>
      </c>
      <c r="G89" s="131"/>
      <c r="H89" s="131"/>
      <c r="I89" s="172"/>
      <c r="J89" s="117"/>
    </row>
    <row r="90" ht="15.95" customHeight="1" spans="1:10">
      <c r="A90" s="131"/>
      <c r="B90" s="146"/>
      <c r="C90" s="131"/>
      <c r="D90" s="131"/>
      <c r="E90" s="131"/>
      <c r="F90" s="115"/>
      <c r="G90" s="131"/>
      <c r="H90" s="131"/>
      <c r="I90" s="172"/>
      <c r="J90" s="117"/>
    </row>
    <row r="91" ht="15.95" customHeight="1" spans="1:10">
      <c r="A91" s="131"/>
      <c r="B91" s="146"/>
      <c r="C91" s="131"/>
      <c r="D91" s="131"/>
      <c r="E91" s="131"/>
      <c r="F91" s="115"/>
      <c r="G91" s="131"/>
      <c r="H91" s="131"/>
      <c r="I91" s="172"/>
      <c r="J91" s="117"/>
    </row>
    <row r="92" ht="31.5" customHeight="1" spans="1:10">
      <c r="A92" s="113">
        <v>3.16</v>
      </c>
      <c r="B92" s="146"/>
      <c r="C92" s="113" t="s">
        <v>158</v>
      </c>
      <c r="D92" s="113" t="s">
        <v>60</v>
      </c>
      <c r="E92" s="113" t="s">
        <v>520</v>
      </c>
      <c r="F92" s="112" t="s">
        <v>685</v>
      </c>
      <c r="G92" s="113" t="s">
        <v>63</v>
      </c>
      <c r="H92" s="113">
        <v>2.5</v>
      </c>
      <c r="I92" s="171">
        <v>3100</v>
      </c>
      <c r="J92" s="117">
        <f t="shared" si="0"/>
        <v>7750</v>
      </c>
    </row>
    <row r="93" ht="45" spans="1:10">
      <c r="A93" s="131"/>
      <c r="B93" s="146"/>
      <c r="C93" s="131"/>
      <c r="D93" s="131"/>
      <c r="E93" s="131"/>
      <c r="F93" s="113" t="s">
        <v>686</v>
      </c>
      <c r="G93" s="131"/>
      <c r="H93" s="131"/>
      <c r="I93" s="172"/>
      <c r="J93" s="117"/>
    </row>
    <row r="94" spans="1:10">
      <c r="A94" s="131"/>
      <c r="B94" s="146"/>
      <c r="C94" s="131"/>
      <c r="D94" s="131"/>
      <c r="E94" s="131"/>
      <c r="F94" s="113" t="s">
        <v>523</v>
      </c>
      <c r="G94" s="131"/>
      <c r="H94" s="131"/>
      <c r="I94" s="172"/>
      <c r="J94" s="117"/>
    </row>
    <row r="95" spans="1:10">
      <c r="A95" s="131"/>
      <c r="B95" s="146"/>
      <c r="C95" s="131"/>
      <c r="D95" s="131"/>
      <c r="E95" s="131"/>
      <c r="F95" s="115"/>
      <c r="G95" s="131"/>
      <c r="H95" s="131"/>
      <c r="I95" s="172"/>
      <c r="J95" s="117"/>
    </row>
    <row r="96" spans="1:10">
      <c r="A96" s="131"/>
      <c r="B96" s="146"/>
      <c r="C96" s="131"/>
      <c r="D96" s="131"/>
      <c r="E96" s="131"/>
      <c r="F96" s="115"/>
      <c r="G96" s="131"/>
      <c r="H96" s="131"/>
      <c r="I96" s="172"/>
      <c r="J96" s="117"/>
    </row>
    <row r="97" ht="30" spans="1:10">
      <c r="A97" s="113">
        <v>3.17</v>
      </c>
      <c r="B97" s="146"/>
      <c r="C97" s="113" t="s">
        <v>158</v>
      </c>
      <c r="D97" s="113" t="s">
        <v>687</v>
      </c>
      <c r="E97" s="113" t="s">
        <v>688</v>
      </c>
      <c r="F97" s="112" t="s">
        <v>689</v>
      </c>
      <c r="G97" s="113" t="s">
        <v>187</v>
      </c>
      <c r="H97" s="113">
        <v>5</v>
      </c>
      <c r="I97" s="171">
        <v>6000</v>
      </c>
      <c r="J97" s="117">
        <f t="shared" si="0"/>
        <v>30000</v>
      </c>
    </row>
    <row r="98" ht="45" spans="1:10">
      <c r="A98" s="131"/>
      <c r="B98" s="146"/>
      <c r="C98" s="131"/>
      <c r="D98" s="131"/>
      <c r="E98" s="131"/>
      <c r="F98" s="113" t="s">
        <v>690</v>
      </c>
      <c r="G98" s="131"/>
      <c r="H98" s="131"/>
      <c r="I98" s="172"/>
      <c r="J98" s="117"/>
    </row>
    <row r="99" ht="15.95" customHeight="1" spans="1:10">
      <c r="A99" s="131"/>
      <c r="B99" s="146"/>
      <c r="C99" s="131"/>
      <c r="D99" s="131"/>
      <c r="E99" s="131"/>
      <c r="F99" s="115"/>
      <c r="G99" s="131"/>
      <c r="H99" s="131"/>
      <c r="I99" s="172"/>
      <c r="J99" s="117"/>
    </row>
    <row r="100" ht="15.95" customHeight="1" spans="1:10">
      <c r="A100" s="179"/>
      <c r="B100" s="180"/>
      <c r="C100" s="179"/>
      <c r="D100" s="179"/>
      <c r="E100" s="179"/>
      <c r="F100" s="181"/>
      <c r="G100" s="179"/>
      <c r="H100" s="179"/>
      <c r="I100" s="195"/>
      <c r="J100" s="196"/>
    </row>
    <row r="101" ht="31.5" customHeight="1" spans="1:10">
      <c r="A101" s="113">
        <v>3.16</v>
      </c>
      <c r="B101" s="146"/>
      <c r="C101" s="113" t="s">
        <v>158</v>
      </c>
      <c r="D101" s="113" t="s">
        <v>60</v>
      </c>
      <c r="E101" s="113" t="s">
        <v>691</v>
      </c>
      <c r="F101" s="112" t="s">
        <v>692</v>
      </c>
      <c r="G101" s="113" t="s">
        <v>63</v>
      </c>
      <c r="H101" s="113">
        <v>4</v>
      </c>
      <c r="I101" s="171">
        <v>2800</v>
      </c>
      <c r="J101" s="117">
        <f t="shared" ref="J101" si="2">SUM(H101*I101)</f>
        <v>11200</v>
      </c>
    </row>
    <row r="102" ht="45" spans="1:10">
      <c r="A102" s="131"/>
      <c r="B102" s="146"/>
      <c r="C102" s="131"/>
      <c r="D102" s="131"/>
      <c r="E102" s="131"/>
      <c r="F102" s="113" t="s">
        <v>686</v>
      </c>
      <c r="G102" s="131"/>
      <c r="H102" s="131"/>
      <c r="I102" s="172"/>
      <c r="J102" s="117"/>
    </row>
    <row r="103" spans="1:10">
      <c r="A103" s="131"/>
      <c r="B103" s="146"/>
      <c r="C103" s="131"/>
      <c r="D103" s="131"/>
      <c r="E103" s="131"/>
      <c r="F103" s="113" t="s">
        <v>693</v>
      </c>
      <c r="G103" s="131"/>
      <c r="H103" s="131"/>
      <c r="I103" s="172"/>
      <c r="J103" s="117"/>
    </row>
    <row r="104" spans="1:10">
      <c r="A104" s="131"/>
      <c r="B104" s="146"/>
      <c r="C104" s="131"/>
      <c r="D104" s="131"/>
      <c r="E104" s="131"/>
      <c r="F104" s="115"/>
      <c r="G104" s="131"/>
      <c r="H104" s="131"/>
      <c r="I104" s="172"/>
      <c r="J104" s="117"/>
    </row>
    <row r="105" ht="15.95" customHeight="1" spans="1:10">
      <c r="A105" s="179"/>
      <c r="B105" s="180"/>
      <c r="C105" s="179"/>
      <c r="D105" s="179"/>
      <c r="E105" s="179"/>
      <c r="F105" s="125"/>
      <c r="G105" s="179"/>
      <c r="H105" s="179"/>
      <c r="I105" s="195"/>
      <c r="J105" s="196"/>
    </row>
    <row r="106" ht="23.25" customHeight="1" spans="1:10">
      <c r="A106" s="108" t="s">
        <v>108</v>
      </c>
      <c r="B106" s="182"/>
      <c r="C106" s="128"/>
      <c r="D106" s="128"/>
      <c r="E106" s="128"/>
      <c r="F106" s="96" t="s">
        <v>70</v>
      </c>
      <c r="G106" s="128"/>
      <c r="H106" s="128"/>
      <c r="I106" s="168"/>
      <c r="J106" s="197"/>
    </row>
    <row r="107" spans="1:10">
      <c r="A107" s="129"/>
      <c r="B107" s="183"/>
      <c r="C107" s="130"/>
      <c r="D107" s="130"/>
      <c r="E107" s="130"/>
      <c r="F107" s="97"/>
      <c r="G107" s="130"/>
      <c r="H107" s="130"/>
      <c r="I107" s="170"/>
      <c r="J107" s="198"/>
    </row>
    <row r="108" ht="16.5" customHeight="1" spans="1:10">
      <c r="A108" s="129">
        <v>4.1</v>
      </c>
      <c r="B108" s="130"/>
      <c r="C108" s="129" t="s">
        <v>71</v>
      </c>
      <c r="D108" s="129" t="s">
        <v>307</v>
      </c>
      <c r="E108" s="129" t="s">
        <v>524</v>
      </c>
      <c r="F108" s="184" t="s">
        <v>73</v>
      </c>
      <c r="G108" s="129" t="s">
        <v>130</v>
      </c>
      <c r="H108" s="183">
        <f>110+10+25+10+45</f>
        <v>200</v>
      </c>
      <c r="I108" s="199">
        <v>2050</v>
      </c>
      <c r="J108" s="198">
        <f t="shared" si="0"/>
        <v>410000</v>
      </c>
    </row>
    <row r="109" ht="90" spans="1:10">
      <c r="A109" s="113"/>
      <c r="B109" s="131"/>
      <c r="C109" s="113"/>
      <c r="D109" s="113"/>
      <c r="E109" s="113"/>
      <c r="F109" s="115" t="s">
        <v>694</v>
      </c>
      <c r="G109" s="113"/>
      <c r="H109" s="146"/>
      <c r="I109" s="172" t="s">
        <v>695</v>
      </c>
      <c r="J109" s="117"/>
    </row>
    <row r="110" spans="1:10">
      <c r="A110" s="131"/>
      <c r="B110" s="131"/>
      <c r="C110" s="131"/>
      <c r="D110" s="131"/>
      <c r="E110" s="131"/>
      <c r="F110" s="113"/>
      <c r="G110" s="185"/>
      <c r="H110" s="185"/>
      <c r="I110" s="172"/>
      <c r="J110" s="117"/>
    </row>
    <row r="111" ht="15.95" customHeight="1" spans="1:10">
      <c r="A111" s="113">
        <v>4.2</v>
      </c>
      <c r="B111" s="131"/>
      <c r="C111" s="113" t="s">
        <v>71</v>
      </c>
      <c r="D111" s="113" t="s">
        <v>307</v>
      </c>
      <c r="E111" s="113" t="s">
        <v>526</v>
      </c>
      <c r="F111" s="112" t="s">
        <v>696</v>
      </c>
      <c r="G111" s="113" t="s">
        <v>63</v>
      </c>
      <c r="H111" s="146">
        <f>(16+17)+7</f>
        <v>40</v>
      </c>
      <c r="I111" s="200">
        <v>450</v>
      </c>
      <c r="J111" s="117">
        <f t="shared" si="0"/>
        <v>18000</v>
      </c>
    </row>
    <row r="112" ht="75" spans="1:10">
      <c r="A112" s="131"/>
      <c r="B112" s="131"/>
      <c r="C112" s="131"/>
      <c r="D112" s="131"/>
      <c r="E112" s="131"/>
      <c r="F112" s="115" t="s">
        <v>697</v>
      </c>
      <c r="G112" s="185"/>
      <c r="H112" s="185"/>
      <c r="I112" s="172"/>
      <c r="J112" s="117"/>
    </row>
    <row r="113" spans="1:10">
      <c r="A113" s="131"/>
      <c r="B113" s="131"/>
      <c r="C113" s="131"/>
      <c r="D113" s="131"/>
      <c r="E113" s="131"/>
      <c r="F113" s="113"/>
      <c r="G113" s="185"/>
      <c r="H113" s="185"/>
      <c r="I113" s="172"/>
      <c r="J113" s="117"/>
    </row>
    <row r="114" ht="28.5" customHeight="1" spans="1:10">
      <c r="A114" s="113">
        <v>4.3</v>
      </c>
      <c r="B114" s="131"/>
      <c r="C114" s="113" t="s">
        <v>71</v>
      </c>
      <c r="D114" s="113" t="s">
        <v>307</v>
      </c>
      <c r="E114" s="113" t="s">
        <v>529</v>
      </c>
      <c r="F114" s="112" t="s">
        <v>530</v>
      </c>
      <c r="G114" s="113" t="s">
        <v>63</v>
      </c>
      <c r="H114" s="146">
        <f>(16+17)+7</f>
        <v>40</v>
      </c>
      <c r="I114" s="200">
        <v>400</v>
      </c>
      <c r="J114" s="117">
        <f t="shared" si="0"/>
        <v>16000</v>
      </c>
    </row>
    <row r="115" ht="75" spans="1:10">
      <c r="A115" s="131"/>
      <c r="B115" s="131"/>
      <c r="C115" s="131"/>
      <c r="D115" s="131"/>
      <c r="E115" s="131"/>
      <c r="F115" s="113" t="s">
        <v>698</v>
      </c>
      <c r="G115" s="131"/>
      <c r="H115" s="131"/>
      <c r="I115" s="172"/>
      <c r="J115" s="117"/>
    </row>
    <row r="116" spans="1:10">
      <c r="A116" s="131"/>
      <c r="B116" s="131"/>
      <c r="C116" s="131"/>
      <c r="D116" s="131"/>
      <c r="E116" s="131"/>
      <c r="F116" s="113"/>
      <c r="G116" s="185"/>
      <c r="H116" s="185"/>
      <c r="I116" s="113"/>
      <c r="J116" s="117"/>
    </row>
    <row r="117" ht="30" spans="1:10">
      <c r="A117" s="113">
        <v>4.4</v>
      </c>
      <c r="B117" s="131"/>
      <c r="C117" s="113" t="s">
        <v>71</v>
      </c>
      <c r="D117" s="113" t="s">
        <v>307</v>
      </c>
      <c r="E117" s="113" t="s">
        <v>699</v>
      </c>
      <c r="F117" s="112" t="s">
        <v>700</v>
      </c>
      <c r="G117" s="113" t="s">
        <v>63</v>
      </c>
      <c r="H117" s="146">
        <f>22+22+10</f>
        <v>54</v>
      </c>
      <c r="I117" s="113">
        <v>450</v>
      </c>
      <c r="J117" s="117">
        <f t="shared" si="0"/>
        <v>24300</v>
      </c>
    </row>
    <row r="118" ht="30" spans="1:10">
      <c r="A118" s="131"/>
      <c r="B118" s="131"/>
      <c r="C118" s="131"/>
      <c r="D118" s="131"/>
      <c r="E118" s="131"/>
      <c r="F118" s="113" t="s">
        <v>701</v>
      </c>
      <c r="G118" s="185"/>
      <c r="H118" s="185"/>
      <c r="I118" s="113"/>
      <c r="J118" s="117"/>
    </row>
    <row r="119" spans="1:10">
      <c r="A119" s="131"/>
      <c r="B119" s="146"/>
      <c r="C119" s="131"/>
      <c r="D119" s="131"/>
      <c r="E119" s="131"/>
      <c r="F119" s="115"/>
      <c r="G119" s="131"/>
      <c r="H119" s="131"/>
      <c r="I119" s="113"/>
      <c r="J119" s="117"/>
    </row>
    <row r="120" spans="1:10">
      <c r="A120" s="186">
        <v>4.5</v>
      </c>
      <c r="B120" s="139"/>
      <c r="C120" s="121" t="s">
        <v>71</v>
      </c>
      <c r="D120" s="187"/>
      <c r="E120" s="119" t="s">
        <v>535</v>
      </c>
      <c r="F120" s="139" t="s">
        <v>536</v>
      </c>
      <c r="G120" s="120" t="s">
        <v>130</v>
      </c>
      <c r="H120" s="131">
        <f>60*3.2</f>
        <v>192</v>
      </c>
      <c r="I120" s="113">
        <v>475</v>
      </c>
      <c r="J120" s="117">
        <f t="shared" ref="J120:J177" si="3">SUM(H120*I120)</f>
        <v>91200</v>
      </c>
    </row>
    <row r="121" ht="60" spans="1:10">
      <c r="A121" s="188"/>
      <c r="B121" s="139"/>
      <c r="C121" s="139"/>
      <c r="D121" s="139"/>
      <c r="E121" s="139"/>
      <c r="F121" s="189" t="s">
        <v>537</v>
      </c>
      <c r="G121" s="120"/>
      <c r="H121" s="131"/>
      <c r="I121" s="113"/>
      <c r="J121" s="117"/>
    </row>
    <row r="122" ht="15.75" spans="1:10">
      <c r="A122" s="179"/>
      <c r="B122" s="180"/>
      <c r="C122" s="179"/>
      <c r="D122" s="179"/>
      <c r="E122" s="179"/>
      <c r="F122" s="125"/>
      <c r="G122" s="179"/>
      <c r="H122" s="179"/>
      <c r="I122" s="125"/>
      <c r="J122" s="196"/>
    </row>
    <row r="123" ht="16.5" customHeight="1" spans="1:10">
      <c r="A123" s="108" t="s">
        <v>125</v>
      </c>
      <c r="B123" s="190"/>
      <c r="C123" s="190"/>
      <c r="D123" s="190"/>
      <c r="E123" s="190"/>
      <c r="F123" s="96" t="s">
        <v>82</v>
      </c>
      <c r="G123" s="190"/>
      <c r="H123" s="190"/>
      <c r="I123" s="96"/>
      <c r="J123" s="201"/>
    </row>
    <row r="124" ht="12.75" customHeight="1" spans="1:10">
      <c r="A124" s="129"/>
      <c r="B124" s="130"/>
      <c r="C124" s="129"/>
      <c r="D124" s="129"/>
      <c r="E124" s="129"/>
      <c r="F124" s="129"/>
      <c r="G124" s="129"/>
      <c r="H124" s="129"/>
      <c r="I124" s="129"/>
      <c r="J124" s="198"/>
    </row>
    <row r="125" s="88" customFormat="1" ht="75" spans="1:222">
      <c r="A125" s="191">
        <v>5.1</v>
      </c>
      <c r="B125" s="140" t="s">
        <v>702</v>
      </c>
      <c r="C125" s="140" t="s">
        <v>158</v>
      </c>
      <c r="D125" s="140" t="s">
        <v>703</v>
      </c>
      <c r="E125" s="140" t="s">
        <v>704</v>
      </c>
      <c r="F125" s="192" t="s">
        <v>705</v>
      </c>
      <c r="G125" s="193" t="s">
        <v>63</v>
      </c>
      <c r="H125" s="194">
        <f>2.4*6</f>
        <v>14.4</v>
      </c>
      <c r="I125" s="202">
        <v>1200</v>
      </c>
      <c r="J125" s="203">
        <f t="shared" si="3"/>
        <v>17280</v>
      </c>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c r="AT125" s="177"/>
      <c r="AU125" s="177"/>
      <c r="AV125" s="177"/>
      <c r="AW125" s="177"/>
      <c r="AX125" s="177"/>
      <c r="AY125" s="177"/>
      <c r="AZ125" s="177"/>
      <c r="BA125" s="177"/>
      <c r="BB125" s="177"/>
      <c r="BC125" s="177"/>
      <c r="BD125" s="177"/>
      <c r="BE125" s="177"/>
      <c r="BF125" s="177"/>
      <c r="BG125" s="177"/>
      <c r="BH125" s="177"/>
      <c r="BI125" s="177"/>
      <c r="BJ125" s="177"/>
      <c r="BK125" s="177"/>
      <c r="BL125" s="177"/>
      <c r="BM125" s="177"/>
      <c r="BN125" s="177"/>
      <c r="BO125" s="177"/>
      <c r="BP125" s="177"/>
      <c r="BQ125" s="177"/>
      <c r="BR125" s="177"/>
      <c r="BS125" s="177"/>
      <c r="BT125" s="177"/>
      <c r="BU125" s="177"/>
      <c r="BV125" s="177"/>
      <c r="BW125" s="177"/>
      <c r="BX125" s="177"/>
      <c r="BY125" s="177"/>
      <c r="BZ125" s="177"/>
      <c r="CA125" s="177"/>
      <c r="CB125" s="177"/>
      <c r="CC125" s="177"/>
      <c r="CD125" s="177"/>
      <c r="CE125" s="177"/>
      <c r="CF125" s="177"/>
      <c r="CG125" s="177"/>
      <c r="CH125" s="177"/>
      <c r="CI125" s="177"/>
      <c r="CJ125" s="177"/>
      <c r="CK125" s="177"/>
      <c r="CL125" s="177"/>
      <c r="CM125" s="177"/>
      <c r="CN125" s="177"/>
      <c r="CO125" s="177"/>
      <c r="CP125" s="177"/>
      <c r="CQ125" s="177"/>
      <c r="CR125" s="177"/>
      <c r="CS125" s="177"/>
      <c r="CT125" s="177"/>
      <c r="CU125" s="177"/>
      <c r="CV125" s="177"/>
      <c r="CW125" s="177"/>
      <c r="CX125" s="177"/>
      <c r="CY125" s="177"/>
      <c r="CZ125" s="177"/>
      <c r="DA125" s="177"/>
      <c r="DB125" s="177"/>
      <c r="DC125" s="177"/>
      <c r="DD125" s="177"/>
      <c r="DE125" s="177"/>
      <c r="DF125" s="177"/>
      <c r="DG125" s="177"/>
      <c r="DH125" s="177"/>
      <c r="DI125" s="177"/>
      <c r="DJ125" s="177"/>
      <c r="DK125" s="177"/>
      <c r="DL125" s="177"/>
      <c r="DM125" s="177"/>
      <c r="DN125" s="177"/>
      <c r="DO125" s="177"/>
      <c r="DP125" s="177"/>
      <c r="DQ125" s="177"/>
      <c r="DR125" s="177"/>
      <c r="DS125" s="177"/>
      <c r="DT125" s="177"/>
      <c r="DU125" s="177"/>
      <c r="DV125" s="177"/>
      <c r="DW125" s="177"/>
      <c r="DX125" s="177"/>
      <c r="DY125" s="177"/>
      <c r="DZ125" s="177"/>
      <c r="EA125" s="177"/>
      <c r="EB125" s="177"/>
      <c r="EC125" s="177"/>
      <c r="ED125" s="177"/>
      <c r="EE125" s="177"/>
      <c r="EF125" s="177"/>
      <c r="EG125" s="177"/>
      <c r="EH125" s="177"/>
      <c r="EI125" s="177"/>
      <c r="EJ125" s="177"/>
      <c r="EK125" s="177"/>
      <c r="EL125" s="177"/>
      <c r="EM125" s="177"/>
      <c r="EN125" s="177"/>
      <c r="EO125" s="177"/>
      <c r="EP125" s="177"/>
      <c r="EQ125" s="177"/>
      <c r="ER125" s="177"/>
      <c r="ES125" s="177"/>
      <c r="ET125" s="177"/>
      <c r="EU125" s="177"/>
      <c r="EV125" s="177"/>
      <c r="EW125" s="177"/>
      <c r="EX125" s="177"/>
      <c r="EY125" s="177"/>
      <c r="EZ125" s="177"/>
      <c r="FA125" s="177"/>
      <c r="FB125" s="177"/>
      <c r="FC125" s="177"/>
      <c r="FD125" s="177"/>
      <c r="FE125" s="177"/>
      <c r="FF125" s="177"/>
      <c r="FG125" s="177"/>
      <c r="FH125" s="177"/>
      <c r="FI125" s="177"/>
      <c r="FJ125" s="177"/>
      <c r="FK125" s="177"/>
      <c r="FL125" s="177"/>
      <c r="FM125" s="177"/>
      <c r="FN125" s="177"/>
      <c r="FO125" s="177"/>
      <c r="FP125" s="177"/>
      <c r="FQ125" s="177"/>
      <c r="FR125" s="177"/>
      <c r="FS125" s="177"/>
      <c r="FT125" s="177"/>
      <c r="FU125" s="177"/>
      <c r="FV125" s="177"/>
      <c r="FW125" s="177"/>
      <c r="FX125" s="177"/>
      <c r="FY125" s="177"/>
      <c r="FZ125" s="177"/>
      <c r="GA125" s="177"/>
      <c r="GB125" s="177"/>
      <c r="GC125" s="177"/>
      <c r="GD125" s="177"/>
      <c r="GE125" s="177"/>
      <c r="GF125" s="177"/>
      <c r="GG125" s="177"/>
      <c r="GH125" s="177"/>
      <c r="GI125" s="177"/>
      <c r="GJ125" s="177"/>
      <c r="GK125" s="177"/>
      <c r="GL125" s="177"/>
      <c r="GM125" s="177"/>
      <c r="GN125" s="177"/>
      <c r="GO125" s="177"/>
      <c r="GP125" s="177"/>
      <c r="GQ125" s="177"/>
      <c r="GR125" s="177"/>
      <c r="GS125" s="177"/>
      <c r="GT125" s="177"/>
      <c r="GU125" s="177"/>
      <c r="GV125" s="177"/>
      <c r="GW125" s="177"/>
      <c r="GX125" s="177"/>
      <c r="GY125" s="177"/>
      <c r="GZ125" s="177"/>
      <c r="HA125" s="177"/>
      <c r="HB125" s="177"/>
      <c r="HC125" s="177"/>
      <c r="HD125" s="177"/>
      <c r="HE125" s="177"/>
      <c r="HF125" s="177"/>
      <c r="HG125" s="177"/>
      <c r="HH125" s="177"/>
      <c r="HI125" s="177"/>
      <c r="HJ125" s="177"/>
      <c r="HK125" s="177"/>
      <c r="HL125" s="177"/>
      <c r="HM125" s="177"/>
      <c r="HN125" s="177"/>
    </row>
    <row r="126" spans="1:10">
      <c r="A126" s="131"/>
      <c r="B126" s="131"/>
      <c r="C126" s="131"/>
      <c r="D126" s="131"/>
      <c r="E126" s="131"/>
      <c r="F126" s="113"/>
      <c r="G126" s="131"/>
      <c r="H126" s="131"/>
      <c r="I126" s="113"/>
      <c r="J126" s="117"/>
    </row>
    <row r="127" ht="12.75" customHeight="1" spans="1:10">
      <c r="A127" s="113">
        <v>5.2</v>
      </c>
      <c r="B127" s="131"/>
      <c r="C127" s="113" t="s">
        <v>538</v>
      </c>
      <c r="D127" s="113" t="s">
        <v>549</v>
      </c>
      <c r="E127" s="113" t="s">
        <v>550</v>
      </c>
      <c r="F127" s="112" t="s">
        <v>706</v>
      </c>
      <c r="G127" s="113" t="s">
        <v>130</v>
      </c>
      <c r="H127" s="113">
        <f>(1.1+1+1)*2.25</f>
        <v>6.975</v>
      </c>
      <c r="I127" s="113">
        <v>20200</v>
      </c>
      <c r="J127" s="117">
        <f t="shared" si="3"/>
        <v>140895</v>
      </c>
    </row>
    <row r="128" ht="71.25" customHeight="1" spans="1:10">
      <c r="A128" s="131"/>
      <c r="B128" s="131"/>
      <c r="C128" s="131"/>
      <c r="D128" s="131"/>
      <c r="E128" s="131"/>
      <c r="F128" s="113" t="s">
        <v>707</v>
      </c>
      <c r="G128" s="131"/>
      <c r="H128" s="131"/>
      <c r="I128" s="113"/>
      <c r="J128" s="117"/>
    </row>
    <row r="129" spans="1:10">
      <c r="A129" s="131"/>
      <c r="B129" s="131"/>
      <c r="C129" s="131"/>
      <c r="D129" s="131"/>
      <c r="E129" s="131"/>
      <c r="F129" s="115"/>
      <c r="G129" s="131"/>
      <c r="H129" s="131"/>
      <c r="I129" s="113"/>
      <c r="J129" s="117"/>
    </row>
    <row r="130" ht="12.75" customHeight="1" spans="1:10">
      <c r="A130" s="113">
        <v>5.3</v>
      </c>
      <c r="B130" s="131"/>
      <c r="C130" s="113" t="s">
        <v>538</v>
      </c>
      <c r="D130" s="113" t="s">
        <v>708</v>
      </c>
      <c r="E130" s="113" t="s">
        <v>709</v>
      </c>
      <c r="F130" s="112" t="s">
        <v>710</v>
      </c>
      <c r="G130" s="113" t="s">
        <v>63</v>
      </c>
      <c r="H130" s="113">
        <f>5+19+6+6+13+18+6</f>
        <v>73</v>
      </c>
      <c r="I130" s="134">
        <v>1000</v>
      </c>
      <c r="J130" s="117">
        <f t="shared" si="3"/>
        <v>73000</v>
      </c>
    </row>
    <row r="131" ht="60" spans="1:10">
      <c r="A131" s="131"/>
      <c r="B131" s="131"/>
      <c r="C131" s="131"/>
      <c r="D131" s="131"/>
      <c r="E131" s="131"/>
      <c r="F131" s="113" t="s">
        <v>711</v>
      </c>
      <c r="G131" s="131"/>
      <c r="H131" s="131"/>
      <c r="I131" s="113"/>
      <c r="J131" s="117"/>
    </row>
    <row r="132" spans="1:10">
      <c r="A132" s="131"/>
      <c r="B132" s="131"/>
      <c r="C132" s="131"/>
      <c r="D132" s="131"/>
      <c r="E132" s="131"/>
      <c r="F132" s="115"/>
      <c r="G132" s="131"/>
      <c r="H132" s="131"/>
      <c r="I132" s="113"/>
      <c r="J132" s="117"/>
    </row>
    <row r="133" ht="12.75" customHeight="1" spans="1:10">
      <c r="A133" s="113">
        <v>5.4</v>
      </c>
      <c r="B133" s="131"/>
      <c r="C133" s="113" t="s">
        <v>538</v>
      </c>
      <c r="D133" s="113" t="s">
        <v>554</v>
      </c>
      <c r="E133" s="113" t="s">
        <v>555</v>
      </c>
      <c r="F133" s="112" t="s">
        <v>712</v>
      </c>
      <c r="G133" s="113" t="s">
        <v>130</v>
      </c>
      <c r="H133" s="113">
        <f>3+1+3+2</f>
        <v>9</v>
      </c>
      <c r="I133" s="113">
        <v>13500</v>
      </c>
      <c r="J133" s="117">
        <f t="shared" si="3"/>
        <v>121500</v>
      </c>
    </row>
    <row r="134" ht="90" spans="1:10">
      <c r="A134" s="131"/>
      <c r="B134" s="131"/>
      <c r="C134" s="131"/>
      <c r="D134" s="131"/>
      <c r="E134" s="131"/>
      <c r="F134" s="113" t="s">
        <v>713</v>
      </c>
      <c r="G134" s="131"/>
      <c r="H134" s="131"/>
      <c r="I134" s="113"/>
      <c r="J134" s="117"/>
    </row>
    <row r="135" spans="1:10">
      <c r="A135" s="131"/>
      <c r="B135" s="131"/>
      <c r="C135" s="131"/>
      <c r="D135" s="131"/>
      <c r="E135" s="131"/>
      <c r="F135" s="115"/>
      <c r="G135" s="131"/>
      <c r="H135" s="131"/>
      <c r="I135" s="113"/>
      <c r="J135" s="117"/>
    </row>
    <row r="136" ht="12.75" customHeight="1" spans="1:10">
      <c r="A136" s="113">
        <v>5.5</v>
      </c>
      <c r="B136" s="131"/>
      <c r="C136" s="113" t="s">
        <v>538</v>
      </c>
      <c r="D136" s="113" t="s">
        <v>554</v>
      </c>
      <c r="E136" s="113" t="s">
        <v>555</v>
      </c>
      <c r="F136" s="112" t="s">
        <v>714</v>
      </c>
      <c r="G136" s="113" t="s">
        <v>130</v>
      </c>
      <c r="H136" s="113">
        <f>(2*2.25)+0.5</f>
        <v>5</v>
      </c>
      <c r="I136" s="113">
        <v>10900</v>
      </c>
      <c r="J136" s="117">
        <f t="shared" si="3"/>
        <v>54500</v>
      </c>
    </row>
    <row r="137" ht="75" spans="1:10">
      <c r="A137" s="131"/>
      <c r="B137" s="131"/>
      <c r="C137" s="131"/>
      <c r="D137" s="131"/>
      <c r="E137" s="131"/>
      <c r="F137" s="113" t="s">
        <v>715</v>
      </c>
      <c r="G137" s="131"/>
      <c r="H137" s="131"/>
      <c r="I137" s="113"/>
      <c r="J137" s="117"/>
    </row>
    <row r="138" spans="1:10">
      <c r="A138" s="131"/>
      <c r="B138" s="131"/>
      <c r="C138" s="131"/>
      <c r="D138" s="131"/>
      <c r="E138" s="131"/>
      <c r="F138" s="115"/>
      <c r="G138" s="131"/>
      <c r="H138" s="131"/>
      <c r="I138" s="113"/>
      <c r="J138" s="117"/>
    </row>
    <row r="139" ht="12.75" customHeight="1" spans="1:10">
      <c r="A139" s="131"/>
      <c r="B139" s="131"/>
      <c r="C139" s="131"/>
      <c r="D139" s="131"/>
      <c r="E139" s="131"/>
      <c r="F139" s="145" t="s">
        <v>592</v>
      </c>
      <c r="G139" s="131"/>
      <c r="H139" s="131"/>
      <c r="I139" s="113"/>
      <c r="J139" s="117"/>
    </row>
    <row r="140" ht="12.75" customHeight="1" spans="1:10">
      <c r="A140" s="113">
        <v>5.6</v>
      </c>
      <c r="B140" s="131"/>
      <c r="C140" s="113" t="s">
        <v>538</v>
      </c>
      <c r="D140" s="113" t="s">
        <v>593</v>
      </c>
      <c r="E140" s="113" t="s">
        <v>594</v>
      </c>
      <c r="F140" s="112" t="s">
        <v>716</v>
      </c>
      <c r="G140" s="113" t="s">
        <v>187</v>
      </c>
      <c r="H140" s="113">
        <v>2</v>
      </c>
      <c r="I140" s="113">
        <v>58900</v>
      </c>
      <c r="J140" s="117">
        <f t="shared" si="3"/>
        <v>117800</v>
      </c>
    </row>
    <row r="141" ht="12.75" customHeight="1" spans="1:10">
      <c r="A141" s="131"/>
      <c r="B141" s="131"/>
      <c r="C141" s="131"/>
      <c r="D141" s="131"/>
      <c r="E141" s="131"/>
      <c r="F141" s="113" t="s">
        <v>717</v>
      </c>
      <c r="G141" s="131"/>
      <c r="H141" s="131"/>
      <c r="I141" s="113"/>
      <c r="J141" s="117"/>
    </row>
    <row r="142" ht="12.75" customHeight="1" spans="1:10">
      <c r="A142" s="131"/>
      <c r="B142" s="131"/>
      <c r="C142" s="131"/>
      <c r="D142" s="131"/>
      <c r="E142" s="131"/>
      <c r="F142" s="113" t="s">
        <v>718</v>
      </c>
      <c r="G142" s="131"/>
      <c r="H142" s="131"/>
      <c r="I142" s="113"/>
      <c r="J142" s="117"/>
    </row>
    <row r="143" ht="60" spans="1:11">
      <c r="A143" s="131"/>
      <c r="B143" s="131"/>
      <c r="C143" s="131"/>
      <c r="D143" s="131"/>
      <c r="E143" s="131"/>
      <c r="F143" s="113" t="s">
        <v>719</v>
      </c>
      <c r="G143" s="131"/>
      <c r="H143" s="131"/>
      <c r="I143" s="113"/>
      <c r="J143" s="117"/>
      <c r="K143" s="205"/>
    </row>
    <row r="144" ht="12.75" customHeight="1" spans="1:10">
      <c r="A144" s="131"/>
      <c r="B144" s="131"/>
      <c r="C144" s="131"/>
      <c r="D144" s="131"/>
      <c r="E144" s="131"/>
      <c r="F144" s="113" t="s">
        <v>253</v>
      </c>
      <c r="G144" s="131"/>
      <c r="H144" s="131"/>
      <c r="I144" s="113"/>
      <c r="J144" s="117"/>
    </row>
    <row r="145" ht="45" spans="1:10">
      <c r="A145" s="131"/>
      <c r="B145" s="131"/>
      <c r="C145" s="131"/>
      <c r="D145" s="131"/>
      <c r="E145" s="131"/>
      <c r="F145" s="113" t="s">
        <v>720</v>
      </c>
      <c r="G145" s="131"/>
      <c r="H145" s="131"/>
      <c r="I145" s="113"/>
      <c r="J145" s="117"/>
    </row>
    <row r="146" ht="12.75" customHeight="1" spans="1:10">
      <c r="A146" s="131"/>
      <c r="B146" s="131"/>
      <c r="C146" s="131"/>
      <c r="D146" s="131"/>
      <c r="E146" s="131"/>
      <c r="F146" s="113" t="s">
        <v>351</v>
      </c>
      <c r="G146" s="131"/>
      <c r="H146" s="131"/>
      <c r="I146" s="113"/>
      <c r="J146" s="117"/>
    </row>
    <row r="147" spans="1:10">
      <c r="A147" s="131"/>
      <c r="B147" s="131"/>
      <c r="C147" s="131"/>
      <c r="D147" s="131"/>
      <c r="E147" s="131"/>
      <c r="F147" s="115" t="s">
        <v>721</v>
      </c>
      <c r="G147" s="131"/>
      <c r="H147" s="131"/>
      <c r="I147" s="113"/>
      <c r="J147" s="117"/>
    </row>
    <row r="148" ht="12.75" customHeight="1" spans="1:10">
      <c r="A148" s="131"/>
      <c r="B148" s="131"/>
      <c r="C148" s="131"/>
      <c r="D148" s="131"/>
      <c r="E148" s="131"/>
      <c r="F148" s="113" t="s">
        <v>722</v>
      </c>
      <c r="G148" s="131"/>
      <c r="H148" s="131"/>
      <c r="I148" s="113"/>
      <c r="J148" s="117"/>
    </row>
    <row r="149" ht="45" spans="1:10">
      <c r="A149" s="131"/>
      <c r="B149" s="131"/>
      <c r="C149" s="131"/>
      <c r="D149" s="131"/>
      <c r="E149" s="131"/>
      <c r="F149" s="113" t="s">
        <v>723</v>
      </c>
      <c r="G149" s="131"/>
      <c r="H149" s="131"/>
      <c r="I149" s="113"/>
      <c r="J149" s="117"/>
    </row>
    <row r="150" spans="1:10">
      <c r="A150" s="131"/>
      <c r="B150" s="131"/>
      <c r="C150" s="131"/>
      <c r="D150" s="131"/>
      <c r="E150" s="131"/>
      <c r="F150" s="113"/>
      <c r="G150" s="131"/>
      <c r="H150" s="131"/>
      <c r="I150" s="113"/>
      <c r="J150" s="117"/>
    </row>
    <row r="151" spans="1:10">
      <c r="A151" s="113">
        <v>5.7</v>
      </c>
      <c r="B151" s="131"/>
      <c r="C151" s="113" t="s">
        <v>538</v>
      </c>
      <c r="D151" s="113" t="s">
        <v>593</v>
      </c>
      <c r="E151" s="113" t="s">
        <v>724</v>
      </c>
      <c r="F151" s="112" t="s">
        <v>725</v>
      </c>
      <c r="G151" s="113" t="s">
        <v>187</v>
      </c>
      <c r="H151" s="113">
        <v>1</v>
      </c>
      <c r="I151" s="113">
        <v>75000</v>
      </c>
      <c r="J151" s="117">
        <f t="shared" si="3"/>
        <v>75000</v>
      </c>
    </row>
    <row r="152" ht="12.75" customHeight="1" spans="1:10">
      <c r="A152" s="131"/>
      <c r="B152" s="131"/>
      <c r="C152" s="131"/>
      <c r="D152" s="131"/>
      <c r="E152" s="131"/>
      <c r="F152" s="113" t="s">
        <v>726</v>
      </c>
      <c r="G152" s="131"/>
      <c r="H152" s="131"/>
      <c r="I152" s="113"/>
      <c r="J152" s="117"/>
    </row>
    <row r="153" spans="1:10">
      <c r="A153" s="131"/>
      <c r="B153" s="131"/>
      <c r="C153" s="131"/>
      <c r="D153" s="131"/>
      <c r="E153" s="131"/>
      <c r="F153" s="113" t="s">
        <v>718</v>
      </c>
      <c r="G153" s="131"/>
      <c r="H153" s="131"/>
      <c r="I153" s="113"/>
      <c r="J153" s="117"/>
    </row>
    <row r="154" ht="60" spans="1:11">
      <c r="A154" s="131"/>
      <c r="B154" s="131"/>
      <c r="C154" s="131"/>
      <c r="D154" s="131"/>
      <c r="E154" s="131"/>
      <c r="F154" s="113" t="s">
        <v>727</v>
      </c>
      <c r="G154" s="131"/>
      <c r="H154" s="131"/>
      <c r="I154" s="113"/>
      <c r="J154" s="117"/>
      <c r="K154" s="205"/>
    </row>
    <row r="155" spans="1:10">
      <c r="A155" s="131"/>
      <c r="B155" s="131"/>
      <c r="C155" s="131"/>
      <c r="D155" s="131"/>
      <c r="E155" s="131"/>
      <c r="F155" s="115" t="s">
        <v>728</v>
      </c>
      <c r="G155" s="131"/>
      <c r="H155" s="131"/>
      <c r="I155" s="113"/>
      <c r="J155" s="117"/>
    </row>
    <row r="156" ht="45" spans="1:10">
      <c r="A156" s="131"/>
      <c r="B156" s="131"/>
      <c r="C156" s="131"/>
      <c r="D156" s="131"/>
      <c r="E156" s="131"/>
      <c r="F156" s="115" t="s">
        <v>729</v>
      </c>
      <c r="G156" s="131"/>
      <c r="H156" s="131"/>
      <c r="I156" s="113"/>
      <c r="J156" s="117"/>
    </row>
    <row r="157" ht="12.75" customHeight="1" spans="1:10">
      <c r="A157" s="131"/>
      <c r="B157" s="131"/>
      <c r="C157" s="131"/>
      <c r="D157" s="131"/>
      <c r="E157" s="131"/>
      <c r="F157" s="113" t="s">
        <v>253</v>
      </c>
      <c r="G157" s="131"/>
      <c r="H157" s="131"/>
      <c r="I157" s="113"/>
      <c r="J157" s="117"/>
    </row>
    <row r="158" ht="45" spans="1:10">
      <c r="A158" s="131"/>
      <c r="B158" s="131"/>
      <c r="C158" s="131"/>
      <c r="D158" s="131"/>
      <c r="E158" s="131"/>
      <c r="F158" s="113" t="s">
        <v>730</v>
      </c>
      <c r="G158" s="131"/>
      <c r="H158" s="131"/>
      <c r="I158" s="113"/>
      <c r="J158" s="117"/>
    </row>
    <row r="159" ht="12.75" customHeight="1" spans="1:10">
      <c r="A159" s="131"/>
      <c r="B159" s="131"/>
      <c r="C159" s="131"/>
      <c r="D159" s="131"/>
      <c r="E159" s="131"/>
      <c r="F159" s="113" t="s">
        <v>351</v>
      </c>
      <c r="G159" s="131"/>
      <c r="H159" s="131"/>
      <c r="I159" s="113"/>
      <c r="J159" s="117"/>
    </row>
    <row r="160" spans="1:10">
      <c r="A160" s="131"/>
      <c r="B160" s="131"/>
      <c r="C160" s="131"/>
      <c r="D160" s="131"/>
      <c r="E160" s="131"/>
      <c r="F160" s="115" t="s">
        <v>731</v>
      </c>
      <c r="G160" s="131"/>
      <c r="H160" s="131"/>
      <c r="I160" s="113"/>
      <c r="J160" s="117"/>
    </row>
    <row r="161" ht="12.75" customHeight="1" spans="1:10">
      <c r="A161" s="131"/>
      <c r="B161" s="131"/>
      <c r="C161" s="131"/>
      <c r="D161" s="131"/>
      <c r="E161" s="131"/>
      <c r="F161" s="113" t="s">
        <v>722</v>
      </c>
      <c r="G161" s="131"/>
      <c r="H161" s="131"/>
      <c r="I161" s="113"/>
      <c r="J161" s="117"/>
    </row>
    <row r="162" ht="60" spans="1:10">
      <c r="A162" s="131"/>
      <c r="B162" s="131"/>
      <c r="C162" s="131"/>
      <c r="D162" s="131"/>
      <c r="E162" s="131"/>
      <c r="F162" s="115" t="s">
        <v>732</v>
      </c>
      <c r="G162" s="131"/>
      <c r="H162" s="131"/>
      <c r="I162" s="113"/>
      <c r="J162" s="117"/>
    </row>
    <row r="163" spans="1:10">
      <c r="A163" s="131"/>
      <c r="B163" s="131"/>
      <c r="C163" s="131"/>
      <c r="D163" s="131"/>
      <c r="E163" s="131"/>
      <c r="F163" s="113"/>
      <c r="G163" s="131"/>
      <c r="H163" s="131"/>
      <c r="I163" s="113"/>
      <c r="J163" s="117"/>
    </row>
    <row r="164" ht="30" spans="1:10">
      <c r="A164" s="113">
        <v>5.8</v>
      </c>
      <c r="B164" s="131"/>
      <c r="C164" s="113" t="s">
        <v>538</v>
      </c>
      <c r="D164" s="113" t="s">
        <v>733</v>
      </c>
      <c r="E164" s="113" t="s">
        <v>734</v>
      </c>
      <c r="F164" s="112" t="s">
        <v>735</v>
      </c>
      <c r="G164" s="113" t="s">
        <v>187</v>
      </c>
      <c r="H164" s="113">
        <f>4+3</f>
        <v>7</v>
      </c>
      <c r="I164" s="113">
        <v>27500</v>
      </c>
      <c r="J164" s="117">
        <f t="shared" si="3"/>
        <v>192500</v>
      </c>
    </row>
    <row r="165" spans="1:10">
      <c r="A165" s="131"/>
      <c r="B165" s="131"/>
      <c r="C165" s="131"/>
      <c r="D165" s="131"/>
      <c r="E165" s="131"/>
      <c r="F165" s="113" t="s">
        <v>253</v>
      </c>
      <c r="G165" s="131"/>
      <c r="H165" s="131"/>
      <c r="I165" s="113"/>
      <c r="J165" s="117"/>
    </row>
    <row r="166" ht="45" spans="1:10">
      <c r="A166" s="131"/>
      <c r="B166" s="131"/>
      <c r="C166" s="131"/>
      <c r="D166" s="131"/>
      <c r="E166" s="131"/>
      <c r="F166" s="113" t="s">
        <v>736</v>
      </c>
      <c r="G166" s="131"/>
      <c r="H166" s="131"/>
      <c r="I166" s="113"/>
      <c r="J166" s="117"/>
    </row>
    <row r="167" ht="15.95" customHeight="1" spans="1:10">
      <c r="A167" s="131"/>
      <c r="B167" s="131"/>
      <c r="C167" s="131"/>
      <c r="D167" s="131"/>
      <c r="E167" s="131"/>
      <c r="F167" s="113" t="s">
        <v>722</v>
      </c>
      <c r="G167" s="131"/>
      <c r="H167" s="131"/>
      <c r="I167" s="113"/>
      <c r="J167" s="117"/>
    </row>
    <row r="168" ht="30" spans="1:10">
      <c r="A168" s="131"/>
      <c r="B168" s="131"/>
      <c r="C168" s="131"/>
      <c r="D168" s="131"/>
      <c r="E168" s="131"/>
      <c r="F168" s="113" t="s">
        <v>737</v>
      </c>
      <c r="G168" s="131"/>
      <c r="H168" s="131"/>
      <c r="I168" s="113"/>
      <c r="J168" s="117"/>
    </row>
    <row r="169" spans="1:10">
      <c r="A169" s="131"/>
      <c r="B169" s="131"/>
      <c r="C169" s="131"/>
      <c r="D169" s="131"/>
      <c r="E169" s="131"/>
      <c r="F169" s="113"/>
      <c r="G169" s="131"/>
      <c r="H169" s="131"/>
      <c r="I169" s="113"/>
      <c r="J169" s="117"/>
    </row>
    <row r="170" spans="1:10">
      <c r="A170" s="131"/>
      <c r="B170" s="131"/>
      <c r="C170" s="131"/>
      <c r="D170" s="131"/>
      <c r="E170" s="131"/>
      <c r="F170" s="113"/>
      <c r="G170" s="131"/>
      <c r="H170" s="131"/>
      <c r="I170" s="113"/>
      <c r="J170" s="117"/>
    </row>
    <row r="171" ht="30" spans="1:10">
      <c r="A171" s="204">
        <v>5.9</v>
      </c>
      <c r="B171" s="131"/>
      <c r="C171" s="113" t="s">
        <v>538</v>
      </c>
      <c r="D171" s="113" t="s">
        <v>733</v>
      </c>
      <c r="E171" s="113" t="s">
        <v>734</v>
      </c>
      <c r="F171" s="112" t="s">
        <v>738</v>
      </c>
      <c r="G171" s="113" t="s">
        <v>187</v>
      </c>
      <c r="H171" s="113">
        <v>2</v>
      </c>
      <c r="I171" s="113">
        <v>29500</v>
      </c>
      <c r="J171" s="117">
        <f t="shared" ref="J171" si="4">SUM(H171*I171)</f>
        <v>59000</v>
      </c>
    </row>
    <row r="172" spans="1:10">
      <c r="A172" s="131"/>
      <c r="B172" s="131"/>
      <c r="C172" s="131"/>
      <c r="D172" s="131"/>
      <c r="E172" s="131"/>
      <c r="F172" s="113" t="s">
        <v>253</v>
      </c>
      <c r="G172" s="131"/>
      <c r="H172" s="131"/>
      <c r="I172" s="113"/>
      <c r="J172" s="117"/>
    </row>
    <row r="173" ht="45" spans="1:10">
      <c r="A173" s="131"/>
      <c r="B173" s="131"/>
      <c r="C173" s="131"/>
      <c r="D173" s="131"/>
      <c r="E173" s="131"/>
      <c r="F173" s="113" t="s">
        <v>739</v>
      </c>
      <c r="G173" s="131"/>
      <c r="H173" s="131"/>
      <c r="I173" s="113"/>
      <c r="J173" s="117"/>
    </row>
    <row r="174" spans="1:10">
      <c r="A174" s="131"/>
      <c r="B174" s="131"/>
      <c r="C174" s="131"/>
      <c r="D174" s="131"/>
      <c r="E174" s="131"/>
      <c r="F174" s="113" t="s">
        <v>722</v>
      </c>
      <c r="G174" s="131"/>
      <c r="H174" s="131"/>
      <c r="I174" s="113"/>
      <c r="J174" s="117"/>
    </row>
    <row r="175" ht="30" spans="1:10">
      <c r="A175" s="131"/>
      <c r="B175" s="131"/>
      <c r="C175" s="131"/>
      <c r="D175" s="131"/>
      <c r="E175" s="131"/>
      <c r="F175" s="113" t="s">
        <v>737</v>
      </c>
      <c r="G175" s="131"/>
      <c r="H175" s="131"/>
      <c r="I175" s="113"/>
      <c r="J175" s="117"/>
    </row>
    <row r="176" spans="1:10">
      <c r="A176" s="131"/>
      <c r="B176" s="131"/>
      <c r="C176" s="131"/>
      <c r="D176" s="131"/>
      <c r="E176" s="131"/>
      <c r="F176" s="113"/>
      <c r="G176" s="131"/>
      <c r="H176" s="131"/>
      <c r="I176" s="113"/>
      <c r="J176" s="117"/>
    </row>
    <row r="177" ht="27" customHeight="1" spans="1:10">
      <c r="A177" s="146">
        <v>5.1</v>
      </c>
      <c r="B177" s="131"/>
      <c r="C177" s="113" t="s">
        <v>538</v>
      </c>
      <c r="D177" s="113" t="s">
        <v>733</v>
      </c>
      <c r="E177" s="113" t="s">
        <v>734</v>
      </c>
      <c r="F177" s="112" t="s">
        <v>740</v>
      </c>
      <c r="G177" s="113" t="s">
        <v>187</v>
      </c>
      <c r="H177" s="113">
        <v>1</v>
      </c>
      <c r="I177" s="113">
        <v>76500</v>
      </c>
      <c r="J177" s="117">
        <f t="shared" si="3"/>
        <v>76500</v>
      </c>
    </row>
    <row r="178" ht="15.95" customHeight="1" spans="1:10">
      <c r="A178" s="131"/>
      <c r="B178" s="131"/>
      <c r="C178" s="131"/>
      <c r="D178" s="131"/>
      <c r="E178" s="131"/>
      <c r="F178" s="113" t="s">
        <v>741</v>
      </c>
      <c r="G178" s="131"/>
      <c r="H178" s="131"/>
      <c r="I178" s="113"/>
      <c r="J178" s="117"/>
    </row>
    <row r="179" ht="45" spans="1:10">
      <c r="A179" s="131"/>
      <c r="B179" s="131"/>
      <c r="C179" s="131"/>
      <c r="D179" s="131"/>
      <c r="E179" s="131"/>
      <c r="F179" s="113" t="s">
        <v>742</v>
      </c>
      <c r="G179" s="131"/>
      <c r="H179" s="131"/>
      <c r="I179" s="113"/>
      <c r="J179" s="117"/>
    </row>
    <row r="180" ht="15.95" customHeight="1" spans="1:10">
      <c r="A180" s="131"/>
      <c r="B180" s="131"/>
      <c r="C180" s="131"/>
      <c r="D180" s="131"/>
      <c r="E180" s="131"/>
      <c r="F180" s="115" t="s">
        <v>743</v>
      </c>
      <c r="G180" s="131"/>
      <c r="H180" s="131"/>
      <c r="I180" s="113"/>
      <c r="J180" s="117"/>
    </row>
    <row r="181" ht="30" spans="1:10">
      <c r="A181" s="131"/>
      <c r="B181" s="131"/>
      <c r="C181" s="131"/>
      <c r="D181" s="131"/>
      <c r="E181" s="131"/>
      <c r="F181" s="115" t="s">
        <v>744</v>
      </c>
      <c r="G181" s="131"/>
      <c r="H181" s="131"/>
      <c r="I181" s="113"/>
      <c r="J181" s="117"/>
    </row>
    <row r="182" ht="15.95" customHeight="1" spans="1:10">
      <c r="A182" s="131"/>
      <c r="B182" s="131"/>
      <c r="C182" s="131"/>
      <c r="D182" s="131"/>
      <c r="E182" s="131"/>
      <c r="F182" s="115" t="s">
        <v>255</v>
      </c>
      <c r="G182" s="131"/>
      <c r="H182" s="131"/>
      <c r="I182" s="113"/>
      <c r="J182" s="117"/>
    </row>
    <row r="183" ht="30" spans="1:10">
      <c r="A183" s="131"/>
      <c r="B183" s="131"/>
      <c r="C183" s="131"/>
      <c r="D183" s="131"/>
      <c r="E183" s="131"/>
      <c r="F183" s="115" t="s">
        <v>745</v>
      </c>
      <c r="G183" s="131"/>
      <c r="H183" s="131"/>
      <c r="I183" s="113"/>
      <c r="J183" s="117"/>
    </row>
    <row r="184" spans="1:10">
      <c r="A184" s="113"/>
      <c r="B184" s="131"/>
      <c r="C184" s="113"/>
      <c r="D184" s="113"/>
      <c r="E184" s="113"/>
      <c r="F184" s="113"/>
      <c r="G184" s="113"/>
      <c r="H184" s="113"/>
      <c r="I184" s="113"/>
      <c r="J184" s="117"/>
    </row>
    <row r="185" ht="30" spans="1:10">
      <c r="A185" s="113">
        <v>5.11</v>
      </c>
      <c r="B185" s="131"/>
      <c r="C185" s="113" t="s">
        <v>538</v>
      </c>
      <c r="D185" s="113" t="s">
        <v>733</v>
      </c>
      <c r="E185" s="113" t="s">
        <v>734</v>
      </c>
      <c r="F185" s="112" t="s">
        <v>746</v>
      </c>
      <c r="G185" s="113" t="s">
        <v>187</v>
      </c>
      <c r="H185" s="113">
        <v>2</v>
      </c>
      <c r="I185" s="113">
        <v>45800</v>
      </c>
      <c r="J185" s="117">
        <f t="shared" ref="J185" si="5">SUM(H185*I185)</f>
        <v>91600</v>
      </c>
    </row>
    <row r="186" spans="1:10">
      <c r="A186" s="113"/>
      <c r="B186" s="131"/>
      <c r="C186" s="131"/>
      <c r="D186" s="131"/>
      <c r="E186" s="131"/>
      <c r="F186" s="113" t="s">
        <v>741</v>
      </c>
      <c r="G186" s="131"/>
      <c r="H186" s="131"/>
      <c r="I186" s="113"/>
      <c r="J186" s="117"/>
    </row>
    <row r="187" ht="45" spans="1:10">
      <c r="A187" s="113"/>
      <c r="B187" s="131"/>
      <c r="C187" s="131"/>
      <c r="D187" s="131"/>
      <c r="E187" s="131"/>
      <c r="F187" s="113" t="s">
        <v>747</v>
      </c>
      <c r="G187" s="131"/>
      <c r="H187" s="131"/>
      <c r="I187" s="113"/>
      <c r="J187" s="117"/>
    </row>
    <row r="188" ht="15.95" customHeight="1" spans="1:10">
      <c r="A188" s="113"/>
      <c r="B188" s="131"/>
      <c r="C188" s="131"/>
      <c r="D188" s="131"/>
      <c r="E188" s="131"/>
      <c r="F188" s="115" t="s">
        <v>743</v>
      </c>
      <c r="G188" s="131"/>
      <c r="H188" s="131"/>
      <c r="I188" s="113"/>
      <c r="J188" s="117"/>
    </row>
    <row r="189" ht="30" spans="1:10">
      <c r="A189" s="131"/>
      <c r="B189" s="131"/>
      <c r="C189" s="131"/>
      <c r="D189" s="131"/>
      <c r="E189" s="131"/>
      <c r="F189" s="115" t="s">
        <v>744</v>
      </c>
      <c r="G189" s="131"/>
      <c r="H189" s="131"/>
      <c r="I189" s="113"/>
      <c r="J189" s="117"/>
    </row>
    <row r="190" spans="1:10">
      <c r="A190" s="131"/>
      <c r="B190" s="131"/>
      <c r="C190" s="131"/>
      <c r="D190" s="131"/>
      <c r="E190" s="131"/>
      <c r="F190" s="115" t="s">
        <v>255</v>
      </c>
      <c r="G190" s="131"/>
      <c r="H190" s="131"/>
      <c r="I190" s="113"/>
      <c r="J190" s="117"/>
    </row>
    <row r="191" ht="30" spans="1:10">
      <c r="A191" s="131"/>
      <c r="B191" s="131"/>
      <c r="C191" s="131"/>
      <c r="D191" s="131"/>
      <c r="E191" s="131"/>
      <c r="F191" s="115" t="s">
        <v>745</v>
      </c>
      <c r="G191" s="131"/>
      <c r="H191" s="131"/>
      <c r="I191" s="113"/>
      <c r="J191" s="117"/>
    </row>
    <row r="192" spans="1:10">
      <c r="A192" s="131"/>
      <c r="B192" s="131"/>
      <c r="C192" s="131"/>
      <c r="D192" s="131"/>
      <c r="E192" s="131"/>
      <c r="F192" s="115"/>
      <c r="G192" s="131"/>
      <c r="H192" s="131"/>
      <c r="I192" s="113"/>
      <c r="J192" s="117"/>
    </row>
    <row r="193" spans="1:10">
      <c r="A193" s="146">
        <v>5.12</v>
      </c>
      <c r="B193" s="131"/>
      <c r="C193" s="113" t="s">
        <v>538</v>
      </c>
      <c r="D193" s="113" t="s">
        <v>748</v>
      </c>
      <c r="E193" s="113" t="s">
        <v>749</v>
      </c>
      <c r="F193" s="148" t="s">
        <v>749</v>
      </c>
      <c r="G193" s="113" t="s">
        <v>106</v>
      </c>
      <c r="H193" s="113">
        <f>3*2.4</f>
        <v>7.2</v>
      </c>
      <c r="I193" s="113">
        <v>10500</v>
      </c>
      <c r="J193" s="117">
        <f t="shared" ref="J193:J240" si="6">SUM(H193*I193)</f>
        <v>75600</v>
      </c>
    </row>
    <row r="194" spans="1:10">
      <c r="A194" s="131"/>
      <c r="B194" s="131"/>
      <c r="C194" s="131"/>
      <c r="D194" s="131"/>
      <c r="E194" s="131"/>
      <c r="F194" s="115" t="s">
        <v>750</v>
      </c>
      <c r="G194" s="131"/>
      <c r="H194" s="131"/>
      <c r="I194" s="113"/>
      <c r="J194" s="117"/>
    </row>
    <row r="195" ht="45" spans="1:10">
      <c r="A195" s="131"/>
      <c r="B195" s="131"/>
      <c r="C195" s="131"/>
      <c r="D195" s="131"/>
      <c r="E195" s="131"/>
      <c r="F195" s="115" t="s">
        <v>751</v>
      </c>
      <c r="G195" s="131"/>
      <c r="H195" s="131"/>
      <c r="I195" s="113"/>
      <c r="J195" s="117"/>
    </row>
    <row r="196" spans="1:10">
      <c r="A196" s="131"/>
      <c r="B196" s="131"/>
      <c r="C196" s="131"/>
      <c r="D196" s="131"/>
      <c r="E196" s="131"/>
      <c r="F196" s="115"/>
      <c r="G196" s="131"/>
      <c r="H196" s="131"/>
      <c r="I196" s="113"/>
      <c r="J196" s="117"/>
    </row>
    <row r="197" spans="1:10">
      <c r="A197" s="179"/>
      <c r="B197" s="179"/>
      <c r="C197" s="179"/>
      <c r="D197" s="179"/>
      <c r="E197" s="179"/>
      <c r="F197" s="181"/>
      <c r="G197" s="179"/>
      <c r="H197" s="179"/>
      <c r="I197" s="125"/>
      <c r="J197" s="196"/>
    </row>
    <row r="198" ht="30" spans="1:10">
      <c r="A198" s="113">
        <v>5.13</v>
      </c>
      <c r="B198" s="131"/>
      <c r="C198" s="113" t="s">
        <v>538</v>
      </c>
      <c r="D198" s="113" t="s">
        <v>733</v>
      </c>
      <c r="E198" s="113" t="s">
        <v>734</v>
      </c>
      <c r="F198" s="112" t="s">
        <v>752</v>
      </c>
      <c r="G198" s="113" t="s">
        <v>187</v>
      </c>
      <c r="H198" s="113">
        <v>3</v>
      </c>
      <c r="I198" s="113">
        <v>11200</v>
      </c>
      <c r="J198" s="117">
        <f t="shared" ref="J198" si="7">SUM(H198*I198)</f>
        <v>33600</v>
      </c>
    </row>
    <row r="199" spans="1:10">
      <c r="A199" s="131"/>
      <c r="B199" s="131"/>
      <c r="C199" s="131"/>
      <c r="D199" s="131"/>
      <c r="E199" s="131"/>
      <c r="F199" s="113" t="s">
        <v>253</v>
      </c>
      <c r="G199" s="131"/>
      <c r="H199" s="131"/>
      <c r="I199" s="113"/>
      <c r="J199" s="117"/>
    </row>
    <row r="200" ht="45" spans="1:10">
      <c r="A200" s="131"/>
      <c r="B200" s="131"/>
      <c r="C200" s="131"/>
      <c r="D200" s="131"/>
      <c r="E200" s="131"/>
      <c r="F200" s="113" t="s">
        <v>753</v>
      </c>
      <c r="G200" s="131"/>
      <c r="H200" s="131"/>
      <c r="I200" s="113"/>
      <c r="J200" s="117"/>
    </row>
    <row r="201" spans="1:10">
      <c r="A201" s="131"/>
      <c r="B201" s="131"/>
      <c r="C201" s="131"/>
      <c r="D201" s="131"/>
      <c r="E201" s="131"/>
      <c r="F201" s="113" t="s">
        <v>722</v>
      </c>
      <c r="G201" s="131"/>
      <c r="H201" s="131"/>
      <c r="I201" s="113"/>
      <c r="J201" s="117"/>
    </row>
    <row r="202" spans="1:10">
      <c r="A202" s="131"/>
      <c r="B202" s="131"/>
      <c r="C202" s="131"/>
      <c r="D202" s="131"/>
      <c r="E202" s="131"/>
      <c r="F202" s="113" t="s">
        <v>754</v>
      </c>
      <c r="G202" s="131"/>
      <c r="H202" s="131"/>
      <c r="I202" s="113"/>
      <c r="J202" s="117"/>
    </row>
    <row r="203" ht="15.75" spans="1:10">
      <c r="A203" s="179"/>
      <c r="B203" s="179"/>
      <c r="C203" s="179"/>
      <c r="D203" s="179"/>
      <c r="E203" s="179"/>
      <c r="F203" s="181"/>
      <c r="G203" s="179"/>
      <c r="H203" s="179"/>
      <c r="I203" s="125"/>
      <c r="J203" s="196"/>
    </row>
    <row r="204" ht="13.5" customHeight="1" spans="1:10">
      <c r="A204" s="108" t="s">
        <v>267</v>
      </c>
      <c r="B204" s="190"/>
      <c r="C204" s="190"/>
      <c r="D204" s="190"/>
      <c r="E204" s="190"/>
      <c r="F204" s="96" t="s">
        <v>610</v>
      </c>
      <c r="G204" s="190"/>
      <c r="H204" s="190"/>
      <c r="I204" s="96"/>
      <c r="J204" s="201"/>
    </row>
    <row r="205" ht="13.5" customHeight="1" spans="1:10">
      <c r="A205" s="129"/>
      <c r="B205" s="130"/>
      <c r="C205" s="130"/>
      <c r="D205" s="130"/>
      <c r="E205" s="130"/>
      <c r="F205" s="129"/>
      <c r="G205" s="130"/>
      <c r="H205" s="130"/>
      <c r="I205" s="129"/>
      <c r="J205" s="198"/>
    </row>
    <row r="206" ht="16.5" customHeight="1" spans="1:10">
      <c r="A206" s="131"/>
      <c r="B206" s="131"/>
      <c r="C206" s="131"/>
      <c r="D206" s="131"/>
      <c r="E206" s="131"/>
      <c r="F206" s="145" t="s">
        <v>611</v>
      </c>
      <c r="G206" s="131"/>
      <c r="H206" s="131"/>
      <c r="I206" s="113"/>
      <c r="J206" s="117"/>
    </row>
    <row r="207" ht="15.95" customHeight="1" spans="1:10">
      <c r="A207" s="113">
        <v>6.1</v>
      </c>
      <c r="B207" s="131"/>
      <c r="C207" s="113" t="s">
        <v>612</v>
      </c>
      <c r="D207" s="113" t="s">
        <v>613</v>
      </c>
      <c r="E207" s="131"/>
      <c r="F207" s="113" t="s">
        <v>755</v>
      </c>
      <c r="G207" s="113" t="s">
        <v>187</v>
      </c>
      <c r="H207" s="113">
        <v>8</v>
      </c>
      <c r="I207" s="113">
        <v>2500</v>
      </c>
      <c r="J207" s="117">
        <f t="shared" si="6"/>
        <v>20000</v>
      </c>
    </row>
    <row r="208" ht="15.95" customHeight="1" spans="1:10">
      <c r="A208" s="113">
        <v>6.2</v>
      </c>
      <c r="B208" s="131"/>
      <c r="C208" s="113" t="s">
        <v>612</v>
      </c>
      <c r="D208" s="113" t="s">
        <v>613</v>
      </c>
      <c r="E208" s="131"/>
      <c r="F208" s="113" t="s">
        <v>615</v>
      </c>
      <c r="G208" s="113" t="s">
        <v>187</v>
      </c>
      <c r="H208" s="113">
        <v>8</v>
      </c>
      <c r="I208" s="113">
        <v>1500</v>
      </c>
      <c r="J208" s="117">
        <f t="shared" si="6"/>
        <v>12000</v>
      </c>
    </row>
    <row r="209" ht="15.95" customHeight="1" spans="1:10">
      <c r="A209" s="113">
        <v>6.3</v>
      </c>
      <c r="B209" s="131"/>
      <c r="C209" s="113" t="s">
        <v>612</v>
      </c>
      <c r="D209" s="113" t="s">
        <v>613</v>
      </c>
      <c r="E209" s="131"/>
      <c r="F209" s="113" t="s">
        <v>616</v>
      </c>
      <c r="G209" s="113" t="s">
        <v>187</v>
      </c>
      <c r="H209" s="113">
        <v>8</v>
      </c>
      <c r="I209" s="113">
        <v>500</v>
      </c>
      <c r="J209" s="117">
        <f t="shared" si="6"/>
        <v>4000</v>
      </c>
    </row>
    <row r="210" ht="15.95" customHeight="1" spans="1:10">
      <c r="A210" s="113">
        <v>6.4</v>
      </c>
      <c r="B210" s="131"/>
      <c r="C210" s="113" t="s">
        <v>612</v>
      </c>
      <c r="D210" s="113" t="s">
        <v>613</v>
      </c>
      <c r="E210" s="131"/>
      <c r="F210" s="113" t="s">
        <v>756</v>
      </c>
      <c r="G210" s="113" t="s">
        <v>187</v>
      </c>
      <c r="H210" s="113">
        <v>4</v>
      </c>
      <c r="I210" s="113">
        <v>1800</v>
      </c>
      <c r="J210" s="117">
        <f t="shared" si="6"/>
        <v>7200</v>
      </c>
    </row>
    <row r="211" ht="15.95" customHeight="1" spans="1:10">
      <c r="A211" s="113">
        <v>6.5</v>
      </c>
      <c r="B211" s="131"/>
      <c r="C211" s="113" t="s">
        <v>612</v>
      </c>
      <c r="D211" s="113" t="s">
        <v>613</v>
      </c>
      <c r="E211" s="131"/>
      <c r="F211" s="113" t="s">
        <v>757</v>
      </c>
      <c r="G211" s="113" t="s">
        <v>187</v>
      </c>
      <c r="H211" s="113">
        <v>4</v>
      </c>
      <c r="I211" s="113">
        <v>1800</v>
      </c>
      <c r="J211" s="117">
        <f t="shared" si="6"/>
        <v>7200</v>
      </c>
    </row>
    <row r="212" ht="15.95" customHeight="1" spans="1:10">
      <c r="A212" s="113">
        <v>6.6</v>
      </c>
      <c r="B212" s="131"/>
      <c r="C212" s="113" t="s">
        <v>612</v>
      </c>
      <c r="D212" s="113" t="s">
        <v>613</v>
      </c>
      <c r="E212" s="131"/>
      <c r="F212" s="113" t="s">
        <v>618</v>
      </c>
      <c r="G212" s="113" t="s">
        <v>187</v>
      </c>
      <c r="H212" s="113">
        <v>8</v>
      </c>
      <c r="I212" s="113">
        <v>500</v>
      </c>
      <c r="J212" s="117">
        <f t="shared" si="6"/>
        <v>4000</v>
      </c>
    </row>
    <row r="213" ht="15.95" customHeight="1" spans="1:10">
      <c r="A213" s="113">
        <v>6.7</v>
      </c>
      <c r="B213" s="131"/>
      <c r="C213" s="113" t="s">
        <v>612</v>
      </c>
      <c r="D213" s="113" t="s">
        <v>613</v>
      </c>
      <c r="E213" s="131"/>
      <c r="F213" s="113" t="s">
        <v>619</v>
      </c>
      <c r="G213" s="113" t="s">
        <v>187</v>
      </c>
      <c r="H213" s="113">
        <v>8</v>
      </c>
      <c r="I213" s="113">
        <v>500</v>
      </c>
      <c r="J213" s="117">
        <f t="shared" si="6"/>
        <v>4000</v>
      </c>
    </row>
    <row r="214" ht="15.95" customHeight="1" spans="1:10">
      <c r="A214" s="113">
        <v>6.8</v>
      </c>
      <c r="B214" s="131"/>
      <c r="C214" s="113" t="s">
        <v>612</v>
      </c>
      <c r="D214" s="113" t="s">
        <v>613</v>
      </c>
      <c r="E214" s="131"/>
      <c r="F214" s="113" t="s">
        <v>620</v>
      </c>
      <c r="G214" s="113" t="s">
        <v>187</v>
      </c>
      <c r="H214" s="113">
        <v>8</v>
      </c>
      <c r="I214" s="113">
        <v>300</v>
      </c>
      <c r="J214" s="117">
        <f t="shared" si="6"/>
        <v>2400</v>
      </c>
    </row>
    <row r="215" ht="15.95" customHeight="1" spans="1:10">
      <c r="A215" s="113">
        <v>6.9</v>
      </c>
      <c r="B215" s="131"/>
      <c r="C215" s="113" t="s">
        <v>612</v>
      </c>
      <c r="D215" s="113" t="s">
        <v>613</v>
      </c>
      <c r="E215" s="131"/>
      <c r="F215" s="113" t="s">
        <v>621</v>
      </c>
      <c r="G215" s="113" t="s">
        <v>187</v>
      </c>
      <c r="H215" s="113">
        <v>2</v>
      </c>
      <c r="I215" s="113">
        <v>750</v>
      </c>
      <c r="J215" s="117">
        <f t="shared" si="6"/>
        <v>1500</v>
      </c>
    </row>
    <row r="216" ht="15.95" customHeight="1" spans="1:10">
      <c r="A216" s="146">
        <v>6.1</v>
      </c>
      <c r="B216" s="131"/>
      <c r="C216" s="113" t="s">
        <v>612</v>
      </c>
      <c r="D216" s="113" t="s">
        <v>613</v>
      </c>
      <c r="E216" s="131"/>
      <c r="F216" s="113" t="s">
        <v>622</v>
      </c>
      <c r="G216" s="113" t="s">
        <v>187</v>
      </c>
      <c r="H216" s="113">
        <v>2</v>
      </c>
      <c r="I216" s="113">
        <v>300</v>
      </c>
      <c r="J216" s="117">
        <f t="shared" si="6"/>
        <v>600</v>
      </c>
    </row>
    <row r="217" ht="15.95" customHeight="1" spans="1:10">
      <c r="A217" s="113">
        <v>6.11</v>
      </c>
      <c r="B217" s="131"/>
      <c r="C217" s="113" t="s">
        <v>612</v>
      </c>
      <c r="D217" s="113" t="s">
        <v>613</v>
      </c>
      <c r="E217" s="131"/>
      <c r="F217" s="113" t="s">
        <v>758</v>
      </c>
      <c r="G217" s="113" t="s">
        <v>187</v>
      </c>
      <c r="H217" s="113">
        <v>2</v>
      </c>
      <c r="I217" s="113">
        <v>1500</v>
      </c>
      <c r="J217" s="117">
        <f t="shared" si="6"/>
        <v>3000</v>
      </c>
    </row>
    <row r="218" ht="15.95" customHeight="1" spans="1:10">
      <c r="A218" s="146">
        <v>6.12</v>
      </c>
      <c r="B218" s="131"/>
      <c r="C218" s="113" t="s">
        <v>612</v>
      </c>
      <c r="D218" s="113" t="s">
        <v>613</v>
      </c>
      <c r="E218" s="131"/>
      <c r="F218" s="113" t="s">
        <v>759</v>
      </c>
      <c r="G218" s="113" t="s">
        <v>187</v>
      </c>
      <c r="H218" s="113">
        <v>5</v>
      </c>
      <c r="I218" s="113">
        <v>2000</v>
      </c>
      <c r="J218" s="117">
        <f t="shared" si="6"/>
        <v>10000</v>
      </c>
    </row>
    <row r="219" ht="15.95" customHeight="1" spans="1:10">
      <c r="A219" s="113">
        <v>6.13</v>
      </c>
      <c r="B219" s="131"/>
      <c r="C219" s="113" t="s">
        <v>612</v>
      </c>
      <c r="D219" s="113" t="s">
        <v>613</v>
      </c>
      <c r="E219" s="131"/>
      <c r="F219" s="113" t="s">
        <v>760</v>
      </c>
      <c r="G219" s="113" t="s">
        <v>187</v>
      </c>
      <c r="H219" s="113">
        <v>5</v>
      </c>
      <c r="I219" s="113">
        <v>500</v>
      </c>
      <c r="J219" s="117">
        <f t="shared" si="6"/>
        <v>2500</v>
      </c>
    </row>
    <row r="220" ht="15.95" customHeight="1" spans="1:10">
      <c r="A220" s="146">
        <v>6.14</v>
      </c>
      <c r="B220" s="131"/>
      <c r="C220" s="113" t="s">
        <v>612</v>
      </c>
      <c r="D220" s="113" t="s">
        <v>613</v>
      </c>
      <c r="E220" s="131"/>
      <c r="F220" s="113" t="s">
        <v>623</v>
      </c>
      <c r="G220" s="113" t="s">
        <v>187</v>
      </c>
      <c r="H220" s="113">
        <v>8</v>
      </c>
      <c r="I220" s="113">
        <v>250</v>
      </c>
      <c r="J220" s="117">
        <f t="shared" si="6"/>
        <v>2000</v>
      </c>
    </row>
    <row r="221" ht="15.95" customHeight="1" spans="1:10">
      <c r="A221" s="113">
        <v>6.15</v>
      </c>
      <c r="B221" s="131"/>
      <c r="C221" s="113" t="s">
        <v>612</v>
      </c>
      <c r="D221" s="113" t="s">
        <v>613</v>
      </c>
      <c r="E221" s="131"/>
      <c r="F221" s="113" t="s">
        <v>624</v>
      </c>
      <c r="G221" s="113" t="s">
        <v>187</v>
      </c>
      <c r="H221" s="113">
        <v>8</v>
      </c>
      <c r="I221" s="113">
        <v>150</v>
      </c>
      <c r="J221" s="117">
        <f t="shared" si="6"/>
        <v>1200</v>
      </c>
    </row>
    <row r="222" ht="15.95" customHeight="1" spans="1:10">
      <c r="A222" s="146">
        <v>6.16</v>
      </c>
      <c r="B222" s="131"/>
      <c r="C222" s="113" t="s">
        <v>612</v>
      </c>
      <c r="D222" s="113" t="s">
        <v>613</v>
      </c>
      <c r="E222" s="131"/>
      <c r="F222" s="113" t="s">
        <v>625</v>
      </c>
      <c r="G222" s="113" t="s">
        <v>187</v>
      </c>
      <c r="H222" s="113">
        <v>13</v>
      </c>
      <c r="I222" s="113">
        <v>100</v>
      </c>
      <c r="J222" s="117">
        <f t="shared" si="6"/>
        <v>1300</v>
      </c>
    </row>
    <row r="223" ht="15.95" customHeight="1" spans="1:10">
      <c r="A223" s="113">
        <v>6.17</v>
      </c>
      <c r="B223" s="131"/>
      <c r="C223" s="113" t="s">
        <v>612</v>
      </c>
      <c r="D223" s="113" t="s">
        <v>613</v>
      </c>
      <c r="E223" s="131"/>
      <c r="F223" s="113" t="s">
        <v>615</v>
      </c>
      <c r="G223" s="113" t="s">
        <v>187</v>
      </c>
      <c r="H223" s="113">
        <v>1</v>
      </c>
      <c r="I223" s="113">
        <v>1500</v>
      </c>
      <c r="J223" s="117">
        <f t="shared" si="6"/>
        <v>1500</v>
      </c>
    </row>
    <row r="224" ht="15.95" customHeight="1" spans="1:10">
      <c r="A224" s="146">
        <v>6.18000000000001</v>
      </c>
      <c r="B224" s="131"/>
      <c r="C224" s="113" t="s">
        <v>612</v>
      </c>
      <c r="D224" s="113" t="s">
        <v>613</v>
      </c>
      <c r="E224" s="131"/>
      <c r="F224" s="113" t="s">
        <v>616</v>
      </c>
      <c r="G224" s="113" t="s">
        <v>187</v>
      </c>
      <c r="H224" s="113">
        <v>1</v>
      </c>
      <c r="I224" s="113">
        <v>500</v>
      </c>
      <c r="J224" s="117">
        <f t="shared" si="6"/>
        <v>500</v>
      </c>
    </row>
    <row r="225" ht="15.95" customHeight="1" spans="1:10">
      <c r="A225" s="113">
        <v>6.19000000000001</v>
      </c>
      <c r="B225" s="131"/>
      <c r="C225" s="113" t="s">
        <v>612</v>
      </c>
      <c r="D225" s="113" t="s">
        <v>613</v>
      </c>
      <c r="E225" s="131"/>
      <c r="F225" s="113" t="s">
        <v>761</v>
      </c>
      <c r="G225" s="113" t="s">
        <v>187</v>
      </c>
      <c r="H225" s="113">
        <v>1</v>
      </c>
      <c r="I225" s="113">
        <v>2500</v>
      </c>
      <c r="J225" s="117">
        <f t="shared" si="6"/>
        <v>2500</v>
      </c>
    </row>
    <row r="226" ht="15.95" customHeight="1" spans="1:10">
      <c r="A226" s="146">
        <v>6.20000000000001</v>
      </c>
      <c r="B226" s="131"/>
      <c r="C226" s="113" t="s">
        <v>612</v>
      </c>
      <c r="D226" s="113" t="s">
        <v>613</v>
      </c>
      <c r="E226" s="131"/>
      <c r="F226" s="113" t="s">
        <v>762</v>
      </c>
      <c r="G226" s="113" t="s">
        <v>187</v>
      </c>
      <c r="H226" s="113">
        <v>1</v>
      </c>
      <c r="I226" s="113">
        <v>2500</v>
      </c>
      <c r="J226" s="117">
        <f t="shared" si="6"/>
        <v>2500</v>
      </c>
    </row>
    <row r="227" ht="15.95" customHeight="1" spans="1:10">
      <c r="A227" s="113">
        <v>6.21000000000001</v>
      </c>
      <c r="B227" s="131"/>
      <c r="C227" s="113" t="s">
        <v>612</v>
      </c>
      <c r="D227" s="113" t="s">
        <v>613</v>
      </c>
      <c r="E227" s="131"/>
      <c r="F227" s="113" t="s">
        <v>763</v>
      </c>
      <c r="G227" s="113" t="s">
        <v>187</v>
      </c>
      <c r="H227" s="113">
        <v>1</v>
      </c>
      <c r="I227" s="113">
        <v>300</v>
      </c>
      <c r="J227" s="117">
        <f t="shared" si="6"/>
        <v>300</v>
      </c>
    </row>
    <row r="228" ht="15.95" customHeight="1" spans="1:10">
      <c r="A228" s="146">
        <v>6.22000000000001</v>
      </c>
      <c r="B228" s="131"/>
      <c r="C228" s="113" t="s">
        <v>612</v>
      </c>
      <c r="D228" s="113" t="s">
        <v>613</v>
      </c>
      <c r="E228" s="131"/>
      <c r="F228" s="113" t="s">
        <v>620</v>
      </c>
      <c r="G228" s="113" t="s">
        <v>187</v>
      </c>
      <c r="H228" s="113">
        <v>1</v>
      </c>
      <c r="I228" s="113">
        <v>300</v>
      </c>
      <c r="J228" s="117">
        <f t="shared" si="6"/>
        <v>300</v>
      </c>
    </row>
    <row r="229" ht="15.95" customHeight="1" spans="1:10">
      <c r="A229" s="113">
        <v>6.23000000000001</v>
      </c>
      <c r="B229" s="131"/>
      <c r="C229" s="113" t="s">
        <v>612</v>
      </c>
      <c r="D229" s="113" t="s">
        <v>613</v>
      </c>
      <c r="E229" s="131"/>
      <c r="F229" s="113" t="s">
        <v>621</v>
      </c>
      <c r="G229" s="113" t="s">
        <v>187</v>
      </c>
      <c r="H229" s="113">
        <v>1</v>
      </c>
      <c r="I229" s="113">
        <v>500</v>
      </c>
      <c r="J229" s="117">
        <f t="shared" si="6"/>
        <v>500</v>
      </c>
    </row>
    <row r="230" ht="15.95" customHeight="1" spans="1:10">
      <c r="A230" s="146">
        <v>6.24000000000001</v>
      </c>
      <c r="B230" s="131"/>
      <c r="C230" s="113" t="s">
        <v>612</v>
      </c>
      <c r="D230" s="113" t="s">
        <v>613</v>
      </c>
      <c r="E230" s="131"/>
      <c r="F230" s="113" t="s">
        <v>622</v>
      </c>
      <c r="G230" s="113" t="s">
        <v>187</v>
      </c>
      <c r="H230" s="113">
        <v>1</v>
      </c>
      <c r="I230" s="113">
        <v>300</v>
      </c>
      <c r="J230" s="117">
        <f t="shared" si="6"/>
        <v>300</v>
      </c>
    </row>
    <row r="231" ht="15.95" customHeight="1" spans="1:10">
      <c r="A231" s="113">
        <v>6.25000000000001</v>
      </c>
      <c r="B231" s="131"/>
      <c r="C231" s="113" t="s">
        <v>612</v>
      </c>
      <c r="D231" s="113" t="s">
        <v>613</v>
      </c>
      <c r="E231" s="131"/>
      <c r="F231" s="113" t="s">
        <v>764</v>
      </c>
      <c r="G231" s="113" t="s">
        <v>187</v>
      </c>
      <c r="H231" s="113">
        <v>4</v>
      </c>
      <c r="I231" s="113">
        <v>1500</v>
      </c>
      <c r="J231" s="117">
        <f t="shared" si="6"/>
        <v>6000</v>
      </c>
    </row>
    <row r="232" ht="15.95" customHeight="1" spans="1:10">
      <c r="A232" s="146">
        <v>6.26000000000001</v>
      </c>
      <c r="B232" s="131"/>
      <c r="C232" s="113" t="s">
        <v>612</v>
      </c>
      <c r="D232" s="113" t="s">
        <v>613</v>
      </c>
      <c r="E232" s="131"/>
      <c r="F232" s="113" t="s">
        <v>623</v>
      </c>
      <c r="G232" s="113" t="s">
        <v>187</v>
      </c>
      <c r="H232" s="113">
        <v>1</v>
      </c>
      <c r="I232" s="113">
        <v>250</v>
      </c>
      <c r="J232" s="117">
        <f t="shared" si="6"/>
        <v>250</v>
      </c>
    </row>
    <row r="233" ht="15.95" customHeight="1" spans="1:10">
      <c r="A233" s="113">
        <v>6.27000000000001</v>
      </c>
      <c r="B233" s="131"/>
      <c r="C233" s="113" t="s">
        <v>612</v>
      </c>
      <c r="D233" s="113" t="s">
        <v>613</v>
      </c>
      <c r="E233" s="131"/>
      <c r="F233" s="113" t="s">
        <v>624</v>
      </c>
      <c r="G233" s="113" t="s">
        <v>187</v>
      </c>
      <c r="H233" s="113">
        <v>1</v>
      </c>
      <c r="I233" s="113">
        <v>150</v>
      </c>
      <c r="J233" s="117">
        <f t="shared" si="6"/>
        <v>150</v>
      </c>
    </row>
    <row r="234" ht="15.95" customHeight="1" spans="1:10">
      <c r="A234" s="146">
        <v>6.28000000000001</v>
      </c>
      <c r="B234" s="131"/>
      <c r="C234" s="113" t="s">
        <v>612</v>
      </c>
      <c r="D234" s="113" t="s">
        <v>613</v>
      </c>
      <c r="E234" s="131"/>
      <c r="F234" s="113" t="s">
        <v>625</v>
      </c>
      <c r="G234" s="113" t="s">
        <v>187</v>
      </c>
      <c r="H234" s="113">
        <v>1</v>
      </c>
      <c r="I234" s="113">
        <v>100</v>
      </c>
      <c r="J234" s="117">
        <f t="shared" si="6"/>
        <v>100</v>
      </c>
    </row>
    <row r="235" ht="15.95" customHeight="1" spans="1:10">
      <c r="A235" s="180"/>
      <c r="B235" s="179"/>
      <c r="C235" s="125"/>
      <c r="D235" s="125"/>
      <c r="E235" s="179"/>
      <c r="F235" s="125"/>
      <c r="G235" s="125"/>
      <c r="H235" s="125"/>
      <c r="I235" s="125"/>
      <c r="J235" s="196"/>
    </row>
    <row r="236" ht="13.5" customHeight="1" spans="1:10">
      <c r="A236" s="108" t="s">
        <v>626</v>
      </c>
      <c r="B236" s="190"/>
      <c r="C236" s="190"/>
      <c r="D236" s="190"/>
      <c r="E236" s="190"/>
      <c r="F236" s="96" t="s">
        <v>627</v>
      </c>
      <c r="G236" s="190"/>
      <c r="H236" s="190"/>
      <c r="I236" s="96"/>
      <c r="J236" s="201"/>
    </row>
    <row r="237" ht="13.5" customHeight="1" spans="1:10">
      <c r="A237" s="129"/>
      <c r="B237" s="130"/>
      <c r="C237" s="130"/>
      <c r="D237" s="130"/>
      <c r="E237" s="130"/>
      <c r="F237" s="129"/>
      <c r="G237" s="130"/>
      <c r="H237" s="130"/>
      <c r="I237" s="129"/>
      <c r="J237" s="198"/>
    </row>
    <row r="238" ht="29.25" customHeight="1" spans="1:10">
      <c r="A238" s="113">
        <v>7.1</v>
      </c>
      <c r="B238" s="131"/>
      <c r="C238" s="113" t="s">
        <v>127</v>
      </c>
      <c r="D238" s="113" t="s">
        <v>628</v>
      </c>
      <c r="E238" s="131" t="s">
        <v>629</v>
      </c>
      <c r="F238" s="112" t="s">
        <v>630</v>
      </c>
      <c r="G238" s="113" t="s">
        <v>130</v>
      </c>
      <c r="H238" s="113">
        <f>25*3.2</f>
        <v>80</v>
      </c>
      <c r="I238" s="113">
        <v>485</v>
      </c>
      <c r="J238" s="117">
        <f t="shared" si="6"/>
        <v>38800</v>
      </c>
    </row>
    <row r="239" ht="45" spans="1:10">
      <c r="A239" s="131"/>
      <c r="B239" s="131"/>
      <c r="C239" s="131"/>
      <c r="D239" s="131"/>
      <c r="E239" s="131"/>
      <c r="F239" s="113" t="s">
        <v>631</v>
      </c>
      <c r="G239" s="131"/>
      <c r="H239" s="131"/>
      <c r="I239" s="113"/>
      <c r="J239" s="117"/>
    </row>
    <row r="240" ht="30" spans="1:10">
      <c r="A240" s="113">
        <v>7.2</v>
      </c>
      <c r="B240" s="131"/>
      <c r="C240" s="113" t="s">
        <v>127</v>
      </c>
      <c r="D240" s="113" t="s">
        <v>632</v>
      </c>
      <c r="E240" s="131" t="s">
        <v>633</v>
      </c>
      <c r="F240" s="112" t="s">
        <v>135</v>
      </c>
      <c r="G240" s="113" t="s">
        <v>130</v>
      </c>
      <c r="H240" s="113">
        <f>155+40</f>
        <v>195</v>
      </c>
      <c r="I240" s="113">
        <v>325</v>
      </c>
      <c r="J240" s="117">
        <f t="shared" si="6"/>
        <v>63375</v>
      </c>
    </row>
    <row r="241" ht="45" spans="1:10">
      <c r="A241" s="131"/>
      <c r="B241" s="131"/>
      <c r="C241" s="131"/>
      <c r="D241" s="131"/>
      <c r="E241" s="131"/>
      <c r="F241" s="113" t="s">
        <v>634</v>
      </c>
      <c r="G241" s="131"/>
      <c r="H241" s="131"/>
      <c r="I241" s="113"/>
      <c r="J241" s="113"/>
    </row>
    <row r="242" ht="15.75" spans="1:10">
      <c r="A242" s="179"/>
      <c r="B242" s="179"/>
      <c r="C242" s="179"/>
      <c r="D242" s="179"/>
      <c r="E242" s="179"/>
      <c r="F242" s="125"/>
      <c r="G242" s="179"/>
      <c r="H242" s="179"/>
      <c r="I242" s="125"/>
      <c r="J242" s="125"/>
    </row>
    <row r="243" ht="15.75" spans="1:10">
      <c r="A243" s="206"/>
      <c r="B243" s="207"/>
      <c r="C243" s="190"/>
      <c r="D243" s="190"/>
      <c r="E243" s="190"/>
      <c r="F243" s="96" t="s">
        <v>642</v>
      </c>
      <c r="G243" s="190"/>
      <c r="H243" s="190"/>
      <c r="I243" s="96"/>
      <c r="J243" s="210">
        <f>SUM(J6:J241)</f>
        <v>8833020</v>
      </c>
    </row>
    <row r="244" ht="16.5" customHeight="1" spans="1:8">
      <c r="A244" s="208"/>
      <c r="B244" s="208"/>
      <c r="C244" s="208"/>
      <c r="D244" s="208"/>
      <c r="E244" s="208"/>
      <c r="F244" s="208"/>
      <c r="G244" s="209"/>
      <c r="H244" s="209"/>
    </row>
    <row r="245" ht="12.75" customHeight="1" spans="10:10">
      <c r="J245" s="211"/>
    </row>
  </sheetData>
  <mergeCells count="7">
    <mergeCell ref="A1:H1"/>
    <mergeCell ref="A2:H2"/>
    <mergeCell ref="I3:J3"/>
    <mergeCell ref="A19:A20"/>
    <mergeCell ref="C19:C20"/>
    <mergeCell ref="D19:D20"/>
    <mergeCell ref="E19:E20"/>
  </mergeCells>
  <pageMargins left="0.7" right="0.7" top="0.75" bottom="0.75" header="0.3" footer="0.3"/>
  <pageSetup paperSize="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0"/>
  <sheetViews>
    <sheetView tabSelected="1" zoomScale="85" zoomScaleNormal="85" topLeftCell="A161" workbookViewId="0">
      <selection activeCell="O172" sqref="O172"/>
    </sheetView>
  </sheetViews>
  <sheetFormatPr defaultColWidth="8" defaultRowHeight="15"/>
  <cols>
    <col min="1" max="1" width="6.5" style="3" customWidth="1"/>
    <col min="2" max="2" width="1.375" style="4" customWidth="1"/>
    <col min="3" max="3" width="13" style="4" customWidth="1"/>
    <col min="4" max="4" width="4.5" style="4" customWidth="1"/>
    <col min="5" max="5" width="9.875" style="4" customWidth="1"/>
    <col min="6" max="6" width="16.25" style="4" customWidth="1"/>
    <col min="7" max="7" width="63.875" style="5" customWidth="1"/>
    <col min="8" max="8" width="4.75" style="5" customWidth="1"/>
    <col min="9" max="9" width="7.875" style="5" customWidth="1"/>
    <col min="10" max="10" width="9.625" style="5" hidden="1" customWidth="1"/>
    <col min="11" max="11" width="11" style="5" hidden="1" customWidth="1"/>
    <col min="12" max="12" width="7.125" style="5" hidden="1" customWidth="1"/>
    <col min="13" max="14" width="13" style="5" customWidth="1"/>
    <col min="15" max="15" width="12.875" style="6" customWidth="1"/>
    <col min="16" max="16384" width="8" style="6"/>
  </cols>
  <sheetData>
    <row r="1" spans="1:14">
      <c r="A1" s="7" t="s">
        <v>765</v>
      </c>
      <c r="B1" s="7"/>
      <c r="C1" s="7"/>
      <c r="D1" s="7"/>
      <c r="E1" s="7"/>
      <c r="F1" s="7"/>
      <c r="G1" s="7"/>
      <c r="H1" s="7"/>
      <c r="I1" s="7"/>
      <c r="J1" s="7"/>
      <c r="K1" s="7"/>
      <c r="L1" s="7"/>
      <c r="M1" s="7"/>
      <c r="N1" s="7"/>
    </row>
    <row r="2" spans="1:14">
      <c r="A2" s="7"/>
      <c r="B2" s="8"/>
      <c r="C2" s="8"/>
      <c r="D2" s="8"/>
      <c r="E2" s="8"/>
      <c r="F2" s="8"/>
      <c r="G2" s="9"/>
      <c r="H2" s="9"/>
      <c r="I2" s="9"/>
      <c r="J2" s="9"/>
      <c r="K2" s="9"/>
      <c r="L2" s="9"/>
      <c r="M2" s="9"/>
      <c r="N2" s="9"/>
    </row>
    <row r="3" spans="1:14">
      <c r="A3" s="7" t="s">
        <v>766</v>
      </c>
      <c r="B3" s="7"/>
      <c r="C3" s="7"/>
      <c r="D3" s="7"/>
      <c r="E3" s="7"/>
      <c r="F3" s="7"/>
      <c r="G3" s="7"/>
      <c r="H3" s="7"/>
      <c r="I3" s="7"/>
      <c r="J3" s="7"/>
      <c r="K3" s="7"/>
      <c r="L3" s="7"/>
      <c r="M3" s="7"/>
      <c r="N3" s="7"/>
    </row>
    <row r="5" s="1" customFormat="1" ht="60.75" spans="1:14">
      <c r="A5" s="10" t="s">
        <v>767</v>
      </c>
      <c r="B5" s="11"/>
      <c r="C5" s="12" t="s">
        <v>768</v>
      </c>
      <c r="D5" s="12" t="s">
        <v>38</v>
      </c>
      <c r="E5" s="12" t="s">
        <v>769</v>
      </c>
      <c r="F5" s="12" t="s">
        <v>770</v>
      </c>
      <c r="G5" s="12" t="s">
        <v>771</v>
      </c>
      <c r="H5" s="12" t="s">
        <v>772</v>
      </c>
      <c r="I5" s="12" t="s">
        <v>773</v>
      </c>
      <c r="J5" s="12" t="s">
        <v>774</v>
      </c>
      <c r="K5" s="12" t="s">
        <v>775</v>
      </c>
      <c r="L5" s="12" t="s">
        <v>776</v>
      </c>
      <c r="M5" s="12" t="s">
        <v>777</v>
      </c>
      <c r="N5" s="37" t="s">
        <v>778</v>
      </c>
    </row>
    <row r="6" ht="15.75" spans="1:14">
      <c r="A6" s="13"/>
      <c r="B6" s="14"/>
      <c r="C6" s="14"/>
      <c r="D6" s="14"/>
      <c r="E6" s="14"/>
      <c r="F6" s="14"/>
      <c r="G6" s="15"/>
      <c r="H6" s="15"/>
      <c r="I6" s="15"/>
      <c r="J6" s="15"/>
      <c r="K6" s="15"/>
      <c r="L6" s="38"/>
      <c r="M6" s="15"/>
      <c r="N6" s="39"/>
    </row>
    <row r="7" ht="15.75" spans="1:14">
      <c r="A7" s="16"/>
      <c r="B7" s="17"/>
      <c r="C7" s="17"/>
      <c r="D7" s="17"/>
      <c r="E7" s="17"/>
      <c r="F7" s="17"/>
      <c r="G7" s="15"/>
      <c r="H7" s="18"/>
      <c r="I7" s="18"/>
      <c r="J7" s="15"/>
      <c r="K7" s="15"/>
      <c r="L7" s="15"/>
      <c r="M7" s="15"/>
      <c r="N7" s="39"/>
    </row>
    <row r="8" spans="1:14">
      <c r="A8" s="19" t="s">
        <v>46</v>
      </c>
      <c r="B8" s="20"/>
      <c r="C8" s="20"/>
      <c r="D8" s="20"/>
      <c r="E8" s="20"/>
      <c r="F8" s="20"/>
      <c r="G8" s="21" t="s">
        <v>156</v>
      </c>
      <c r="H8" s="22"/>
      <c r="I8" s="22"/>
      <c r="J8" s="21"/>
      <c r="K8" s="21"/>
      <c r="L8" s="21"/>
      <c r="M8" s="21"/>
      <c r="N8" s="40"/>
    </row>
    <row r="9" spans="1:14">
      <c r="A9" s="23"/>
      <c r="B9" s="24"/>
      <c r="C9" s="24"/>
      <c r="D9" s="24"/>
      <c r="E9" s="24"/>
      <c r="F9" s="24"/>
      <c r="G9" s="25"/>
      <c r="H9" s="26"/>
      <c r="I9" s="26"/>
      <c r="J9" s="25"/>
      <c r="K9" s="25"/>
      <c r="L9" s="25"/>
      <c r="M9" s="25"/>
      <c r="N9" s="25"/>
    </row>
    <row r="10" ht="14.25" spans="1:14">
      <c r="A10" s="27">
        <v>1.1</v>
      </c>
      <c r="B10" s="24"/>
      <c r="C10" s="24"/>
      <c r="D10" s="28" t="s">
        <v>158</v>
      </c>
      <c r="E10" s="29" t="s">
        <v>779</v>
      </c>
      <c r="F10" s="30" t="s">
        <v>780</v>
      </c>
      <c r="G10" s="31" t="s">
        <v>781</v>
      </c>
      <c r="H10" s="26" t="s">
        <v>782</v>
      </c>
      <c r="I10" s="26">
        <v>40.545</v>
      </c>
      <c r="J10" s="31"/>
      <c r="K10" s="31"/>
      <c r="L10" s="31"/>
      <c r="M10" s="31">
        <v>2050</v>
      </c>
      <c r="N10" s="31">
        <f>SUM(I10*M10)</f>
        <v>83117.25</v>
      </c>
    </row>
    <row r="11" spans="1:14">
      <c r="A11" s="23"/>
      <c r="B11" s="24"/>
      <c r="C11" s="24"/>
      <c r="D11" s="24"/>
      <c r="E11" s="24"/>
      <c r="F11" s="24"/>
      <c r="G11" s="32" t="s">
        <v>783</v>
      </c>
      <c r="H11" s="26"/>
      <c r="I11" s="26"/>
      <c r="J11" s="34"/>
      <c r="K11" s="34"/>
      <c r="L11" s="34"/>
      <c r="M11" s="34"/>
      <c r="N11" s="34"/>
    </row>
    <row r="12" ht="42.75" spans="1:14">
      <c r="A12" s="23"/>
      <c r="B12" s="24"/>
      <c r="C12" s="24"/>
      <c r="D12" s="24"/>
      <c r="E12" s="24"/>
      <c r="F12" s="24"/>
      <c r="G12" s="33" t="s">
        <v>784</v>
      </c>
      <c r="H12" s="26"/>
      <c r="I12" s="26"/>
      <c r="J12" s="33"/>
      <c r="K12" s="33"/>
      <c r="L12" s="33"/>
      <c r="M12" s="33"/>
      <c r="N12" s="33"/>
    </row>
    <row r="13" spans="1:14">
      <c r="A13" s="23"/>
      <c r="B13" s="24"/>
      <c r="C13" s="24"/>
      <c r="D13" s="24"/>
      <c r="E13" s="24"/>
      <c r="F13" s="24"/>
      <c r="G13" s="33" t="s">
        <v>785</v>
      </c>
      <c r="H13" s="26"/>
      <c r="I13" s="26"/>
      <c r="J13" s="33"/>
      <c r="K13" s="33"/>
      <c r="L13" s="33"/>
      <c r="M13" s="33"/>
      <c r="N13" s="33"/>
    </row>
    <row r="14" spans="1:14">
      <c r="A14" s="23"/>
      <c r="B14" s="24"/>
      <c r="C14" s="24"/>
      <c r="D14" s="24"/>
      <c r="E14" s="24"/>
      <c r="F14" s="24"/>
      <c r="G14" s="34" t="s">
        <v>786</v>
      </c>
      <c r="H14" s="26"/>
      <c r="I14" s="26"/>
      <c r="J14" s="34"/>
      <c r="K14" s="34"/>
      <c r="L14" s="34"/>
      <c r="M14" s="34"/>
      <c r="N14" s="34"/>
    </row>
    <row r="15" spans="1:14">
      <c r="A15" s="23"/>
      <c r="B15" s="24"/>
      <c r="C15" s="24"/>
      <c r="D15" s="24"/>
      <c r="E15" s="24"/>
      <c r="F15" s="24"/>
      <c r="G15" s="32" t="s">
        <v>787</v>
      </c>
      <c r="H15" s="26"/>
      <c r="I15" s="26"/>
      <c r="J15" s="34"/>
      <c r="K15" s="34"/>
      <c r="L15" s="34"/>
      <c r="M15" s="34"/>
      <c r="N15" s="34"/>
    </row>
    <row r="16" spans="1:14">
      <c r="A16" s="23"/>
      <c r="B16" s="24"/>
      <c r="C16" s="24"/>
      <c r="D16" s="24"/>
      <c r="E16" s="24"/>
      <c r="F16" s="24"/>
      <c r="G16" s="34" t="s">
        <v>788</v>
      </c>
      <c r="H16" s="26"/>
      <c r="I16" s="26"/>
      <c r="J16" s="34"/>
      <c r="K16" s="34"/>
      <c r="L16" s="34"/>
      <c r="M16" s="34"/>
      <c r="N16" s="34"/>
    </row>
    <row r="17" spans="1:14">
      <c r="A17" s="23"/>
      <c r="B17" s="24"/>
      <c r="C17" s="24"/>
      <c r="D17" s="24"/>
      <c r="E17" s="24"/>
      <c r="F17" s="24"/>
      <c r="G17" s="34" t="s">
        <v>789</v>
      </c>
      <c r="H17" s="26"/>
      <c r="I17" s="26"/>
      <c r="J17" s="34"/>
      <c r="K17" s="34"/>
      <c r="L17" s="34"/>
      <c r="M17" s="34"/>
      <c r="N17" s="34"/>
    </row>
    <row r="18" spans="1:14">
      <c r="A18" s="23"/>
      <c r="B18" s="24"/>
      <c r="C18" s="24"/>
      <c r="D18" s="24"/>
      <c r="E18" s="24"/>
      <c r="F18" s="24"/>
      <c r="G18" s="32" t="s">
        <v>790</v>
      </c>
      <c r="H18" s="26"/>
      <c r="I18" s="26"/>
      <c r="J18" s="34"/>
      <c r="K18" s="34"/>
      <c r="L18" s="34"/>
      <c r="M18" s="34"/>
      <c r="N18" s="34"/>
    </row>
    <row r="19" spans="1:14">
      <c r="A19" s="23"/>
      <c r="B19" s="24"/>
      <c r="C19" s="24"/>
      <c r="D19" s="24"/>
      <c r="E19" s="24"/>
      <c r="F19" s="24"/>
      <c r="G19" s="32" t="s">
        <v>791</v>
      </c>
      <c r="H19" s="26"/>
      <c r="I19" s="26"/>
      <c r="J19" s="32"/>
      <c r="K19" s="32"/>
      <c r="L19" s="32"/>
      <c r="M19" s="32"/>
      <c r="N19" s="32"/>
    </row>
    <row r="20" spans="1:14">
      <c r="A20" s="23"/>
      <c r="B20" s="24"/>
      <c r="C20" s="24"/>
      <c r="D20" s="24"/>
      <c r="E20" s="24"/>
      <c r="F20" s="24"/>
      <c r="G20" s="32" t="s">
        <v>792</v>
      </c>
      <c r="H20" s="26"/>
      <c r="I20" s="26"/>
      <c r="J20" s="32"/>
      <c r="K20" s="32"/>
      <c r="L20" s="32"/>
      <c r="M20" s="32"/>
      <c r="N20" s="32"/>
    </row>
    <row r="21" spans="1:14">
      <c r="A21" s="23"/>
      <c r="B21" s="24"/>
      <c r="C21" s="24"/>
      <c r="D21" s="24"/>
      <c r="E21" s="24"/>
      <c r="F21" s="24"/>
      <c r="G21" s="32"/>
      <c r="H21" s="26"/>
      <c r="I21" s="26"/>
      <c r="J21" s="32"/>
      <c r="K21" s="32"/>
      <c r="L21" s="32"/>
      <c r="M21" s="32"/>
      <c r="N21" s="32"/>
    </row>
    <row r="22" ht="14.25" spans="1:14">
      <c r="A22" s="27">
        <v>1.2</v>
      </c>
      <c r="B22" s="24"/>
      <c r="C22" s="24"/>
      <c r="D22" s="28" t="s">
        <v>158</v>
      </c>
      <c r="E22" s="29" t="s">
        <v>779</v>
      </c>
      <c r="F22" s="30" t="s">
        <v>780</v>
      </c>
      <c r="G22" s="31" t="s">
        <v>793</v>
      </c>
      <c r="H22" s="26" t="s">
        <v>782</v>
      </c>
      <c r="I22" s="26">
        <v>364.905</v>
      </c>
      <c r="J22" s="32"/>
      <c r="K22" s="32"/>
      <c r="L22" s="32"/>
      <c r="M22" s="32">
        <v>2250</v>
      </c>
      <c r="N22" s="31">
        <f>SUM(I22*M22)</f>
        <v>821036.25</v>
      </c>
    </row>
    <row r="23" spans="1:14">
      <c r="A23" s="23"/>
      <c r="B23" s="24"/>
      <c r="C23" s="24"/>
      <c r="D23" s="24"/>
      <c r="E23" s="24"/>
      <c r="F23" s="24"/>
      <c r="G23" s="32" t="s">
        <v>783</v>
      </c>
      <c r="H23" s="26"/>
      <c r="I23" s="26"/>
      <c r="J23" s="32"/>
      <c r="K23" s="32"/>
      <c r="L23" s="32"/>
      <c r="M23" s="32"/>
      <c r="N23" s="32"/>
    </row>
    <row r="24" ht="42.75" spans="1:14">
      <c r="A24" s="23"/>
      <c r="B24" s="24"/>
      <c r="C24" s="24"/>
      <c r="D24" s="24"/>
      <c r="E24" s="24"/>
      <c r="F24" s="24"/>
      <c r="G24" s="33" t="s">
        <v>794</v>
      </c>
      <c r="H24" s="26"/>
      <c r="I24" s="26"/>
      <c r="J24" s="32"/>
      <c r="K24" s="32"/>
      <c r="L24" s="32"/>
      <c r="M24" s="32"/>
      <c r="N24" s="32"/>
    </row>
    <row r="25" spans="1:14">
      <c r="A25" s="23"/>
      <c r="B25" s="24"/>
      <c r="C25" s="24"/>
      <c r="D25" s="24"/>
      <c r="E25" s="24"/>
      <c r="F25" s="24"/>
      <c r="G25" s="33" t="s">
        <v>785</v>
      </c>
      <c r="H25" s="26"/>
      <c r="I25" s="26"/>
      <c r="J25" s="32"/>
      <c r="K25" s="32"/>
      <c r="L25" s="32"/>
      <c r="M25" s="32"/>
      <c r="N25" s="32"/>
    </row>
    <row r="26" spans="1:14">
      <c r="A26" s="23"/>
      <c r="B26" s="24"/>
      <c r="C26" s="24"/>
      <c r="D26" s="24"/>
      <c r="E26" s="24"/>
      <c r="F26" s="24"/>
      <c r="G26" s="32" t="s">
        <v>795</v>
      </c>
      <c r="H26" s="26"/>
      <c r="I26" s="26"/>
      <c r="J26" s="32"/>
      <c r="K26" s="32"/>
      <c r="L26" s="32"/>
      <c r="M26" s="32"/>
      <c r="N26" s="32"/>
    </row>
    <row r="27" spans="1:14">
      <c r="A27" s="23"/>
      <c r="B27" s="24"/>
      <c r="C27" s="24"/>
      <c r="D27" s="24"/>
      <c r="E27" s="24"/>
      <c r="F27" s="24"/>
      <c r="G27" s="32" t="s">
        <v>787</v>
      </c>
      <c r="H27" s="26"/>
      <c r="I27" s="26"/>
      <c r="J27" s="32"/>
      <c r="K27" s="32"/>
      <c r="L27" s="32"/>
      <c r="M27" s="32"/>
      <c r="N27" s="32"/>
    </row>
    <row r="28" spans="1:14">
      <c r="A28" s="23"/>
      <c r="B28" s="24"/>
      <c r="C28" s="24"/>
      <c r="D28" s="24"/>
      <c r="E28" s="24"/>
      <c r="F28" s="24"/>
      <c r="G28" s="34" t="s">
        <v>788</v>
      </c>
      <c r="H28" s="26"/>
      <c r="I28" s="26"/>
      <c r="J28" s="32"/>
      <c r="K28" s="32"/>
      <c r="L28" s="32"/>
      <c r="M28" s="32"/>
      <c r="N28" s="32"/>
    </row>
    <row r="29" spans="1:14">
      <c r="A29" s="23"/>
      <c r="B29" s="24"/>
      <c r="C29" s="24"/>
      <c r="D29" s="24"/>
      <c r="E29" s="24"/>
      <c r="F29" s="24"/>
      <c r="G29" s="34" t="s">
        <v>789</v>
      </c>
      <c r="H29" s="26"/>
      <c r="I29" s="26"/>
      <c r="J29" s="32"/>
      <c r="K29" s="32"/>
      <c r="L29" s="32"/>
      <c r="M29" s="32"/>
      <c r="N29" s="32"/>
    </row>
    <row r="30" spans="1:14">
      <c r="A30" s="23"/>
      <c r="B30" s="24"/>
      <c r="C30" s="24"/>
      <c r="D30" s="24"/>
      <c r="E30" s="24"/>
      <c r="F30" s="24"/>
      <c r="G30" s="32" t="s">
        <v>790</v>
      </c>
      <c r="H30" s="26"/>
      <c r="I30" s="26"/>
      <c r="J30" s="32"/>
      <c r="K30" s="32"/>
      <c r="L30" s="32"/>
      <c r="M30" s="32"/>
      <c r="N30" s="32"/>
    </row>
    <row r="31" spans="1:14">
      <c r="A31" s="23"/>
      <c r="B31" s="24"/>
      <c r="C31" s="24"/>
      <c r="D31" s="24"/>
      <c r="E31" s="24"/>
      <c r="F31" s="24"/>
      <c r="G31" s="32" t="s">
        <v>791</v>
      </c>
      <c r="H31" s="26"/>
      <c r="I31" s="26"/>
      <c r="J31" s="32"/>
      <c r="K31" s="32"/>
      <c r="L31" s="32"/>
      <c r="M31" s="32"/>
      <c r="N31" s="32"/>
    </row>
    <row r="32" spans="1:14">
      <c r="A32" s="23"/>
      <c r="B32" s="24"/>
      <c r="C32" s="24"/>
      <c r="D32" s="24"/>
      <c r="E32" s="24"/>
      <c r="F32" s="24"/>
      <c r="G32" s="32" t="s">
        <v>792</v>
      </c>
      <c r="H32" s="26"/>
      <c r="I32" s="26"/>
      <c r="J32" s="32"/>
      <c r="K32" s="32"/>
      <c r="L32" s="32"/>
      <c r="M32" s="32"/>
      <c r="N32" s="32"/>
    </row>
    <row r="33" spans="1:14">
      <c r="A33" s="23"/>
      <c r="B33" s="24"/>
      <c r="C33" s="24"/>
      <c r="D33" s="24"/>
      <c r="E33" s="24"/>
      <c r="F33" s="24"/>
      <c r="G33" s="32"/>
      <c r="H33" s="26"/>
      <c r="I33" s="26"/>
      <c r="J33" s="32"/>
      <c r="K33" s="32"/>
      <c r="L33" s="32"/>
      <c r="M33" s="32"/>
      <c r="N33" s="32"/>
    </row>
    <row r="34" ht="14.25" spans="1:14">
      <c r="A34" s="27">
        <v>1.3</v>
      </c>
      <c r="B34" s="24"/>
      <c r="C34" s="24"/>
      <c r="D34" s="28" t="s">
        <v>158</v>
      </c>
      <c r="E34" s="29" t="s">
        <v>779</v>
      </c>
      <c r="F34" s="30" t="s">
        <v>780</v>
      </c>
      <c r="G34" s="31" t="s">
        <v>796</v>
      </c>
      <c r="H34" s="26" t="s">
        <v>782</v>
      </c>
      <c r="I34" s="26">
        <v>13.85</v>
      </c>
      <c r="J34" s="32"/>
      <c r="K34" s="32"/>
      <c r="L34" s="32"/>
      <c r="M34" s="32">
        <v>1850</v>
      </c>
      <c r="N34" s="31">
        <f>SUM(I34*M34)</f>
        <v>25622.5</v>
      </c>
    </row>
    <row r="35" ht="42.75" spans="1:14">
      <c r="A35" s="23"/>
      <c r="B35" s="24"/>
      <c r="C35" s="24"/>
      <c r="D35" s="24"/>
      <c r="E35" s="24"/>
      <c r="F35" s="24"/>
      <c r="G35" s="33" t="s">
        <v>797</v>
      </c>
      <c r="H35" s="26"/>
      <c r="I35" s="26"/>
      <c r="J35" s="32"/>
      <c r="K35" s="32"/>
      <c r="L35" s="32"/>
      <c r="M35" s="32"/>
      <c r="N35" s="32"/>
    </row>
    <row r="36" spans="1:14">
      <c r="A36" s="23"/>
      <c r="B36" s="24"/>
      <c r="C36" s="24"/>
      <c r="D36" s="24"/>
      <c r="E36" s="24"/>
      <c r="F36" s="24"/>
      <c r="G36" s="33" t="s">
        <v>785</v>
      </c>
      <c r="H36" s="26"/>
      <c r="I36" s="26"/>
      <c r="J36" s="32"/>
      <c r="K36" s="32"/>
      <c r="L36" s="32"/>
      <c r="M36" s="32"/>
      <c r="N36" s="32"/>
    </row>
    <row r="37" spans="1:14">
      <c r="A37" s="23"/>
      <c r="B37" s="24"/>
      <c r="C37" s="24"/>
      <c r="D37" s="24"/>
      <c r="E37" s="24"/>
      <c r="F37" s="24"/>
      <c r="G37" s="34" t="s">
        <v>786</v>
      </c>
      <c r="H37" s="26"/>
      <c r="I37" s="26"/>
      <c r="J37" s="32"/>
      <c r="K37" s="32"/>
      <c r="L37" s="32"/>
      <c r="M37" s="32"/>
      <c r="N37" s="32"/>
    </row>
    <row r="38" spans="1:14">
      <c r="A38" s="23"/>
      <c r="B38" s="24"/>
      <c r="C38" s="24"/>
      <c r="D38" s="24"/>
      <c r="E38" s="24"/>
      <c r="F38" s="24"/>
      <c r="G38" s="34" t="s">
        <v>787</v>
      </c>
      <c r="H38" s="26"/>
      <c r="I38" s="26"/>
      <c r="J38" s="32"/>
      <c r="K38" s="32"/>
      <c r="L38" s="32"/>
      <c r="M38" s="32"/>
      <c r="N38" s="32"/>
    </row>
    <row r="39" spans="1:14">
      <c r="A39" s="23"/>
      <c r="B39" s="24"/>
      <c r="C39" s="24"/>
      <c r="D39" s="24"/>
      <c r="E39" s="24"/>
      <c r="F39" s="24"/>
      <c r="G39" s="34" t="s">
        <v>788</v>
      </c>
      <c r="H39" s="26"/>
      <c r="I39" s="26"/>
      <c r="J39" s="32"/>
      <c r="K39" s="32"/>
      <c r="L39" s="32"/>
      <c r="M39" s="32"/>
      <c r="N39" s="32"/>
    </row>
    <row r="40" spans="1:14">
      <c r="A40" s="23"/>
      <c r="B40" s="24"/>
      <c r="C40" s="24"/>
      <c r="D40" s="24"/>
      <c r="E40" s="24"/>
      <c r="F40" s="24"/>
      <c r="G40" s="34" t="s">
        <v>789</v>
      </c>
      <c r="H40" s="26"/>
      <c r="I40" s="26"/>
      <c r="J40" s="32"/>
      <c r="K40" s="32"/>
      <c r="L40" s="32"/>
      <c r="M40" s="32"/>
      <c r="N40" s="32"/>
    </row>
    <row r="41" spans="1:14">
      <c r="A41" s="23"/>
      <c r="B41" s="24"/>
      <c r="C41" s="24"/>
      <c r="D41" s="24"/>
      <c r="E41" s="24"/>
      <c r="F41" s="24"/>
      <c r="G41" s="32" t="s">
        <v>790</v>
      </c>
      <c r="H41" s="26"/>
      <c r="I41" s="26"/>
      <c r="J41" s="32"/>
      <c r="K41" s="32"/>
      <c r="L41" s="32"/>
      <c r="M41" s="32"/>
      <c r="N41" s="32"/>
    </row>
    <row r="42" spans="1:14">
      <c r="A42" s="23"/>
      <c r="B42" s="24"/>
      <c r="C42" s="24"/>
      <c r="D42" s="24"/>
      <c r="E42" s="24"/>
      <c r="F42" s="24"/>
      <c r="G42" s="32" t="s">
        <v>791</v>
      </c>
      <c r="H42" s="26"/>
      <c r="I42" s="26"/>
      <c r="J42" s="32"/>
      <c r="K42" s="32"/>
      <c r="L42" s="32"/>
      <c r="M42" s="32"/>
      <c r="N42" s="32"/>
    </row>
    <row r="43" spans="1:14">
      <c r="A43" s="23"/>
      <c r="B43" s="24"/>
      <c r="C43" s="24"/>
      <c r="D43" s="24"/>
      <c r="E43" s="24"/>
      <c r="F43" s="24"/>
      <c r="G43" s="32" t="s">
        <v>792</v>
      </c>
      <c r="H43" s="26"/>
      <c r="I43" s="26"/>
      <c r="J43" s="25"/>
      <c r="K43" s="25"/>
      <c r="L43" s="25"/>
      <c r="M43" s="25"/>
      <c r="N43" s="25"/>
    </row>
    <row r="44" spans="1:14">
      <c r="A44" s="23"/>
      <c r="B44" s="24"/>
      <c r="C44" s="24"/>
      <c r="D44" s="24"/>
      <c r="E44" s="24"/>
      <c r="F44" s="24"/>
      <c r="G44" s="32"/>
      <c r="H44" s="26"/>
      <c r="I44" s="26"/>
      <c r="J44" s="25"/>
      <c r="K44" s="25"/>
      <c r="L44" s="25"/>
      <c r="M44" s="25"/>
      <c r="N44" s="25"/>
    </row>
    <row r="45" ht="14.25" spans="1:14">
      <c r="A45" s="27">
        <v>1.4</v>
      </c>
      <c r="B45" s="24"/>
      <c r="C45" s="24"/>
      <c r="D45" s="28" t="s">
        <v>158</v>
      </c>
      <c r="E45" s="29" t="s">
        <v>779</v>
      </c>
      <c r="F45" s="30" t="s">
        <v>780</v>
      </c>
      <c r="G45" s="31" t="s">
        <v>798</v>
      </c>
      <c r="H45" s="26"/>
      <c r="I45" s="26">
        <v>124.65</v>
      </c>
      <c r="J45" s="31"/>
      <c r="K45" s="31"/>
      <c r="L45" s="31"/>
      <c r="M45" s="31">
        <v>1850</v>
      </c>
      <c r="N45" s="31">
        <f>SUM(I45*M45)</f>
        <v>230602.5</v>
      </c>
    </row>
    <row r="46" spans="1:14">
      <c r="A46" s="23"/>
      <c r="B46" s="24"/>
      <c r="C46" s="24"/>
      <c r="D46" s="24"/>
      <c r="E46" s="24"/>
      <c r="F46" s="24"/>
      <c r="G46" s="32" t="s">
        <v>783</v>
      </c>
      <c r="H46" s="26"/>
      <c r="I46" s="26"/>
      <c r="J46" s="34"/>
      <c r="K46" s="34"/>
      <c r="L46" s="34"/>
      <c r="M46" s="34"/>
      <c r="N46" s="34"/>
    </row>
    <row r="47" ht="42.75" spans="1:14">
      <c r="A47" s="23"/>
      <c r="B47" s="24"/>
      <c r="C47" s="24"/>
      <c r="D47" s="24"/>
      <c r="E47" s="24"/>
      <c r="F47" s="24"/>
      <c r="G47" s="33" t="s">
        <v>799</v>
      </c>
      <c r="H47" s="26"/>
      <c r="I47" s="26"/>
      <c r="J47" s="32"/>
      <c r="K47" s="32"/>
      <c r="L47" s="32"/>
      <c r="M47" s="32"/>
      <c r="N47" s="32"/>
    </row>
    <row r="48" spans="1:14">
      <c r="A48" s="23"/>
      <c r="B48" s="24"/>
      <c r="C48" s="24"/>
      <c r="D48" s="24"/>
      <c r="E48" s="24"/>
      <c r="F48" s="24"/>
      <c r="G48" s="33" t="s">
        <v>785</v>
      </c>
      <c r="H48" s="26"/>
      <c r="I48" s="26"/>
      <c r="J48" s="34"/>
      <c r="K48" s="34"/>
      <c r="L48" s="34"/>
      <c r="M48" s="34"/>
      <c r="N48" s="34"/>
    </row>
    <row r="49" spans="1:14">
      <c r="A49" s="23"/>
      <c r="B49" s="24"/>
      <c r="C49" s="24"/>
      <c r="D49" s="24"/>
      <c r="E49" s="24"/>
      <c r="F49" s="24"/>
      <c r="G49" s="34" t="s">
        <v>786</v>
      </c>
      <c r="H49" s="26"/>
      <c r="I49" s="26"/>
      <c r="J49" s="34"/>
      <c r="K49" s="34"/>
      <c r="L49" s="34"/>
      <c r="M49" s="34"/>
      <c r="N49" s="34"/>
    </row>
    <row r="50" spans="1:14">
      <c r="A50" s="23"/>
      <c r="B50" s="24"/>
      <c r="C50" s="24"/>
      <c r="D50" s="24"/>
      <c r="E50" s="24"/>
      <c r="F50" s="24"/>
      <c r="G50" s="34" t="s">
        <v>787</v>
      </c>
      <c r="H50" s="26"/>
      <c r="I50" s="26"/>
      <c r="J50" s="34"/>
      <c r="K50" s="34"/>
      <c r="L50" s="34"/>
      <c r="M50" s="34"/>
      <c r="N50" s="34"/>
    </row>
    <row r="51" spans="1:14">
      <c r="A51" s="23"/>
      <c r="B51" s="24"/>
      <c r="C51" s="24"/>
      <c r="D51" s="24"/>
      <c r="E51" s="24"/>
      <c r="F51" s="24"/>
      <c r="G51" s="34" t="s">
        <v>788</v>
      </c>
      <c r="H51" s="26"/>
      <c r="I51" s="26"/>
      <c r="J51" s="34"/>
      <c r="K51" s="34"/>
      <c r="L51" s="34"/>
      <c r="M51" s="34"/>
      <c r="N51" s="34"/>
    </row>
    <row r="52" spans="1:14">
      <c r="A52" s="23"/>
      <c r="B52" s="24"/>
      <c r="C52" s="24"/>
      <c r="D52" s="24"/>
      <c r="E52" s="24"/>
      <c r="F52" s="24"/>
      <c r="G52" s="34" t="s">
        <v>789</v>
      </c>
      <c r="H52" s="26"/>
      <c r="I52" s="26"/>
      <c r="J52" s="34"/>
      <c r="K52" s="34"/>
      <c r="L52" s="34"/>
      <c r="M52" s="34"/>
      <c r="N52" s="34"/>
    </row>
    <row r="53" spans="1:14">
      <c r="A53" s="23"/>
      <c r="B53" s="24"/>
      <c r="C53" s="24"/>
      <c r="D53" s="24"/>
      <c r="E53" s="24"/>
      <c r="F53" s="24"/>
      <c r="G53" s="32" t="s">
        <v>790</v>
      </c>
      <c r="H53" s="26"/>
      <c r="I53" s="26"/>
      <c r="J53" s="34"/>
      <c r="K53" s="34"/>
      <c r="L53" s="34"/>
      <c r="M53" s="34"/>
      <c r="N53" s="34"/>
    </row>
    <row r="54" spans="1:14">
      <c r="A54" s="23"/>
      <c r="B54" s="24"/>
      <c r="C54" s="24"/>
      <c r="D54" s="24"/>
      <c r="E54" s="24"/>
      <c r="F54" s="24"/>
      <c r="G54" s="32" t="s">
        <v>791</v>
      </c>
      <c r="H54" s="26"/>
      <c r="I54" s="26"/>
      <c r="J54" s="32"/>
      <c r="K54" s="32"/>
      <c r="L54" s="32"/>
      <c r="M54" s="32"/>
      <c r="N54" s="32"/>
    </row>
    <row r="55" spans="1:14">
      <c r="A55" s="23"/>
      <c r="B55" s="35"/>
      <c r="C55" s="35"/>
      <c r="D55" s="35"/>
      <c r="E55" s="35"/>
      <c r="F55" s="35"/>
      <c r="G55" s="32" t="s">
        <v>792</v>
      </c>
      <c r="H55" s="26"/>
      <c r="I55" s="26"/>
      <c r="J55" s="36"/>
      <c r="K55" s="36"/>
      <c r="L55" s="36"/>
      <c r="M55" s="36"/>
      <c r="N55" s="36"/>
    </row>
    <row r="56" spans="1:14">
      <c r="A56" s="23"/>
      <c r="B56" s="35"/>
      <c r="C56" s="35"/>
      <c r="D56" s="35"/>
      <c r="E56" s="35"/>
      <c r="F56" s="35"/>
      <c r="G56" s="32"/>
      <c r="H56" s="26"/>
      <c r="I56" s="26"/>
      <c r="J56" s="36"/>
      <c r="K56" s="36"/>
      <c r="L56" s="36"/>
      <c r="M56" s="36"/>
      <c r="N56" s="36"/>
    </row>
    <row r="57" ht="14.25" spans="1:14">
      <c r="A57" s="27">
        <v>1.5</v>
      </c>
      <c r="B57" s="24"/>
      <c r="C57" s="24"/>
      <c r="D57" s="28" t="s">
        <v>158</v>
      </c>
      <c r="E57" s="29" t="s">
        <v>779</v>
      </c>
      <c r="F57" s="30" t="s">
        <v>780</v>
      </c>
      <c r="G57" s="36" t="s">
        <v>800</v>
      </c>
      <c r="H57" s="26" t="s">
        <v>130</v>
      </c>
      <c r="I57" s="41">
        <v>193.32</v>
      </c>
      <c r="J57" s="36"/>
      <c r="K57" s="36"/>
      <c r="L57" s="36"/>
      <c r="M57" s="36">
        <v>1800</v>
      </c>
      <c r="N57" s="31">
        <f>SUM(I57*M57)</f>
        <v>347976</v>
      </c>
    </row>
    <row r="58" spans="1:14">
      <c r="A58" s="23"/>
      <c r="B58" s="24" t="s">
        <v>801</v>
      </c>
      <c r="C58" s="24"/>
      <c r="D58" s="24"/>
      <c r="E58" s="24"/>
      <c r="F58" s="24"/>
      <c r="G58" s="32" t="s">
        <v>783</v>
      </c>
      <c r="H58" s="26"/>
      <c r="I58" s="26"/>
      <c r="J58" s="36"/>
      <c r="K58" s="36"/>
      <c r="L58" s="36"/>
      <c r="M58" s="36"/>
      <c r="N58" s="36"/>
    </row>
    <row r="59" ht="42.75" spans="1:14">
      <c r="A59" s="23"/>
      <c r="B59" s="24" t="s">
        <v>801</v>
      </c>
      <c r="C59" s="24"/>
      <c r="D59" s="24"/>
      <c r="E59" s="24"/>
      <c r="F59" s="24"/>
      <c r="G59" s="33" t="s">
        <v>802</v>
      </c>
      <c r="H59" s="26"/>
      <c r="I59" s="26"/>
      <c r="J59" s="36"/>
      <c r="K59" s="36"/>
      <c r="L59" s="36"/>
      <c r="M59" s="36"/>
      <c r="N59" s="36"/>
    </row>
    <row r="60" spans="1:14">
      <c r="A60" s="23"/>
      <c r="B60" s="24" t="s">
        <v>801</v>
      </c>
      <c r="C60" s="24"/>
      <c r="D60" s="24"/>
      <c r="E60" s="24"/>
      <c r="F60" s="24"/>
      <c r="G60" s="33" t="s">
        <v>785</v>
      </c>
      <c r="H60" s="26"/>
      <c r="I60" s="26"/>
      <c r="J60" s="36"/>
      <c r="K60" s="36"/>
      <c r="L60" s="36"/>
      <c r="M60" s="36"/>
      <c r="N60" s="36"/>
    </row>
    <row r="61" spans="1:14">
      <c r="A61" s="23"/>
      <c r="B61" s="24" t="s">
        <v>801</v>
      </c>
      <c r="C61" s="24"/>
      <c r="D61" s="24"/>
      <c r="E61" s="24"/>
      <c r="F61" s="24"/>
      <c r="G61" s="32" t="s">
        <v>803</v>
      </c>
      <c r="H61" s="26"/>
      <c r="I61" s="26"/>
      <c r="J61" s="36"/>
      <c r="K61" s="36"/>
      <c r="L61" s="36"/>
      <c r="M61" s="36"/>
      <c r="N61" s="36"/>
    </row>
    <row r="62" spans="1:14">
      <c r="A62" s="23"/>
      <c r="B62" s="24" t="s">
        <v>801</v>
      </c>
      <c r="C62" s="24"/>
      <c r="D62" s="24"/>
      <c r="E62" s="24"/>
      <c r="F62" s="24"/>
      <c r="G62" s="32" t="s">
        <v>787</v>
      </c>
      <c r="H62" s="26"/>
      <c r="I62" s="26"/>
      <c r="J62" s="36"/>
      <c r="K62" s="36"/>
      <c r="L62" s="36"/>
      <c r="M62" s="36"/>
      <c r="N62" s="36"/>
    </row>
    <row r="63" spans="1:14">
      <c r="A63" s="23"/>
      <c r="B63" s="24" t="s">
        <v>801</v>
      </c>
      <c r="C63" s="24"/>
      <c r="D63" s="24"/>
      <c r="E63" s="24"/>
      <c r="F63" s="24"/>
      <c r="G63" s="34" t="s">
        <v>788</v>
      </c>
      <c r="H63" s="26"/>
      <c r="I63" s="26"/>
      <c r="J63" s="36"/>
      <c r="K63" s="36"/>
      <c r="L63" s="36"/>
      <c r="M63" s="36"/>
      <c r="N63" s="36"/>
    </row>
    <row r="64" spans="1:14">
      <c r="A64" s="23"/>
      <c r="B64" s="24" t="s">
        <v>801</v>
      </c>
      <c r="C64" s="24"/>
      <c r="D64" s="24"/>
      <c r="E64" s="24"/>
      <c r="F64" s="24"/>
      <c r="G64" s="34" t="s">
        <v>789</v>
      </c>
      <c r="H64" s="26"/>
      <c r="I64" s="26"/>
      <c r="J64" s="42"/>
      <c r="K64" s="42"/>
      <c r="L64" s="42"/>
      <c r="M64" s="42"/>
      <c r="N64" s="42"/>
    </row>
    <row r="65" spans="1:14">
      <c r="A65" s="23"/>
      <c r="B65" s="24"/>
      <c r="C65" s="24"/>
      <c r="D65" s="24"/>
      <c r="E65" s="24"/>
      <c r="F65" s="24"/>
      <c r="G65" s="32" t="s">
        <v>790</v>
      </c>
      <c r="H65" s="26"/>
      <c r="I65" s="26"/>
      <c r="J65" s="42"/>
      <c r="K65" s="42"/>
      <c r="L65" s="42"/>
      <c r="M65" s="42"/>
      <c r="N65" s="42"/>
    </row>
    <row r="66" spans="1:14">
      <c r="A66" s="23"/>
      <c r="B66" s="24"/>
      <c r="C66" s="24"/>
      <c r="D66" s="24"/>
      <c r="E66" s="24"/>
      <c r="F66" s="24"/>
      <c r="G66" s="32" t="s">
        <v>791</v>
      </c>
      <c r="H66" s="26"/>
      <c r="I66" s="26"/>
      <c r="J66" s="42"/>
      <c r="K66" s="42"/>
      <c r="L66" s="42"/>
      <c r="M66" s="42"/>
      <c r="N66" s="42"/>
    </row>
    <row r="67" spans="1:14">
      <c r="A67" s="23"/>
      <c r="B67" s="24"/>
      <c r="C67" s="24"/>
      <c r="D67" s="24"/>
      <c r="E67" s="24"/>
      <c r="F67" s="24"/>
      <c r="G67" s="32" t="s">
        <v>792</v>
      </c>
      <c r="H67" s="26"/>
      <c r="I67" s="26"/>
      <c r="J67" s="42"/>
      <c r="K67" s="42"/>
      <c r="L67" s="42"/>
      <c r="M67" s="42"/>
      <c r="N67" s="42"/>
    </row>
    <row r="68" spans="1:14">
      <c r="A68" s="23"/>
      <c r="B68" s="24"/>
      <c r="C68" s="24"/>
      <c r="D68" s="24"/>
      <c r="E68" s="24"/>
      <c r="F68" s="24"/>
      <c r="G68" s="42"/>
      <c r="H68" s="26"/>
      <c r="I68" s="26"/>
      <c r="J68" s="42"/>
      <c r="K68" s="42"/>
      <c r="L68" s="42"/>
      <c r="M68" s="42"/>
      <c r="N68" s="42"/>
    </row>
    <row r="69" ht="14.25" spans="1:14">
      <c r="A69" s="27">
        <v>1.6</v>
      </c>
      <c r="B69" s="24"/>
      <c r="C69" s="24"/>
      <c r="D69" s="28" t="s">
        <v>158</v>
      </c>
      <c r="E69" s="29" t="s">
        <v>804</v>
      </c>
      <c r="F69" s="30" t="s">
        <v>805</v>
      </c>
      <c r="G69" s="36" t="s">
        <v>806</v>
      </c>
      <c r="H69" s="26"/>
      <c r="I69" s="41"/>
      <c r="J69" s="36"/>
      <c r="K69" s="36"/>
      <c r="L69" s="36"/>
      <c r="M69" s="36"/>
      <c r="N69" s="36"/>
    </row>
    <row r="70" ht="42.75" spans="1:14">
      <c r="A70" s="23"/>
      <c r="B70" s="24"/>
      <c r="C70" s="24"/>
      <c r="D70" s="24"/>
      <c r="E70" s="24"/>
      <c r="F70" s="24"/>
      <c r="G70" s="43" t="s">
        <v>807</v>
      </c>
      <c r="H70" s="26"/>
      <c r="I70" s="26"/>
      <c r="J70" s="36"/>
      <c r="K70" s="36"/>
      <c r="L70" s="36"/>
      <c r="M70" s="36"/>
      <c r="N70" s="36"/>
    </row>
    <row r="71" spans="1:14">
      <c r="A71" s="23"/>
      <c r="B71" s="24"/>
      <c r="C71" s="24"/>
      <c r="D71" s="24"/>
      <c r="E71" s="24"/>
      <c r="F71" s="24"/>
      <c r="G71" s="32" t="s">
        <v>808</v>
      </c>
      <c r="H71" s="26"/>
      <c r="I71" s="26"/>
      <c r="J71" s="36"/>
      <c r="K71" s="36"/>
      <c r="L71" s="36"/>
      <c r="M71" s="36"/>
      <c r="N71" s="36"/>
    </row>
    <row r="72" spans="1:14">
      <c r="A72" s="23"/>
      <c r="B72" s="24"/>
      <c r="C72" s="24"/>
      <c r="D72" s="24"/>
      <c r="E72" s="24"/>
      <c r="F72" s="24"/>
      <c r="G72" s="32" t="s">
        <v>809</v>
      </c>
      <c r="H72" s="26"/>
      <c r="I72" s="26"/>
      <c r="J72" s="36"/>
      <c r="K72" s="36"/>
      <c r="L72" s="36"/>
      <c r="M72" s="36"/>
      <c r="N72" s="36"/>
    </row>
    <row r="73" spans="1:14">
      <c r="A73" s="23"/>
      <c r="B73" s="24"/>
      <c r="C73" s="24"/>
      <c r="D73" s="24"/>
      <c r="E73" s="24"/>
      <c r="F73" s="24"/>
      <c r="G73" s="32" t="s">
        <v>810</v>
      </c>
      <c r="H73" s="26"/>
      <c r="I73" s="26"/>
      <c r="J73" s="36"/>
      <c r="K73" s="36"/>
      <c r="L73" s="36"/>
      <c r="M73" s="36"/>
      <c r="N73" s="36"/>
    </row>
    <row r="74" spans="1:14">
      <c r="A74" s="23"/>
      <c r="B74" s="24"/>
      <c r="C74" s="24"/>
      <c r="D74" s="24"/>
      <c r="E74" s="24"/>
      <c r="F74" s="24"/>
      <c r="G74" s="32" t="s">
        <v>811</v>
      </c>
      <c r="H74" s="26"/>
      <c r="I74" s="26"/>
      <c r="J74" s="36"/>
      <c r="K74" s="36"/>
      <c r="L74" s="36"/>
      <c r="M74" s="36"/>
      <c r="N74" s="36"/>
    </row>
    <row r="75" spans="1:14">
      <c r="A75" s="23"/>
      <c r="B75" s="24"/>
      <c r="C75" s="24"/>
      <c r="D75" s="24"/>
      <c r="E75" s="24"/>
      <c r="F75" s="24"/>
      <c r="G75" s="32" t="s">
        <v>812</v>
      </c>
      <c r="H75" s="26"/>
      <c r="I75" s="26"/>
      <c r="J75" s="36"/>
      <c r="K75" s="36"/>
      <c r="L75" s="36"/>
      <c r="M75" s="36"/>
      <c r="N75" s="36"/>
    </row>
    <row r="76" spans="1:14">
      <c r="A76" s="23"/>
      <c r="B76" s="24"/>
      <c r="C76" s="24"/>
      <c r="D76" s="24"/>
      <c r="E76" s="24"/>
      <c r="F76" s="24"/>
      <c r="G76" s="32" t="s">
        <v>813</v>
      </c>
      <c r="H76" s="26"/>
      <c r="I76" s="26"/>
      <c r="J76" s="36"/>
      <c r="K76" s="36"/>
      <c r="L76" s="36"/>
      <c r="M76" s="36"/>
      <c r="N76" s="36"/>
    </row>
    <row r="77" spans="1:14">
      <c r="A77" s="23"/>
      <c r="B77" s="24"/>
      <c r="C77" s="24"/>
      <c r="D77" s="24"/>
      <c r="E77" s="24"/>
      <c r="F77" s="24"/>
      <c r="G77" s="32" t="s">
        <v>814</v>
      </c>
      <c r="H77" s="26"/>
      <c r="I77" s="26"/>
      <c r="J77" s="36"/>
      <c r="K77" s="36"/>
      <c r="L77" s="36"/>
      <c r="M77" s="36"/>
      <c r="N77" s="36"/>
    </row>
    <row r="78" spans="1:14">
      <c r="A78" s="23"/>
      <c r="B78" s="24"/>
      <c r="C78" s="24"/>
      <c r="D78" s="24"/>
      <c r="E78" s="24"/>
      <c r="F78" s="24"/>
      <c r="G78" s="32" t="s">
        <v>792</v>
      </c>
      <c r="H78" s="26"/>
      <c r="I78" s="26"/>
      <c r="J78" s="36"/>
      <c r="K78" s="36"/>
      <c r="L78" s="36"/>
      <c r="M78" s="36"/>
      <c r="N78" s="36"/>
    </row>
    <row r="79" spans="1:14">
      <c r="A79" s="23"/>
      <c r="B79" s="24" t="s">
        <v>209</v>
      </c>
      <c r="C79" s="24"/>
      <c r="D79" s="24"/>
      <c r="E79" s="24"/>
      <c r="F79" s="24"/>
      <c r="G79" s="44" t="s">
        <v>815</v>
      </c>
      <c r="H79" s="26" t="s">
        <v>130</v>
      </c>
      <c r="I79" s="41">
        <v>55</v>
      </c>
      <c r="J79" s="44"/>
      <c r="K79" s="44"/>
      <c r="L79" s="44"/>
      <c r="M79" s="44">
        <v>1800</v>
      </c>
      <c r="N79" s="31">
        <f t="shared" ref="N79:N81" si="0">SUM(I79*M79)</f>
        <v>99000</v>
      </c>
    </row>
    <row r="80" spans="1:14">
      <c r="A80" s="23"/>
      <c r="B80" s="24" t="s">
        <v>211</v>
      </c>
      <c r="C80" s="24"/>
      <c r="D80" s="24"/>
      <c r="E80" s="24"/>
      <c r="F80" s="24"/>
      <c r="G80" s="44" t="s">
        <v>816</v>
      </c>
      <c r="H80" s="26" t="s">
        <v>130</v>
      </c>
      <c r="I80" s="41">
        <v>5</v>
      </c>
      <c r="J80" s="44"/>
      <c r="K80" s="44"/>
      <c r="L80" s="44"/>
      <c r="M80" s="44">
        <v>2350</v>
      </c>
      <c r="N80" s="31">
        <f t="shared" si="0"/>
        <v>11750</v>
      </c>
    </row>
    <row r="81" spans="1:14">
      <c r="A81" s="23"/>
      <c r="B81" s="24" t="s">
        <v>213</v>
      </c>
      <c r="C81" s="24"/>
      <c r="D81" s="24"/>
      <c r="E81" s="24"/>
      <c r="F81" s="24"/>
      <c r="G81" s="44" t="s">
        <v>817</v>
      </c>
      <c r="H81" s="26" t="s">
        <v>130</v>
      </c>
      <c r="I81" s="41">
        <v>110</v>
      </c>
      <c r="J81" s="44"/>
      <c r="K81" s="44"/>
      <c r="L81" s="44"/>
      <c r="M81" s="44">
        <v>2550</v>
      </c>
      <c r="N81" s="31">
        <f t="shared" si="0"/>
        <v>280500</v>
      </c>
    </row>
    <row r="82" spans="1:14">
      <c r="A82" s="23"/>
      <c r="B82" s="24"/>
      <c r="C82" s="24"/>
      <c r="D82" s="24"/>
      <c r="E82" s="24"/>
      <c r="F82" s="24"/>
      <c r="G82" s="36"/>
      <c r="H82" s="26"/>
      <c r="I82" s="26"/>
      <c r="J82" s="36"/>
      <c r="K82" s="36"/>
      <c r="L82" s="36"/>
      <c r="M82" s="36"/>
      <c r="N82" s="36"/>
    </row>
    <row r="83" ht="14.25" spans="1:14">
      <c r="A83" s="27">
        <v>1.7</v>
      </c>
      <c r="B83" s="24"/>
      <c r="C83" s="24"/>
      <c r="D83" s="28" t="s">
        <v>158</v>
      </c>
      <c r="E83" s="29" t="s">
        <v>818</v>
      </c>
      <c r="F83" s="30" t="s">
        <v>819</v>
      </c>
      <c r="G83" s="36" t="s">
        <v>647</v>
      </c>
      <c r="H83" s="26"/>
      <c r="I83" s="41"/>
      <c r="J83" s="36"/>
      <c r="K83" s="36"/>
      <c r="L83" s="36"/>
      <c r="M83" s="36"/>
      <c r="N83" s="36"/>
    </row>
    <row r="84" spans="1:14">
      <c r="A84" s="23"/>
      <c r="B84" s="24" t="s">
        <v>801</v>
      </c>
      <c r="C84" s="24"/>
      <c r="D84" s="24"/>
      <c r="E84" s="24"/>
      <c r="F84" s="24"/>
      <c r="G84" s="36" t="s">
        <v>808</v>
      </c>
      <c r="H84" s="26"/>
      <c r="I84" s="26"/>
      <c r="J84" s="36"/>
      <c r="K84" s="36"/>
      <c r="L84" s="36"/>
      <c r="M84" s="36"/>
      <c r="N84" s="36"/>
    </row>
    <row r="85" spans="1:14">
      <c r="A85" s="23"/>
      <c r="B85" s="24" t="s">
        <v>801</v>
      </c>
      <c r="C85" s="24"/>
      <c r="D85" s="24"/>
      <c r="E85" s="24"/>
      <c r="F85" s="24"/>
      <c r="G85" s="36" t="s">
        <v>809</v>
      </c>
      <c r="H85" s="26"/>
      <c r="I85" s="26"/>
      <c r="J85" s="36"/>
      <c r="K85" s="36"/>
      <c r="L85" s="36"/>
      <c r="M85" s="36"/>
      <c r="N85" s="36"/>
    </row>
    <row r="86" spans="1:14">
      <c r="A86" s="23"/>
      <c r="B86" s="24" t="s">
        <v>801</v>
      </c>
      <c r="C86" s="24"/>
      <c r="D86" s="24"/>
      <c r="E86" s="24"/>
      <c r="F86" s="24"/>
      <c r="G86" s="36" t="s">
        <v>810</v>
      </c>
      <c r="H86" s="26"/>
      <c r="I86" s="26"/>
      <c r="J86" s="36"/>
      <c r="K86" s="36"/>
      <c r="L86" s="36"/>
      <c r="M86" s="36"/>
      <c r="N86" s="36"/>
    </row>
    <row r="87" spans="1:14">
      <c r="A87" s="23"/>
      <c r="B87" s="24" t="s">
        <v>801</v>
      </c>
      <c r="C87" s="24"/>
      <c r="D87" s="24"/>
      <c r="E87" s="24"/>
      <c r="F87" s="24"/>
      <c r="G87" s="36" t="s">
        <v>820</v>
      </c>
      <c r="H87" s="26"/>
      <c r="I87" s="26"/>
      <c r="J87" s="36"/>
      <c r="K87" s="36"/>
      <c r="L87" s="36"/>
      <c r="M87" s="36"/>
      <c r="N87" s="36"/>
    </row>
    <row r="88" ht="31.5" customHeight="1" spans="1:14">
      <c r="A88" s="23"/>
      <c r="B88" s="24" t="s">
        <v>801</v>
      </c>
      <c r="C88" s="24"/>
      <c r="D88" s="24"/>
      <c r="E88" s="24"/>
      <c r="F88" s="24"/>
      <c r="G88" s="36" t="s">
        <v>821</v>
      </c>
      <c r="H88" s="26"/>
      <c r="I88" s="26"/>
      <c r="J88" s="36"/>
      <c r="K88" s="36"/>
      <c r="L88" s="36"/>
      <c r="M88" s="36"/>
      <c r="N88" s="36"/>
    </row>
    <row r="89" spans="1:14">
      <c r="A89" s="23"/>
      <c r="B89" s="24" t="s">
        <v>801</v>
      </c>
      <c r="C89" s="24"/>
      <c r="D89" s="24"/>
      <c r="E89" s="24"/>
      <c r="F89" s="24"/>
      <c r="G89" s="36" t="s">
        <v>812</v>
      </c>
      <c r="H89" s="26"/>
      <c r="I89" s="26"/>
      <c r="J89" s="36"/>
      <c r="K89" s="36"/>
      <c r="L89" s="36"/>
      <c r="M89" s="36"/>
      <c r="N89" s="36"/>
    </row>
    <row r="90" spans="1:14">
      <c r="A90" s="23"/>
      <c r="B90" s="24" t="s">
        <v>801</v>
      </c>
      <c r="C90" s="24"/>
      <c r="D90" s="24"/>
      <c r="E90" s="24"/>
      <c r="F90" s="24"/>
      <c r="G90" s="36" t="s">
        <v>813</v>
      </c>
      <c r="H90" s="26"/>
      <c r="I90" s="26"/>
      <c r="J90" s="36"/>
      <c r="K90" s="36"/>
      <c r="L90" s="36"/>
      <c r="M90" s="36"/>
      <c r="N90" s="36"/>
    </row>
    <row r="91" spans="1:14">
      <c r="A91" s="23"/>
      <c r="B91" s="24"/>
      <c r="C91" s="24"/>
      <c r="D91" s="24"/>
      <c r="E91" s="24"/>
      <c r="F91" s="24"/>
      <c r="G91" s="32" t="s">
        <v>792</v>
      </c>
      <c r="H91" s="26"/>
      <c r="I91" s="26"/>
      <c r="J91" s="36"/>
      <c r="K91" s="36"/>
      <c r="L91" s="36"/>
      <c r="M91" s="36"/>
      <c r="N91" s="36"/>
    </row>
    <row r="92" spans="1:14">
      <c r="A92" s="23"/>
      <c r="B92" s="24" t="s">
        <v>209</v>
      </c>
      <c r="C92" s="24"/>
      <c r="D92" s="24"/>
      <c r="E92" s="24"/>
      <c r="F92" s="24"/>
      <c r="G92" s="44" t="s">
        <v>822</v>
      </c>
      <c r="H92" s="26" t="s">
        <v>130</v>
      </c>
      <c r="I92" s="41">
        <v>5</v>
      </c>
      <c r="J92" s="44"/>
      <c r="K92" s="44"/>
      <c r="L92" s="44"/>
      <c r="M92" s="44">
        <v>1800</v>
      </c>
      <c r="N92" s="31">
        <f t="shared" ref="N92:N94" si="1">SUM(I92*M92)</f>
        <v>9000</v>
      </c>
    </row>
    <row r="93" spans="1:14">
      <c r="A93" s="23"/>
      <c r="B93" s="24" t="s">
        <v>211</v>
      </c>
      <c r="C93" s="24"/>
      <c r="D93" s="24"/>
      <c r="E93" s="24"/>
      <c r="F93" s="24"/>
      <c r="G93" s="44" t="s">
        <v>823</v>
      </c>
      <c r="H93" s="26" t="s">
        <v>130</v>
      </c>
      <c r="I93" s="41">
        <v>5</v>
      </c>
      <c r="J93" s="44"/>
      <c r="K93" s="44"/>
      <c r="L93" s="44"/>
      <c r="M93" s="44">
        <v>2350</v>
      </c>
      <c r="N93" s="31">
        <f t="shared" si="1"/>
        <v>11750</v>
      </c>
    </row>
    <row r="94" spans="1:14">
      <c r="A94" s="23"/>
      <c r="B94" s="24" t="s">
        <v>213</v>
      </c>
      <c r="C94" s="24"/>
      <c r="D94" s="24"/>
      <c r="E94" s="24"/>
      <c r="F94" s="24"/>
      <c r="G94" s="44" t="s">
        <v>649</v>
      </c>
      <c r="H94" s="26" t="s">
        <v>130</v>
      </c>
      <c r="I94" s="41">
        <v>10</v>
      </c>
      <c r="J94" s="44"/>
      <c r="K94" s="44"/>
      <c r="L94" s="44"/>
      <c r="M94" s="44">
        <v>2550</v>
      </c>
      <c r="N94" s="31">
        <f t="shared" si="1"/>
        <v>25500</v>
      </c>
    </row>
    <row r="95" spans="1:14">
      <c r="A95" s="23"/>
      <c r="B95" s="24"/>
      <c r="C95" s="24"/>
      <c r="D95" s="24"/>
      <c r="E95" s="24"/>
      <c r="F95" s="24"/>
      <c r="G95" s="36"/>
      <c r="H95" s="26"/>
      <c r="I95" s="26"/>
      <c r="J95" s="36"/>
      <c r="K95" s="36"/>
      <c r="L95" s="36"/>
      <c r="M95" s="36"/>
      <c r="N95" s="36"/>
    </row>
    <row r="96" ht="14.25" spans="1:14">
      <c r="A96" s="27">
        <v>1.8</v>
      </c>
      <c r="B96" s="35" t="s">
        <v>209</v>
      </c>
      <c r="C96" s="35"/>
      <c r="D96" s="28" t="s">
        <v>158</v>
      </c>
      <c r="E96" s="29" t="s">
        <v>824</v>
      </c>
      <c r="F96" s="30" t="s">
        <v>165</v>
      </c>
      <c r="G96" s="36" t="s">
        <v>825</v>
      </c>
      <c r="H96" s="26" t="s">
        <v>130</v>
      </c>
      <c r="I96" s="41">
        <f>1288+130+82</f>
        <v>1500</v>
      </c>
      <c r="J96" s="36"/>
      <c r="K96" s="36"/>
      <c r="L96" s="36"/>
      <c r="M96" s="36">
        <v>750</v>
      </c>
      <c r="N96" s="31">
        <f>SUM(I96*M96)</f>
        <v>1125000</v>
      </c>
    </row>
    <row r="97" spans="1:14">
      <c r="A97" s="23"/>
      <c r="B97" s="24" t="s">
        <v>801</v>
      </c>
      <c r="C97" s="24"/>
      <c r="D97" s="24"/>
      <c r="E97" s="24"/>
      <c r="F97" s="24"/>
      <c r="G97" s="36" t="s">
        <v>826</v>
      </c>
      <c r="H97" s="45"/>
      <c r="I97" s="26"/>
      <c r="J97" s="36"/>
      <c r="K97" s="36"/>
      <c r="L97" s="36"/>
      <c r="M97" s="36"/>
      <c r="N97" s="36"/>
    </row>
    <row r="98" spans="1:14">
      <c r="A98" s="23"/>
      <c r="B98" s="24" t="s">
        <v>801</v>
      </c>
      <c r="C98" s="24"/>
      <c r="D98" s="24"/>
      <c r="E98" s="24"/>
      <c r="F98" s="24"/>
      <c r="G98" s="36" t="s">
        <v>827</v>
      </c>
      <c r="H98" s="45"/>
      <c r="I98" s="26"/>
      <c r="J98" s="36"/>
      <c r="K98" s="36"/>
      <c r="L98" s="36"/>
      <c r="M98" s="36"/>
      <c r="N98" s="36"/>
    </row>
    <row r="99" spans="1:14">
      <c r="A99" s="23"/>
      <c r="B99" s="24" t="s">
        <v>801</v>
      </c>
      <c r="C99" s="24"/>
      <c r="D99" s="24"/>
      <c r="E99" s="24"/>
      <c r="F99" s="24"/>
      <c r="G99" s="36" t="s">
        <v>828</v>
      </c>
      <c r="H99" s="45"/>
      <c r="I99" s="26"/>
      <c r="J99" s="36"/>
      <c r="K99" s="36"/>
      <c r="L99" s="36"/>
      <c r="M99" s="36"/>
      <c r="N99" s="36"/>
    </row>
    <row r="100" spans="1:14">
      <c r="A100" s="23"/>
      <c r="B100" s="24" t="s">
        <v>801</v>
      </c>
      <c r="C100" s="24"/>
      <c r="D100" s="24"/>
      <c r="E100" s="24"/>
      <c r="F100" s="24"/>
      <c r="G100" s="25" t="s">
        <v>829</v>
      </c>
      <c r="H100" s="45"/>
      <c r="I100" s="26"/>
      <c r="J100" s="25"/>
      <c r="K100" s="25"/>
      <c r="L100" s="25"/>
      <c r="M100" s="25"/>
      <c r="N100" s="25"/>
    </row>
    <row r="101" spans="1:14">
      <c r="A101" s="23"/>
      <c r="B101" s="24" t="s">
        <v>801</v>
      </c>
      <c r="C101" s="24"/>
      <c r="D101" s="24"/>
      <c r="E101" s="24"/>
      <c r="F101" s="24"/>
      <c r="G101" s="25" t="s">
        <v>810</v>
      </c>
      <c r="H101" s="45"/>
      <c r="I101" s="26"/>
      <c r="J101" s="25"/>
      <c r="K101" s="25"/>
      <c r="L101" s="25"/>
      <c r="M101" s="25"/>
      <c r="N101" s="25"/>
    </row>
    <row r="102" spans="1:14">
      <c r="A102" s="23"/>
      <c r="B102" s="24" t="s">
        <v>801</v>
      </c>
      <c r="C102" s="24"/>
      <c r="D102" s="24"/>
      <c r="E102" s="24"/>
      <c r="F102" s="24"/>
      <c r="G102" s="25" t="s">
        <v>830</v>
      </c>
      <c r="H102" s="45"/>
      <c r="I102" s="26"/>
      <c r="J102" s="25"/>
      <c r="K102" s="25"/>
      <c r="L102" s="25"/>
      <c r="M102" s="25"/>
      <c r="N102" s="25"/>
    </row>
    <row r="103" ht="28.5" spans="1:14">
      <c r="A103" s="23"/>
      <c r="B103" s="24" t="s">
        <v>801</v>
      </c>
      <c r="C103" s="24"/>
      <c r="D103" s="24"/>
      <c r="E103" s="24"/>
      <c r="F103" s="24"/>
      <c r="G103" s="25" t="s">
        <v>831</v>
      </c>
      <c r="H103" s="45"/>
      <c r="I103" s="26"/>
      <c r="J103" s="25"/>
      <c r="K103" s="25"/>
      <c r="L103" s="25"/>
      <c r="M103" s="25"/>
      <c r="N103" s="25"/>
    </row>
    <row r="104" spans="1:14">
      <c r="A104" s="23"/>
      <c r="B104" s="24" t="s">
        <v>801</v>
      </c>
      <c r="C104" s="24"/>
      <c r="D104" s="24"/>
      <c r="E104" s="24"/>
      <c r="F104" s="24"/>
      <c r="G104" s="25" t="s">
        <v>832</v>
      </c>
      <c r="H104" s="45"/>
      <c r="I104" s="26"/>
      <c r="J104" s="25"/>
      <c r="K104" s="25"/>
      <c r="L104" s="25"/>
      <c r="M104" s="25"/>
      <c r="N104" s="25"/>
    </row>
    <row r="105" spans="1:14">
      <c r="A105" s="23"/>
      <c r="B105" s="24" t="s">
        <v>801</v>
      </c>
      <c r="C105" s="24"/>
      <c r="D105" s="24"/>
      <c r="E105" s="24"/>
      <c r="F105" s="24"/>
      <c r="G105" s="25" t="s">
        <v>833</v>
      </c>
      <c r="H105" s="45"/>
      <c r="I105" s="26"/>
      <c r="J105" s="25"/>
      <c r="K105" s="25"/>
      <c r="L105" s="25"/>
      <c r="M105" s="25"/>
      <c r="N105" s="25"/>
    </row>
    <row r="106" spans="1:14">
      <c r="A106" s="23"/>
      <c r="B106" s="24" t="s">
        <v>801</v>
      </c>
      <c r="C106" s="24"/>
      <c r="D106" s="24"/>
      <c r="E106" s="24"/>
      <c r="F106" s="24"/>
      <c r="G106" s="25" t="s">
        <v>834</v>
      </c>
      <c r="H106" s="45"/>
      <c r="I106" s="26"/>
      <c r="J106" s="25"/>
      <c r="K106" s="25"/>
      <c r="L106" s="25"/>
      <c r="M106" s="25"/>
      <c r="N106" s="25"/>
    </row>
    <row r="107" spans="1:14">
      <c r="A107" s="23"/>
      <c r="B107" s="35"/>
      <c r="C107" s="35"/>
      <c r="D107" s="35"/>
      <c r="E107" s="35"/>
      <c r="F107" s="35"/>
      <c r="G107" s="25"/>
      <c r="H107" s="45"/>
      <c r="I107" s="26"/>
      <c r="J107" s="25"/>
      <c r="K107" s="25"/>
      <c r="L107" s="25"/>
      <c r="M107" s="25"/>
      <c r="N107" s="25"/>
    </row>
    <row r="108" spans="1:14">
      <c r="A108" s="23"/>
      <c r="B108" s="46" t="s">
        <v>211</v>
      </c>
      <c r="C108" s="46"/>
      <c r="D108" s="46"/>
      <c r="E108" s="46"/>
      <c r="F108" s="46"/>
      <c r="G108" s="36" t="s">
        <v>835</v>
      </c>
      <c r="H108" s="26" t="s">
        <v>130</v>
      </c>
      <c r="I108" s="41">
        <f>(73*3)+(32*3)+35</f>
        <v>350</v>
      </c>
      <c r="J108" s="36"/>
      <c r="K108" s="36"/>
      <c r="L108" s="36"/>
      <c r="M108" s="36">
        <v>650</v>
      </c>
      <c r="N108" s="31">
        <f>SUM(I108*M108)</f>
        <v>227500</v>
      </c>
    </row>
    <row r="109" spans="1:14">
      <c r="A109" s="23"/>
      <c r="B109" s="35"/>
      <c r="C109" s="35"/>
      <c r="D109" s="35"/>
      <c r="E109" s="35"/>
      <c r="F109" s="35"/>
      <c r="G109" s="25"/>
      <c r="H109" s="45"/>
      <c r="I109" s="26"/>
      <c r="J109" s="25"/>
      <c r="K109" s="25"/>
      <c r="L109" s="25"/>
      <c r="M109" s="25"/>
      <c r="N109" s="25"/>
    </row>
    <row r="110" ht="14.25" spans="1:14">
      <c r="A110" s="27">
        <v>1.9</v>
      </c>
      <c r="B110" s="35"/>
      <c r="C110" s="35"/>
      <c r="D110" s="28" t="s">
        <v>158</v>
      </c>
      <c r="E110" s="29" t="s">
        <v>836</v>
      </c>
      <c r="F110" s="30" t="s">
        <v>837</v>
      </c>
      <c r="G110" s="25" t="s">
        <v>838</v>
      </c>
      <c r="H110" s="26" t="s">
        <v>130</v>
      </c>
      <c r="I110" s="41">
        <v>1120</v>
      </c>
      <c r="J110" s="25"/>
      <c r="K110" s="25"/>
      <c r="L110" s="25"/>
      <c r="M110" s="25">
        <v>1750</v>
      </c>
      <c r="N110" s="31">
        <f>SUM(I110*M110)</f>
        <v>1960000</v>
      </c>
    </row>
    <row r="111" spans="1:14">
      <c r="A111" s="23"/>
      <c r="B111" s="24" t="s">
        <v>801</v>
      </c>
      <c r="C111" s="24"/>
      <c r="D111" s="24"/>
      <c r="E111" s="24"/>
      <c r="F111" s="24"/>
      <c r="G111" s="25" t="s">
        <v>839</v>
      </c>
      <c r="H111" s="45"/>
      <c r="I111" s="26"/>
      <c r="J111" s="25"/>
      <c r="K111" s="25"/>
      <c r="L111" s="25"/>
      <c r="M111" s="25"/>
      <c r="N111" s="25"/>
    </row>
    <row r="112" spans="1:14">
      <c r="A112" s="23"/>
      <c r="B112" s="24" t="s">
        <v>801</v>
      </c>
      <c r="C112" s="24"/>
      <c r="D112" s="24"/>
      <c r="E112" s="24"/>
      <c r="F112" s="24"/>
      <c r="G112" s="25" t="s">
        <v>840</v>
      </c>
      <c r="H112" s="45"/>
      <c r="I112" s="26"/>
      <c r="J112" s="25"/>
      <c r="K112" s="25"/>
      <c r="L112" s="25"/>
      <c r="M112" s="25"/>
      <c r="N112" s="25"/>
    </row>
    <row r="113" spans="1:14">
      <c r="A113" s="23"/>
      <c r="B113" s="24" t="s">
        <v>801</v>
      </c>
      <c r="C113" s="24"/>
      <c r="D113" s="24"/>
      <c r="E113" s="24"/>
      <c r="F113" s="24"/>
      <c r="G113" s="25" t="s">
        <v>841</v>
      </c>
      <c r="H113" s="26"/>
      <c r="I113" s="26"/>
      <c r="J113" s="25"/>
      <c r="K113" s="25"/>
      <c r="L113" s="25"/>
      <c r="M113" s="25"/>
      <c r="N113" s="25"/>
    </row>
    <row r="114" spans="1:14">
      <c r="A114" s="23"/>
      <c r="B114" s="24" t="s">
        <v>801</v>
      </c>
      <c r="C114" s="24"/>
      <c r="D114" s="24"/>
      <c r="E114" s="24"/>
      <c r="F114" s="24"/>
      <c r="G114" s="25" t="s">
        <v>842</v>
      </c>
      <c r="H114" s="26"/>
      <c r="I114" s="26"/>
      <c r="J114" s="25"/>
      <c r="K114" s="25"/>
      <c r="L114" s="25"/>
      <c r="M114" s="25"/>
      <c r="N114" s="25"/>
    </row>
    <row r="115" spans="1:14">
      <c r="A115" s="23"/>
      <c r="B115" s="24" t="s">
        <v>801</v>
      </c>
      <c r="C115" s="24"/>
      <c r="D115" s="24"/>
      <c r="E115" s="24"/>
      <c r="F115" s="24"/>
      <c r="G115" s="25" t="s">
        <v>843</v>
      </c>
      <c r="H115" s="26"/>
      <c r="I115" s="26"/>
      <c r="J115" s="25"/>
      <c r="K115" s="25"/>
      <c r="L115" s="25"/>
      <c r="M115" s="25"/>
      <c r="N115" s="25"/>
    </row>
    <row r="116" spans="1:14">
      <c r="A116" s="23"/>
      <c r="B116" s="24"/>
      <c r="C116" s="24"/>
      <c r="D116" s="24"/>
      <c r="E116" s="24"/>
      <c r="F116" s="24"/>
      <c r="G116" s="47"/>
      <c r="H116" s="26"/>
      <c r="I116" s="26"/>
      <c r="J116" s="47"/>
      <c r="K116" s="47"/>
      <c r="L116" s="47"/>
      <c r="M116" s="47"/>
      <c r="N116" s="47"/>
    </row>
    <row r="117" ht="14.25" spans="1:14">
      <c r="A117" s="48">
        <v>1.1</v>
      </c>
      <c r="B117" s="24"/>
      <c r="C117" s="24"/>
      <c r="D117" s="28" t="s">
        <v>158</v>
      </c>
      <c r="E117" s="29" t="s">
        <v>844</v>
      </c>
      <c r="F117" s="30" t="s">
        <v>845</v>
      </c>
      <c r="G117" s="25" t="s">
        <v>846</v>
      </c>
      <c r="H117" s="26"/>
      <c r="I117" s="41"/>
      <c r="J117" s="25"/>
      <c r="K117" s="25"/>
      <c r="L117" s="25"/>
      <c r="M117" s="25"/>
      <c r="N117" s="25"/>
    </row>
    <row r="118" ht="206.25" customHeight="1" spans="1:14">
      <c r="A118" s="24"/>
      <c r="B118" s="49" t="s">
        <v>801</v>
      </c>
      <c r="C118" s="49"/>
      <c r="D118" s="49"/>
      <c r="E118" s="49"/>
      <c r="F118" s="49"/>
      <c r="G118" s="50" t="s">
        <v>847</v>
      </c>
      <c r="H118" s="26"/>
      <c r="I118" s="26"/>
      <c r="J118" s="25"/>
      <c r="K118" s="25"/>
      <c r="L118" s="25"/>
      <c r="M118" s="25"/>
      <c r="N118" s="25"/>
    </row>
    <row r="119" ht="14.25" spans="1:14">
      <c r="A119" s="24"/>
      <c r="B119" s="49" t="s">
        <v>801</v>
      </c>
      <c r="C119" s="49"/>
      <c r="D119" s="49"/>
      <c r="E119" s="49"/>
      <c r="F119" s="49"/>
      <c r="G119" s="25" t="s">
        <v>848</v>
      </c>
      <c r="H119" s="26"/>
      <c r="I119" s="26"/>
      <c r="J119" s="25"/>
      <c r="K119" s="25"/>
      <c r="L119" s="25"/>
      <c r="M119" s="25"/>
      <c r="N119" s="25"/>
    </row>
    <row r="120" ht="14.25" spans="1:14">
      <c r="A120" s="24"/>
      <c r="B120" s="49" t="s">
        <v>801</v>
      </c>
      <c r="C120" s="49"/>
      <c r="D120" s="49"/>
      <c r="E120" s="49"/>
      <c r="F120" s="49"/>
      <c r="G120" s="25" t="s">
        <v>849</v>
      </c>
      <c r="H120" s="45"/>
      <c r="I120" s="26"/>
      <c r="J120" s="25"/>
      <c r="K120" s="25"/>
      <c r="L120" s="25"/>
      <c r="M120" s="25"/>
      <c r="N120" s="25"/>
    </row>
    <row r="121" ht="28.5" spans="1:14">
      <c r="A121" s="24"/>
      <c r="B121" s="49" t="s">
        <v>801</v>
      </c>
      <c r="C121" s="49"/>
      <c r="D121" s="49"/>
      <c r="E121" s="49"/>
      <c r="F121" s="49"/>
      <c r="G121" s="25" t="s">
        <v>850</v>
      </c>
      <c r="H121" s="45"/>
      <c r="I121" s="26"/>
      <c r="J121" s="25"/>
      <c r="K121" s="25"/>
      <c r="L121" s="25"/>
      <c r="M121" s="25"/>
      <c r="N121" s="25"/>
    </row>
    <row r="122" ht="14.25" spans="1:14">
      <c r="A122" s="24"/>
      <c r="B122" s="49"/>
      <c r="C122" s="49"/>
      <c r="D122" s="49"/>
      <c r="E122" s="49"/>
      <c r="F122" s="49"/>
      <c r="G122" s="25"/>
      <c r="H122" s="45"/>
      <c r="I122" s="26"/>
      <c r="J122" s="25"/>
      <c r="K122" s="25"/>
      <c r="L122" s="25"/>
      <c r="M122" s="25"/>
      <c r="N122" s="25"/>
    </row>
    <row r="123" spans="1:14">
      <c r="A123" s="24"/>
      <c r="B123" s="51" t="s">
        <v>209</v>
      </c>
      <c r="C123" s="51"/>
      <c r="D123" s="51"/>
      <c r="E123" s="51"/>
      <c r="F123" s="51"/>
      <c r="G123" s="36" t="s">
        <v>851</v>
      </c>
      <c r="H123" s="26" t="s">
        <v>130</v>
      </c>
      <c r="I123" s="41">
        <v>296</v>
      </c>
      <c r="J123" s="36"/>
      <c r="K123" s="36"/>
      <c r="L123" s="36"/>
      <c r="M123" s="36">
        <v>1800</v>
      </c>
      <c r="N123" s="31">
        <f>SUM(I123*M123)</f>
        <v>532800</v>
      </c>
    </row>
    <row r="124" ht="12.75" customHeight="1" spans="1:14">
      <c r="A124" s="24"/>
      <c r="B124" s="49"/>
      <c r="C124" s="49"/>
      <c r="D124" s="49"/>
      <c r="E124" s="49"/>
      <c r="F124" s="49"/>
      <c r="G124" s="25"/>
      <c r="H124" s="45"/>
      <c r="I124" s="26"/>
      <c r="J124" s="25"/>
      <c r="K124" s="25"/>
      <c r="L124" s="25"/>
      <c r="M124" s="25"/>
      <c r="N124" s="25"/>
    </row>
    <row r="125" spans="1:14">
      <c r="A125" s="48">
        <v>1.11</v>
      </c>
      <c r="B125" s="24"/>
      <c r="C125" s="24"/>
      <c r="D125" s="28" t="s">
        <v>158</v>
      </c>
      <c r="E125" s="29" t="s">
        <v>844</v>
      </c>
      <c r="F125" s="52" t="s">
        <v>845</v>
      </c>
      <c r="G125" s="25" t="s">
        <v>852</v>
      </c>
      <c r="H125" s="26" t="s">
        <v>130</v>
      </c>
      <c r="I125" s="41">
        <f>170+30</f>
        <v>200</v>
      </c>
      <c r="J125" s="25"/>
      <c r="K125" s="25"/>
      <c r="L125" s="25"/>
      <c r="M125" s="25">
        <v>2200</v>
      </c>
      <c r="N125" s="31">
        <f>SUM(I125*M125)</f>
        <v>440000</v>
      </c>
    </row>
    <row r="126" spans="1:14">
      <c r="A126" s="23"/>
      <c r="B126" s="24" t="s">
        <v>801</v>
      </c>
      <c r="C126" s="24"/>
      <c r="D126" s="24"/>
      <c r="E126" s="24"/>
      <c r="F126" s="24" t="s">
        <v>695</v>
      </c>
      <c r="G126" s="25" t="s">
        <v>853</v>
      </c>
      <c r="H126" s="26"/>
      <c r="I126" s="26"/>
      <c r="J126" s="25"/>
      <c r="K126" s="25"/>
      <c r="L126" s="25"/>
      <c r="M126" s="25"/>
      <c r="N126" s="25"/>
    </row>
    <row r="127" spans="1:14">
      <c r="A127" s="23"/>
      <c r="B127" s="24" t="s">
        <v>801</v>
      </c>
      <c r="C127" s="24"/>
      <c r="D127" s="24"/>
      <c r="E127" s="24"/>
      <c r="F127" s="24"/>
      <c r="G127" s="25" t="s">
        <v>854</v>
      </c>
      <c r="H127" s="26"/>
      <c r="I127" s="26"/>
      <c r="J127" s="25"/>
      <c r="K127" s="25"/>
      <c r="L127" s="25"/>
      <c r="M127" s="25"/>
      <c r="N127" s="25"/>
    </row>
    <row r="128" spans="1:14">
      <c r="A128" s="23"/>
      <c r="B128" s="24" t="s">
        <v>801</v>
      </c>
      <c r="C128" s="24"/>
      <c r="D128" s="24"/>
      <c r="E128" s="24"/>
      <c r="F128" s="24"/>
      <c r="G128" s="25" t="s">
        <v>855</v>
      </c>
      <c r="H128" s="26"/>
      <c r="I128" s="26"/>
      <c r="J128" s="25"/>
      <c r="K128" s="25"/>
      <c r="L128" s="25"/>
      <c r="M128" s="25"/>
      <c r="N128" s="25"/>
    </row>
    <row r="129" spans="1:14">
      <c r="A129" s="23"/>
      <c r="B129" s="24" t="s">
        <v>801</v>
      </c>
      <c r="C129" s="24"/>
      <c r="D129" s="24"/>
      <c r="E129" s="24"/>
      <c r="F129" s="24"/>
      <c r="G129" s="25" t="s">
        <v>856</v>
      </c>
      <c r="H129" s="26"/>
      <c r="I129" s="26"/>
      <c r="J129" s="25"/>
      <c r="K129" s="25"/>
      <c r="L129" s="25"/>
      <c r="M129" s="25"/>
      <c r="N129" s="25"/>
    </row>
    <row r="130" spans="1:14">
      <c r="A130" s="23"/>
      <c r="B130" s="24" t="s">
        <v>801</v>
      </c>
      <c r="C130" s="24"/>
      <c r="D130" s="24"/>
      <c r="E130" s="24"/>
      <c r="F130" s="24"/>
      <c r="G130" s="25" t="s">
        <v>857</v>
      </c>
      <c r="H130" s="26"/>
      <c r="I130" s="26"/>
      <c r="J130" s="25"/>
      <c r="K130" s="25"/>
      <c r="L130" s="25"/>
      <c r="M130" s="25"/>
      <c r="N130" s="25"/>
    </row>
    <row r="131" spans="1:14">
      <c r="A131" s="23"/>
      <c r="B131" s="51" t="s">
        <v>801</v>
      </c>
      <c r="C131" s="51"/>
      <c r="D131" s="51"/>
      <c r="E131" s="51"/>
      <c r="F131" s="51"/>
      <c r="G131" s="25" t="s">
        <v>858</v>
      </c>
      <c r="H131" s="26"/>
      <c r="I131" s="26"/>
      <c r="J131" s="25"/>
      <c r="K131" s="25"/>
      <c r="L131" s="25"/>
      <c r="M131" s="25"/>
      <c r="N131" s="25"/>
    </row>
    <row r="132" spans="1:14">
      <c r="A132" s="23"/>
      <c r="B132" s="51" t="s">
        <v>801</v>
      </c>
      <c r="C132" s="51"/>
      <c r="D132" s="51"/>
      <c r="E132" s="51"/>
      <c r="F132" s="51"/>
      <c r="G132" s="25" t="s">
        <v>859</v>
      </c>
      <c r="H132" s="26"/>
      <c r="I132" s="26"/>
      <c r="J132" s="25"/>
      <c r="K132" s="25"/>
      <c r="L132" s="25"/>
      <c r="M132" s="25"/>
      <c r="N132" s="25"/>
    </row>
    <row r="133" spans="1:14">
      <c r="A133" s="23"/>
      <c r="B133" s="51"/>
      <c r="C133" s="51"/>
      <c r="D133" s="51"/>
      <c r="E133" s="51"/>
      <c r="F133" s="51"/>
      <c r="G133" s="25"/>
      <c r="H133" s="26"/>
      <c r="I133" s="26"/>
      <c r="J133" s="25"/>
      <c r="K133" s="25"/>
      <c r="L133" s="25"/>
      <c r="M133" s="25"/>
      <c r="N133" s="25"/>
    </row>
    <row r="134" spans="1:14">
      <c r="A134" s="53">
        <v>1.12</v>
      </c>
      <c r="B134" s="24"/>
      <c r="C134" s="24"/>
      <c r="D134" s="54" t="s">
        <v>158</v>
      </c>
      <c r="E134" s="30" t="s">
        <v>289</v>
      </c>
      <c r="F134" s="55" t="s">
        <v>290</v>
      </c>
      <c r="G134" s="56" t="s">
        <v>860</v>
      </c>
      <c r="H134" s="57" t="s">
        <v>130</v>
      </c>
      <c r="I134" s="82">
        <v>50.02</v>
      </c>
      <c r="J134" s="25"/>
      <c r="K134" s="25"/>
      <c r="L134" s="25"/>
      <c r="M134" s="36">
        <v>1600</v>
      </c>
      <c r="N134" s="31">
        <f>SUM(I134*M134)</f>
        <v>80032</v>
      </c>
    </row>
    <row r="135" ht="71.25" spans="1:14">
      <c r="A135" s="58"/>
      <c r="B135" s="35"/>
      <c r="C135" s="35"/>
      <c r="D135" s="55"/>
      <c r="E135" s="55"/>
      <c r="F135" s="55"/>
      <c r="G135" s="32" t="s">
        <v>861</v>
      </c>
      <c r="H135" s="57"/>
      <c r="I135" s="25"/>
      <c r="J135" s="25"/>
      <c r="K135" s="25"/>
      <c r="L135" s="25"/>
      <c r="M135" s="36"/>
      <c r="N135" s="25"/>
    </row>
    <row r="136" spans="1:14">
      <c r="A136" s="58"/>
      <c r="B136" s="35"/>
      <c r="C136" s="35"/>
      <c r="D136" s="35"/>
      <c r="E136" s="35"/>
      <c r="F136" s="35"/>
      <c r="G136" s="25"/>
      <c r="H136" s="25"/>
      <c r="I136" s="25"/>
      <c r="J136" s="25"/>
      <c r="K136" s="25"/>
      <c r="L136" s="25"/>
      <c r="M136" s="36"/>
      <c r="N136" s="25"/>
    </row>
    <row r="137" ht="142.5" spans="1:14">
      <c r="A137" s="23">
        <v>1.13</v>
      </c>
      <c r="B137" s="35"/>
      <c r="C137" s="35"/>
      <c r="D137" s="59" t="s">
        <v>158</v>
      </c>
      <c r="E137" s="60" t="s">
        <v>178</v>
      </c>
      <c r="F137" s="55" t="s">
        <v>179</v>
      </c>
      <c r="G137" s="32" t="s">
        <v>285</v>
      </c>
      <c r="H137" s="59" t="s">
        <v>130</v>
      </c>
      <c r="I137" s="25">
        <v>100</v>
      </c>
      <c r="J137" s="25"/>
      <c r="K137" s="25"/>
      <c r="L137" s="25"/>
      <c r="M137" s="36">
        <v>1695</v>
      </c>
      <c r="N137" s="31">
        <f>SUM(I137*M137)</f>
        <v>169500</v>
      </c>
    </row>
    <row r="138" spans="1:14">
      <c r="A138" s="58"/>
      <c r="B138" s="35"/>
      <c r="C138" s="35"/>
      <c r="D138" s="35"/>
      <c r="E138" s="35"/>
      <c r="F138" s="35"/>
      <c r="G138" s="25" t="s">
        <v>862</v>
      </c>
      <c r="H138" s="25"/>
      <c r="I138" s="25"/>
      <c r="J138" s="25"/>
      <c r="K138" s="25"/>
      <c r="L138" s="25"/>
      <c r="M138" s="25"/>
      <c r="N138" s="25"/>
    </row>
    <row r="139" spans="1:14">
      <c r="A139" s="58"/>
      <c r="B139" s="35"/>
      <c r="C139" s="35"/>
      <c r="D139" s="35"/>
      <c r="E139" s="35"/>
      <c r="F139" s="35"/>
      <c r="G139" s="25"/>
      <c r="H139" s="25"/>
      <c r="I139" s="25"/>
      <c r="J139" s="25"/>
      <c r="K139" s="25"/>
      <c r="L139" s="25"/>
      <c r="M139" s="25"/>
      <c r="N139" s="25"/>
    </row>
    <row r="140" ht="71.25" spans="1:14">
      <c r="A140" s="23">
        <v>1.14</v>
      </c>
      <c r="B140" s="35"/>
      <c r="C140" s="35"/>
      <c r="D140" s="61" t="s">
        <v>158</v>
      </c>
      <c r="E140" s="61" t="s">
        <v>703</v>
      </c>
      <c r="F140" s="61" t="s">
        <v>863</v>
      </c>
      <c r="G140" s="32" t="s">
        <v>864</v>
      </c>
      <c r="H140" s="59" t="s">
        <v>63</v>
      </c>
      <c r="I140" s="25">
        <f>8*3</f>
        <v>24</v>
      </c>
      <c r="J140" s="25"/>
      <c r="K140" s="25"/>
      <c r="L140" s="25"/>
      <c r="M140" s="25">
        <v>1500</v>
      </c>
      <c r="N140" s="31">
        <f>SUM(I140*M140)</f>
        <v>36000</v>
      </c>
    </row>
    <row r="141" spans="1:14">
      <c r="A141" s="23"/>
      <c r="B141" s="51"/>
      <c r="C141" s="51"/>
      <c r="D141" s="51"/>
      <c r="E141" s="51"/>
      <c r="F141" s="51"/>
      <c r="G141" s="25"/>
      <c r="H141" s="26"/>
      <c r="I141" s="26"/>
      <c r="J141" s="25"/>
      <c r="K141" s="25"/>
      <c r="L141" s="25"/>
      <c r="M141" s="25"/>
      <c r="N141" s="25"/>
    </row>
    <row r="142" spans="1:14">
      <c r="A142" s="23" t="s">
        <v>69</v>
      </c>
      <c r="B142" s="51"/>
      <c r="C142" s="51"/>
      <c r="D142" s="51"/>
      <c r="E142" s="51"/>
      <c r="F142" s="51"/>
      <c r="G142" s="47" t="s">
        <v>865</v>
      </c>
      <c r="H142" s="26"/>
      <c r="I142" s="26"/>
      <c r="J142" s="25"/>
      <c r="K142" s="25"/>
      <c r="L142" s="25"/>
      <c r="M142" s="25"/>
      <c r="N142" s="25"/>
    </row>
    <row r="143" spans="1:14">
      <c r="A143" s="23"/>
      <c r="B143" s="51"/>
      <c r="C143" s="51"/>
      <c r="D143" s="51"/>
      <c r="E143" s="51"/>
      <c r="F143" s="51"/>
      <c r="G143" s="25"/>
      <c r="H143" s="26"/>
      <c r="I143" s="26"/>
      <c r="J143" s="25"/>
      <c r="K143" s="25"/>
      <c r="L143" s="25"/>
      <c r="M143" s="25"/>
      <c r="N143" s="25"/>
    </row>
    <row r="144" spans="1:14">
      <c r="A144" s="62">
        <v>2.1</v>
      </c>
      <c r="B144" s="51"/>
      <c r="C144" s="51"/>
      <c r="D144" s="51"/>
      <c r="E144" s="51"/>
      <c r="F144" s="51"/>
      <c r="G144" s="63" t="s">
        <v>866</v>
      </c>
      <c r="H144" s="26" t="s">
        <v>130</v>
      </c>
      <c r="I144" s="41">
        <f>20+80</f>
        <v>100</v>
      </c>
      <c r="J144" s="25"/>
      <c r="K144" s="25"/>
      <c r="L144" s="25"/>
      <c r="M144" s="36">
        <v>2050</v>
      </c>
      <c r="N144" s="31">
        <f>SUM(I144*M144)</f>
        <v>205000</v>
      </c>
    </row>
    <row r="145" ht="28.5" spans="1:14">
      <c r="A145" s="23"/>
      <c r="B145" s="51"/>
      <c r="C145" s="51"/>
      <c r="D145" s="51"/>
      <c r="E145" s="51"/>
      <c r="F145" s="51"/>
      <c r="G145" s="64" t="s">
        <v>867</v>
      </c>
      <c r="H145" s="26"/>
      <c r="I145" s="26"/>
      <c r="J145" s="25"/>
      <c r="K145" s="25"/>
      <c r="L145" s="25"/>
      <c r="M145" s="36"/>
      <c r="N145" s="25"/>
    </row>
    <row r="146" ht="28.5" spans="1:14">
      <c r="A146" s="23"/>
      <c r="B146" s="51"/>
      <c r="C146" s="51"/>
      <c r="D146" s="51"/>
      <c r="E146" s="51"/>
      <c r="F146" s="51"/>
      <c r="G146" s="64" t="s">
        <v>868</v>
      </c>
      <c r="H146" s="26"/>
      <c r="I146" s="26"/>
      <c r="J146" s="25"/>
      <c r="K146" s="25"/>
      <c r="L146" s="25"/>
      <c r="M146" s="36"/>
      <c r="N146" s="25"/>
    </row>
    <row r="147" ht="28.5" spans="1:14">
      <c r="A147" s="23"/>
      <c r="B147" s="51"/>
      <c r="C147" s="51"/>
      <c r="D147" s="51"/>
      <c r="E147" s="51"/>
      <c r="F147" s="51"/>
      <c r="G147" s="64" t="s">
        <v>869</v>
      </c>
      <c r="H147" s="26"/>
      <c r="I147" s="26"/>
      <c r="J147" s="25"/>
      <c r="K147" s="25"/>
      <c r="L147" s="25"/>
      <c r="M147" s="36"/>
      <c r="N147" s="25"/>
    </row>
    <row r="148" spans="1:14">
      <c r="A148" s="23"/>
      <c r="B148" s="51"/>
      <c r="C148" s="51"/>
      <c r="D148" s="51"/>
      <c r="E148" s="51"/>
      <c r="F148" s="51"/>
      <c r="G148" s="64" t="s">
        <v>870</v>
      </c>
      <c r="H148" s="26"/>
      <c r="I148" s="26"/>
      <c r="J148" s="25"/>
      <c r="K148" s="25"/>
      <c r="L148" s="25"/>
      <c r="M148" s="36"/>
      <c r="N148" s="25"/>
    </row>
    <row r="149" ht="28.5" spans="1:14">
      <c r="A149" s="23"/>
      <c r="B149" s="51"/>
      <c r="C149" s="51"/>
      <c r="D149" s="51"/>
      <c r="E149" s="51"/>
      <c r="F149" s="51"/>
      <c r="G149" s="64" t="s">
        <v>871</v>
      </c>
      <c r="H149" s="26"/>
      <c r="I149" s="26"/>
      <c r="J149" s="25"/>
      <c r="K149" s="25"/>
      <c r="L149" s="25"/>
      <c r="M149" s="36"/>
      <c r="N149" s="25"/>
    </row>
    <row r="150" ht="28.5" spans="1:14">
      <c r="A150" s="23"/>
      <c r="B150" s="51"/>
      <c r="C150" s="51"/>
      <c r="D150" s="51"/>
      <c r="E150" s="51"/>
      <c r="F150" s="51"/>
      <c r="G150" s="64" t="s">
        <v>872</v>
      </c>
      <c r="H150" s="26"/>
      <c r="I150" s="26"/>
      <c r="J150" s="25"/>
      <c r="K150" s="25"/>
      <c r="L150" s="25"/>
      <c r="M150" s="36"/>
      <c r="N150" s="25"/>
    </row>
    <row r="151" ht="28.5" spans="1:14">
      <c r="A151" s="23"/>
      <c r="B151" s="51"/>
      <c r="C151" s="51"/>
      <c r="D151" s="51"/>
      <c r="E151" s="51"/>
      <c r="F151" s="51"/>
      <c r="G151" s="64" t="s">
        <v>873</v>
      </c>
      <c r="H151" s="26"/>
      <c r="I151" s="26"/>
      <c r="J151" s="25"/>
      <c r="K151" s="25"/>
      <c r="L151" s="25"/>
      <c r="M151" s="36"/>
      <c r="N151" s="25"/>
    </row>
    <row r="152" spans="1:14">
      <c r="A152" s="23"/>
      <c r="B152" s="51"/>
      <c r="C152" s="51"/>
      <c r="D152" s="51"/>
      <c r="E152" s="51"/>
      <c r="F152" s="51"/>
      <c r="G152" s="64" t="s">
        <v>874</v>
      </c>
      <c r="H152" s="26"/>
      <c r="I152" s="26"/>
      <c r="J152" s="25"/>
      <c r="K152" s="25"/>
      <c r="L152" s="25"/>
      <c r="M152" s="36"/>
      <c r="N152" s="25"/>
    </row>
    <row r="153" spans="1:14">
      <c r="A153" s="23"/>
      <c r="B153" s="51"/>
      <c r="C153" s="51"/>
      <c r="D153" s="51"/>
      <c r="E153" s="51"/>
      <c r="F153" s="51"/>
      <c r="G153" s="64" t="s">
        <v>875</v>
      </c>
      <c r="H153" s="26"/>
      <c r="I153" s="26"/>
      <c r="J153" s="25"/>
      <c r="K153" s="25"/>
      <c r="L153" s="25"/>
      <c r="M153" s="36"/>
      <c r="N153" s="25"/>
    </row>
    <row r="154" spans="1:14">
      <c r="A154" s="23"/>
      <c r="B154" s="51"/>
      <c r="C154" s="51"/>
      <c r="D154" s="51"/>
      <c r="E154" s="51"/>
      <c r="F154" s="51"/>
      <c r="G154" s="25" t="s">
        <v>876</v>
      </c>
      <c r="H154" s="26"/>
      <c r="I154" s="26"/>
      <c r="J154" s="25"/>
      <c r="K154" s="25"/>
      <c r="L154" s="25"/>
      <c r="M154" s="36"/>
      <c r="N154" s="25"/>
    </row>
    <row r="155" spans="1:14">
      <c r="A155" s="23"/>
      <c r="B155" s="51"/>
      <c r="C155" s="51"/>
      <c r="D155" s="51"/>
      <c r="E155" s="51"/>
      <c r="F155" s="51"/>
      <c r="G155" s="25"/>
      <c r="H155" s="26"/>
      <c r="I155" s="26"/>
      <c r="J155" s="25"/>
      <c r="K155" s="25"/>
      <c r="L155" s="25"/>
      <c r="M155" s="36"/>
      <c r="N155" s="25"/>
    </row>
    <row r="156" spans="1:14">
      <c r="A156" s="62">
        <v>2.2</v>
      </c>
      <c r="B156" s="51"/>
      <c r="C156" s="51"/>
      <c r="D156" s="51"/>
      <c r="E156" s="51"/>
      <c r="F156" s="51"/>
      <c r="G156" s="65" t="s">
        <v>536</v>
      </c>
      <c r="H156" s="26" t="s">
        <v>130</v>
      </c>
      <c r="I156" s="41">
        <v>2000</v>
      </c>
      <c r="J156" s="25"/>
      <c r="K156" s="25"/>
      <c r="L156" s="25"/>
      <c r="M156" s="36">
        <v>475</v>
      </c>
      <c r="N156" s="31">
        <f>SUM(I156*M156)</f>
        <v>950000</v>
      </c>
    </row>
    <row r="157" spans="1:14">
      <c r="A157" s="23"/>
      <c r="B157" s="51"/>
      <c r="C157" s="51"/>
      <c r="D157" s="51"/>
      <c r="E157" s="51"/>
      <c r="F157" s="51"/>
      <c r="G157" s="32" t="s">
        <v>877</v>
      </c>
      <c r="H157" s="26"/>
      <c r="I157" s="26"/>
      <c r="J157" s="25"/>
      <c r="K157" s="25"/>
      <c r="L157" s="25"/>
      <c r="M157" s="36"/>
      <c r="N157" s="25"/>
    </row>
    <row r="158" spans="1:14">
      <c r="A158" s="23"/>
      <c r="B158" s="51"/>
      <c r="C158" s="51"/>
      <c r="D158" s="51"/>
      <c r="E158" s="51"/>
      <c r="F158" s="51"/>
      <c r="G158" s="33" t="s">
        <v>878</v>
      </c>
      <c r="H158" s="26"/>
      <c r="I158" s="26"/>
      <c r="J158" s="25"/>
      <c r="K158" s="25"/>
      <c r="L158" s="25"/>
      <c r="M158" s="36"/>
      <c r="N158" s="25"/>
    </row>
    <row r="159" spans="1:14">
      <c r="A159" s="23"/>
      <c r="B159" s="51"/>
      <c r="C159" s="51"/>
      <c r="D159" s="51"/>
      <c r="E159" s="51"/>
      <c r="F159" s="51"/>
      <c r="G159" s="33" t="s">
        <v>879</v>
      </c>
      <c r="H159" s="26"/>
      <c r="I159" s="26"/>
      <c r="J159" s="25"/>
      <c r="K159" s="25"/>
      <c r="L159" s="25"/>
      <c r="M159" s="36"/>
      <c r="N159" s="25"/>
    </row>
    <row r="160" spans="1:14">
      <c r="A160" s="23"/>
      <c r="B160" s="51"/>
      <c r="C160" s="51"/>
      <c r="D160" s="51"/>
      <c r="E160" s="51"/>
      <c r="F160" s="51"/>
      <c r="G160" s="33" t="s">
        <v>880</v>
      </c>
      <c r="H160" s="26"/>
      <c r="I160" s="26"/>
      <c r="J160" s="25"/>
      <c r="K160" s="25"/>
      <c r="L160" s="25"/>
      <c r="M160" s="36"/>
      <c r="N160" s="25"/>
    </row>
    <row r="161" spans="1:14">
      <c r="A161" s="23"/>
      <c r="B161" s="51"/>
      <c r="C161" s="51"/>
      <c r="D161" s="51"/>
      <c r="E161" s="51"/>
      <c r="F161" s="51"/>
      <c r="G161" s="33" t="s">
        <v>881</v>
      </c>
      <c r="H161" s="26"/>
      <c r="I161" s="26"/>
      <c r="J161" s="25"/>
      <c r="K161" s="25"/>
      <c r="L161" s="25"/>
      <c r="M161" s="25"/>
      <c r="N161" s="25"/>
    </row>
    <row r="162" spans="1:14">
      <c r="A162" s="23"/>
      <c r="B162" s="51"/>
      <c r="C162" s="51"/>
      <c r="D162" s="51"/>
      <c r="E162" s="51"/>
      <c r="F162" s="51"/>
      <c r="G162" s="33" t="s">
        <v>882</v>
      </c>
      <c r="H162" s="26"/>
      <c r="I162" s="26"/>
      <c r="J162" s="25"/>
      <c r="K162" s="25"/>
      <c r="L162" s="25"/>
      <c r="M162" s="25"/>
      <c r="N162" s="25"/>
    </row>
    <row r="163" spans="1:14">
      <c r="A163" s="23"/>
      <c r="B163" s="51"/>
      <c r="C163" s="51"/>
      <c r="D163" s="51"/>
      <c r="E163" s="51"/>
      <c r="F163" s="51"/>
      <c r="G163" s="33" t="s">
        <v>883</v>
      </c>
      <c r="H163" s="26"/>
      <c r="I163" s="26"/>
      <c r="J163" s="25"/>
      <c r="K163" s="25"/>
      <c r="L163" s="25"/>
      <c r="M163" s="25"/>
      <c r="N163" s="25"/>
    </row>
    <row r="164" spans="1:14">
      <c r="A164" s="23"/>
      <c r="B164" s="51"/>
      <c r="C164" s="51"/>
      <c r="D164" s="51"/>
      <c r="E164" s="51"/>
      <c r="F164" s="51"/>
      <c r="G164" s="33"/>
      <c r="H164" s="26"/>
      <c r="I164" s="26"/>
      <c r="J164" s="25"/>
      <c r="K164" s="25"/>
      <c r="L164" s="25"/>
      <c r="M164" s="25"/>
      <c r="N164" s="25"/>
    </row>
    <row r="165" ht="156.75" spans="1:14">
      <c r="A165" s="23">
        <v>2.3</v>
      </c>
      <c r="B165" s="51"/>
      <c r="C165" s="51"/>
      <c r="D165" s="61" t="s">
        <v>884</v>
      </c>
      <c r="E165" s="61" t="s">
        <v>885</v>
      </c>
      <c r="F165" s="61" t="s">
        <v>886</v>
      </c>
      <c r="G165" s="32" t="s">
        <v>887</v>
      </c>
      <c r="H165" s="59" t="s">
        <v>130</v>
      </c>
      <c r="I165" s="24">
        <v>10</v>
      </c>
      <c r="J165" s="25"/>
      <c r="K165" s="25"/>
      <c r="L165" s="25"/>
      <c r="M165" s="25">
        <v>2400</v>
      </c>
      <c r="N165" s="31">
        <f>SUM(I165*M165)</f>
        <v>24000</v>
      </c>
    </row>
    <row r="166" spans="1:14">
      <c r="A166" s="23"/>
      <c r="B166" s="51"/>
      <c r="C166" s="51"/>
      <c r="D166" s="61"/>
      <c r="E166" s="61"/>
      <c r="F166" s="61"/>
      <c r="G166" s="32"/>
      <c r="H166" s="59"/>
      <c r="I166" s="24"/>
      <c r="J166" s="25"/>
      <c r="K166" s="25"/>
      <c r="L166" s="25"/>
      <c r="M166" s="25"/>
      <c r="N166" s="25"/>
    </row>
    <row r="167" spans="1:14">
      <c r="A167" s="23"/>
      <c r="B167" s="51"/>
      <c r="C167" s="51"/>
      <c r="D167" s="61"/>
      <c r="E167" s="61"/>
      <c r="F167" s="61"/>
      <c r="G167" s="32"/>
      <c r="H167" s="59"/>
      <c r="I167" s="24"/>
      <c r="J167" s="25"/>
      <c r="K167" s="25"/>
      <c r="L167" s="25"/>
      <c r="M167" s="25"/>
      <c r="N167" s="25"/>
    </row>
    <row r="168" spans="1:14">
      <c r="A168" s="23">
        <v>2.4</v>
      </c>
      <c r="B168" s="66"/>
      <c r="C168" s="67"/>
      <c r="D168" s="67"/>
      <c r="E168" s="67" t="s">
        <v>410</v>
      </c>
      <c r="F168" s="67" t="s">
        <v>411</v>
      </c>
      <c r="G168" s="68" t="s">
        <v>412</v>
      </c>
      <c r="H168" s="69" t="s">
        <v>63</v>
      </c>
      <c r="I168" s="83">
        <v>80</v>
      </c>
      <c r="J168" s="83">
        <v>5</v>
      </c>
      <c r="K168" s="83">
        <f t="shared" ref="K168:K169" si="2">SUM(I168:J168)</f>
        <v>85</v>
      </c>
      <c r="L168" s="84">
        <v>7500</v>
      </c>
      <c r="M168" s="67">
        <v>3500</v>
      </c>
      <c r="N168" s="31">
        <f>SUM(I168*M168)</f>
        <v>280000</v>
      </c>
    </row>
    <row r="169" ht="44.25" spans="1:14">
      <c r="A169" s="23"/>
      <c r="B169" s="66"/>
      <c r="C169" s="67"/>
      <c r="D169" s="67"/>
      <c r="E169" s="67"/>
      <c r="F169" s="69"/>
      <c r="G169" s="70" t="s">
        <v>888</v>
      </c>
      <c r="H169" s="69"/>
      <c r="I169" s="83"/>
      <c r="J169" s="83"/>
      <c r="K169" s="83">
        <f t="shared" si="2"/>
        <v>0</v>
      </c>
      <c r="L169" s="83"/>
      <c r="M169" s="67"/>
      <c r="N169" s="25"/>
    </row>
    <row r="170" ht="15.75" spans="1:14">
      <c r="A170" s="71"/>
      <c r="B170" s="72"/>
      <c r="C170" s="72"/>
      <c r="D170" s="72"/>
      <c r="E170" s="72"/>
      <c r="F170" s="72"/>
      <c r="G170" s="73"/>
      <c r="H170" s="73"/>
      <c r="I170" s="73"/>
      <c r="J170" s="73"/>
      <c r="K170" s="73"/>
      <c r="L170" s="73"/>
      <c r="M170" s="73"/>
      <c r="N170" s="73"/>
    </row>
    <row r="171" ht="15.75" spans="1:14">
      <c r="A171" s="74"/>
      <c r="B171" s="75"/>
      <c r="C171" s="75"/>
      <c r="D171" s="75"/>
      <c r="E171" s="75"/>
      <c r="F171" s="75"/>
      <c r="G171" s="76" t="s">
        <v>889</v>
      </c>
      <c r="H171" s="76"/>
      <c r="I171" s="76"/>
      <c r="J171" s="76"/>
      <c r="K171" s="76"/>
      <c r="L171" s="76"/>
      <c r="M171" s="76"/>
      <c r="N171" s="85">
        <f>SUM(N8:N170)</f>
        <v>7975686.5</v>
      </c>
    </row>
    <row r="172" spans="1:15">
      <c r="A172" s="77"/>
      <c r="B172" s="78"/>
      <c r="C172" s="78"/>
      <c r="D172" s="78"/>
      <c r="E172" s="78"/>
      <c r="F172" s="78"/>
      <c r="G172" s="79"/>
      <c r="H172" s="79"/>
      <c r="I172" s="79"/>
      <c r="J172" s="79"/>
      <c r="K172" s="79"/>
      <c r="L172" s="79"/>
      <c r="M172" s="79"/>
      <c r="N172" s="79"/>
      <c r="O172" s="86"/>
    </row>
    <row r="173" ht="14.25" spans="1:14">
      <c r="A173" s="6"/>
      <c r="B173" s="6"/>
      <c r="C173" s="6"/>
      <c r="D173" s="6"/>
      <c r="E173" s="6"/>
      <c r="F173" s="6"/>
      <c r="G173" s="6"/>
      <c r="H173" s="6"/>
      <c r="I173" s="6"/>
      <c r="J173" s="79"/>
      <c r="K173" s="79"/>
      <c r="L173" s="79"/>
      <c r="M173" s="79"/>
      <c r="N173" s="79"/>
    </row>
    <row r="174" ht="14.25" spans="1:9">
      <c r="A174" s="6"/>
      <c r="B174" s="6"/>
      <c r="C174" s="6"/>
      <c r="D174" s="6"/>
      <c r="E174" s="6"/>
      <c r="F174" s="6"/>
      <c r="G174" s="6"/>
      <c r="H174" s="6"/>
      <c r="I174" s="6"/>
    </row>
    <row r="176" ht="14.25" spans="1:9">
      <c r="A176" s="6"/>
      <c r="B176" s="6"/>
      <c r="C176" s="6"/>
      <c r="D176" s="6"/>
      <c r="E176" s="6"/>
      <c r="F176" s="6"/>
      <c r="G176" s="6"/>
      <c r="H176" s="6"/>
      <c r="I176" s="6"/>
    </row>
    <row r="178" ht="14.25" spans="1:9">
      <c r="A178" s="6"/>
      <c r="B178" s="6"/>
      <c r="C178" s="6"/>
      <c r="D178" s="6"/>
      <c r="E178" s="6"/>
      <c r="F178" s="6"/>
      <c r="G178" s="6"/>
      <c r="H178" s="6"/>
      <c r="I178" s="6"/>
    </row>
    <row r="180" s="2" customFormat="1" spans="1:14">
      <c r="A180" s="80"/>
      <c r="B180" s="81"/>
      <c r="C180" s="81"/>
      <c r="I180" s="87"/>
      <c r="J180" s="87"/>
      <c r="K180" s="87"/>
      <c r="L180" s="87"/>
      <c r="M180" s="87"/>
      <c r="N180" s="87"/>
    </row>
  </sheetData>
  <mergeCells count="2">
    <mergeCell ref="A1:N1"/>
    <mergeCell ref="A3:N3"/>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PH2-summary</vt:lpstr>
      <vt:lpstr>0 Overall</vt:lpstr>
      <vt:lpstr>welcome zone</vt:lpstr>
      <vt:lpstr>fine dine &amp; live kitchen</vt:lpstr>
      <vt:lpstr>tea lounge</vt:lpstr>
      <vt:lpstr>sports &amp; relax lounge</vt:lpstr>
      <vt:lpstr>SPA</vt:lpstr>
      <vt:lpstr>Water Lounge</vt:lpstr>
      <vt:lpstr>CIVIL-WET WORK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2020-07-31T09:51:00Z</dcterms:created>
  <dcterms:modified xsi:type="dcterms:W3CDTF">2024-07-05T11:35:52Z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9ACBBEA512E24E8492175577485DB419_13</vt:lpwstr>
  </property>
  <property fmtid="{D5CDD505-2E9C-101B-9397-08002B2CF9AE}" pid="3" name="KSOProductBuildVer">
    <vt:lpwstr>1033-12.2.0.17119</vt:lpwstr>
  </property>
</Properties>
</file>