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activeTab="8"/>
  </bookViews>
  <sheets>
    <sheet name="PH2-summary" sheetId="20" r:id="rId1"/>
    <sheet name="0 Overall" sheetId="13" r:id="rId2"/>
    <sheet name="welcome zone" sheetId="14" r:id="rId3"/>
    <sheet name="fine dine &amp; live kitchen" sheetId="15" r:id="rId4"/>
    <sheet name="tea lounge" sheetId="16" r:id="rId5"/>
    <sheet name="sports &amp; relax lounge" sheetId="17" r:id="rId6"/>
    <sheet name="SPA" sheetId="18" r:id="rId7"/>
    <sheet name="Water Lounge" sheetId="19" r:id="rId8"/>
    <sheet name="CIVIL-WET WORK" sheetId="21" r:id="rId9"/>
  </sheets>
  <definedNames>
    <definedName name="__xlnm.Print_Titles_2">#REF!</definedName>
    <definedName name="__xlnm.Print_Titles_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<sst xmlns="http://schemas.openxmlformats.org/spreadsheetml/2006/main" count="2020" uniqueCount="890">
  <si>
    <t>SUMMARY - DOMESTIC LOUNGE PHASE-2 - INTERIOR WORKS</t>
  </si>
  <si>
    <t>A</t>
  </si>
  <si>
    <t>ABM</t>
  </si>
  <si>
    <t>SR.NO</t>
  </si>
  <si>
    <t>LOUNGES PHASE-II</t>
  </si>
  <si>
    <t>AMT</t>
  </si>
  <si>
    <t>OVERALL COMMON SPACES</t>
  </si>
  <si>
    <t>WELCOME LOUNGES</t>
  </si>
  <si>
    <t>FINE DINE AND LIVE KITCHEN</t>
  </si>
  <si>
    <t>TEA LOUNGE</t>
  </si>
  <si>
    <t>SPORTS AND RELAX LOUNGE</t>
  </si>
  <si>
    <t xml:space="preserve">SPA </t>
  </si>
  <si>
    <t>WATER LOUNGE</t>
  </si>
  <si>
    <t>BASEWORK CIVIL WORK</t>
  </si>
  <si>
    <t>TOTAL A- 1 TO 10</t>
  </si>
  <si>
    <t>CONTENGENCY 10 %</t>
  </si>
  <si>
    <t>GRAND TOTAL</t>
  </si>
  <si>
    <t>EXCLUSION</t>
  </si>
  <si>
    <t>ALL TAXES</t>
  </si>
  <si>
    <t>WHITE GOODS</t>
  </si>
  <si>
    <t>LIASONIG WORKS</t>
  </si>
  <si>
    <t>COMERCIAL KISOK @ ENTERANCE</t>
  </si>
  <si>
    <t>DIRECT ORDERS BY TFS</t>
  </si>
  <si>
    <t>MEPF WORKS</t>
  </si>
  <si>
    <t>ARCHIETURAL LIGHTS</t>
  </si>
  <si>
    <t>STRUCTURAL WORKS ( SLAB EXTENSION/NEW COLUMNS/BULK HEAD SUPPORTING FRAME/DECORATIVE CEILING FRAME/FIRE STRUCTURE)</t>
  </si>
  <si>
    <t>SANITARY &amp; CP FITTINGS &amp; TOILET ACCESSORIES</t>
  </si>
  <si>
    <t>KITCHEN &amp; BAR EQUIPMENTS</t>
  </si>
  <si>
    <t>LOOSE FURNITURE -SOFA SEATING AND CHAIRS</t>
  </si>
  <si>
    <t>LOOSE FURNITURE ( LIKE CENTER AND SIDE TABLE/DINNING TABLE )</t>
  </si>
  <si>
    <t>FIDS AND TV SCREENS</t>
  </si>
  <si>
    <t>DIGITAL BRANDING AND PROMO AREA SCREENS</t>
  </si>
  <si>
    <t>CARPET AND RUGS</t>
  </si>
  <si>
    <t>SIGNAGES</t>
  </si>
  <si>
    <t>ZONE -0 OVERALL  BOQ</t>
  </si>
  <si>
    <t>ABM ESTIMATE</t>
  </si>
  <si>
    <t>Sr No</t>
  </si>
  <si>
    <t>Service / Materials Code</t>
  </si>
  <si>
    <t>WBS</t>
  </si>
  <si>
    <t>WBS Level 2</t>
  </si>
  <si>
    <t>Short  Item Description</t>
  </si>
  <si>
    <t>Description</t>
  </si>
  <si>
    <t>Unit</t>
  </si>
  <si>
    <t>Qty. of Items</t>
  </si>
  <si>
    <t xml:space="preserve">Total Rate / Unit (Materials + Fixing) </t>
  </si>
  <si>
    <t>Amount in INR. (Without Taxes)</t>
  </si>
  <si>
    <t>I</t>
  </si>
  <si>
    <t>CIVIL WORK</t>
  </si>
  <si>
    <t>CVL/FLR</t>
  </si>
  <si>
    <t>Marble flooring</t>
  </si>
  <si>
    <t>18 mm thick Italian Marble flooring</t>
  </si>
  <si>
    <t>Smt</t>
  </si>
  <si>
    <r>
      <rPr>
        <sz val="11"/>
        <rFont val="Calibri"/>
        <charset val="134"/>
      </rPr>
      <t>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t>
    </r>
    <r>
      <rPr>
        <sz val="11"/>
        <color rgb="FFFF0000"/>
        <rFont val="Calibri"/>
        <charset val="134"/>
      </rPr>
      <t>including approved sealer to be applied on all sides,</t>
    </r>
    <r>
      <rPr>
        <sz val="11"/>
        <rFont val="Calibri"/>
        <charset val="134"/>
      </rPr>
      <t xml:space="preserve"> with edge polish etc., complete, Including using plastic/Pvc  sheet and POP to protect on marble flooring  as  protection , Include removal and disposing of protection materials before handover, Basic cost of marble Rs 450/sft </t>
    </r>
  </si>
  <si>
    <t>CVL/WCD</t>
  </si>
  <si>
    <t>Marble Wall Cladding</t>
  </si>
  <si>
    <t>18 mm thick Italian Marble Dado on Lift wall including Jambline</t>
  </si>
  <si>
    <r>
      <rPr>
        <sz val="11"/>
        <rFont val="Calibri"/>
        <charset val="134"/>
      </rP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All visible edges of Marble shall be mirror polished, </t>
    </r>
    <r>
      <rPr>
        <sz val="11"/>
        <color rgb="FFFF0000"/>
        <rFont val="Calibri"/>
        <charset val="134"/>
      </rPr>
      <t>including approved sealer to be applied on all sides</t>
    </r>
    <r>
      <rPr>
        <sz val="11"/>
        <rFont val="Calibri"/>
        <charset val="134"/>
      </rPr>
      <t xml:space="preserve"> , Basic cost of marble Rs 450/sft </t>
    </r>
  </si>
  <si>
    <t>Texture tile Cladding</t>
  </si>
  <si>
    <t>Designer/Texture Tile Cladding</t>
  </si>
  <si>
    <t>Clean existing wall surface before fixing Texture designer tile Before starting, carefully read the suppliers laying plan and instructions.DecorativeTexture tiles shall be fixed and finished as per manufacturers instructions, preferably by a nominated contractor. Basic cost of Texture tiles at Rs.400/sft without tax</t>
  </si>
  <si>
    <t>CVL/LDG</t>
  </si>
  <si>
    <t>Jamb line</t>
  </si>
  <si>
    <t>Marble  Jamb line</t>
  </si>
  <si>
    <t>rmt</t>
  </si>
  <si>
    <r>
      <rPr>
        <sz val="11"/>
        <rFont val="Calibri"/>
        <charset val="134"/>
      </rPr>
      <t xml:space="preserve">All around the Opening Up to 250 mm Wide ,polished Italian marble fixed to existing  masonry Plastered wall,  Marble shall be installed with white cement paste, if installed  on masonry work, with edge Moulding etc. complete, All joints of Marble shall be filled with matching colour TIM-X or equivalent grout filler, All visible edges of Marble shall be mirror polished, </t>
    </r>
    <r>
      <rPr>
        <sz val="11"/>
        <color rgb="FFFF0000"/>
        <rFont val="Calibri"/>
        <charset val="134"/>
      </rPr>
      <t>including approved sealer to be applied on all sides</t>
    </r>
    <r>
      <rPr>
        <sz val="11"/>
        <rFont val="Calibri"/>
        <charset val="134"/>
      </rPr>
      <t xml:space="preserve"> , Special care to be taken to fix marble on horizontal surface. Shall rest over ply at one end and vertical marble on the other, ( Basic cost of marble Rs 450/sft )</t>
    </r>
  </si>
  <si>
    <t>CVL/SKT</t>
  </si>
  <si>
    <t>Marble Skirting</t>
  </si>
  <si>
    <t>Marble Skirting Boxing -Openable</t>
  </si>
  <si>
    <r>
      <rPr>
        <sz val="11"/>
        <rFont val="Calibri"/>
        <charset val="134"/>
      </rPr>
      <t xml:space="preserve">up to 150 mm high x 200 mm wide ,Skirting Boxing to be made out of 18 mm thick Marine ply, Ply to be covered with 18 MM thick Italian Marble including Edge Moulding, etc. complete, All joints of Marble shall be filled with matching colour TIM-X or equivalent grout filler, All visible edges of Marble shall be mirror polished, </t>
    </r>
    <r>
      <rPr>
        <sz val="11"/>
        <color rgb="FFFF0000"/>
        <rFont val="Calibri"/>
        <charset val="134"/>
      </rPr>
      <t>approved sealer to be applied on all sides</t>
    </r>
    <r>
      <rPr>
        <sz val="11"/>
        <rFont val="Calibri"/>
        <charset val="134"/>
      </rPr>
      <t xml:space="preserve"> (  Basic cost of marble Rs 450/sft )</t>
    </r>
  </si>
  <si>
    <t>II</t>
  </si>
  <si>
    <t>FRENCH PLASTER WORK</t>
  </si>
  <si>
    <t>FP</t>
  </si>
  <si>
    <t>CEILING</t>
  </si>
  <si>
    <t>Fire line Gypsum board ceiling</t>
  </si>
  <si>
    <r>
      <rPr>
        <sz val="11"/>
        <rFont val="Calibri"/>
        <charset val="134"/>
      </rP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charset val="134"/>
      </rPr>
      <t>Note</t>
    </r>
    <r>
      <rPr>
        <sz val="11"/>
        <rFont val="Calibri"/>
        <charset val="134"/>
      </rPr>
      <t xml:space="preserve"> - existing structural ceilling height is 4300 mm )</t>
    </r>
  </si>
  <si>
    <t>Bulk Head in Profile- In Flat Water cut Paint finish</t>
  </si>
  <si>
    <t>As per drawing -Size up to 600 mm wide x 1850 mm high, Using 50mm x 36 mm, 16 SWG aluminum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</si>
  <si>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refer Drawing no- B01-TFS-DOM02-ID-00-13</t>
  </si>
  <si>
    <t>French Plaster</t>
  </si>
  <si>
    <t>POP plaster punning</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</si>
  <si>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</si>
  <si>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III</t>
  </si>
  <si>
    <t>CARPENTRY WORK</t>
  </si>
  <si>
    <t>CP-SKIN</t>
  </si>
  <si>
    <t>PLY</t>
  </si>
  <si>
    <t>FRP Ply Paneling</t>
  </si>
  <si>
    <r>
      <rPr>
        <sz val="11"/>
        <rFont val="Calibri"/>
        <charset val="134"/>
      </rPr>
      <t xml:space="preserve">providing and fixing </t>
    </r>
    <r>
      <rPr>
        <sz val="11"/>
        <color rgb="FFFF0000"/>
        <rFont val="Calibri"/>
        <charset val="134"/>
      </rPr>
      <t>Fire rated</t>
    </r>
    <r>
      <rPr>
        <sz val="11"/>
        <rFont val="Calibri"/>
        <charset val="134"/>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</si>
  <si>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r>
      <rPr>
        <sz val="11"/>
        <rFont val="Calibri"/>
        <charset val="134"/>
      </rPr>
      <t xml:space="preserve">12 mm thk </t>
    </r>
    <r>
      <rPr>
        <sz val="11"/>
        <color rgb="FFFF0000"/>
        <rFont val="Calibri"/>
        <charset val="134"/>
      </rPr>
      <t>Fire rated</t>
    </r>
    <r>
      <rPr>
        <sz val="11"/>
        <rFont val="Calibri"/>
        <charset val="134"/>
      </rPr>
      <t xml:space="preserve"> plywood</t>
    </r>
  </si>
  <si>
    <r>
      <rPr>
        <sz val="11"/>
        <rFont val="Calibri"/>
        <charset val="134"/>
      </rPr>
      <t xml:space="preserve">15 mm thk </t>
    </r>
    <r>
      <rPr>
        <sz val="11"/>
        <color rgb="FFFF0000"/>
        <rFont val="Calibri"/>
        <charset val="134"/>
      </rPr>
      <t>Fire rated</t>
    </r>
    <r>
      <rPr>
        <sz val="11"/>
        <rFont val="Calibri"/>
        <charset val="134"/>
      </rPr>
      <t xml:space="preserve"> plywood</t>
    </r>
  </si>
  <si>
    <r>
      <rPr>
        <sz val="11"/>
        <rFont val="Calibri"/>
        <charset val="134"/>
      </rPr>
      <t xml:space="preserve">18 mm thk </t>
    </r>
    <r>
      <rPr>
        <sz val="11"/>
        <color rgb="FFFF0000"/>
        <rFont val="Calibri"/>
        <charset val="134"/>
      </rPr>
      <t>Fire rated</t>
    </r>
    <r>
      <rPr>
        <sz val="11"/>
        <rFont val="Calibri"/>
        <charset val="134"/>
      </rPr>
      <t xml:space="preserve"> plywood</t>
    </r>
  </si>
  <si>
    <r>
      <rPr>
        <sz val="11"/>
        <rFont val="Calibri"/>
        <charset val="134"/>
      </rPr>
      <t xml:space="preserve">6 mm thk Flexi </t>
    </r>
    <r>
      <rPr>
        <sz val="11"/>
        <color rgb="FFFF0000"/>
        <rFont val="Calibri"/>
        <charset val="134"/>
      </rPr>
      <t>Fire rated</t>
    </r>
    <r>
      <rPr>
        <sz val="11"/>
        <rFont val="Calibri"/>
        <charset val="134"/>
      </rPr>
      <t xml:space="preserve"> plywood</t>
    </r>
  </si>
  <si>
    <t>VENEER</t>
  </si>
  <si>
    <t>Veneer skin</t>
  </si>
  <si>
    <r>
      <rPr>
        <sz val="11"/>
        <rFont val="Calibri"/>
        <charset val="134"/>
      </rPr>
      <t xml:space="preserve">Using 4 mm thk approved veneer sheet with 0.4 mm thick wooden face, pressed over backing plywood including matching wood beading as per approved design, with 3 mm x 3mm finish groove as per design, Figure of veneer to be matched as per design, Pressing shall be free of defects, Veneer to be finished in </t>
    </r>
    <r>
      <rPr>
        <sz val="11"/>
        <color rgb="FFFF0000"/>
        <rFont val="Calibri"/>
        <charset val="134"/>
      </rPr>
      <t xml:space="preserve"> Approved Waterbase PU polish</t>
    </r>
  </si>
  <si>
    <t>(Basic cost of veneer up to Rs. 125/-sft )</t>
  </si>
  <si>
    <t>CP-SS</t>
  </si>
  <si>
    <t>SS PROFILE</t>
  </si>
  <si>
    <t>SS Satin Bronze finish Floor Insert in Curved Profile</t>
  </si>
  <si>
    <t>Rmt</t>
  </si>
  <si>
    <t xml:space="preserve">up to 18 mm wide, 4 mm thick 304 grade  Insert in Two Floorings ,  Fixed with epoxy adhesive </t>
  </si>
  <si>
    <t>SS Skirting</t>
  </si>
  <si>
    <t>SS Bronze Satin finish skirting 50mm high</t>
  </si>
  <si>
    <t>16 SWG, 304 Grade SS skirting over existing ply, Fixed with epoxy adhesive</t>
  </si>
  <si>
    <t>CP-PNL</t>
  </si>
  <si>
    <t>Paneling</t>
  </si>
  <si>
    <t>View Cutter Paneling up to 2500 mm high above Deck Slab</t>
  </si>
  <si>
    <t>sqmt</t>
  </si>
  <si>
    <t>Proividin and fixing using 36 x36 mm MS partition frame work  with cross bracing, Frame Anchor to Deck slab, Exoposed side of frame to be covered with 12 mm thick HDF base ,additional  6 mm HDF to be fixed on 12 mm thick base with 12 mm Groove pattern, Finish in apporoved Lustur paint</t>
  </si>
  <si>
    <t>IV</t>
  </si>
  <si>
    <t>MISCELLANOUS WORK</t>
  </si>
  <si>
    <t>MISC</t>
  </si>
  <si>
    <t>Painting</t>
  </si>
  <si>
    <t>Art paintings &amp; atrifacts</t>
  </si>
  <si>
    <t>LS</t>
  </si>
  <si>
    <t>Signage</t>
  </si>
  <si>
    <t>Signages</t>
  </si>
  <si>
    <t>Attendance</t>
  </si>
  <si>
    <t>Attendance for MEPF works</t>
  </si>
  <si>
    <t xml:space="preserve"> On Electrical &amp; Lighting &amp; allied Works </t>
  </si>
  <si>
    <t xml:space="preserve"> On IT Works </t>
  </si>
  <si>
    <t xml:space="preserve"> On Fire Protection System Works </t>
  </si>
  <si>
    <t xml:space="preserve"> On HVAC Works </t>
  </si>
  <si>
    <t xml:space="preserve"> On Plumbing Works </t>
  </si>
  <si>
    <t xml:space="preserve"> On Kitchen Works </t>
  </si>
  <si>
    <t>Including all Other services</t>
  </si>
  <si>
    <t>V</t>
  </si>
  <si>
    <t>PAINTING WORK</t>
  </si>
  <si>
    <t>PNT</t>
  </si>
  <si>
    <t>Wall Paint</t>
  </si>
  <si>
    <t>Highlight Painting to walls</t>
  </si>
  <si>
    <t>smt</t>
  </si>
  <si>
    <t>Sanding and preparing surface for receiving paint, One coat of cement primer in solvent base, Two coats of putty in oil / synthetic enamel base, Three coats of luster paint. Complete as per manufacturer's specifications</t>
  </si>
  <si>
    <t>Duco Paint to Walls/Partition</t>
  </si>
  <si>
    <t>Sanding and preparing surface for receiving paint, Final coats of Dcuot paint. Complete as per manufacturer's specifications</t>
  </si>
  <si>
    <t>Ceiling Paint</t>
  </si>
  <si>
    <t>Painting to ceiling in acrylic emulsion paint</t>
  </si>
  <si>
    <t>Sanding and preparing surface for receiving paint, One coat of cement primer in solvent base. Two coats of putty ,Three coats of acrylic emulsion paint, Complete as per manufacturer's specifications</t>
  </si>
  <si>
    <t>Concrete Paint</t>
  </si>
  <si>
    <t>Concrete texture finish Paint</t>
  </si>
  <si>
    <t>Paint By Evolve-mumbai ( basic cost of Pait Rs 250/sqft )</t>
  </si>
  <si>
    <t>Note:</t>
  </si>
  <si>
    <t xml:space="preserve">1) All plywood to be fire rated </t>
  </si>
  <si>
    <t>2) Approved make to be specified</t>
  </si>
  <si>
    <t>3) All polish to  be water based PU</t>
  </si>
  <si>
    <t>4) Apporved sealer to be applied in all 6 sides of marble</t>
  </si>
  <si>
    <t>5) Profile to be check</t>
  </si>
  <si>
    <t>ZONE -13 PHASE 2- WELCOME LOUNGE BOQ</t>
  </si>
  <si>
    <t>Qty. Main Welcom lounge</t>
  </si>
  <si>
    <t>Qty. Service Lift Welcom lounge</t>
  </si>
  <si>
    <t>Total QTY</t>
  </si>
  <si>
    <t>Basic Rate of Materials / Unit</t>
  </si>
  <si>
    <t>Supply Rate of Materials / Unit</t>
  </si>
  <si>
    <t>Fixing Rate of Materials / Unit</t>
  </si>
  <si>
    <t>REMARKS</t>
  </si>
  <si>
    <t>DEMOLITION WORK</t>
  </si>
  <si>
    <t>PS</t>
  </si>
  <si>
    <t>MASONRY WORK</t>
  </si>
  <si>
    <t>Solid Concrete Block</t>
  </si>
  <si>
    <t>CVL</t>
  </si>
  <si>
    <t>CVL-Wall / Partition</t>
  </si>
  <si>
    <t>Building 150 mm thk. Aerocon block wall / Partition of 4300mm height up to Mother Slab .</t>
  </si>
  <si>
    <r>
      <rPr>
        <sz val="11"/>
        <rFont val="Calibri"/>
        <charset val="134"/>
      </rPr>
      <t xml:space="preserve">P&amp;C of 150mm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charset val="134"/>
      </rPr>
      <t>cement/Adhesive</t>
    </r>
    <r>
      <rPr>
        <sz val="11"/>
        <rFont val="Calibri"/>
        <charset val="134"/>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charset val="134"/>
      </rPr>
      <t xml:space="preserve">RCC Patli to be after every 5 layers </t>
    </r>
    <r>
      <rPr>
        <sz val="11"/>
        <rFont val="Calibri"/>
        <charset val="134"/>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charset val="134"/>
      </rPr>
      <t xml:space="preserve"> up to 4300mm ht</t>
    </r>
    <r>
      <rPr>
        <sz val="11"/>
        <rFont val="Calibri"/>
        <charset val="134"/>
      </rPr>
      <t xml:space="preserve"> up to mother slab level.                       </t>
    </r>
  </si>
  <si>
    <t>Sq. Mtr.</t>
  </si>
  <si>
    <t xml:space="preserve">Building 100 mm thk. Aerocon block wall / Partition of 4300mm height at Toilet Areas. </t>
  </si>
  <si>
    <r>
      <rPr>
        <sz val="11"/>
        <rFont val="Calibri"/>
        <charset val="134"/>
      </rPr>
      <t xml:space="preserve">P&amp;C of 100mm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charset val="134"/>
      </rPr>
      <t>cement/Adhesive</t>
    </r>
    <r>
      <rPr>
        <sz val="11"/>
        <rFont val="Calibri"/>
        <charset val="134"/>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charset val="134"/>
      </rPr>
      <t>RCC Patli to be after every 5 layers</t>
    </r>
    <r>
      <rPr>
        <sz val="11"/>
        <rFont val="Calibri"/>
        <charset val="134"/>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</si>
  <si>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t>Plaster</t>
  </si>
  <si>
    <t>CVL-Wall Plaster</t>
  </si>
  <si>
    <t>12/15mm thick Wall Plaster on the both surfaces Block Wall / Partition up to 4300mm height .</t>
  </si>
  <si>
    <r>
      <rPr>
        <sz val="11"/>
        <rFont val="Calibri"/>
        <charset val="134"/>
      </rPr>
      <t xml:space="preserve">P&amp;A of </t>
    </r>
    <r>
      <rPr>
        <b/>
        <sz val="11"/>
        <rFont val="Calibri"/>
        <charset val="134"/>
      </rPr>
      <t>single coat backing plaster of 12/ 15 mm thick</t>
    </r>
    <r>
      <rPr>
        <sz val="11"/>
        <rFont val="Calibri"/>
        <charset val="134"/>
      </rPr>
      <t xml:space="preserve"> in CM 1:4 proportion to the walls &amp; others concrete &amp; masonry surfaces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approved metal mesh (18 gauge) @ 150/200mm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engineer's instruction. These are for all the both surfaces of new constructed masonry walls/ rcc wall &amp; columns/ beams etc.</t>
    </r>
  </si>
  <si>
    <t xml:space="preserve">CVL- Plaster on the Existing Wall </t>
  </si>
  <si>
    <t xml:space="preserve">12/15mm thick Wall Plaster on the surfaces of Existing Masonry Works Surfaces up to 4300mm height . Inclding removing old plaster </t>
  </si>
  <si>
    <t xml:space="preserve"> Screeding</t>
  </si>
  <si>
    <t>CVL- Coba / Screeding.</t>
  </si>
  <si>
    <t xml:space="preserve">50mm / 75mm thick Coba / Screeding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</si>
  <si>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</si>
  <si>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18 mm thick Italian Marble flooring - Dark</t>
  </si>
  <si>
    <r>
      <rPr>
        <sz val="10"/>
        <rFont val="Calibri"/>
        <charset val="134"/>
      </rPr>
      <t xml:space="preserve">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charset val="134"/>
      </rPr>
      <t xml:space="preserve">including Approved sealer to be applied on all sides </t>
    </r>
    <r>
      <rPr>
        <sz val="10"/>
        <rFont val="Calibri"/>
        <charset val="134"/>
      </rPr>
      <t xml:space="preserve">, with edge polish etc., complete, Including using plastic/Pvc  sheet and POP to protect on marble flooring  as  protection , Include removal and disposing of protection materials before handover, Basic cost of marble Rs 450/sft </t>
    </r>
  </si>
  <si>
    <t>Kota Stone</t>
  </si>
  <si>
    <t>CVL-FLR</t>
  </si>
  <si>
    <t>Kota Flooring</t>
  </si>
  <si>
    <t>Kota Stone Flooring for Corridor</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</si>
  <si>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service area.</t>
  </si>
  <si>
    <r>
      <rPr>
        <sz val="10"/>
        <rFont val="Calibri"/>
        <charset val="134"/>
      </rP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t>
    </r>
    <r>
      <rPr>
        <sz val="10"/>
        <color rgb="FFFF0000"/>
        <rFont val="Calibri"/>
        <charset val="134"/>
      </rPr>
      <t>including Approved sealer to be applied on all sides,</t>
    </r>
    <r>
      <rPr>
        <sz val="10"/>
        <rFont val="Calibri"/>
        <charset val="134"/>
      </rPr>
      <t xml:space="preserve"> All visible edges of Marble shall be mirror polished, Basic cost of marble Rs 450/sft </t>
    </r>
  </si>
  <si>
    <t>18 mm thick Exotic  Italian Marble Cladding on signage wall</t>
  </si>
  <si>
    <r>
      <rPr>
        <sz val="10"/>
        <rFont val="Calibri"/>
        <charset val="134"/>
      </rPr>
      <t>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t>
    </r>
    <r>
      <rPr>
        <sz val="10"/>
        <color rgb="FFFF0000"/>
        <rFont val="Calibri"/>
        <charset val="134"/>
      </rPr>
      <t xml:space="preserve"> including Approved sealer to be applied on all sides</t>
    </r>
    <r>
      <rPr>
        <sz val="10"/>
        <rFont val="Calibri"/>
        <charset val="134"/>
      </rPr>
      <t xml:space="preserve">, All visible edges of Marble shall be mirror polished, Basic cost of marble Rs 1000/sft </t>
    </r>
  </si>
  <si>
    <t>Planter Box</t>
  </si>
  <si>
    <t>Marble finish Planter Box</t>
  </si>
  <si>
    <t>nos</t>
  </si>
  <si>
    <r>
      <rPr>
        <sz val="10"/>
        <rFont val="Calibri"/>
        <charset val="134"/>
      </rPr>
      <t xml:space="preserve">As per Drawing- Size up to 1800 mm in length x 600 mm wide &amp; 600 mm high, Planter box Frame to be made 50 mm x 38 mm MS box Frame,  Planter Skirting Base to be Covered with  12 mm thick FRP Ply and 50 mm high 16g 304  grade SS satin Bronze finish Skirting, Frame Vertical surfaces to be covered with At least 18 mm thk Onyx marble fixed to MS box frame with SS clamps/pins and Adhesive from outside ,  and From in side  Base to be finish in ordinary marble and Vertical Surfaces to be covered with 12 mm thick FRP Ply and Laminate with Mirror Screw ( openable Panel ), Including 6  mm thick 304 grade SS satin Bronze finish  top Trim,  etc. complete, All joints of Marble shall be filled with matching colour TIM-X or equivalent grout filler, </t>
    </r>
    <r>
      <rPr>
        <sz val="10"/>
        <color rgb="FFFF0000"/>
        <rFont val="Calibri"/>
        <charset val="134"/>
      </rPr>
      <t>including Approved sealer to be applied on all sides</t>
    </r>
    <r>
      <rPr>
        <sz val="10"/>
        <rFont val="Calibri"/>
        <charset val="134"/>
      </rPr>
      <t xml:space="preserve">, All visible edges of Marble shall be mirror polished, Basic cost of marble Rs 1500/sft </t>
    </r>
  </si>
  <si>
    <t>CVL-SKR</t>
  </si>
  <si>
    <t>Kota Skirting</t>
  </si>
  <si>
    <t>Kota Stone Skirting 150 mm high</t>
  </si>
  <si>
    <t>P&amp;F of 19mm thick Kota Stone Skirting (selected &amp; approved grey colour - size, 550mm x550mm, basic cost INR. 538.00 / SM), stone to be machine cut, machine polished, Fix as detailed in drawing, fix with tight hairline joints , joints to be cleaned and grouted with matching colour approved quality Epoxy based readymade grout, curing, machine polishing, cleaning, etc.  necessary cut out for services purpose, etc. Complete in proper line &amp; level as per site engineer's instruction. It is considered for  service area.</t>
  </si>
  <si>
    <t xml:space="preserve">DECORATIVE CEILING </t>
  </si>
  <si>
    <t>Curved Feature ceiling with  facia in Water cut Enamal Paint finish</t>
  </si>
  <si>
    <t>All MS framework for ceiling to be used,  50mm x 50 mm, MS Box framework at 600 mm c/c fixed to  Existing MS framework/Wall and Partition frame work  with proper welding &amp; bolting ,  Including anti rust paint ,ceiling frame to be covered with 12 mm thick ply from all side and 6+6 mm thick Flexi ply for curved profile, Ply to be covered with 12mm thk MDF board to be used to Received Water cut Enamal PaintFinish Including  6+6 mm thick for curved profile, All joints to be filled with jointing compound , Include finished cutouts for light fixtures, AC grills .</t>
  </si>
  <si>
    <t>Gypsum cove light</t>
  </si>
  <si>
    <t>FR Gypsum board Cove for indirect light</t>
  </si>
  <si>
    <t xml:space="preserve">In L shape with 150 mm deep up to 300mm high and 50 mm wide fascia, All G.I framework for ceiling to be used manufactured by "GYPSteel" only,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 </t>
  </si>
  <si>
    <t>*in Straight Profile</t>
  </si>
  <si>
    <t>*In Curved Profile</t>
  </si>
  <si>
    <t>French plaster</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</si>
  <si>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</si>
  <si>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CP-FR</t>
  </si>
  <si>
    <t>ALUMINIUM FRAME WORK</t>
  </si>
  <si>
    <t>Aluminum frame work In Profile for Art work</t>
  </si>
  <si>
    <t xml:space="preserve">36mm x 36 mm, 16 SWG aluminum framework at 600 mm c/c on wall/column , 18 mm x 18mm, 3 mm aluminum angle to be used for assembling paneling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</si>
  <si>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Aluminum frame work For Paneling</t>
  </si>
  <si>
    <r>
      <rPr>
        <sz val="10"/>
        <rFont val="Calibri"/>
        <charset val="134"/>
      </rPr>
      <t xml:space="preserve">providing and fixing </t>
    </r>
    <r>
      <rPr>
        <sz val="10"/>
        <color rgb="FFFF0000"/>
        <rFont val="Calibri"/>
        <charset val="134"/>
      </rPr>
      <t>Fire rated</t>
    </r>
    <r>
      <rPr>
        <sz val="10"/>
        <rFont val="Calibri"/>
        <charset val="134"/>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</si>
  <si>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t>a</t>
  </si>
  <si>
    <r>
      <rPr>
        <sz val="10"/>
        <rFont val="Calibri"/>
        <charset val="134"/>
      </rPr>
      <t xml:space="preserve">12 mm thk </t>
    </r>
    <r>
      <rPr>
        <sz val="10"/>
        <color rgb="FFFF0000"/>
        <rFont val="Calibri"/>
        <charset val="134"/>
      </rPr>
      <t>Fire rated</t>
    </r>
    <r>
      <rPr>
        <sz val="10"/>
        <rFont val="Calibri"/>
        <charset val="134"/>
      </rPr>
      <t xml:space="preserve"> plywood</t>
    </r>
  </si>
  <si>
    <t>b</t>
  </si>
  <si>
    <r>
      <rPr>
        <sz val="10"/>
        <rFont val="Calibri"/>
        <charset val="134"/>
      </rPr>
      <t xml:space="preserve">15 mm thk </t>
    </r>
    <r>
      <rPr>
        <sz val="10"/>
        <color rgb="FFFF0000"/>
        <rFont val="Calibri"/>
        <charset val="134"/>
      </rPr>
      <t>Fire rated</t>
    </r>
    <r>
      <rPr>
        <sz val="10"/>
        <rFont val="Calibri"/>
        <charset val="134"/>
      </rPr>
      <t xml:space="preserve"> plywood</t>
    </r>
  </si>
  <si>
    <t>c</t>
  </si>
  <si>
    <r>
      <rPr>
        <sz val="10"/>
        <rFont val="Calibri"/>
        <charset val="134"/>
      </rPr>
      <t xml:space="preserve">18 mm thk </t>
    </r>
    <r>
      <rPr>
        <sz val="10"/>
        <color rgb="FFFF0000"/>
        <rFont val="Calibri"/>
        <charset val="134"/>
      </rPr>
      <t>Fire rated</t>
    </r>
    <r>
      <rPr>
        <sz val="10"/>
        <rFont val="Calibri"/>
        <charset val="134"/>
      </rPr>
      <t xml:space="preserve"> plywood</t>
    </r>
  </si>
  <si>
    <t>d</t>
  </si>
  <si>
    <r>
      <rPr>
        <sz val="10"/>
        <rFont val="Calibri"/>
        <charset val="134"/>
      </rPr>
      <t xml:space="preserve">6 mm thk Flexi </t>
    </r>
    <r>
      <rPr>
        <sz val="10"/>
        <color rgb="FFFF0000"/>
        <rFont val="Calibri"/>
        <charset val="134"/>
      </rPr>
      <t>Fire rated</t>
    </r>
    <r>
      <rPr>
        <sz val="10"/>
        <rFont val="Calibri"/>
        <charset val="134"/>
      </rPr>
      <t xml:space="preserve"> plywood</t>
    </r>
  </si>
  <si>
    <t>HDF Paneling</t>
  </si>
  <si>
    <t>providing and fixing HDF Panel to existing framework /pop wall surface with flat head, full thread, sheet metal screws, Edges of HDF to end at center of framework. Edges to be tightly screwed to  framework at 300 mm c/c. Edges to be planed properly to receive finish material</t>
  </si>
  <si>
    <t>12 mm thk HDF</t>
  </si>
  <si>
    <t>6 mm thk Flexi HDF</t>
  </si>
  <si>
    <t>Feature wall Paneling</t>
  </si>
  <si>
    <t>Fluted Wall paneling in Metallic Duco paint finish</t>
  </si>
  <si>
    <t>Using 12 mm thk HDF to be fixed on Existing ply as base , All joints shall be planed and smoothened before installing fluting mouldings.All joints shall be filled with suitable fillers and reinforcement tape, if required. HDF Moldings to be fixed  as per drawing ( min 25 mm wide &amp; deep ), shall be installed on HDF back surface in perfect plumb, line and level. base and HDF moulding surface shall be finished in metallic duco paint, as approved by Architect</t>
  </si>
  <si>
    <t>Backlit Feature Wall Paneling in SS Gold Finish</t>
  </si>
  <si>
    <t>As per Drawing - Size  up to 3600 mm wide x 3600 mm high, Feature wall frame work to be made out of 50mm x 100 mm MS Box framework , fixed to Floor slab &amp; wall with adequate anchor bolts and plates, Including anti rust paint , Frame to be covered 6 mm thick FRP Flexi Ply, 6+6 mm thick FRP Flexi ply bttens to be made and  fix on 6 mm thick base ply with 30 mm Gap,Batten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</si>
  <si>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CP-FIN</t>
  </si>
  <si>
    <t>Fins</t>
  </si>
  <si>
    <t>Concrete Finish Fins- in Profile</t>
  </si>
  <si>
    <t>SQmt</t>
  </si>
  <si>
    <t>As per Drawing - Size  upto 650 mm wide x 3600 mm high, Fins frame work to be made out of 38mm x 38 mm MS Box framework , fixed to Floor slab &amp;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250/sqft )</t>
  </si>
  <si>
    <t>CP-PRT</t>
  </si>
  <si>
    <t>PORTAL</t>
  </si>
  <si>
    <t>400 mm wide Veneer /SS finish Portal</t>
  </si>
  <si>
    <t>Providing and fixing  4 mm thick Venner and 16 G SS 304 cladding as portal, finish in PU and PVD coating</t>
  </si>
  <si>
    <t>CP-MR</t>
  </si>
  <si>
    <t>MIRROR PANELING</t>
  </si>
  <si>
    <t>TINTED Mirror PANELING</t>
  </si>
  <si>
    <t>Providing and fixing  8 mm thick Tinted Mirror on exisitng ply , Fixed with Approved adhesive</t>
  </si>
  <si>
    <t>CP-FUR</t>
  </si>
  <si>
    <t>LECTURN</t>
  </si>
  <si>
    <t>Reception Desk - Lecturn for Main Enterance</t>
  </si>
  <si>
    <t>Nos</t>
  </si>
  <si>
    <t>Providing and fixing  1000 mm wide x 2000 mm length Reception (Lectrun )desk , finish in Marble /SS/Veneer. As per detail drawings</t>
  </si>
  <si>
    <t>Reception Desk - Lecturn for Service lift Entry</t>
  </si>
  <si>
    <t>Providing and fixing  1000 mm wide x 1000 mm length Reception (Lectrun )desk , finish in Marble /SS/Veneer. As per detail drawings</t>
  </si>
  <si>
    <t>CP-DR</t>
  </si>
  <si>
    <t xml:space="preserve">DOOR </t>
  </si>
  <si>
    <t>Service room &amp; Spa room  Door in Fluted design matching to fluted paneling in metallic Paint Finish</t>
  </si>
  <si>
    <t>No</t>
  </si>
  <si>
    <t>Size : 1000mm x 2250mm</t>
  </si>
  <si>
    <t>Door Frame :</t>
  </si>
  <si>
    <t>Overall finish size 250mm x 50 mm thk without rebate,Door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</si>
  <si>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Shutter :</t>
  </si>
  <si>
    <t>Overall size:900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</si>
  <si>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Hardware :</t>
  </si>
  <si>
    <t>125 mm x 50 mm x 4 mm thk bearing type SS hinges fixed between frame and shutter with SS screws. At least 4 nos. hinges per shutter, Dead lock with suitable cover plate, Concealed door closer by 'Hafele/Dorma as per required capacity,  1 set of handle as approved by Architect</t>
  </si>
  <si>
    <t>Glass Door</t>
  </si>
  <si>
    <t>Fire Hose reel Double leaf Glass  Door</t>
  </si>
  <si>
    <t>Shutter-Size : 1200mm x 2250mm</t>
  </si>
  <si>
    <t>As per drawing, Using 6 mm toughened glass Door with Powder coated Aluminum frame , all edges CNC machine polished</t>
  </si>
  <si>
    <t>The shutter shall be mounted on min. 3 nos. bearing SS copper finished hinges with proprietary screws, made by Hafele/Dorma or equivalent approved by Architect. handle  with locking arrangement, by Hafele or equivalent approved,</t>
  </si>
  <si>
    <t>Service Door_Dining Area</t>
  </si>
  <si>
    <t>Size : 1500mm x 2250mm Double Leaf</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</si>
  <si>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</si>
  <si>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Overall size:750 mm wide x 2250 mm ht. x 2 leaf, up to 67 mm thk. Using 38 mm thick readymade fireproof shutter covered with 12 mm thick FRP ply on both sides. The shutter shall be clad with 4 mm thick  Veneer from lounge side and other side 1 mm thick approved Laminate, including NBTW beading all around. Shutter to be finish  in  Approved Melamine polish , Including Vision panel as per drawing.</t>
  </si>
  <si>
    <t>Heavy duty floor Spring by Hafle or Dorma, Dead lock with suitable cover plate,  including 300 mm wide SS kick plate from both side of shutter,  1 set of handle as approved by Architect</t>
  </si>
  <si>
    <t>VI</t>
  </si>
  <si>
    <t>Sanding and preparing surface for receiving paint, Final coats of Duco paint. Complete as per manufacturer's specifications</t>
  </si>
  <si>
    <t>Concrete texture finish Coating</t>
  </si>
  <si>
    <t>Metallic leafing</t>
  </si>
  <si>
    <t>Artificial Silver/Gold leafing on  ceiling</t>
  </si>
  <si>
    <t>Surface to be ready with putty and primer, to receive metal leaf, Metal leafing to be applied over surface by skilled labour, Metal leaf to be installed as per approved sample, Stain coating to be applied as per approved sample, 2 coats of protective coating in matt / glossy finish, as instructed by Architect</t>
  </si>
  <si>
    <t>Luster Painting to walls</t>
  </si>
  <si>
    <t>Black Paint</t>
  </si>
  <si>
    <t>Black matt paint to walls, beams structural frame and ceiling above false ceiling</t>
  </si>
  <si>
    <t>Sanding and preparing surface for receiving paint, Oil based, black matt paint to be applied in two coats, Clean surface before applying</t>
  </si>
  <si>
    <t>TOTAL I TO VI</t>
  </si>
  <si>
    <t>FINE DINING &amp; LIVE KITCHEN AREA BOQ</t>
  </si>
  <si>
    <t>1.1a</t>
  </si>
  <si>
    <t>18 mm thick Italian Marble flooring in Various Marble shade  and in strip form Pattern - for Dining</t>
  </si>
  <si>
    <r>
      <rPr>
        <sz val="10"/>
        <rFont val="Calibri"/>
        <charset val="134"/>
      </rP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charset val="134"/>
      </rPr>
      <t xml:space="preserve">including Approved sealer to be applied on all sides </t>
    </r>
    <r>
      <rPr>
        <sz val="10"/>
        <rFont val="Calibri"/>
        <charset val="134"/>
      </rPr>
      <t xml:space="preserve">, with edge polish etc., complete, Including using plastic/Pvc  sheet and POP to protect on marble flooring  as  protection , Include removal and disposing of protection materials before handover, Basic cost of marble Rs 450/sft </t>
    </r>
  </si>
  <si>
    <t>1.1b</t>
  </si>
  <si>
    <t>Vitrified flooring</t>
  </si>
  <si>
    <t>Kotah tile Flooring for Live Kitchen</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</si>
  <si>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kitchen &amp; service area.</t>
  </si>
  <si>
    <t>1.1c</t>
  </si>
  <si>
    <t>18 mm thick Italian Marble flooring black and white tile form- for Dining</t>
  </si>
  <si>
    <r>
      <rPr>
        <sz val="10"/>
        <rFont val="Calibri"/>
        <charset val="134"/>
      </rPr>
      <t xml:space="preserve">Marble tile size up to 600 mm x 600 mm-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 </t>
    </r>
    <r>
      <rPr>
        <sz val="10"/>
        <color rgb="FFFF0000"/>
        <rFont val="Calibri"/>
        <charset val="134"/>
      </rPr>
      <t>including Approved sealer to be applied on all sides,</t>
    </r>
    <r>
      <rPr>
        <sz val="10"/>
        <rFont val="Calibri"/>
        <charset val="134"/>
      </rPr>
      <t xml:space="preserve"> with edge polish etc., complete, Including using plastic/Pvc  sheet and POP to protect on marble flooring  as  protection , Include removal and disposing of protection materials before handover, Basic cost of marble Rs 550/sft </t>
    </r>
  </si>
  <si>
    <t>CVL-TILE</t>
  </si>
  <si>
    <t>Tile Cladding</t>
  </si>
  <si>
    <t>Joint less ceramic tiles cladding ( behind Buffet counter )</t>
  </si>
  <si>
    <r>
      <rPr>
        <sz val="10"/>
        <rFont val="Calibri"/>
        <charset val="134"/>
      </rPr>
      <t xml:space="preserve">Cladding shall comprise of ceramic tile of 300 mm x 300 mm, Tiles to be fixed in ordinary Portland cement only, Tiles to be put with </t>
    </r>
    <r>
      <rPr>
        <sz val="10"/>
        <color rgb="FFFF0000"/>
        <rFont val="Calibri"/>
        <charset val="134"/>
      </rPr>
      <t>Spacer required with Leticrete grout in  joints</t>
    </r>
    <r>
      <rPr>
        <sz val="10"/>
        <rFont val="Calibri"/>
        <charset val="134"/>
      </rPr>
      <t xml:space="preserve"> in plumb, Joints to be filled with  matching grout.(Basic cost of ceramic tiles at Rs.30/sft) make: Johnson / Somany / Kajaria / Nitco</t>
    </r>
  </si>
  <si>
    <t>Vitrified tile For Live Kitchen</t>
  </si>
  <si>
    <r>
      <rPr>
        <sz val="10"/>
        <rFont val="Calibri"/>
        <charset val="134"/>
      </rPr>
      <t xml:space="preserve">Clean existing wall surface before fixing  tile, Before starting, carefully read the suppliers laying plan and instructions. Decorative mosaic tiles shall be fixed and finished as per manufacturers instructions, </t>
    </r>
    <r>
      <rPr>
        <sz val="10"/>
        <color rgb="FFFF0000"/>
        <rFont val="Calibri"/>
        <charset val="134"/>
      </rPr>
      <t>Tiles to be put with Spacer required with Leticrete grout in  joints in plumb</t>
    </r>
    <r>
      <rPr>
        <sz val="10"/>
        <rFont val="Calibri"/>
        <charset val="134"/>
      </rPr>
      <t>, Joints to be filled with  matching grout.  preferably by a nominated contractor. Basic cost of mosaic tiles at Rs.150/sft without tax</t>
    </r>
  </si>
  <si>
    <t>CVL/CLD</t>
  </si>
  <si>
    <t>marble wall cladding</t>
  </si>
  <si>
    <t>Italian Marble Wall Cladding</t>
  </si>
  <si>
    <r>
      <rPr>
        <sz val="10"/>
        <color indexed="8"/>
        <rFont val="Calibri"/>
        <charset val="134"/>
      </rPr>
      <t xml:space="preserve">Clean existing wall surface before fixing wall cladding, Marble shall be minimum 18 mm thick fixed to </t>
    </r>
    <r>
      <rPr>
        <sz val="10"/>
        <color rgb="FFFF0000"/>
        <rFont val="Calibri"/>
        <charset val="134"/>
      </rPr>
      <t xml:space="preserve">fire rated </t>
    </r>
    <r>
      <rPr>
        <sz val="10"/>
        <color indexed="8"/>
        <rFont val="Calibri"/>
        <charset val="134"/>
      </rPr>
      <t>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t>
    </r>
    <r>
      <rPr>
        <sz val="10"/>
        <color rgb="FFFF0000"/>
        <rFont val="Calibri"/>
        <charset val="134"/>
      </rPr>
      <t xml:space="preserve"> including Approved sealer to be applied on all sides</t>
    </r>
    <r>
      <rPr>
        <sz val="10"/>
        <color indexed="8"/>
        <rFont val="Calibri"/>
        <charset val="134"/>
      </rPr>
      <t xml:space="preserve"> (On site cost of Italian marble @ Rs.450/sft without tax)</t>
    </r>
  </si>
  <si>
    <t>Italian Marble Finish Band</t>
  </si>
  <si>
    <r>
      <rPr>
        <sz val="10"/>
        <color indexed="8"/>
        <rFont val="Calibri"/>
        <charset val="134"/>
      </rPr>
      <t xml:space="preserve">Size up to 400 Mm high, Clean existing wall surface before fixing wall cladding, Marble shall be minimum 18 mm thick fixed to </t>
    </r>
    <r>
      <rPr>
        <sz val="10"/>
        <color rgb="FFFF0000"/>
        <rFont val="Calibri"/>
        <charset val="134"/>
      </rPr>
      <t>Fire rated</t>
    </r>
    <r>
      <rPr>
        <sz val="10"/>
        <color indexed="8"/>
        <rFont val="Calibri"/>
        <charset val="134"/>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 </t>
    </r>
    <r>
      <rPr>
        <sz val="10"/>
        <color rgb="FFFF0000"/>
        <rFont val="Calibri"/>
        <charset val="134"/>
      </rPr>
      <t>including Approved sealer to be applied on all sides</t>
    </r>
    <r>
      <rPr>
        <sz val="10"/>
        <color indexed="8"/>
        <rFont val="Calibri"/>
        <charset val="134"/>
      </rPr>
      <t xml:space="preserve"> (On site cost of Italian marble @ Rs.450/sft without tax)</t>
    </r>
  </si>
  <si>
    <t>Marble Architrave</t>
  </si>
  <si>
    <t>Marble Portal /Architrave ( 50 mm wide 400 mm deep )</t>
  </si>
  <si>
    <r>
      <rPr>
        <sz val="10"/>
        <rFont val="Calibri"/>
        <charset val="134"/>
      </rPr>
      <t xml:space="preserve">All around in 'C' profile Pasted over existing ply surface with epoxy adhesive &amp; brass pins, Ply surface shall be cleaned before installing marble, At least 18mm thk marble to be fixed, Marble shall be cut as per size &amp;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 </t>
    </r>
    <r>
      <rPr>
        <sz val="10"/>
        <color rgb="FFFF0000"/>
        <rFont val="Calibri"/>
        <charset val="134"/>
      </rPr>
      <t xml:space="preserve">including Approved sealer to be applied on all sides </t>
    </r>
    <r>
      <rPr>
        <sz val="10"/>
        <rFont val="Calibri"/>
        <charset val="134"/>
      </rPr>
      <t>(Basic cost of Marble at Rs.450/sft )</t>
    </r>
  </si>
  <si>
    <r>
      <rPr>
        <sz val="10"/>
        <rFont val="Calibri"/>
        <charset val="134"/>
      </rPr>
      <t xml:space="preserve">up to 150 mm high Skirting  with 18 MM thick Italian Marble including Edge Moulding, etc. complete, All joints of Marble shall be filled with matching colour TIM-X or equivalent grout filler, All visible edges of Marble shall be mirror polished, </t>
    </r>
    <r>
      <rPr>
        <sz val="10"/>
        <color rgb="FFFF0000"/>
        <rFont val="Calibri"/>
        <charset val="134"/>
      </rPr>
      <t xml:space="preserve">including Approved sealer to be applied on all sides </t>
    </r>
    <r>
      <rPr>
        <sz val="10"/>
        <rFont val="Calibri"/>
        <charset val="134"/>
      </rPr>
      <t>(  Basic cost of marble Rs 450/sft )</t>
    </r>
  </si>
  <si>
    <t>GYPSUM -CEINLING</t>
  </si>
  <si>
    <r>
      <rPr>
        <sz val="10"/>
        <rFont val="Calibri"/>
        <charset val="134"/>
      </rP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0"/>
        <rFont val="Calibri"/>
        <charset val="134"/>
      </rPr>
      <t>Note</t>
    </r>
    <r>
      <rPr>
        <sz val="10"/>
        <rFont val="Calibri"/>
        <charset val="134"/>
      </rPr>
      <t xml:space="preserve"> - existing structural ceiling height is 4300 mm )</t>
    </r>
  </si>
  <si>
    <t>GYP-CEL</t>
  </si>
  <si>
    <t>Aluminium framework  for panelling :</t>
  </si>
  <si>
    <t>50mm x 25 mm, 16 SWG aluminium framework at 600 mm c/c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</si>
  <si>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Wooden Strip panelling</t>
  </si>
  <si>
    <t>Veneer finish Panelling in batten form - Vertical and Horizontal</t>
  </si>
  <si>
    <r>
      <rPr>
        <sz val="10"/>
        <rFont val="Calibri"/>
        <charset val="134"/>
      </rPr>
      <t xml:space="preserve">Providing and fixing 150 mm wide batten form, Using 4 mm thk approved veneer sheet with 0.4 mm thick wooden face, pressed over 12 mm thick  backing </t>
    </r>
    <r>
      <rPr>
        <sz val="10"/>
        <color rgb="FFFF0000"/>
        <rFont val="Calibri"/>
        <charset val="134"/>
      </rPr>
      <t>Fire rated</t>
    </r>
    <r>
      <rPr>
        <sz val="10"/>
        <rFont val="Calibri"/>
        <charset val="134"/>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Calibri"/>
        <charset val="134"/>
      </rPr>
      <t>Approved waterbase PU polish</t>
    </r>
  </si>
  <si>
    <t>CP-Part</t>
  </si>
  <si>
    <t>Wooden Partition</t>
  </si>
  <si>
    <t>Free standing low height Partition in Curved Profile- 1350 mm High</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</si>
  <si>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</si>
  <si>
    <t>Free standing low height Partition in straight Profile-1350 mm high</t>
  </si>
  <si>
    <r>
      <rPr>
        <sz val="10"/>
        <rFont val="Calibri"/>
        <charset val="134"/>
      </rPr>
      <t xml:space="preserve">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t>
    </r>
    <r>
      <rPr>
        <sz val="10"/>
        <color rgb="FFFF0000"/>
        <rFont val="Calibri"/>
        <charset val="134"/>
      </rPr>
      <t>Fire rated</t>
    </r>
    <r>
      <rPr>
        <sz val="10"/>
        <rFont val="Calibri"/>
        <charset val="134"/>
      </rPr>
      <t xml:space="preserve"> plywood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r>
  </si>
  <si>
    <t>Glass-Screen</t>
  </si>
  <si>
    <t>Fluted glass screen with SS Flat trim- 300 mm high</t>
  </si>
  <si>
    <t>10 mm thick Fluted Glass panel with 6 mm thick SS flat band around the glass , SS in bronze satin finish, Fixed to marble top  Trim ,  as shown in drawing, including fluted glass film</t>
  </si>
  <si>
    <t>Serving counter</t>
  </si>
  <si>
    <t>Buffet serving counter - in U shape</t>
  </si>
  <si>
    <t>Size : 11500mm length x 800mm depth x 950mm ht.</t>
  </si>
  <si>
    <r>
      <rPr>
        <sz val="10"/>
        <rFont val="Calibri"/>
        <charset val="134"/>
      </rPr>
      <t xml:space="preserve">As per drawing, Serving counter structure constructed out of 18 mm thk  </t>
    </r>
    <r>
      <rPr>
        <sz val="10"/>
        <color rgb="FFFF0000"/>
        <rFont val="Calibri"/>
        <charset val="134"/>
      </rPr>
      <t>Fire rated</t>
    </r>
    <r>
      <rPr>
        <sz val="10"/>
        <rFont val="Calibri"/>
        <charset val="134"/>
      </rPr>
      <t xml:space="preserve">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450/sft ) (Basic cost of Corian at Rs. 850/sft )</t>
    </r>
  </si>
  <si>
    <t>Coffee station</t>
  </si>
  <si>
    <t xml:space="preserve">Coffee Station </t>
  </si>
  <si>
    <t>Size : 1800mm length x 750mm depth x 950mm ht.</t>
  </si>
  <si>
    <r>
      <rPr>
        <sz val="10"/>
        <rFont val="Calibri"/>
        <charset val="134"/>
      </rPr>
      <t xml:space="preserve">As per drawing, counter structure constructed out of 18 mm thk </t>
    </r>
    <r>
      <rPr>
        <sz val="10"/>
        <color rgb="FFFF0000"/>
        <rFont val="Calibri"/>
        <charset val="134"/>
      </rPr>
      <t xml:space="preserve">Fire rated </t>
    </r>
    <r>
      <rPr>
        <sz val="10"/>
        <rFont val="Calibri"/>
        <charset val="134"/>
      </rPr>
      <t>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&amp; bottom with 0.40 mm thk wooden face pressed on front side, All Internal Surface to be covered with 4 mm thick veneer, Veneer &amp; Wood to be Finished in Approved Melamine Polish, 200 mm high skirting boxing to be made in 18 mm thick marine ply covered with marble, with openable  panel, Provision to be made in counter for water inlet point &amp; drain outlet,  Including all cut-outs for electrical points. (Basic cost of veneer at Rs.125sft) (Basic cost of Marble at Rs. 450 /sft)</t>
    </r>
  </si>
  <si>
    <t>CP-GL</t>
  </si>
  <si>
    <t>SS Jali</t>
  </si>
  <si>
    <t>SS Screen in Satin Bronze finish</t>
  </si>
  <si>
    <t xml:space="preserve">Overall size- 4500 mm wide x 1000 mm height,  304 grade SS screen to be made out of  3 mm thick Sheet  ( cris-cross  pattern ),  SS frame in Satin Bronze finish  as approved by Architect, frame fixed to Wall and above ceiling Bulkhead, </t>
  </si>
  <si>
    <t>TV Frame</t>
  </si>
  <si>
    <t>TV/FIDS surround frame</t>
  </si>
  <si>
    <t>Size up to  ( 1200 mm x 1350 mm ), Using 3/4" thick ply carcass as TV surround, like a picture frame including 50 to 75  mm wide surround finished in 4 mm thick veneer to receive polycot paint, Rear portion of TV surround covered with 1 mm thick laminate, To be fixed on wall/panelling with adequate supports</t>
  </si>
  <si>
    <t>Glass Shelf</t>
  </si>
  <si>
    <t xml:space="preserve">18 mm thick Glass Shelf </t>
  </si>
  <si>
    <t>size - 1500MMX350MM- using 18 mm thick toughen glass shelf including SS Patch fittings ( Haffle or Dorma )</t>
  </si>
  <si>
    <t>Glass Box</t>
  </si>
  <si>
    <t>Glass Display BOX with SS pipe  in Satin Bronze - 300 mm ht.</t>
  </si>
  <si>
    <t xml:space="preserve">nos </t>
  </si>
  <si>
    <t>size - 300MM X4500MM- Made of Box frame using 25 x25 x2.5 mm thick SS box pipe in Satin bronze finish, and frame to be covered  with 12 mm thick  toughen Glass as per detail drawing</t>
  </si>
  <si>
    <t>Glass Display BOX with SS pipe  in Satin Bronze - 200 mm ht.</t>
  </si>
  <si>
    <t>size - 200MM X4500MM- Made of Box frame using 25 x25 x2.5 mm thick SS box pipe in Satin bronze finish, and frame to be covered  with 12 mm thick  toughen Glass  as per detail drawing</t>
  </si>
  <si>
    <t xml:space="preserve"> DOOR D-8</t>
  </si>
  <si>
    <t>Service door-Veneer/laminate finish including top fixed panel</t>
  </si>
  <si>
    <t>Size : 900mm x 2250mm</t>
  </si>
  <si>
    <r>
      <rPr>
        <sz val="10"/>
        <rFont val="Calibri"/>
        <charset val="134"/>
      </rPr>
      <t xml:space="preserve">Overall finish size 200mm x 50 mm thk without rebate, Door frame to be Made up Using 18 mm thick marine ply as rough ground,, fixed to masonry wall in perfect plumb,  line and level by using 6" long Hilti Anchor bolt (total 6 nos - 3 nos each side), Clad with 12 mm thk  marine ply &amp; 4 mm thick Approved Veneer, Rebate to be separately put in  wood, Wood to be treated with anti-termite medicine, Frame to be finished in </t>
    </r>
    <r>
      <rPr>
        <sz val="10"/>
        <color rgb="FFFF0000"/>
        <rFont val="Calibri"/>
        <charset val="134"/>
      </rPr>
      <t>Approved waterbase PU polish</t>
    </r>
  </si>
  <si>
    <t>Overall size:800 mm wide x 2250 mm ht. x  1 leaf, up to 40 mm thk. Using 35 mm thick readymade fireproof shutter covered with  4 mm thick  approved veneer from Lounge  side and other side 1 mm thick approved Laminate, (basic cost of veneer up to Rs. 125/sft) &amp; (basic cost of laminate Rs 1600 / sheet)</t>
  </si>
  <si>
    <t xml:space="preserve">Polish: </t>
  </si>
  <si>
    <r>
      <rPr>
        <sz val="10"/>
        <rFont val="Calibri"/>
        <charset val="134"/>
      </rPr>
      <t xml:space="preserve">Frame &amp; entire door  to be  to be Finished in </t>
    </r>
    <r>
      <rPr>
        <sz val="10"/>
        <color rgb="FFFF0000"/>
        <rFont val="Calibri"/>
        <charset val="134"/>
      </rPr>
      <t>Approved waterbase PU polish</t>
    </r>
  </si>
  <si>
    <t>125 mm x 50 mm x 4 mm thk bearing type SS hinges fixed between frame and shutter with SS screws. At least 4 nos. hinges per shutter, Dead lock with suitable cover plate , and Magnetic latch, 1 set of handle as approved by architect</t>
  </si>
  <si>
    <t>Wooden Capital</t>
  </si>
  <si>
    <t>Wooden finish Capital for Column</t>
  </si>
  <si>
    <r>
      <rPr>
        <sz val="10"/>
        <rFont val="Calibri"/>
        <charset val="134"/>
      </rPr>
      <t xml:space="preserve">size up to 300 mm Deep- Providing and fixing 75  mm thick Veneer finish Capital including adequate MS frame and 12 mm thick </t>
    </r>
    <r>
      <rPr>
        <sz val="10"/>
        <color rgb="FFFF0000"/>
        <rFont val="Calibri"/>
        <charset val="134"/>
      </rPr>
      <t>Fire rated</t>
    </r>
    <r>
      <rPr>
        <sz val="10"/>
        <rFont val="Calibri"/>
        <charset val="134"/>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Calibri"/>
        <charset val="134"/>
      </rPr>
      <t>Approved waterbase PU polish</t>
    </r>
  </si>
  <si>
    <t>As per drawing -Size up to 600 mm wide x 1850 mm high, Using 50mm x 36 mm, 16 SWG aluminium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</si>
  <si>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Veneer finish Ceiling</t>
  </si>
  <si>
    <t>Sqmt</t>
  </si>
  <si>
    <r>
      <rPr>
        <sz val="10"/>
        <rFont val="Calibri"/>
        <charset val="134"/>
      </rPr>
      <t>As per drawing - Using 50mm x 36 mm, 16 SWG aluminium framework at 600 mm c/c Fixed on existing Structural Framework, Frame to be covered with 18 mm thick marine ply,  ply to be covered with 4 mm thick approved Veneer, Veneer to be Finished in</t>
    </r>
    <r>
      <rPr>
        <sz val="10"/>
        <color rgb="FFFF0000"/>
        <rFont val="Calibri"/>
        <charset val="134"/>
      </rPr>
      <t xml:space="preserve"> Approved waterbase PU polish </t>
    </r>
    <r>
      <rPr>
        <sz val="10"/>
        <rFont val="Calibri"/>
        <charset val="134"/>
      </rPr>
      <t>.  (Basic cost of veneer up to Rs. 125/-sft )</t>
    </r>
  </si>
  <si>
    <t>Corian finish fluted panelling</t>
  </si>
  <si>
    <r>
      <rPr>
        <sz val="10"/>
        <rFont val="Calibri"/>
        <charset val="134"/>
      </rPr>
      <t xml:space="preserve">Providing and fixing  up to 50 mm  wide x 600 umm high Corian batten form, Using 12 mm thk approved  Corian sheet , pressed over 12 mm thick  backing </t>
    </r>
    <r>
      <rPr>
        <sz val="10"/>
        <color rgb="FFFF0000"/>
        <rFont val="Calibri"/>
        <charset val="134"/>
      </rPr>
      <t>Fire rated</t>
    </r>
    <r>
      <rPr>
        <sz val="10"/>
        <rFont val="Calibri"/>
        <charset val="134"/>
      </rPr>
      <t xml:space="preserve"> plywood as per approved design, with 12 mm x 6 mm finish groove as per design, Pressing shall be free of defects, Basic cost of Corian at Rs.900/sft without tax</t>
    </r>
  </si>
  <si>
    <t>Brick Cladding on Existing taper column</t>
  </si>
  <si>
    <t>Clean existing wall/Ply surface before fixing  brick tile cladding Before starting, carefully read the suppliers laying plan and instructions. Decorative Brick tiles shall be fixed and finished as per manufacturers instructions, preferably by a nominated contractor. Basic cost of mosaic tiles at Rs.120/sft without tax</t>
  </si>
  <si>
    <t>CP-Seat</t>
  </si>
  <si>
    <t>Built in Sofa Seating</t>
  </si>
  <si>
    <t>Built In seating In Profile- for Dining Area ( Part of Phase-1 )</t>
  </si>
  <si>
    <t>Partition in Curved Profile</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</si>
  <si>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barcket light (Basic cost of veneer at Rs.125/sft) (Basic cost of Marble at Rs. 2000 /sft)</t>
  </si>
  <si>
    <t>Built-in seating -Seat</t>
  </si>
  <si>
    <t>up to 100 mm thk foam rubber seat pasted to 18 mm thk ply base , 25 mm thk., 32 density PU foam to cover rubber seat, PU foam to be covered with 6 mm thk. sheet before finishing seat in white cloth,Final  finished in approved fabric / leatherite (Basic cost of fabric at Rs.2500/rmt)</t>
  </si>
  <si>
    <t>Built-in seating- Back</t>
  </si>
  <si>
    <t>Back rest to be fixed to rear partition .Up to 25mm thk. Foam rubber pasted to back rest, in Fluted profile, 25 mm thk., 32 density PU foam to cover rubber sheet, PU foam to be covered with 6 mm thk sheet before finishing in white cloth,Final  finished in approved fabric / leatherite (Basic cost of fabric at Rs.2500/rmt)</t>
  </si>
  <si>
    <t>Fixed Seating Sofa  - Size - 9650 mm length x860 mm deep x 1200 mm height</t>
  </si>
  <si>
    <t>Fixed Seating Sofa  - Size -7200 mm length x860 mm deep x 1200 mm height</t>
  </si>
  <si>
    <t>CP-Fur</t>
  </si>
  <si>
    <t>Standy</t>
  </si>
  <si>
    <t>Standy Tall Table - In profile</t>
  </si>
  <si>
    <t>Size : 65 mm thick  1050mm length x 450 deep x1140 mm ht.</t>
  </si>
  <si>
    <t>Using 35mmx25mm Aluminium frame, 400x400 mm c/c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Rs.125/sft) (Basic cost of corian Rs.850/sft)</t>
  </si>
  <si>
    <t>TOTAL AMOUNT - I TO VI</t>
  </si>
  <si>
    <t xml:space="preserve">Description </t>
  </si>
  <si>
    <t>Qty. of Items Tea Garden</t>
  </si>
  <si>
    <t>Total Quantity</t>
  </si>
  <si>
    <t>Terrazo Flooring</t>
  </si>
  <si>
    <t>10 mm thick Terrazo Flooring in Pattern</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</si>
  <si>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product.Typical properties of the resin needs to be achieved in laboratory tests at 50% Relative Humidity. Fire Resistance BS476-7: Spread of Flame : Class 2Slip Resistance  :   TRRL  Pendulum Slip Test Dry    &gt; 40 low  slip potential.Temperature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</si>
  <si>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t>COUNTER AND LEDGES</t>
  </si>
  <si>
    <t>CVL/FUR</t>
  </si>
  <si>
    <t>Bar Counter</t>
  </si>
  <si>
    <t>Tea  Bar counter in Curved  Profile</t>
  </si>
  <si>
    <t>Size : 9000mm length x 650 mm depth x 1100mm ht.</t>
  </si>
  <si>
    <t>Apron partition:</t>
  </si>
  <si>
    <r>
      <rPr>
        <sz val="10"/>
        <rFont val="Tahoma"/>
        <charset val="134"/>
      </rPr>
      <t xml:space="preserve">38 mm x 38 Aluminum Box framework made up thickness up to 100 mm wide, frame to be covered with 6+6 mm thick flexi </t>
    </r>
    <r>
      <rPr>
        <sz val="10"/>
        <color rgb="FFFF0000"/>
        <rFont val="Tahoma"/>
        <charset val="134"/>
      </rPr>
      <t>Fire rated</t>
    </r>
    <r>
      <rPr>
        <sz val="10"/>
        <rFont val="Tahoma"/>
        <charset val="134"/>
      </rPr>
      <t xml:space="preserve">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Rs.800/sft)</t>
    </r>
  </si>
  <si>
    <t>Preparation counter:</t>
  </si>
  <si>
    <r>
      <rPr>
        <sz val="10"/>
        <rFont val="Tahoma"/>
        <charset val="134"/>
      </rPr>
      <t xml:space="preserve">Size up to 600 mm wide Preparation counter structure constructed out of 18 mm thk </t>
    </r>
    <r>
      <rPr>
        <sz val="10"/>
        <color rgb="FFFF0000"/>
        <rFont val="Tahoma"/>
        <charset val="134"/>
      </rPr>
      <t>Fire rated</t>
    </r>
    <r>
      <rPr>
        <sz val="10"/>
        <rFont val="Tahoma"/>
        <charset val="134"/>
      </rPr>
      <t xml:space="preserve"> plywood In laminate finish, 18 mm thick Veneer finish Shutter Including matching wood beading on all exposed plywood edges, Venner &amp; Beading to be finish in approved Duco paint, 16 mm thk Terrazo counter tops with 50 mm thk top edge on all sides, (Basic cost of Terrazo  at Rs.750/sft)  (Basic cost Veneer at Rs.100/sft)</t>
    </r>
  </si>
  <si>
    <t>Serving counter top in profile:</t>
  </si>
  <si>
    <r>
      <rPr>
        <sz val="10"/>
        <rFont val="Tahoma"/>
        <charset val="134"/>
      </rPr>
      <t xml:space="preserve">Upto 350 mm wide Serving Counter top,75 mm facia Including provision for Led strip profile light, comprising of 38x38 mm Aluminium framework covered with </t>
    </r>
    <r>
      <rPr>
        <sz val="10"/>
        <color rgb="FFFF0000"/>
        <rFont val="Tahoma"/>
        <charset val="134"/>
      </rPr>
      <t>Fire rated</t>
    </r>
    <r>
      <rPr>
        <sz val="10"/>
        <rFont val="Tahoma"/>
        <charset val="134"/>
      </rPr>
      <t xml:space="preserve"> plywood , At least 16 mm thk approved Terrazo stone fixed to on counter Ply top, Bottom ply of serving top shall have 1.5 mm thk approved laminate on bottom side, Exclude electrical point wiring &amp; light source within counter top, (Basic cost of Terrazo  at Rs.750/sft) </t>
    </r>
  </si>
  <si>
    <t>Bar Back unit</t>
  </si>
  <si>
    <t>Terrazo finish Bar Back unit</t>
  </si>
  <si>
    <t>Size : 6500mm length x 600mm depth x 900 mm ht.</t>
  </si>
  <si>
    <r>
      <rPr>
        <sz val="10"/>
        <rFont val="Tahoma"/>
        <charset val="134"/>
      </rPr>
      <t xml:space="preserve">Back unit structure constructed out of 18 mm thk </t>
    </r>
    <r>
      <rPr>
        <sz val="10"/>
        <color rgb="FFFF0000"/>
        <rFont val="Tahoma"/>
        <charset val="134"/>
      </rPr>
      <t xml:space="preserve">Fire rated </t>
    </r>
    <r>
      <rPr>
        <sz val="10"/>
        <rFont val="Tahoma"/>
        <charset val="134"/>
      </rPr>
      <t xml:space="preserve">plywood with vertical support in the center, Plywood to be covered with 18 mm thick Terrazo top  and back wall, with 50 mm thick Terrazo Facia, with mitre joints ,  Marble pieces to be tightly placed together and shall have mitre joints on edges, All joints to be filled with matching colour  joint filler, All edges of stone to be polished. including 18 mm thick duco paint finish Shutter  (Basic cost of Terrazo  at Rs.750/sft) </t>
    </r>
  </si>
  <si>
    <t>L.H. Partition</t>
  </si>
  <si>
    <t>Low height Curved Partition ( 1500 mm high ) Attached to  Built in Seating</t>
  </si>
  <si>
    <r>
      <rPr>
        <sz val="10"/>
        <rFont val="Tahoma"/>
        <charset val="134"/>
      </rPr>
      <t xml:space="preserve">As per drawing, overall thichness up to 100 mm, using 50mm x 50 mm  MS box  framework, 6+6  mm thk Flexi </t>
    </r>
    <r>
      <rPr>
        <sz val="10"/>
        <color rgb="FFFF0000"/>
        <rFont val="Tahoma"/>
        <charset val="134"/>
      </rPr>
      <t>Fire rated</t>
    </r>
    <r>
      <rPr>
        <sz val="10"/>
        <rFont val="Tahoma"/>
        <charset val="134"/>
      </rPr>
      <t xml:space="preserve"> plywood fixed to framework from all side, Ply to be covered with 4 mm thick approved veneer finish with Approved waterbase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charset val="134"/>
      </rPr>
      <t>Approved waterbase PU polish</t>
    </r>
    <r>
      <rPr>
        <sz val="10"/>
        <rFont val="Tahoma"/>
        <charset val="134"/>
      </rPr>
      <t>, including provision for pole light (Basic cost of veneer at Rs.150/sft)</t>
    </r>
  </si>
  <si>
    <t>Low height Curved Partition ( 1500 mm high ) with moulding panel behind counter</t>
  </si>
  <si>
    <r>
      <rPr>
        <sz val="10"/>
        <rFont val="Tahoma"/>
        <charset val="134"/>
      </rPr>
      <t xml:space="preserve">As per drawing, overall thichness up to 100 mm, using 50mm x 50 mm  MS box  framework, 6+6  mm thk Flexi </t>
    </r>
    <r>
      <rPr>
        <sz val="10"/>
        <color rgb="FFFF0000"/>
        <rFont val="Tahoma"/>
        <charset val="134"/>
      </rPr>
      <t>Fire rated</t>
    </r>
    <r>
      <rPr>
        <sz val="10"/>
        <rFont val="Tahoma"/>
        <charset val="134"/>
      </rPr>
      <t xml:space="preserve"> plywood fixed to framework from all side, Ply to be covered with 4 mm thick approved veneer finish with Approved waterbase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charset val="134"/>
      </rPr>
      <t>Approved waterbase PU polish</t>
    </r>
    <r>
      <rPr>
        <sz val="10"/>
        <rFont val="Tahoma"/>
        <charset val="134"/>
      </rPr>
      <t>, including provision for pole light (Basic cost of veneer at Rs.150/sft)</t>
    </r>
  </si>
  <si>
    <t xml:space="preserve">Low height Curved Partition ( 600 mm high ) for Planter </t>
  </si>
  <si>
    <r>
      <rPr>
        <sz val="10"/>
        <rFont val="Tahoma"/>
        <charset val="134"/>
      </rPr>
      <t xml:space="preserve">As per drawing, overall thichness up to 100 mm, using 50mm x 50 mm  MS box  framework, 6+6  mm thk Flexi </t>
    </r>
    <r>
      <rPr>
        <sz val="10"/>
        <color rgb="FFFF0000"/>
        <rFont val="Tahoma"/>
        <charset val="134"/>
      </rPr>
      <t>Fire rated</t>
    </r>
    <r>
      <rPr>
        <sz val="10"/>
        <rFont val="Tahoma"/>
        <charset val="134"/>
      </rPr>
      <t xml:space="preserve"> plywood fixed to framework from all side, Ply to be covered with 4 mm thick approved veneer finish with Approved waterbase PU polish from outer side ( corridor side ), and approved Marble cladding from in side , including 6 mm thick 304 grade  SS bronze satin finish Top trim  as shown in drawing, all veneer to be Finished in </t>
    </r>
    <r>
      <rPr>
        <sz val="10"/>
        <color rgb="FFFF0000"/>
        <rFont val="Tahoma"/>
        <charset val="134"/>
      </rPr>
      <t>Approved waterbase PU polish</t>
    </r>
    <r>
      <rPr>
        <sz val="10"/>
        <rFont val="Tahoma"/>
        <charset val="134"/>
      </rPr>
      <t xml:space="preserve">,  (Basic cost of veneer at Rs.150/sft) (Basic cost of marble  at Rs.450/sft) </t>
    </r>
  </si>
  <si>
    <t>SS -WRK</t>
  </si>
  <si>
    <t>Foot Rail</t>
  </si>
  <si>
    <t>SS Foot Rail</t>
  </si>
  <si>
    <r>
      <rPr>
        <sz val="10"/>
        <rFont val="Tahoma"/>
        <charset val="134"/>
      </rPr>
      <t xml:space="preserve">up to 200 mm high -Providing and fixing in position 304 grade </t>
    </r>
    <r>
      <rPr>
        <b/>
        <sz val="10"/>
        <rFont val="Tahoma"/>
        <charset val="134"/>
      </rPr>
      <t>S.S</t>
    </r>
    <r>
      <rPr>
        <sz val="10"/>
        <rFont val="Tahoma"/>
        <charset val="134"/>
      </rPr>
      <t xml:space="preserve"> Satin Bronze finish </t>
    </r>
    <r>
      <rPr>
        <b/>
        <sz val="10"/>
        <rFont val="Tahoma"/>
        <charset val="134"/>
      </rPr>
      <t xml:space="preserve">foot rail </t>
    </r>
    <r>
      <rPr>
        <sz val="10"/>
        <rFont val="Tahoma"/>
        <charset val="134"/>
      </rPr>
      <t>of 38mm diameter with horizontal &amp; vertical members, Grouting in concrete, etc. complete, as specified and as directed by Architect</t>
    </r>
  </si>
  <si>
    <t>CW SEAT</t>
  </si>
  <si>
    <t xml:space="preserve">Built in Seating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</si>
  <si>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reccesed SS Skirting ,(Basic cost of fabric at Rs.2500/rmt)</t>
  </si>
  <si>
    <t>Tea Garden Roof</t>
  </si>
  <si>
    <t>Tea Garden Tree with Roof in Oval Profile</t>
  </si>
  <si>
    <t>Size : 6300mm dia x 1800mm wide x 3600mm ht.</t>
  </si>
  <si>
    <t>Main Tree Base</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</si>
  <si>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providion for Electrcial wire manger and light and light handing system  </t>
  </si>
  <si>
    <t xml:space="preserve">Roof </t>
  </si>
  <si>
    <t xml:space="preserve">Roof to be made Using 50 mm x 50 MS Box framework as per drawing, frame all side to be covered with  6 mm thick  HDF in profile,  use 10 mm thick rib glass roof  panel as shown in drawing  , All expose surface of Metal and HDF to be finish in Approve Duco paint,  </t>
  </si>
  <si>
    <t>Capical ring</t>
  </si>
  <si>
    <t>On existing roof frame Upto 300 mm high Roof top band to be made using 6mm thick HDF, HDF  to be coverd with Bronze finish SS as aproved by architect</t>
  </si>
  <si>
    <t>TOTAL AMOUNT I TO II</t>
  </si>
  <si>
    <t>SPROTS BAR</t>
  </si>
  <si>
    <t>Qty. of Items Sports bar</t>
  </si>
  <si>
    <t>Qty. of Items Relax lounge</t>
  </si>
  <si>
    <t xml:space="preserve">18 mm thick Italian Marble flooring </t>
  </si>
  <si>
    <r>
      <rPr>
        <sz val="10"/>
        <rFont val="Tahoma"/>
        <charset val="134"/>
      </rP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charset val="134"/>
      </rPr>
      <t>including Approved sealer to be applied on all sides</t>
    </r>
    <r>
      <rPr>
        <sz val="10"/>
        <rFont val="Tahoma"/>
        <charset val="134"/>
      </rPr>
      <t xml:space="preserve"> , with edge polish etc., complete, Including using plastic/Pvc  sheet and POP to protect on marble flooring  as  protection , Include removal and disposing of protection materials before handover, Basic cost of marble Rs 450/sft </t>
    </r>
  </si>
  <si>
    <t>18 mm thick Italian Marble flooring in Various Marble shade  and in Pattern - for Sports Bar</t>
  </si>
  <si>
    <r>
      <rPr>
        <sz val="10"/>
        <rFont val="Tahoma"/>
        <charset val="134"/>
      </rP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charset val="134"/>
      </rPr>
      <t>including Approved sealer to be applied on all sides</t>
    </r>
    <r>
      <rPr>
        <sz val="10"/>
        <rFont val="Tahoma"/>
        <charset val="134"/>
      </rPr>
      <t xml:space="preserve">, with edge polish etc., complete, Including using plastic/Pvc  sheet and POP to protect on marble flooring  as  protection , Include removal and disposing of protection materials before handover, Basic cost of marble Rs 450/sft </t>
    </r>
  </si>
  <si>
    <t>Vitrified tile Flooring for Bar &amp; Store room</t>
  </si>
  <si>
    <t>SUPPLYING AND LAYING VITRIFIED FLOOR TILES OF 600 X 600 MM SIZE OF FIRST QUALITY,CONFIRMING TO IS:13006 PL-LBE OF RAK CERAMICS/EURO/NITCO/KAJARIA OR EQUIVALENT,DESIGN AND SHADE AS APPROVED, FIXED OVER 30 MM AVERAGE THICK BASE OF CEMENT MARTOR 1:4 (1 CEMENT:4 COARSE SAND)LAID WITH CEMENT SLURRY,INCLUDING PREPAIRING THE BASE,FILLING WITH WHITE CEMENT PASTE OF APPROVED MATCHING COLOUR AND SHADE ETC.CLEANING ALL COMPLETE AS PER DIRECTION OF ENGINEER-IN- CHARGE. basic cost of tile Rs.150/sft without tax</t>
  </si>
  <si>
    <t>Joint less ceramic tiles cladding ( behind Display screen and store room)</t>
  </si>
  <si>
    <r>
      <rPr>
        <sz val="10"/>
        <rFont val="Tahoma"/>
        <charset val="134"/>
      </rPr>
      <t xml:space="preserve">Cladding shall comprise of ceramic tile of 300 mm x 600 mm, Tiles to be fixed in ordinary Portland cement only, Tiles to be put with </t>
    </r>
    <r>
      <rPr>
        <sz val="10"/>
        <color rgb="FFFF0000"/>
        <rFont val="Tahoma"/>
        <charset val="134"/>
      </rPr>
      <t>Spacer required with Leticrete grout in  joints</t>
    </r>
    <r>
      <rPr>
        <sz val="10"/>
        <rFont val="Tahoma"/>
        <charset val="134"/>
      </rPr>
      <t xml:space="preserve"> , in plumb, Joints to be filled with  matching grout . (Basic cost of ceramic tiles at Rs.60/sft) make: Johnson / Somany / Kajaria / Nitco</t>
    </r>
  </si>
  <si>
    <t>Vitrified tile Cladding for Inside Bar wall</t>
  </si>
  <si>
    <r>
      <rPr>
        <sz val="10"/>
        <rFont val="Tahoma"/>
        <charset val="134"/>
      </rPr>
      <t xml:space="preserve">Cladding shall comprise of vitrified tile of 600 mm x 600 mm, Tiles to be fixed in ordinary Portland cement only, Tiles to be put with </t>
    </r>
    <r>
      <rPr>
        <sz val="10"/>
        <color rgb="FFFF0000"/>
        <rFont val="Tahoma"/>
        <charset val="134"/>
      </rPr>
      <t xml:space="preserve">Spacer required with Leticrete grout in  joints </t>
    </r>
    <r>
      <rPr>
        <sz val="10"/>
        <rFont val="Tahoma"/>
        <charset val="134"/>
      </rPr>
      <t>in plumb, Joints to be filled with  matching grout . (Basic cost of vitrified tiles at Rs.60/sft) make: Johnson / Somany / Kajaria / Nitco</t>
    </r>
  </si>
  <si>
    <r>
      <rPr>
        <sz val="10"/>
        <color indexed="8"/>
        <rFont val="Tahoma"/>
        <charset val="134"/>
      </rPr>
      <t xml:space="preserve">Clean existing wall surface before fixing wall cladding, Marble shall be minimum 18 mm thick fixed to </t>
    </r>
    <r>
      <rPr>
        <sz val="10"/>
        <color rgb="FFFF0000"/>
        <rFont val="Tahoma"/>
        <charset val="134"/>
      </rPr>
      <t>Fire rated</t>
    </r>
    <r>
      <rPr>
        <sz val="10"/>
        <color indexed="8"/>
        <rFont val="Tahoma"/>
        <charset val="134"/>
      </rPr>
      <t xml:space="preserve"> plywood panelling / plastered wall siporex / block work, Marble shall be cut from slabs of even thickness, Marble shall be installed  with suitable adhesive, including Approved sealer to be applied on all sides,  if installed on plywood, Marble shall be installed as per tech specs on  plastered siporex / block work, Joint filling and finishing and mirror polishing as per tech specs. Including up to  3 mm V grooves, mirror polished and finished. </t>
    </r>
    <r>
      <rPr>
        <sz val="10"/>
        <color rgb="FFFF0000"/>
        <rFont val="Tahoma"/>
        <charset val="134"/>
      </rPr>
      <t xml:space="preserve">including Approved sealer to be applied on all sides </t>
    </r>
    <r>
      <rPr>
        <sz val="10"/>
        <color indexed="8"/>
        <rFont val="Tahoma"/>
        <charset val="134"/>
      </rPr>
      <t>(On site cost of Italian marble @ Rs.450/sft without tax)</t>
    </r>
  </si>
  <si>
    <t>Sports  Bar counter in Profile</t>
  </si>
  <si>
    <t>Size : 11500mm length x 1050mm depth x 1150mm ht.</t>
  </si>
  <si>
    <r>
      <rPr>
        <sz val="10"/>
        <rFont val="Tahoma"/>
        <charset val="134"/>
      </rPr>
      <t xml:space="preserve">50 mm x 50 Aluminum Box framework made up thickness up to 150 mm wide, frame to be covered with 18 mm thk </t>
    </r>
    <r>
      <rPr>
        <sz val="10"/>
        <color rgb="FFFF0000"/>
        <rFont val="Tahoma"/>
        <charset val="134"/>
      </rPr>
      <t>Fire rated</t>
    </r>
    <r>
      <rPr>
        <sz val="10"/>
        <rFont val="Tahoma"/>
        <charset val="134"/>
      </rPr>
      <t xml:space="preserve"> plywood  on both sides on straight surfaces including 6+6 mm thick flexi FRP ply for curved profile,18 mm thk plywood boxing fixed over partition with FRP plywood frame grid at regular intervals,  At least 18 mm thk Flutted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Rs.850/sft)  (Basic cost of Marble  at Rs.1000/Sft)</t>
    </r>
  </si>
  <si>
    <r>
      <rPr>
        <sz val="10"/>
        <rFont val="Tahoma"/>
        <charset val="134"/>
      </rPr>
      <t xml:space="preserve">Size up to 650 mm wide Preparation counter structure constructed out of 18 mm thk </t>
    </r>
    <r>
      <rPr>
        <sz val="10"/>
        <color rgb="FFFF0000"/>
        <rFont val="Tahoma"/>
        <charset val="134"/>
      </rPr>
      <t>Fire rated</t>
    </r>
    <r>
      <rPr>
        <sz val="10"/>
        <rFont val="Tahoma"/>
        <charset val="134"/>
      </rPr>
      <t xml:space="preserve"> plywood In laminate finish, Include matching wood beading on all exposed plywood edges, Beading to be polished and coated with 1 coat sealer and 2 coats of PU finish in approved matt / glossy ratio, 12 mm thk Corian counter tops with 32 mm thk top edge on all sides, (Basic cost of solid surface (Corian)  at Rs.850/sft) (Basic cost of laminate at Rs.1500/sheet)</t>
    </r>
  </si>
  <si>
    <r>
      <rPr>
        <sz val="10"/>
        <rFont val="Tahoma"/>
        <charset val="134"/>
      </rPr>
      <t xml:space="preserve">Upto 450 mm wide Serving Counter top, 100 mm facia Including provision for Led strip light, comprising of 1st quality CP teakwood framework with </t>
    </r>
    <r>
      <rPr>
        <sz val="10"/>
        <color rgb="FFFF0000"/>
        <rFont val="Tahoma"/>
        <charset val="134"/>
      </rPr>
      <t>Fire rated</t>
    </r>
    <r>
      <rPr>
        <sz val="10"/>
        <rFont val="Tahoma"/>
        <charset val="134"/>
      </rPr>
      <t xml:space="preserve">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&amp; light source within counter top, (Basic cost of Onyx Rs 1500/sft ) </t>
    </r>
  </si>
  <si>
    <t>Marble finish Bar Back unit</t>
  </si>
  <si>
    <t>Size : 3500mm length x 750mm depth x 975 mm ht.</t>
  </si>
  <si>
    <r>
      <rPr>
        <sz val="10"/>
        <rFont val="Tahoma"/>
        <charset val="134"/>
      </rPr>
      <t xml:space="preserve">Back unit structure constructed out of 18 mm thk </t>
    </r>
    <r>
      <rPr>
        <sz val="10"/>
        <color rgb="FFFF0000"/>
        <rFont val="Tahoma"/>
        <charset val="134"/>
      </rPr>
      <t xml:space="preserve">Fire rated </t>
    </r>
    <r>
      <rPr>
        <sz val="10"/>
        <rFont val="Tahoma"/>
        <charset val="134"/>
      </rPr>
      <t>plywood with vertical support in the center,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waterbase PU Polish, 8 mm thick tinted mirro paneling with 12 mm thick FRP back ply and including  12 mm thick Glass shelve as per disign including  1 mm thick laminate  finish paneling   behind TV back   (Basic cost of veneer at Rs.150/sft) (Basic cost of marble Rs 450/sft )</t>
    </r>
  </si>
  <si>
    <t>Aluminum frame work  ( for Paneling  &amp; Cladding )</t>
  </si>
  <si>
    <t>50mm x 36 mm, 16 SWG aluminum framework at 600 mm c/c on wall/column , 18 mm x 18mm, 3 mm aluminum angle to be used for assembling paneling framework, Only round head, full thread, sheet metal screws to be used, Framework to be fixed to wall in perfect plumb, line and level, Suitable bracket to be provided behind framework for correct alignment,</t>
  </si>
  <si>
    <t>REFER DRAWING-00B01-TFS-DOM02-ID-07-03/11 &amp; 12</t>
  </si>
  <si>
    <t>PLY Paneling</t>
  </si>
  <si>
    <t>Ply Paneling</t>
  </si>
  <si>
    <r>
      <rPr>
        <sz val="10"/>
        <rFont val="Tahoma"/>
        <charset val="134"/>
      </rPr>
      <t xml:space="preserve">providing and fixing </t>
    </r>
    <r>
      <rPr>
        <sz val="10"/>
        <color rgb="FFFF0000"/>
        <rFont val="Tahoma"/>
        <charset val="134"/>
      </rPr>
      <t>Fire rated plywood</t>
    </r>
    <r>
      <rPr>
        <sz val="10"/>
        <rFont val="Tahoma"/>
        <charset val="134"/>
      </rPr>
      <t xml:space="preserve">  to existing framework /pop wall surface with flat head, full thread, sheet metal screws, Edges of plywood to end at center of aluminum framework. Edges to be tightly screwed to aluminum framework at 300 mm c/c. Edges to be planed properly to receive finish material</t>
    </r>
  </si>
  <si>
    <r>
      <rPr>
        <sz val="10"/>
        <rFont val="Tahoma"/>
        <charset val="134"/>
      </rPr>
      <t xml:space="preserve">12 mm thk </t>
    </r>
    <r>
      <rPr>
        <sz val="10"/>
        <color rgb="FFFF0000"/>
        <rFont val="Tahoma"/>
        <charset val="134"/>
      </rPr>
      <t>Fire rated</t>
    </r>
    <r>
      <rPr>
        <sz val="10"/>
        <rFont val="Tahoma"/>
        <charset val="134"/>
      </rPr>
      <t xml:space="preserve"> plywood</t>
    </r>
  </si>
  <si>
    <r>
      <rPr>
        <sz val="10"/>
        <rFont val="Tahoma"/>
        <charset val="134"/>
      </rPr>
      <t xml:space="preserve">15 mm thk </t>
    </r>
    <r>
      <rPr>
        <sz val="10"/>
        <color rgb="FFFF0000"/>
        <rFont val="Tahoma"/>
        <charset val="134"/>
      </rPr>
      <t>Fire rated</t>
    </r>
    <r>
      <rPr>
        <sz val="10"/>
        <rFont val="Tahoma"/>
        <charset val="134"/>
      </rPr>
      <t xml:space="preserve"> plywood</t>
    </r>
  </si>
  <si>
    <r>
      <rPr>
        <sz val="10"/>
        <rFont val="Tahoma"/>
        <charset val="134"/>
      </rPr>
      <t xml:space="preserve">18 mm thk </t>
    </r>
    <r>
      <rPr>
        <sz val="10"/>
        <color rgb="FFFF0000"/>
        <rFont val="Tahoma"/>
        <charset val="134"/>
      </rPr>
      <t>Fire rated</t>
    </r>
    <r>
      <rPr>
        <sz val="10"/>
        <rFont val="Tahoma"/>
        <charset val="134"/>
      </rPr>
      <t xml:space="preserve"> plywood</t>
    </r>
  </si>
  <si>
    <r>
      <rPr>
        <sz val="10"/>
        <rFont val="Tahoma"/>
        <charset val="134"/>
      </rPr>
      <t xml:space="preserve">6 mm thk Flexi </t>
    </r>
    <r>
      <rPr>
        <sz val="10"/>
        <color rgb="FFFF0000"/>
        <rFont val="Tahoma"/>
        <charset val="134"/>
      </rPr>
      <t>Fire rated</t>
    </r>
    <r>
      <rPr>
        <sz val="10"/>
        <rFont val="Tahoma"/>
        <charset val="134"/>
      </rPr>
      <t xml:space="preserve"> plywood</t>
    </r>
  </si>
  <si>
    <t>VENEER Skin</t>
  </si>
  <si>
    <t>Veneer skin for Straight &amp; curved surfaces</t>
  </si>
  <si>
    <r>
      <rPr>
        <sz val="10"/>
        <rFont val="Tahoma"/>
        <charset val="134"/>
      </rPr>
      <t xml:space="preserve">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t>
    </r>
    <r>
      <rPr>
        <sz val="10"/>
        <color rgb="FFFF0000"/>
        <rFont val="Tahoma"/>
        <charset val="134"/>
      </rPr>
      <t>Finished in Approved waterbase PU polish</t>
    </r>
  </si>
  <si>
    <t>(Basic cost of veneer upto Rs. 150/-sft )</t>
  </si>
  <si>
    <r>
      <rPr>
        <sz val="10"/>
        <rFont val="Tahoma"/>
        <charset val="134"/>
      </rPr>
      <t xml:space="preserve">size up to 300 mm Deep- Providing and fixing 75  mm thick Veneer finish Capital including adequate MS frame and 12 mm thick </t>
    </r>
    <r>
      <rPr>
        <sz val="10"/>
        <color rgb="FFFF0000"/>
        <rFont val="Tahoma"/>
        <charset val="134"/>
      </rPr>
      <t>Fire rated</t>
    </r>
    <r>
      <rPr>
        <sz val="10"/>
        <rFont val="Tahoma"/>
        <charset val="134"/>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Tahoma"/>
        <charset val="134"/>
      </rPr>
      <t>Approved waterbase PU polish</t>
    </r>
  </si>
  <si>
    <r>
      <rPr>
        <sz val="10"/>
        <rFont val="Tahoma"/>
        <charset val="134"/>
      </rPr>
      <t>Providing and fixing 50 to 100 mm wide batten form, Using 4 mm thk approved veneer sheet with 0.4 mm thick wooden face, pressed over 12 mm thick  backing</t>
    </r>
    <r>
      <rPr>
        <sz val="10"/>
        <color rgb="FFFF0000"/>
        <rFont val="Tahoma"/>
        <charset val="134"/>
      </rPr>
      <t xml:space="preserve"> fire rated</t>
    </r>
    <r>
      <rPr>
        <sz val="10"/>
        <rFont val="Tahoma"/>
        <charset val="134"/>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Tahoma"/>
        <charset val="134"/>
      </rPr>
      <t>Approved waterbase PU polish</t>
    </r>
  </si>
  <si>
    <t>Low height Curved Partition ( 1100 mm high )</t>
  </si>
  <si>
    <r>
      <rPr>
        <sz val="10"/>
        <rFont val="Tahoma"/>
        <charset val="134"/>
      </rPr>
      <t xml:space="preserve">As per drawing, 50mm x 50 mm  MS framework, 6+6  mm thk Flexi </t>
    </r>
    <r>
      <rPr>
        <sz val="10"/>
        <color rgb="FFFF0000"/>
        <rFont val="Tahoma"/>
        <charset val="134"/>
      </rPr>
      <t>Fire rated</t>
    </r>
    <r>
      <rPr>
        <sz val="10"/>
        <rFont val="Tahoma"/>
        <charset val="134"/>
      </rPr>
      <t xml:space="preserve"> plywood fixed to Aluminum framework from all side, Ply to be covered with 4 mm thick veneer finish with Approved waterbase PU polish, 10 mm thick x 250 high Curved rib Glass to be fix in the partition including 6 mm thick 304 grade  SS bronze satin finish Top trim including 50 mm wide vertical support, veneer to beFinished in </t>
    </r>
    <r>
      <rPr>
        <sz val="10"/>
        <color rgb="FFFF0000"/>
        <rFont val="Tahoma"/>
        <charset val="134"/>
      </rPr>
      <t>Approved waterbase PU polish</t>
    </r>
    <r>
      <rPr>
        <sz val="10"/>
        <rFont val="Tahoma"/>
        <charset val="134"/>
      </rPr>
      <t>, (Basic cost of veneer at Rs.125/sft)</t>
    </r>
  </si>
  <si>
    <t>Furniture</t>
  </si>
  <si>
    <t>Community Tabel</t>
  </si>
  <si>
    <t>Community table ( 1600 mm long  x 650 mm wide)</t>
  </si>
  <si>
    <r>
      <rPr>
        <sz val="10"/>
        <rFont val="Tahoma"/>
        <charset val="134"/>
      </rPr>
      <t xml:space="preserve">as per drawing Using 50 x 50 mm SS Base Frame in satin bronze finish,  Frame top to be covered with 18 mm thick sleeper wooden plank,  to beFinished in </t>
    </r>
    <r>
      <rPr>
        <sz val="10"/>
        <color rgb="FFFF0000"/>
        <rFont val="Tahoma"/>
        <charset val="134"/>
      </rPr>
      <t>Approved waterbase PU polish</t>
    </r>
  </si>
  <si>
    <t>SS Bronze Satin finish 50 mm high skirting</t>
  </si>
  <si>
    <t>Clean existing wall/Ply surface before fixing  brick tile cladding Before starting, carefully read the suppliers laying plan and instructions. Decorative Brick tiles shall be fixed and finished as per manufacturers instructions, preferably by a nominated contractor. Basic cost of tiles at Rs.120/sft without tax</t>
  </si>
  <si>
    <t>Wicked Door</t>
  </si>
  <si>
    <t>Corian finish Wicked door</t>
  </si>
  <si>
    <r>
      <rPr>
        <sz val="10"/>
        <rFont val="Tahoma"/>
        <charset val="134"/>
      </rPr>
      <t xml:space="preserve">Door size 950mm wide x 1150 height, 50 mm x 50 Aluminum  framework for shutter, frame to be covered with 12 mm thk </t>
    </r>
    <r>
      <rPr>
        <sz val="10"/>
        <color rgb="FFFF0000"/>
        <rFont val="Tahoma"/>
        <charset val="134"/>
      </rPr>
      <t>Fire rated</t>
    </r>
    <r>
      <rPr>
        <sz val="10"/>
        <rFont val="Tahoma"/>
        <charset val="134"/>
      </rPr>
      <t xml:space="preserve">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Rs.850/sft)</t>
    </r>
  </si>
  <si>
    <t>Size : 950mm x 2250mm</t>
  </si>
  <si>
    <r>
      <rPr>
        <sz val="10"/>
        <rFont val="Tahoma"/>
        <charset val="134"/>
      </rPr>
      <t xml:space="preserve">Overall finish size 200mm x 50 mm thk without rebate, Door frame to be Made up Using 18 mm thick FRP ply as rough ground,, fixed to masonry wall in perfect plumb,  line and level by using 6" long Hilti Anchor bolt (total 6 nos - 3 nos each side), Clad with 12 mm thk  FRP ply &amp; 4 mm thick Approved Veneer, Rebate to be separately put in  wood, Wood to be treated with anti-termite medicine, Frame to be finished in </t>
    </r>
    <r>
      <rPr>
        <sz val="10"/>
        <color rgb="FFFF0000"/>
        <rFont val="Tahoma"/>
        <charset val="134"/>
      </rPr>
      <t>Approved waterbase PU polish</t>
    </r>
  </si>
  <si>
    <r>
      <rPr>
        <sz val="10"/>
        <rFont val="Tahoma"/>
        <charset val="134"/>
      </rPr>
      <t xml:space="preserve">Overall size:850 mm wide x 2250 mm ht. x  1 leaf, up to 40 mm thk. Using 35 mm thick readymade fireproof shutter covered with  4 mm thick  approved veneer from Lounge  side and Above veener fix 50 mm wide wooden batten as per drawing  and store room  side 1 mm thick approved Laminate, Veneer and wood to be finish in </t>
    </r>
    <r>
      <rPr>
        <sz val="10"/>
        <color rgb="FFFF0000"/>
        <rFont val="Tahoma"/>
        <charset val="134"/>
      </rPr>
      <t>approved waterbase PU polish</t>
    </r>
    <r>
      <rPr>
        <sz val="10"/>
        <rFont val="Tahoma"/>
        <charset val="134"/>
      </rPr>
      <t xml:space="preserve"> (basic cost of veneer up to Rs. 150/sft) &amp; (basic cost of laminate Rs 1600 / sheet)</t>
    </r>
  </si>
  <si>
    <r>
      <rPr>
        <sz val="10"/>
        <rFont val="Tahoma"/>
        <charset val="134"/>
      </rPr>
      <t xml:space="preserve">Frame &amp; entire door  to be  to be finish  in </t>
    </r>
    <r>
      <rPr>
        <sz val="10"/>
        <color rgb="FFFF0000"/>
        <rFont val="Tahoma"/>
        <charset val="134"/>
      </rPr>
      <t>Approved waterbase PU polish</t>
    </r>
  </si>
  <si>
    <t>125 mm x 50 mm x 4 mm thk bearing type SS hinges fixed between frame and shutter with SS screws. At least 4 nos. hinges per shutter, Dead lock with suitable cover plate , and Magnetic latch, 1 set of handle as approved by architect ( Make Dorma / Hafle )</t>
  </si>
  <si>
    <t>TOTAL AMOUNT I TO III</t>
  </si>
  <si>
    <t>SPA - Wet Works/civil &amp; Interior finishes</t>
  </si>
  <si>
    <t>Long  Item Description</t>
  </si>
  <si>
    <t>Units</t>
  </si>
  <si>
    <t>Building 200 mm thk. Aerocon block wall / Partition of 4300mm height up to Mother Slab .</t>
  </si>
  <si>
    <r>
      <rPr>
        <sz val="11"/>
        <rFont val="Calibri"/>
        <charset val="134"/>
      </rPr>
      <t xml:space="preserve">P&amp;C of </t>
    </r>
    <r>
      <rPr>
        <b/>
        <sz val="11"/>
        <rFont val="Calibri"/>
        <charset val="134"/>
      </rPr>
      <t>200mm</t>
    </r>
    <r>
      <rPr>
        <sz val="11"/>
        <rFont val="Calibri"/>
        <charset val="134"/>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charset val="134"/>
      </rPr>
      <t>cement/Adhesive</t>
    </r>
    <r>
      <rPr>
        <sz val="11"/>
        <rFont val="Calibri"/>
        <charset val="134"/>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charset val="134"/>
      </rPr>
      <t xml:space="preserve">RCC Patli to be after every 5 layers </t>
    </r>
    <r>
      <rPr>
        <sz val="11"/>
        <rFont val="Calibri"/>
        <charset val="134"/>
      </rPr>
      <t>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charset val="134"/>
      </rPr>
      <t xml:space="preserve"> up to 4300mm ht</t>
    </r>
    <r>
      <rPr>
        <sz val="11"/>
        <rFont val="Calibri"/>
        <charset val="134"/>
      </rPr>
      <t xml:space="preserve"> up to mother slab level.                                                                                      </t>
    </r>
  </si>
  <si>
    <r>
      <rPr>
        <sz val="11"/>
        <rFont val="Calibri"/>
        <charset val="134"/>
      </rPr>
      <t>P&amp;C of</t>
    </r>
    <r>
      <rPr>
        <b/>
        <sz val="11"/>
        <rFont val="Calibri"/>
        <charset val="134"/>
      </rPr>
      <t xml:space="preserve"> 100mm</t>
    </r>
    <r>
      <rPr>
        <sz val="11"/>
        <rFont val="Calibri"/>
        <charset val="134"/>
      </rPr>
      <t xml:space="preserve"> solid concrete block masonry made of solid concrete blocks conforming to IS: 2185 (Part-I), walls to start from floor slab up to true ceiling, suitably anchored to back / existing wall / existing columns in cement mortar in 1 : 4 ratio, minimum 12/15mm thick, only 43 or 53 grade </t>
    </r>
    <r>
      <rPr>
        <sz val="11"/>
        <color rgb="FFFF0000"/>
        <rFont val="Calibri"/>
        <charset val="134"/>
      </rPr>
      <t>cement/Adhesive</t>
    </r>
    <r>
      <rPr>
        <sz val="11"/>
        <rFont val="Calibri"/>
        <charset val="134"/>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charset val="134"/>
      </rPr>
      <t xml:space="preserve">RCC Patli to be after every 5 layers </t>
    </r>
    <r>
      <rPr>
        <sz val="11"/>
        <rFont val="Calibri"/>
        <charset val="134"/>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divider walls </t>
    </r>
    <r>
      <rPr>
        <b/>
        <sz val="11"/>
        <rFont val="Calibri"/>
        <charset val="134"/>
      </rPr>
      <t>up to 4300mm ht</t>
    </r>
    <r>
      <rPr>
        <sz val="11"/>
        <rFont val="Calibri"/>
        <charset val="134"/>
      </rPr>
      <t xml:space="preserve"> of internal divider walls at toilet area.                                                                                      </t>
    </r>
  </si>
  <si>
    <t>12/15mm thick Wall Plaster on the surfaces of Existing Masonry Works Surfaces up to 4300mm height .</t>
  </si>
  <si>
    <t>Brickbat Coba / Screeding</t>
  </si>
  <si>
    <t>150mm thick Brickbat Coba / Screeding at Raised flooring.</t>
  </si>
  <si>
    <t xml:space="preserve">P&amp;C of 150mm thick screed with 100mm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</si>
  <si>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levelling &amp; to get the smooth surface to lay the finishing floor materials on the said surface. Complete as per architectural detail drawings &amp; instruction by the site engineer. </t>
  </si>
  <si>
    <t>CIVIL FINISHES WORK</t>
  </si>
  <si>
    <t>FLOORING</t>
  </si>
  <si>
    <t>marble flooring</t>
  </si>
  <si>
    <t xml:space="preserve">Italian Marble Flooring </t>
  </si>
  <si>
    <r>
      <rPr>
        <sz val="11"/>
        <rFont val="Calibri"/>
        <charset val="134"/>
      </rPr>
      <t xml:space="preserve">Clean existing sub floor thoroughly. Flooring shall consist of Marble as per drawing, Up to 50 mm thick bedding mortar as per tech specs. Marble slabs shall be minimum 18 mm thick, laid as per tech specs, Marble to be cut as per size and laid with tight hairline joints. Joint filling and finishing as per tech specs.(On site cost of Italian marble @ Rs.450/sft without tax) </t>
    </r>
    <r>
      <rPr>
        <sz val="11"/>
        <color rgb="FFFF0000"/>
        <rFont val="Calibri"/>
        <charset val="134"/>
      </rPr>
      <t>including Approved sealer to be applied on all sides</t>
    </r>
    <r>
      <rPr>
        <sz val="11"/>
        <rFont val="Calibri"/>
        <charset val="134"/>
      </rPr>
      <t>, Including sealer coat , Including using plastic/Pvc  sheet and POP to protect on marble flooring  as  protection , Include removal and disposing of protection materials before handover</t>
    </r>
  </si>
  <si>
    <t>Terrazzo Flooring</t>
  </si>
  <si>
    <t>10 mm thick Terrazzo Flooring</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</si>
  <si>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 Typical properties of the resin needs to be achieved in laboratory tests at 50% Relative Humidity. Fire Resistance BS476-7: Spread of Flame : Class 2Slip Resistance  :   TRRL  Pendulum Slip Test Dry    &gt; 40 low  slip potential. 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</si>
  <si>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t>CLADDING</t>
  </si>
  <si>
    <t>Marble wall cladding</t>
  </si>
  <si>
    <t xml:space="preserve">Synthetic Marble Wall Cladding with Grooves </t>
  </si>
  <si>
    <r>
      <rPr>
        <sz val="11"/>
        <rFont val="Calibri"/>
        <charset val="134"/>
      </rPr>
      <t xml:space="preserve">Clean existing wall surface before fixing wall cladding. Slabs shall be min. 18 mm thick fixed to plastered  siporex / block work, Slabs shall be  installed as per tech specs  on  plastered wall siporex / block work, Joint filling and finishing and mirror polishing as per tech specs. Including up to 3mm V grooves, mirror polished and finished. </t>
    </r>
    <r>
      <rPr>
        <sz val="11"/>
        <color rgb="FFFF0000"/>
        <rFont val="Calibri"/>
        <charset val="134"/>
      </rPr>
      <t xml:space="preserve">including Approved sealer to be applied on all sides </t>
    </r>
    <r>
      <rPr>
        <sz val="11"/>
        <rFont val="Calibri"/>
        <charset val="134"/>
      </rPr>
      <t>(On site cost of Synthetic marble @ Rs.275/sft without tax)</t>
    </r>
  </si>
  <si>
    <r>
      <rPr>
        <sz val="11"/>
        <rFont val="Calibri"/>
        <charset val="134"/>
      </rPr>
      <t xml:space="preserve">Clean existing wall surface before fixing wall cladding, Marble shall be minimum 18 mm thick fixed to </t>
    </r>
    <r>
      <rPr>
        <sz val="11"/>
        <color rgb="FFFF0000"/>
        <rFont val="Calibri"/>
        <charset val="134"/>
      </rPr>
      <t>Fire rated</t>
    </r>
    <r>
      <rPr>
        <sz val="11"/>
        <rFont val="Calibri"/>
        <charset val="134"/>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charset val="134"/>
      </rPr>
      <t xml:space="preserve">including Approved sealer to be applied on all sides </t>
    </r>
    <r>
      <rPr>
        <sz val="11"/>
        <rFont val="Calibri"/>
        <charset val="134"/>
      </rPr>
      <t>(On site cost of Italian marble @ Rs.450/sft without tax)</t>
    </r>
  </si>
  <si>
    <t>.</t>
  </si>
  <si>
    <t>CVL/JAMB</t>
  </si>
  <si>
    <t>Door jamb line</t>
  </si>
  <si>
    <t>Synthetic Marble Jamb lining for common Toilet Door Openings</t>
  </si>
  <si>
    <r>
      <rPr>
        <sz val="11"/>
        <rFont val="Calibri"/>
        <charset val="134"/>
      </rPr>
      <t xml:space="preserve">Marble jamb lining for EWC doors including rebate, up to 230 mm wide, up to 2250 mm ht all around, At least 18 mm thk per-polished slabs to be used, Slabs to be cut as per approved size / drawings, Include mitre joints at all junctions as per Architects instructions, Including V groove to match wall cladding, Marble to be fitted with white cement only, Marble shall be installed as per tech specs on  plastered siporex / block work, Joint filling and finishing and mirror polishing as per tech specs. </t>
    </r>
    <r>
      <rPr>
        <sz val="11"/>
        <color rgb="FFFF0000"/>
        <rFont val="Calibri"/>
        <charset val="134"/>
      </rPr>
      <t>including Approved sealer to be applied on all sides</t>
    </r>
    <r>
      <rPr>
        <sz val="11"/>
        <rFont val="Calibri"/>
        <charset val="134"/>
      </rPr>
      <t xml:space="preserve">  (Basic cost of Synthetic Marble at Rs.275/sft without tax)</t>
    </r>
  </si>
  <si>
    <t>CVL/CNTR</t>
  </si>
  <si>
    <t>Wash basin counter</t>
  </si>
  <si>
    <t>Italian Marble Finish Wash Basin Counter for toilet</t>
  </si>
  <si>
    <r>
      <rPr>
        <sz val="11"/>
        <rFont val="Calibri"/>
        <charset val="134"/>
      </rPr>
      <t xml:space="preserve">The counter shall be supported on 38mm x 38mm x 5mm thk MS angle fixed to block work. Brackets shall be inserted within wall by at least 125mm, MS brackets shall be coated with 2 coats of anti-corrosive paint and 3 coats of synthetic enamel paint, 18mm thk ordinary Indian marble placed within bracket and screwed through bracket, At least 20mm thk cement mortar bedding in 1:4 ratio, Pre-finished and pre-polished marble slabs shall be fixed as per tech specs. Counter shall have up to 300 mm wide fascia marble with mitre joints All top edges of counter shall have chamfer moulding. Joint filling and finishing and mirror polishing as per tech specs. including </t>
    </r>
    <r>
      <rPr>
        <sz val="11"/>
        <color rgb="FFFF0000"/>
        <rFont val="Calibri"/>
        <charset val="134"/>
      </rPr>
      <t>Approved sealer to be applied on all sides</t>
    </r>
    <r>
      <rPr>
        <sz val="11"/>
        <rFont val="Calibri"/>
        <charset val="134"/>
      </rPr>
      <t>.  Including all plumbing cutout as shown in drawing</t>
    </r>
  </si>
  <si>
    <t>(Basic cost of marble at Rs.450/sft including fibre filling &amp; polish)</t>
  </si>
  <si>
    <t>sink counter</t>
  </si>
  <si>
    <t xml:space="preserve">  Sink counter including under counter shutter </t>
  </si>
  <si>
    <t>Size : 1800mm length x 450mm depth x 850mm ht.</t>
  </si>
  <si>
    <r>
      <rPr>
        <sz val="11"/>
        <rFont val="Calibri"/>
        <charset val="134"/>
      </rPr>
      <t xml:space="preserve">As per drawing, Sink counter structure constructed out of 18 mm thk  plywood, At least 16 mm thk approved Terrazzo Stone fixed to top with 50 mm thick front fascia and back flash in profile shown in drawing - including  polish. stone  to be tightly placed together and shall have mitre joints on edges including moulding as approved by Architect. All joints to be filled with matching colour TIM-X or equivalent grout filler.  Carcass internal surface to be covered with 1mm thk approved laminate , all exposed  surfaces including shutter to be finished in approved veneer, Veneer to be Finished in </t>
    </r>
    <r>
      <rPr>
        <sz val="11"/>
        <color rgb="FFFF0000"/>
        <rFont val="Calibri"/>
        <charset val="134"/>
      </rPr>
      <t>Approved water base PU polish</t>
    </r>
    <r>
      <rPr>
        <sz val="11"/>
        <rFont val="Calibri"/>
        <charset val="134"/>
      </rPr>
      <t>, including 50 mm high SS skirting , as per  approved design. Including all cutouts for electrical points,  (Basic cost of Terrazzo at Rs. 750/sft ) (Basic cost of Veneer at Rs. 150/sft ) excluding sink</t>
    </r>
  </si>
  <si>
    <t>Marble Ledge</t>
  </si>
  <si>
    <t>Synthetic Marble  Portal 450 mm wide</t>
  </si>
  <si>
    <r>
      <rPr>
        <sz val="11"/>
        <rFont val="Calibri"/>
        <charset val="134"/>
      </rPr>
      <t>Using 16mm thick marble Pasted over existing ply surface with epoxy adhesive &amp; brass pins, Ply surface shall be cleaned before installing marble, At least 16mm thk marble to be fixed, Marble shall be cut as per size &amp; laid with tight hairline joints, Edge of marble shall be polished before installation, Joints to be filled with Tim-X or equivalent joint filler, Including 2" high Marble fascia,</t>
    </r>
    <r>
      <rPr>
        <sz val="11"/>
        <color rgb="FFFF0000"/>
        <rFont val="Calibri"/>
        <charset val="134"/>
      </rPr>
      <t xml:space="preserve"> Approved sealer to be applied on all sides.</t>
    </r>
    <r>
      <rPr>
        <sz val="11"/>
        <rFont val="Calibri"/>
        <charset val="134"/>
      </rPr>
      <t xml:space="preserve"> Special care to be taken to fix marble on horizontal surface. Shall rest over ply at one end and vertical marble on the other, The vertical marble over 50 mm shall be fixed using brass pins</t>
    </r>
  </si>
  <si>
    <t xml:space="preserve"> (Basic cost of Synthetic Marble at Rs.275/sft without tax)</t>
  </si>
  <si>
    <t>Ceiling</t>
  </si>
  <si>
    <r>
      <rPr>
        <sz val="11"/>
        <rFont val="Calibri"/>
        <charset val="134"/>
      </rP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1"/>
        <rFont val="Calibri"/>
        <charset val="134"/>
      </rPr>
      <t>Note</t>
    </r>
    <r>
      <rPr>
        <sz val="11"/>
        <rFont val="Calibri"/>
        <charset val="134"/>
      </rPr>
      <t xml:space="preserve"> - existing structural ceiling height is 4300 mm )</t>
    </r>
  </si>
  <si>
    <t>Ceiling drop</t>
  </si>
  <si>
    <t>Fire line Gypsum board Facia Band 50 mm TO 100 mm</t>
  </si>
  <si>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</si>
  <si>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Ceiling light cove</t>
  </si>
  <si>
    <t>Indirect Light Coves in Ceiling</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</si>
  <si>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</si>
  <si>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Ceiling slit</t>
  </si>
  <si>
    <t>Fire line Gypsum board slit 100 mm TO 150 mm wide</t>
  </si>
  <si>
    <t>Fire line Gypsum board slit 50 mm  wide for curtain</t>
  </si>
  <si>
    <t>Wall Punning</t>
  </si>
  <si>
    <t>Universal plaster punning on wall</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</si>
  <si>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</si>
  <si>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CW</t>
  </si>
  <si>
    <t>Aluminium frame work for Partition</t>
  </si>
  <si>
    <t>50mm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t>
  </si>
  <si>
    <t>Aluminium frame work For Panelling boxing</t>
  </si>
  <si>
    <t xml:space="preserve">36mm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</si>
  <si>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Ply Panelling</t>
  </si>
  <si>
    <t>providing and fixing marine plywood  to existing framework /pop wall surface with flat head, full thread, sheet metal screws, Edges of plywood to end at center of aluminium framework. Edges to be tightly screwed to aluminium framework at 300 mm c/c. Edges to be planed properly to receive finish material</t>
  </si>
  <si>
    <t>12 mm thk plywood</t>
  </si>
  <si>
    <t>15 mm thk plywood</t>
  </si>
  <si>
    <t>18 mm thk plywood</t>
  </si>
  <si>
    <t>6 mm thk Flexi plywood</t>
  </si>
  <si>
    <t>GL-SCR</t>
  </si>
  <si>
    <t>Glass Screen</t>
  </si>
  <si>
    <t>SS Jali in Satin Bronze finish with fixed glass partition</t>
  </si>
  <si>
    <t xml:space="preserve">Overall size- 1200 mm wide x 3000 mm height, Outer frame in  SS hollow frame of 38 mm x50mm x 2.5 mm thickness all around each jali panel, all welded and polished joints, SS frame in Satin Bronze finish  as approved by Architect, Outer frame fixed to floor and above false ceiling, using 8 mm thick MS plate with anchor bolt.  including 10 mm thk 304 grade SS pipe jali as per approved design and in Satin Bronze finish,  </t>
  </si>
  <si>
    <t>providing and fixing 10 mm thick toughen fix glass panel with 12 mm wide SS Beading around glass</t>
  </si>
  <si>
    <t>Mirror</t>
  </si>
  <si>
    <t>Vanity Mirror</t>
  </si>
  <si>
    <t xml:space="preserve">Decorative Toilet Vanity Mirrors </t>
  </si>
  <si>
    <t>The mirrors shall be mounted on a backing of marine ply of overall 20 to 25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</si>
  <si>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Plain mirror panelling</t>
  </si>
  <si>
    <t>The mirrors shall be mounted on a backing of  marine ply of overall 18 mm thickness, which shall be fixed to the wall. Including L shape SS finish Angle profile covering on All around the mirror.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t>
  </si>
  <si>
    <t>Tinted  mirror panelling</t>
  </si>
  <si>
    <t>The mirrors shall be mounted on a backing of  marine ply of overall 12 mm thickness, which shall be fixed to the wall. Including SS inserts as per drawings, including 50 mm wide C shape profile covering on All around the mirror. Mirror shall be 8 mm thick and shall be laminated at the back for protection, and backed with felt lining. All edges of mirror shall have CNC edge polish. Mirrors shall be fixed to the backing  ply with recommended adhesive or tape as approved by the Architect.</t>
  </si>
  <si>
    <t>HDF wall Panelling</t>
  </si>
  <si>
    <t>Fluted Wall panelling in Duco paint finish</t>
  </si>
  <si>
    <t>Using 12 mm thk HDF to be fixed on 12 mm thick HDF ply  base , All joints shall be planed and smoothened before installing fluting mouldings.All joints shall be filled with suitable fillers and reinforcement tape, if required. HDF Moldings to be fixed  as per drawing ( min 25 mm wide &amp; 12 mm deep ), shall be installed on HDF back surface in perfect plumb, line and level. base and HDF moulding surface shall be finished in duco paint, as approved by Architect</t>
  </si>
  <si>
    <t>Wooden strip panelling</t>
  </si>
  <si>
    <t xml:space="preserve">Providing and fixing 25 mm wide x 12mm thick NBTW wooden strip as shown in drawing, Fixing shall be free of defects, Wooden strip to be  Finished in Approved Melamine Polish </t>
  </si>
  <si>
    <t>Reception Display unit</t>
  </si>
  <si>
    <t>Veneer finish Retail Display Behind reception table ( 2600 L x450 D x3000 H)</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</si>
  <si>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upto Rs. 125/-sft )</t>
  </si>
  <si>
    <t>Salon wall unit</t>
  </si>
  <si>
    <t>Duco paint  finish Salon unit ( 3200 L x400 D x3000 H)</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</si>
  <si>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</si>
  <si>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Duco paint  finish Salon unit ( 2800 L x150 D x3000 H)</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</si>
  <si>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</si>
  <si>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CP-NICH</t>
  </si>
  <si>
    <t>SS Bronze finish niche for Nail bar  ( 1600 L x100 D x500 H)</t>
  </si>
  <si>
    <t xml:space="preserve">As per drawing, Carcase to be made out of 12 mm thick ply, Ply to be covered with 16g SS bronze finish with 50 mm wide cover border in SS bronze finish as shown in drawings, </t>
  </si>
  <si>
    <t>CP-FURN</t>
  </si>
  <si>
    <t>Nail bar counter</t>
  </si>
  <si>
    <t>Nail Bar counter in profile ( 1250 L x400 D x750 H)</t>
  </si>
  <si>
    <t xml:space="preserve">Providing and fixing  Nail Bar counter desk in profile  , up to 100 mm thick Top finish in Terrazzo , with SS bronze finish base  As per detail drawings. </t>
  </si>
  <si>
    <t>Reception table</t>
  </si>
  <si>
    <t>Spa reception table in profile ( 2500 L x 600 D x1100 H)</t>
  </si>
  <si>
    <t xml:space="preserve">Providing and fixing  Reception counter desk in profile  , SS bronze finish top , with Fluted Apron finish in Duco paint, including drawer and storage As per detail drawings. </t>
  </si>
  <si>
    <t>CP-LD</t>
  </si>
  <si>
    <t>Corian Ledge</t>
  </si>
  <si>
    <t>30 mm thick x 400 mm deep Corian finish ledge,</t>
  </si>
  <si>
    <t>Using 18 mm thick marine ply covered with 6 mm thick approved Corian on both side with 30 mm wide Facia.</t>
  </si>
  <si>
    <t>CP-FRM</t>
  </si>
  <si>
    <t>Picture Frame</t>
  </si>
  <si>
    <t>1000 mm dia Circular Picture frame in duco paint</t>
  </si>
  <si>
    <t>DOORS</t>
  </si>
  <si>
    <t>VNR/DOR</t>
  </si>
  <si>
    <t>Door</t>
  </si>
  <si>
    <t>Main Ent door -Wooden strip/fluted  panel door in Polish and Duco paint</t>
  </si>
  <si>
    <t>Size : 1000mm x 2400mm</t>
  </si>
  <si>
    <t>Overall finish size 100mm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</si>
  <si>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125/sft</t>
  </si>
  <si>
    <t>Frame &amp; entire door  to be Finished in Approved Melamine Polish</t>
  </si>
  <si>
    <t>125 mm x 50 mm x 4 mm thk bearing type SS hinges fixed between frame and shutter with SS screws. At least  4 nos. hinges per shutter, with  lock, Concealed door closer by 'Hafele' as per required capacity, 1 set of handle as approved by Architect</t>
  </si>
  <si>
    <t>Toilet door Wooden strip</t>
  </si>
  <si>
    <t>Overall finish size 250mm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</si>
  <si>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size:800 mm wide x 2400 mm ht. x  1 leaf, up to 82 mm thk. Using 38 mm thick readymade fireproof shutter covered with 8 mm thick marine ply on both sides , The shutter shall be clad with 4 mm thick  approved veneer from both side , including NBTW beading all around, 25 mm x 12 mm thick wooden strip from out side, to be fix on Veneer surface  as shown in drawings.  basic cost of veneer up to Rs. 125/sft</t>
  </si>
  <si>
    <t>GL-DOR</t>
  </si>
  <si>
    <t>Sliding Glass door with SS Jali in Satin Bronze finish</t>
  </si>
  <si>
    <t xml:space="preserve">Overall size- 1200 mm wide x 3000 mm height, Outer frame in  SS hollow frame of 38 mm x50mm x 2.5 mm thickness all around with top hung Sliding channel , SS frame in Satin Bronze finish  as approved by Architect, Sliding channel fixed to false ceiling frame, using 8 mm thick MS plate with anchor bolt.  including 10 mm thk 304 grade SS pipe jali door panel as per approved design and in Satin Bronze finish,  </t>
  </si>
  <si>
    <t>SEAT</t>
  </si>
  <si>
    <t>Seating Bench</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</si>
  <si>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Wooden finish band, Wood to be Finished in Approved Melamine Polish,(Basic cost of fabric at Rs.2500/rmt)</t>
  </si>
  <si>
    <t>SANITARY &amp; CP FITTINGS - ONLY FIXING</t>
  </si>
  <si>
    <t>COMMON LADIES AND GENTS TOILET</t>
  </si>
  <si>
    <t>SAN</t>
  </si>
  <si>
    <t>SAN/WR</t>
  </si>
  <si>
    <t>WC for  toilet</t>
  </si>
  <si>
    <t>Flush tank</t>
  </si>
  <si>
    <t>Flush plate</t>
  </si>
  <si>
    <t>Wash basin</t>
  </si>
  <si>
    <t>health faucet for WC</t>
  </si>
  <si>
    <t>wash basin faucet</t>
  </si>
  <si>
    <t>toilet paper holder</t>
  </si>
  <si>
    <t>hand dryer</t>
  </si>
  <si>
    <t>tissue paper holder</t>
  </si>
  <si>
    <t>Soap dispenser</t>
  </si>
  <si>
    <t>Robe hook</t>
  </si>
  <si>
    <t>Dust bin</t>
  </si>
  <si>
    <t>VII</t>
  </si>
  <si>
    <t>PAINTING WORKS</t>
  </si>
  <si>
    <t>WL/PT</t>
  </si>
  <si>
    <t>Wall painting</t>
  </si>
  <si>
    <t xml:space="preserve">Painting to walls in pearl luster </t>
  </si>
  <si>
    <t>Sanding and preparing surface for receiving primer, One coat of cement primer in solvent base, Two coats of putty in water / synthetic enamel base, Three coats of luster paint in approved shed, Complete as per manufacturer's specifications</t>
  </si>
  <si>
    <t>CL/PT</t>
  </si>
  <si>
    <t>Ceiling painting</t>
  </si>
  <si>
    <t>Sanding and preparing surface for receiving primer, One coat of cement primer in solvent base, Two coats of putty in water/ synthetic enamel, Three coats of acrylic emulsion paint in approved shed, Complete as per manufacturer's specifications</t>
  </si>
  <si>
    <t>Surface Preparation</t>
  </si>
  <si>
    <t>Surface preparation for wall paper</t>
  </si>
  <si>
    <t>Include cement primer, 2 coats of putty, touch up putty and primer with water base, Surface to be made ready to receive wall paper</t>
  </si>
  <si>
    <t>WL/WP</t>
  </si>
  <si>
    <t>Wall paper</t>
  </si>
  <si>
    <t>Hand painted / Customised Wall paper</t>
  </si>
  <si>
    <t>Providing and fixing approved wall paper by -Marshal /Ego wall paper, as approved by architect, Include protection till handover,  (Basic cost of wall paper @ Rs.350/sft )</t>
  </si>
  <si>
    <t>TOTAL - I TO VII</t>
  </si>
  <si>
    <t>COMP - Wet Works/civil &amp; Interior finishes</t>
  </si>
  <si>
    <t>Zone  19</t>
  </si>
  <si>
    <r>
      <rPr>
        <sz val="11"/>
        <rFont val="Calibri"/>
        <charset val="134"/>
      </rPr>
      <t xml:space="preserve">P&amp;C of </t>
    </r>
    <r>
      <rPr>
        <b/>
        <sz val="11"/>
        <rFont val="Calibri"/>
        <charset val="134"/>
      </rPr>
      <t>150mm</t>
    </r>
    <r>
      <rPr>
        <sz val="11"/>
        <rFont val="Calibri"/>
        <charset val="134"/>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charset val="134"/>
      </rPr>
      <t xml:space="preserve">cement/Adhesive </t>
    </r>
    <r>
      <rPr>
        <sz val="11"/>
        <rFont val="Calibri"/>
        <charset val="134"/>
      </rPr>
      <t xml:space="preserve">to be used. Constructed in perfect plum, line and level. Wall to be cured for at least 3 days. Rate inclusive of required scaffolding, ranking out the joints, cutting, providing &amp; fixing of including providing  </t>
    </r>
    <r>
      <rPr>
        <sz val="11"/>
        <color rgb="FFFF0000"/>
        <rFont val="Calibri"/>
        <charset val="134"/>
      </rPr>
      <t>RCC Patli to be after every 5 layers</t>
    </r>
    <r>
      <rPr>
        <sz val="11"/>
        <rFont val="Calibri"/>
        <charset val="134"/>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</si>
  <si>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t>CVL/ Ramp Construction</t>
  </si>
  <si>
    <t>Construction of ramp using Aerocon block</t>
  </si>
  <si>
    <t>Ramp flooring- Gradient of slope in 1 to 12 ratio, Floor surface to be cleaned of any dust particles, Surface to be watered well before laying blocks,OPC Only 43 grade cement to be used ( make- ACC / Bharthi/ Ultratech / Grasim Industries / Coromandel ),Cement mortar in 1"4 ratio, minimum 12mm thk, Ramp block shall start from slab level &amp; height shall increase gradually &amp; match raised flooring height, Blocks shall be laid with alternate joints, Cured for at least 3 days,</t>
  </si>
  <si>
    <t>0 to 300 mm thick</t>
  </si>
  <si>
    <t xml:space="preserve">P&amp;C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</si>
  <si>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300mm thick Brickbat Coba / Screeding at Raised flooring.</t>
  </si>
  <si>
    <t xml:space="preserve">P&amp;C of 300mm thick screed with 100/200/250mm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</si>
  <si>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Ramp-marble flooring</t>
  </si>
  <si>
    <t xml:space="preserve">Italian Marble Flooring on Ramp in Strip Form </t>
  </si>
  <si>
    <r>
      <rPr>
        <sz val="11"/>
        <rFont val="Calibri"/>
        <charset val="134"/>
      </rPr>
      <t>Clean existing sub floor thoroughly. Flooring shall consist of Marble in strips form as per drawing, At least  50 mm thk bedding mortar as per tech specs.  Marble slabs shall be minimum 18 mm thick, laid as per tech specs. Marble to be cut as per size and laid with tight hairline joints. Joint filling and finishing and mirror polishing as per tech specs. Including 4mm thick x12 mm wide SS satin copper finish strip inserts in the flooring at 75/100 mm c/c ,(On site cost of Italian marble @ Rs.450/sft without tax)</t>
    </r>
    <r>
      <rPr>
        <sz val="11"/>
        <color rgb="FFFF0000"/>
        <rFont val="Calibri"/>
        <charset val="134"/>
      </rPr>
      <t xml:space="preserve"> including Approved sealer to be applied on all sides</t>
    </r>
    <r>
      <rPr>
        <sz val="11"/>
        <rFont val="Calibri"/>
        <charset val="134"/>
      </rPr>
      <t>, Including sealer coat, Including using plastic/Pvc  sheet and POP to protect on marble flooring  as  protection , Include removal and disposing of protection materials before handover</t>
    </r>
  </si>
  <si>
    <t>Vitrified tile flooring</t>
  </si>
  <si>
    <t>Vitrified tile Flooring for staff toilet</t>
  </si>
  <si>
    <t>Clean existing sub floor thoroughly before fixing Vitrified tile, Before starting, carefully read the suppliers laying plan and instructions. Decorative mosaic tiles shall be fixed and finished as per manufacturers instructions, preferably by a nominated contractor. Basic cost of mosaic tiles at Rs.150/sft without tax</t>
  </si>
  <si>
    <t>Kota Stone Flooring for Corridor  &amp; service Area</t>
  </si>
  <si>
    <t>Granite Stone</t>
  </si>
  <si>
    <t>Granite Stone Ramp at Kitchen Entrance.</t>
  </si>
  <si>
    <t>Granite Stone Ramp Flooring for Service corridor</t>
  </si>
  <si>
    <t>P&amp;F of 18mm thick leather finished jet black granite flooring on the ramp with 100mm wide (selected &amp; approved make, basic cost INR. 2690.00/SM) in stroke pattern to get the desired grip. Stone to be machine cut, machine polished, laid in pattern and sizes as detailed in drawing, bedded over cement sand mortar of mix ratio of 1:6 (1 cement : 6 sand) including cleaning and preparing the surface for bedding, joints to be cleaned and grouted with matching colour approved quality Epoxy based readymade grout, curing, cleaning, etc. to required line, level, etc. all complete at all depths, heights and leads to the satisfactions, necessary cut out for services purpose, chamfer of edges, etc. Complete in proper line &amp; level as per site engineer's instruction. It is for the back kitchen entrance area</t>
  </si>
  <si>
    <t>Italian Marble Wall Cladding for in strip format</t>
  </si>
  <si>
    <r>
      <rPr>
        <sz val="11"/>
        <rFont val="Calibri"/>
        <charset val="134"/>
      </rPr>
      <t xml:space="preserve">Clean existing wall surface before fixing wall cladding, Marble shall be minimum 18 mm thick fixed to </t>
    </r>
    <r>
      <rPr>
        <sz val="11"/>
        <color rgb="FFFF0000"/>
        <rFont val="Calibri"/>
        <charset val="134"/>
      </rPr>
      <t>Fire rated</t>
    </r>
    <r>
      <rPr>
        <sz val="11"/>
        <rFont val="Calibri"/>
        <charset val="134"/>
      </rPr>
      <t xml:space="preserve"> plywood paneling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charset val="134"/>
      </rPr>
      <t xml:space="preserve">including Approved sealer to be applied on all sides </t>
    </r>
    <r>
      <rPr>
        <sz val="11"/>
        <rFont val="Calibri"/>
        <charset val="134"/>
      </rPr>
      <t>(On site cost of Italian marble @ Rs.450/sft without tax)</t>
    </r>
  </si>
  <si>
    <t>Jointless ceramic tiles cladding ( for staff toilet &amp; Service Corridor )</t>
  </si>
  <si>
    <r>
      <rPr>
        <sz val="11"/>
        <rFont val="Calibri"/>
        <charset val="134"/>
      </rPr>
      <t xml:space="preserve">Cladding shall comprise of ceramic tile of 600 mm x 300 mm, Tiles to be fixed in ordinary Portland cement only, Tiles to be put with </t>
    </r>
    <r>
      <rPr>
        <sz val="11"/>
        <color rgb="FFFF0000"/>
        <rFont val="Calibri"/>
        <charset val="134"/>
      </rPr>
      <t xml:space="preserve">Spacer required with Leticrete grout in  joints </t>
    </r>
    <r>
      <rPr>
        <sz val="11"/>
        <rFont val="Calibri"/>
        <charset val="134"/>
      </rPr>
      <t>in plumb, including levelling coat if any , Joints to be filled with  matching groute.(Basic cost of ceramic tiles at Rs.60/sft) make: Johnson / Somany / Kajaria / Nitco</t>
    </r>
  </si>
  <si>
    <t>Glass mosaic tile cladding</t>
  </si>
  <si>
    <t>Decorative Glass Mosaic Tiles In General Toilets  ( customize design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</si>
  <si>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Rs.1200/sft without tax</t>
  </si>
  <si>
    <t xml:space="preserve">Plain Glass Mosaic Tile Wall Cladding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</si>
  <si>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Rs.450/sft without tax)</t>
  </si>
  <si>
    <t>Granite jamb lining  Door Openings</t>
  </si>
  <si>
    <t>Granite for kitchen doors including rebate, up to 250 mm wide, up to 2250 mm ht all around, At least 18 mm thk per-polished Granite to be used. Granite to be cut as per approved size / drawings.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</si>
  <si>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Granite Architrave  for Door Openings</t>
  </si>
  <si>
    <t>50 mm wide Granite Architrave for kitchen / back office doors , At least 18 mm thk per-polished Granite to be used.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</si>
  <si>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3.13a</t>
  </si>
  <si>
    <t>Kotah Skirting</t>
  </si>
  <si>
    <t>150 mm high Kotah Finish Skirting</t>
  </si>
  <si>
    <t>P&amp;F of 19mm thick Kota Stone Skirting , stone to be machine cut, machine polished, fixed with cement paste  including cleaning and preparing the surface of wall, Kotah to be fixed with tight hairline joints , joints to be cleaned and grouted with matching colour approved quality Epoxy based readymade grout, curing, machine polishing, cleaning, etc. as per site engineer's instruction. It is considered for  service area.</t>
  </si>
  <si>
    <t>Italian Marble Finish Wash Basin Counter for Common toilet</t>
  </si>
  <si>
    <t>(Basic cost of marble at Rs.450/sft including fiber filling &amp; polish)</t>
  </si>
  <si>
    <t xml:space="preserve">Synthetic Marble  Ledges for all WC </t>
  </si>
  <si>
    <r>
      <rPr>
        <sz val="11"/>
        <rFont val="Calibri"/>
        <charset val="134"/>
      </rPr>
      <t>Using 18mm thick marble top, Including 2" high Marble fascia, Pre-polished finish marble shall be installed as per tech specs. Joint filling and finishing and mirror polishing as per tech specs. including</t>
    </r>
    <r>
      <rPr>
        <sz val="11"/>
        <color rgb="FFFF0000"/>
        <rFont val="Calibri"/>
        <charset val="134"/>
      </rPr>
      <t xml:space="preserve"> Approved sealer to be applied on all sides</t>
    </r>
    <r>
      <rPr>
        <sz val="11"/>
        <rFont val="Calibri"/>
        <charset val="134"/>
      </rPr>
      <t>.</t>
    </r>
  </si>
  <si>
    <t>Synthetic Marble  Dressing Vanity Ledge  in Common Ladies toilet</t>
  </si>
  <si>
    <r>
      <rPr>
        <sz val="11"/>
        <rFont val="Calibri"/>
        <charset val="134"/>
      </rPr>
      <t xml:space="preserve">Using 18 mm thick marble top, including  2" high Marble fascia, Pre-polished finish marble shall be installed as per tech specs. Joint filling and finishing and mirror polishing as per tech specs. </t>
    </r>
    <r>
      <rPr>
        <sz val="11"/>
        <color rgb="FFFF0000"/>
        <rFont val="Calibri"/>
        <charset val="134"/>
      </rPr>
      <t>including Approved sealer to be applied on all sides</t>
    </r>
  </si>
  <si>
    <t>CVL/DVR</t>
  </si>
  <si>
    <t>Marble divider</t>
  </si>
  <si>
    <t>Urinal Divider for Gents Toilet</t>
  </si>
  <si>
    <r>
      <rPr>
        <sz val="11"/>
        <rFont val="Calibri"/>
        <charset val="134"/>
      </rPr>
      <t xml:space="preserve">Overall size: 2000 mm x 400 mm, in approved profile. Frame in 25mmx25mm SS finish pipe in glossy/matt copper finish in profile to be approved by Architects, Insert of 18 mm synthetic marble slabs pre-polished on both sides </t>
    </r>
    <r>
      <rPr>
        <sz val="11"/>
        <color rgb="FFFF0000"/>
        <rFont val="Calibri"/>
        <charset val="134"/>
      </rPr>
      <t>including Approved sealer to be applied on all sides</t>
    </r>
    <r>
      <rPr>
        <sz val="11"/>
        <rFont val="Calibri"/>
        <charset val="134"/>
      </rPr>
      <t xml:space="preserve"> (Basic cost of Marble at Rs.275/sft without tax)</t>
    </r>
  </si>
  <si>
    <t>Granite Ledge</t>
  </si>
  <si>
    <t>Granite Ledge  in Janitor room</t>
  </si>
  <si>
    <t xml:space="preserve"> (Basic cost of Synthetic Marble at Rs.200/sft without tax)</t>
  </si>
  <si>
    <r>
      <rPr>
        <sz val="11"/>
        <rFont val="Calibri"/>
        <charset val="134"/>
      </rP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charset val="134"/>
      </rPr>
      <t>Note</t>
    </r>
    <r>
      <rPr>
        <sz val="11"/>
        <rFont val="Calibri"/>
        <charset val="134"/>
      </rPr>
      <t xml:space="preserve"> - existing structural ceiling height is 4300 mm )</t>
    </r>
  </si>
  <si>
    <t xml:space="preserve"> </t>
  </si>
  <si>
    <t>Fire line Gypsum board Facia Band 50 mm</t>
  </si>
  <si>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</si>
  <si>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</si>
  <si>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Shadow groove</t>
  </si>
  <si>
    <t>Shadow groove in  ceiling</t>
  </si>
  <si>
    <t>providing and Fixing  ready made powder coated aluminium profile up to 18 mm x 18 mm as approved by Architect</t>
  </si>
  <si>
    <t>SS Corner Guard</t>
  </si>
  <si>
    <t>CVL-Edge Protection</t>
  </si>
  <si>
    <t>30mm x 30mm x 3mm thick SS 'L' Edge Guard Profile.</t>
  </si>
  <si>
    <t>P&amp;F of 304 grade 3mm thick SS Corner guard (30mm x 30mm, hairline matt finished as per approved sample) fixing with SS full thread screws on each corner of the kitchen's wall after cladding of tiles, so that the corner may be protected from the damages, including cleaning,  etc. Complete in proper line &amp; level as per site engineer's instruction. It is for the back kitchen area.</t>
  </si>
  <si>
    <t>Frosted Glass Screen with satin/Glossy Copper Finish SS Frame in Toilets</t>
  </si>
  <si>
    <t>Frosted, textured, toughened and laminated glass overall 10 mm thick, as per samples approved by Architect. All glass edges to be fine cut and polished and sealed. The glass shall be fitted into a rebate of special fabricated 16G 304 grade SS copper finish frame of 50mmx50mm, as approved by Architect. The entire assembly shall be fitted on wall and floor with proper accessories and protected till handover.</t>
  </si>
  <si>
    <t>SS-CLD</t>
  </si>
  <si>
    <t>SS band</t>
  </si>
  <si>
    <t>SS satin/Glossy Copper Finish Band in Toilets</t>
  </si>
  <si>
    <t>SS satin/Glossy Copper finish sheet 304 grade, minimum 16 gauge thk. cladding on the ply with joints as required by Architect. The C shape SS band shall be 50 mm wide with turned in sides up to 25 mm and shall be fixed on 12 mm marine ply band fixed to wall and jambs. SS sheets fixed with recommended adhesive including protection film till handover</t>
  </si>
  <si>
    <t>Decorative Toilet Vanity Mirrors in  Oval /Circular/Rectangular Shapes</t>
  </si>
  <si>
    <t>The mirrors shall be mounted on a backing of aluminium framework and marine ply of overall 30 to 40 mm thickness, which shall be fixed to the wall. Including provision for LED strip light.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 exclude cost of LED strip lighting</t>
  </si>
  <si>
    <t>Plain mirror paneling ( dressing room )</t>
  </si>
  <si>
    <t>The mirrors shall be mounted on a backing of  marine ply of overall 18 mm thickness, which shall be fixed to the wall. Including L shape SS finish Angle profile covering on All around the mirror.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t>
  </si>
  <si>
    <t>Toilet Main Doors in Timber and Veneer Finish- D1</t>
  </si>
  <si>
    <t xml:space="preserve">Overall size: 1000 mm x 2250 mm ht  &amp; 900 mm x 2250 mm ht </t>
  </si>
  <si>
    <t>Door frame</t>
  </si>
  <si>
    <t>Overall size: 275 mm wide x 50 mm thick x 2250 ht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</si>
  <si>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Overall size:900 mm wide x 2200 mm ht. x  1 leaf, up to 59 mm thk, Using 35 mm thick readymade fireproof shutter covered with 8 mm thick marine ply on both sides , The shutter shall be clad with 4 mm thick  approved veneer on both sides including NBTW beading all around. basic cost of veneer up to Rs. 125/sft</t>
  </si>
  <si>
    <r>
      <rPr>
        <sz val="11"/>
        <rFont val="Calibri"/>
        <charset val="134"/>
      </rPr>
      <t xml:space="preserve">Frame &amp; entire door  to be  Finished in </t>
    </r>
    <r>
      <rPr>
        <sz val="11"/>
        <color rgb="FFFF0000"/>
        <rFont val="Calibri"/>
        <charset val="134"/>
      </rPr>
      <t>Approved waterbase PU polish</t>
    </r>
  </si>
  <si>
    <t>Hardware:</t>
  </si>
  <si>
    <t>The shutter shall be mounted on min. 3 nos. bearing SS  finished hinges with proprietary screws, made by Hafele/Dorma or equivalent approved by Architect. The shutter shall have a “Dorma” concealed door closer. Include a set of lock and approved handle,( basic cost of handle  Rs. 8,000/pair )</t>
  </si>
  <si>
    <t>Sliding Door</t>
  </si>
  <si>
    <t>Disabled Toilet Entrance Door (Sliding) D-3 ( electronic operated )</t>
  </si>
  <si>
    <t>Size : 1050mm x 2250mm</t>
  </si>
  <si>
    <t>Overall size: 275 mm wide x 50 mm thick x 2250 ht Using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</si>
  <si>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Openable Pelmet</t>
  </si>
  <si>
    <t>Pelmet to be made out of Using 18 mm thick  ply with Pelmet to be covered with 4 mm thk approved  veneer with 0.50 mm thk wooden face pressed on outside and approved 1 mm thk laminate  pressed inside, including matching</t>
  </si>
  <si>
    <t>Overall size:950 mm wide x 2250 mm ht. x  1 leaf, up to 59 mm thk. Using 35 mm thick readymade fireproof shutter covered with 8 mm thick marine ply on both sides , The shutter shall be clad with 4 mm thick  approved veneer on both sides including NBTW beading all around. basic cost of veneer up to Rs. 125/sft</t>
  </si>
  <si>
    <r>
      <rPr>
        <sz val="11"/>
        <rFont val="Calibri"/>
        <charset val="134"/>
      </rPr>
      <t xml:space="preserve">Frame , All wood &amp; Veneer  to be Veneer to be Finished in </t>
    </r>
    <r>
      <rPr>
        <sz val="11"/>
        <color rgb="FFFF0000"/>
        <rFont val="Calibri"/>
        <charset val="134"/>
      </rPr>
      <t>Approved waterbase PU polish</t>
    </r>
  </si>
  <si>
    <t xml:space="preserve">Sliding channel system by HAWA /hafle/dorma with bottom guide concealed within sliding shutter (Note: No guide shall
be fixed on floor), Concealed handle for sliding shutter, as approved, Concealed sliding lock with knob on inside, (Basic cost of concealed sliding handle at Rs.2500/- per set), </t>
  </si>
  <si>
    <t>LAM/DOR</t>
  </si>
  <si>
    <t>Laminate door</t>
  </si>
  <si>
    <t>WC Cubicle Shutter in Laminate Finish in Toilets D-2</t>
  </si>
  <si>
    <t>Overall size:700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</si>
  <si>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Min. 3nos. SS hinges, and lock, handle and indicator set with 1 double robe hook, by Hafele/Dorma or equivalent approved,</t>
  </si>
  <si>
    <t>WC Cubicle Shutter in Laminate Finish in Toilets D-2a</t>
  </si>
  <si>
    <t>Overall size:800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</si>
  <si>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 xml:space="preserve"> 2 Way Double Door in Laminate Finish with Vision Panel D-7 ( for Kitchen &amp; toilet Corridor )</t>
  </si>
  <si>
    <t>Shutter</t>
  </si>
  <si>
    <t>Overall size:1500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</si>
  <si>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Vision panel:</t>
  </si>
  <si>
    <t>400 mm dia, 8 mm thk toughened glass vision panel including 16SWG 304 grade SS finish Profile as approved by architect</t>
  </si>
  <si>
    <t>300 mm x 200 mm x 2 nos Handle push plate. hafle/dorma Heavy duty floor spring. 300 mm high, 16 G 304 grade SS  Kick plate fixed to door on both side with suitable adhesive Including locks, etc. complete</t>
  </si>
  <si>
    <t xml:space="preserve"> Door in Laminate Finish with Vision Panel ( for Garbage &amp; Janitor room )</t>
  </si>
  <si>
    <t>Overall size:900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</si>
  <si>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STG</t>
  </si>
  <si>
    <t>Lockers</t>
  </si>
  <si>
    <t>OVERALL SIZE : 2100 MM HIGH X 350 M DEEP</t>
  </si>
  <si>
    <t xml:space="preserve">size 400x400 mm division - CARCASS &amp; SHUTTER : 18 MM thk. Prelaminated PB  board  with PVC Edge band With openable Shutter including handle as approved by architect, lock  etc. completed . BACK  : 12 MM thk. Prelaminated  PB  board  with PVC Edge band.   </t>
  </si>
  <si>
    <t>Shaft Door</t>
  </si>
  <si>
    <t>Overall size:600 mm wide x 1800 mm ht.x 37 mm thick, Using 35 mm thick readymade fireproof shutter to be used including NBTW beading all around. The shutter shall be clad with 1 mm thick approved Laminate from both side ( basci cost of laminate sheet Rs 1600 /sheet )</t>
  </si>
  <si>
    <t>Min. 3nos. SS hinges, and lock, handle</t>
  </si>
  <si>
    <t>WC for common toilet</t>
  </si>
  <si>
    <t>Wash basin - Gents</t>
  </si>
  <si>
    <t>Wash basin - Ladies</t>
  </si>
  <si>
    <t>Napi change ledge</t>
  </si>
  <si>
    <t>Urinals</t>
  </si>
  <si>
    <t>Urinals censor plates</t>
  </si>
  <si>
    <t>handicap WC</t>
  </si>
  <si>
    <t>Wash basin - Handicap</t>
  </si>
  <si>
    <t>wash basin faucet for handicap</t>
  </si>
  <si>
    <t>Grab bar for handicap toilet</t>
  </si>
  <si>
    <t>BOQ OF WET WORK PHASE -2</t>
  </si>
  <si>
    <t xml:space="preserve">BIAL DOMESTIC LOUNGE </t>
  </si>
  <si>
    <t>SR.NO.</t>
  </si>
  <si>
    <t>SERVICE / MATERAL CODE</t>
  </si>
  <si>
    <t>WBS Level2</t>
  </si>
  <si>
    <t xml:space="preserve">SHORT ITEM DESCRIPTION </t>
  </si>
  <si>
    <t xml:space="preserve">LONG ITEM DESCRIPTION </t>
  </si>
  <si>
    <t>UNIT</t>
  </si>
  <si>
    <t>QTY</t>
  </si>
  <si>
    <t>BASIC RATE OF MATERIAL</t>
  </si>
  <si>
    <t>SUPPLY RATE</t>
  </si>
  <si>
    <t>FIXING RATE</t>
  </si>
  <si>
    <t>TOTAL RATE INCLUDING SUPPLY &amp; FIXING</t>
  </si>
  <si>
    <t>TOTAL AMOUNT</t>
  </si>
  <si>
    <t>CVL-PRT</t>
  </si>
  <si>
    <t>Masonary Works</t>
  </si>
  <si>
    <t>200 mm thick solid concrete block work</t>
  </si>
  <si>
    <t>SQM</t>
  </si>
  <si>
    <t>Walls to start from floor slab up to 4300 mm height</t>
  </si>
  <si>
    <t>Include 100 mm high RCC lintel at 1.5m, 3.0m  with 6nos x 8 mm MS twisted bars and 6 mm MS rod rings at 150 mm c/c. Concrete in 1:2:4 ratio, incl. shuttering. ( including door opening lintel )</t>
  </si>
  <si>
    <t xml:space="preserve">8 mm MS bar grade FE 500 </t>
  </si>
  <si>
    <r>
      <rPr>
        <sz val="11"/>
        <rFont val="Helvetica"/>
        <charset val="134"/>
        <scheme val="minor"/>
      </rPr>
      <t xml:space="preserve">Only 43 or 53 grade </t>
    </r>
    <r>
      <rPr>
        <sz val="11"/>
        <color rgb="FFFF0000"/>
        <rFont val="Helvetica"/>
        <charset val="134"/>
        <scheme val="minor"/>
      </rPr>
      <t>Cement/Adhesive</t>
    </r>
    <r>
      <rPr>
        <sz val="11"/>
        <rFont val="Helvetica"/>
        <charset val="134"/>
        <scheme val="minor"/>
      </rPr>
      <t xml:space="preserve"> to be used</t>
    </r>
  </si>
  <si>
    <t>Cement mortar in 1 : 4 ratio, minimum 12mm thk</t>
  </si>
  <si>
    <t>Constructed In perfect plum, line and level</t>
  </si>
  <si>
    <t>Wall to be cured for atleast 3 days</t>
  </si>
  <si>
    <t>including scaffolding and staging etc. complete.</t>
  </si>
  <si>
    <t>25 mm gap between block wall and slab shall be filled with expandable foam</t>
  </si>
  <si>
    <t>B00B01-TFS-I_ID-DOM-0A-DWG-0001</t>
  </si>
  <si>
    <t>200 mm thick Aerocon block wall</t>
  </si>
  <si>
    <r>
      <rPr>
        <sz val="11"/>
        <rFont val="Helvetica"/>
        <charset val="134"/>
        <scheme val="minor"/>
      </rPr>
      <t xml:space="preserve">Include 200 mm high </t>
    </r>
    <r>
      <rPr>
        <sz val="11"/>
        <color rgb="FFFF0000"/>
        <rFont val="Helvetica"/>
        <charset val="134"/>
        <scheme val="minor"/>
      </rPr>
      <t>RCC Patli to be after every 5 layers</t>
    </r>
    <r>
      <rPr>
        <sz val="11"/>
        <rFont val="Helvetica"/>
        <charset val="134"/>
        <scheme val="minor"/>
      </rPr>
      <t xml:space="preserve"> &amp; above doors with 6nos x 8 mm MS twisted bars and 6 mm MS rod rings at 150 mm c/c. Concrete in 1:2:4 ratio, incl. shuttering. ( including door opening lintel )</t>
    </r>
  </si>
  <si>
    <r>
      <rPr>
        <sz val="11"/>
        <rFont val="Helvetica"/>
        <charset val="134"/>
        <scheme val="minor"/>
      </rPr>
      <t xml:space="preserve">Only 43 or 53 grade </t>
    </r>
    <r>
      <rPr>
        <sz val="11"/>
        <color rgb="FFFF0000"/>
        <rFont val="Helvetica"/>
        <charset val="134"/>
        <scheme val="minor"/>
      </rPr>
      <t>cement/Adhesive</t>
    </r>
    <r>
      <rPr>
        <sz val="11"/>
        <rFont val="Helvetica"/>
        <charset val="134"/>
        <scheme val="minor"/>
      </rPr>
      <t xml:space="preserve"> to be used</t>
    </r>
  </si>
  <si>
    <t>150 mm thick solid concrete block work</t>
  </si>
  <si>
    <t>Include 150 mm high RCC lintel at 1.8m, 3.6m &amp; above doors with 4nos x 8 mm MS twisted bars and 6 mm MS rod rings at 150 mm c/c. Concrete in 1:2:4 ratio, incl. shuttering. ( including door opening lintel )</t>
  </si>
  <si>
    <t>150 mm thick solid Aerocon block wall</t>
  </si>
  <si>
    <r>
      <rPr>
        <sz val="11"/>
        <rFont val="Helvetica"/>
        <charset val="134"/>
        <scheme val="minor"/>
      </rPr>
      <t xml:space="preserve">Include 150 mm high RCC </t>
    </r>
    <r>
      <rPr>
        <sz val="11"/>
        <color rgb="FFFF0000"/>
        <rFont val="Helvetica"/>
        <charset val="134"/>
        <scheme val="minor"/>
      </rPr>
      <t>Patli to be after every 5 layers</t>
    </r>
    <r>
      <rPr>
        <sz val="11"/>
        <rFont val="Helvetica"/>
        <charset val="134"/>
        <scheme val="minor"/>
      </rPr>
      <t xml:space="preserve"> &amp; above doors with 4nos x 8 mm MS twisted bars and 6 mm MS rod rings at 100 mm c/c. Concrete in 1:2:4 ratio, incl. shuttering. ( including door opening lintel )</t>
    </r>
  </si>
  <si>
    <t>Building 100 mm thk. Aerocon block wall</t>
  </si>
  <si>
    <t>*</t>
  </si>
  <si>
    <r>
      <rPr>
        <sz val="11"/>
        <rFont val="Helvetica"/>
        <charset val="134"/>
        <scheme val="minor"/>
      </rPr>
      <t xml:space="preserve">Include 100 mm high </t>
    </r>
    <r>
      <rPr>
        <sz val="11"/>
        <color rgb="FFFF0000"/>
        <rFont val="Helvetica"/>
        <charset val="134"/>
        <scheme val="minor"/>
      </rPr>
      <t>RCC Patli to be after every 5 layers</t>
    </r>
    <r>
      <rPr>
        <sz val="11"/>
        <rFont val="Helvetica"/>
        <charset val="134"/>
        <scheme val="minor"/>
      </rPr>
      <t xml:space="preserve"> &amp; above doors with 4nos x 8 mm MS twisted bars and 6 mm MS rod rings at 150 mm c/c. Concrete in 1:2:4 ratio, incl. shuttering. ( including door opening lintel )</t>
    </r>
  </si>
  <si>
    <r>
      <rPr>
        <sz val="11"/>
        <rFont val="Helvetica"/>
        <charset val="134"/>
        <scheme val="minor"/>
      </rPr>
      <t xml:space="preserve">Only 43 or 53 grade </t>
    </r>
    <r>
      <rPr>
        <sz val="11"/>
        <color rgb="FFFF0000"/>
        <rFont val="Helvetica"/>
        <charset val="134"/>
        <scheme val="minor"/>
      </rPr>
      <t xml:space="preserve">Cement/Adhesive </t>
    </r>
    <r>
      <rPr>
        <sz val="11"/>
        <rFont val="Helvetica"/>
        <charset val="134"/>
        <scheme val="minor"/>
      </rPr>
      <t>to be used</t>
    </r>
  </si>
  <si>
    <t>CVL-RFL</t>
  </si>
  <si>
    <t>Raised Flooring</t>
  </si>
  <si>
    <t>Raised flooring in Brick bat Coba</t>
  </si>
  <si>
    <r>
      <rPr>
        <sz val="11"/>
        <rFont val="Helvetica"/>
        <charset val="134"/>
        <scheme val="minor"/>
      </rPr>
      <t xml:space="preserve">Providing waterproofing treatment to Slab (India water proofing or alike) </t>
    </r>
    <r>
      <rPr>
        <sz val="11"/>
        <color rgb="FFFF0000"/>
        <rFont val="Helvetica"/>
        <charset val="134"/>
        <scheme val="minor"/>
      </rPr>
      <t>Light weight block filling with cement mortar. Top to be finished with 60-70mm 1:2:4 screed</t>
    </r>
    <r>
      <rPr>
        <sz val="11"/>
        <rFont val="Helvetica"/>
        <charset val="134"/>
        <scheme val="minor"/>
      </rPr>
      <t>, mixed with water proofing compound etc.</t>
    </r>
  </si>
  <si>
    <t>Floor surface to be cleaned of any dust particles</t>
  </si>
  <si>
    <t>Surface to be watered well before laying blocks</t>
  </si>
  <si>
    <t>Only 43 or 53 grade cement to be used</t>
  </si>
  <si>
    <t>Cement mortar in 1:4 ratio, minimum 12mm thk</t>
  </si>
  <si>
    <t>Blocks shall be laid with alternate joints</t>
  </si>
  <si>
    <t>Cured for atleast 3 days</t>
  </si>
  <si>
    <t>Slope to be maintined as per drawing</t>
  </si>
  <si>
    <t>150 mm thick</t>
  </si>
  <si>
    <t>250 mm thick</t>
  </si>
  <si>
    <t>300 mm thick</t>
  </si>
  <si>
    <t>CVL-RMP</t>
  </si>
  <si>
    <t>Ramp flooring</t>
  </si>
  <si>
    <t>Cement mortar in 1"4 ratio, minimum 12mm thk</t>
  </si>
  <si>
    <t xml:space="preserve">Ramp block shall start from slab level &amp; height shall increase gradually &amp; match raised flooring height </t>
  </si>
  <si>
    <t>0 to 150 mm thick</t>
  </si>
  <si>
    <t>0 to 250 mm thick</t>
  </si>
  <si>
    <t>CVL- PLR</t>
  </si>
  <si>
    <t>Applying cement plaster to NEW wall</t>
  </si>
  <si>
    <t xml:space="preserve">Wall surface to be free from any loose particles before plastering </t>
  </si>
  <si>
    <t>Surface to be watered well before plastering</t>
  </si>
  <si>
    <t>Only river sand to be used free of minerals / salts</t>
  </si>
  <si>
    <t>Sand shall be fine fibreed before using</t>
  </si>
  <si>
    <t>Cement mortar in 1 : 4 ratio, upto 20mm thk.</t>
  </si>
  <si>
    <t>Include  600 m wide PVC chicken mesh  on junctions of RCC and brick / siporex wall</t>
  </si>
  <si>
    <t>In perfect plum, line and level</t>
  </si>
  <si>
    <t>Smooth / lined surface as instructed</t>
  </si>
  <si>
    <t>Plaster to be cured for at least 3 days</t>
  </si>
  <si>
    <t>Applying cement plaster to EXISTING wall</t>
  </si>
  <si>
    <t>CVL-PCC</t>
  </si>
  <si>
    <t>PCC flooring</t>
  </si>
  <si>
    <t>PCC screed on slab ( grade M15 )</t>
  </si>
  <si>
    <t>Clean slab surface before laying mortar</t>
  </si>
  <si>
    <t>Aggregate of 0 and 1 no. size to be used</t>
  </si>
  <si>
    <t>Atleast average 75 mm thk  (min. 50 mm ) mortar in 1:2:4 ratio</t>
  </si>
  <si>
    <t>Coba shall not cover raceway junction box</t>
  </si>
  <si>
    <t>Coba to be cured for atleast 3 days</t>
  </si>
  <si>
    <t>CVL-WTF</t>
  </si>
  <si>
    <t>Water proofing</t>
  </si>
  <si>
    <t>Chemical waterproofing over  walls</t>
  </si>
  <si>
    <t>Providing and laying proprietary chemical water proofing system consisting of polymer modified acrylic base coating in two coats in form of slurry (total consumption of 1.5 Kg/Sqm)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1:4 mortar (1 cement : 4 sand), finished in ready to receive Architectural finish, in correct line, level and plumb, curing, grouting, testing, etc. all complete to entire satisfaction of the PM, contractor to provide guarantee for 10 years Rs.100/- stamp paper in approved proforma. MAKE: WPM 002-AROEX ENDURA. CONTRCTING HAS TO FOLLOW THE DETAILED METHODOLOGY OF THE MANUFCATURERS INSTRUCTION. ONLY FOR WET AREA.</t>
  </si>
  <si>
    <t>Waterproofing to wrap up on the walls upto 900 mm height</t>
  </si>
  <si>
    <t>Vendor to submit brand specifications for approval</t>
  </si>
  <si>
    <t>Waterproofing shall be done within plumbing chases before installing pipes and after filling chases with cement plaster</t>
  </si>
  <si>
    <t>For Toilet and Kitchen</t>
  </si>
  <si>
    <t>Membrane waterproofing on floor &amp; walls in Kitchen &amp; toilets</t>
  </si>
  <si>
    <t>Upto 3mm thk. membrane sheet, manufactured by reputed brand</t>
  </si>
  <si>
    <t>Slab to be dust free before starting process</t>
  </si>
  <si>
    <t>1:4 ratio cement mortar with waterproofing compound</t>
  </si>
  <si>
    <t>Membrane to be installed by bonafide/approved installer</t>
  </si>
  <si>
    <t>Installation to be carried strictly as per manufacturer's specifications</t>
  </si>
  <si>
    <t>Waterproofing to wrap up on the wall, upto 900 mm ht</t>
  </si>
  <si>
    <t>Waterproofing shall be warranted for 10 years on Rs.100/- stamp paper</t>
  </si>
  <si>
    <t>Jointless ceramic tiles cladding ( for  Garbage station )</t>
  </si>
  <si>
    <r>
      <rPr>
        <sz val="11"/>
        <rFont val="Helvetica"/>
        <charset val="134"/>
        <scheme val="minor"/>
      </rPr>
      <t xml:space="preserve">Cladding shall comprise of ceramic tile of 600 mm x 300 mm,Tiles to be fixed in ordinary Portland cement only, </t>
    </r>
    <r>
      <rPr>
        <sz val="11"/>
        <color rgb="FFFF0000"/>
        <rFont val="Helvetica"/>
        <charset val="134"/>
        <scheme val="minor"/>
      </rPr>
      <t>Spacer required with Leticrete grout in joints</t>
    </r>
    <r>
      <rPr>
        <sz val="11"/>
        <rFont val="Helvetica"/>
        <charset val="134"/>
        <scheme val="minor"/>
      </rPr>
      <t>. in plumb,including levelling coat if any , Joints to be filled with  matching groute.(Basic cost of ceramic tiles at Rs.60/sft) make: Johnson / Somany / Kajaria / Nitco</t>
    </r>
  </si>
  <si>
    <t>B00B01-TFS-I_ID-DOM2-0A-DWG-0004</t>
  </si>
  <si>
    <t>50mm x 50mm x 2mm thick SS 'L' Edge Guard Profile.</t>
  </si>
  <si>
    <r>
      <rPr>
        <sz val="11"/>
        <rFont val="Helvetica"/>
        <charset val="134"/>
        <scheme val="minor"/>
      </rPr>
      <t xml:space="preserve">P&amp;F of 304 grade 3mm thick SS Corner guard </t>
    </r>
    <r>
      <rPr>
        <sz val="11"/>
        <color rgb="FFFF0000"/>
        <rFont val="Helvetica"/>
        <charset val="134"/>
        <scheme val="minor"/>
      </rPr>
      <t>(50x50x2mmthick SS angles)</t>
    </r>
    <r>
      <rPr>
        <sz val="11"/>
        <rFont val="Helvetica"/>
        <charset val="134"/>
        <scheme val="minor"/>
      </rPr>
      <t xml:space="preserve"> fixing with SS full thread screws on each corner of the kitchen's wall after cladding of tiles, so that the corner may be protected from the damages, including cleaning,  etc. Complete in proper line &amp; level as per site engineer's instruction. It is for the back kitchen area.</t>
    </r>
  </si>
  <si>
    <t>CEILING AND POP</t>
  </si>
  <si>
    <t>Fire line  Gypsum Board ceiling</t>
  </si>
  <si>
    <t>All G.I framework for ceiling to be used manufactured by "GYPSteel" only at 400 mm c/c &amp; suspenders, closer at 1200 mm c/c</t>
  </si>
  <si>
    <t>12.5 mm thk Gypsum board to be used manufactured by "India Gypsum Board" or "La Farge" only</t>
  </si>
  <si>
    <t>Gypsum Board sheets shall be fitted &amp; finished as per manufacturer's specification</t>
  </si>
  <si>
    <t>All joints to be fillled with jointing compound including fibre tape reinforcement</t>
  </si>
  <si>
    <t>Include finished cutouts for light fixtures, AC grills including necessary framework/ply support</t>
  </si>
  <si>
    <t>Include 3 mm thk gyp veneer coat on gypsum board (3 mm thk jointing compound filled like punning on wall)</t>
  </si>
  <si>
    <t>Include horizontal structural member to span below HVAC ducting for ceiling suspenders</t>
  </si>
  <si>
    <t>Exclude painting</t>
  </si>
  <si>
    <t>Only fire line Gypsum</t>
  </si>
  <si>
    <t>B00B01-TFS-I_ID-DOM-0A-DWG-0006</t>
  </si>
  <si>
    <t>Average 12 mm thk Universal plaster punning by Gyproc Stucco</t>
  </si>
  <si>
    <t>Tile bullmarks to be used for channel gliding tracks</t>
  </si>
  <si>
    <t>Bull marks to be removed before apply punning</t>
  </si>
  <si>
    <t>Surface to be in perfect plum, line and level</t>
  </si>
  <si>
    <t>Include pencil rounding to wall corners as instructed</t>
  </si>
  <si>
    <t>Smooth finished to receive finishing coating</t>
  </si>
  <si>
    <t>Exclude painting work</t>
  </si>
  <si>
    <t>False Ceiling</t>
  </si>
  <si>
    <t>False Ceiling-Metal</t>
  </si>
  <si>
    <t>Ivory Colour 600mm x 600mm metal sheet ceiling of Armstrong make</t>
  </si>
  <si>
    <t>P&amp;F of metalized grid ceiling with selected &amp; approved Armstrong or eqv. make metal sheet (suspended lay-in square Armstrong metal ceiling, standard plain square tiles of 600mm x 600mm in off white colour, exposed grid white Armstrong metal false ceiling, thickness: 0.5 mm, surface treatment in galvanized, off white color coated, features -water proof, corrosion resistant - basic cost INR. 1345.00 / SM) and section (as per approved sample) with grid section framework, frame work should be hanged from the existing slab as per manufacture's instruction, including scaffolding, all necessary hardware fittings etc., making provision for lighting, including opening for ventilation grills, duct, etc. as required on site. Complete as per architectural detail drawing &amp; site engineer's instruction. It is for kitchen area.</t>
  </si>
  <si>
    <r>
      <rPr>
        <sz val="11"/>
        <rFont val="Helvetica"/>
        <charset val="134"/>
        <scheme val="minor"/>
      </rPr>
      <t xml:space="preserve">up to 200 mm high -Providing and fixing in position 304 grade </t>
    </r>
    <r>
      <rPr>
        <b/>
        <sz val="11"/>
        <rFont val="Helvetica"/>
        <charset val="134"/>
        <scheme val="minor"/>
      </rPr>
      <t>S.S</t>
    </r>
    <r>
      <rPr>
        <sz val="11"/>
        <rFont val="Helvetica"/>
        <charset val="134"/>
        <scheme val="minor"/>
      </rPr>
      <t xml:space="preserve"> Satin Bronze finish </t>
    </r>
    <r>
      <rPr>
        <b/>
        <sz val="11"/>
        <rFont val="Helvetica"/>
        <charset val="134"/>
        <scheme val="minor"/>
      </rPr>
      <t xml:space="preserve">foot rail </t>
    </r>
    <r>
      <rPr>
        <sz val="11"/>
        <rFont val="Helvetica"/>
        <charset val="134"/>
        <scheme val="minor"/>
      </rPr>
      <t>of 38mm diameter with horizontal &amp; vertical members, Grouting in concrete, etc. complete, as specified and as directed by Architect</t>
    </r>
  </si>
  <si>
    <t>TOTAL - II</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</si>
</sst>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_(* #,##0.00_);_(* \(#,##0.00\);_(* &quot;-&quot;??_);_(@_)"/>
    <numFmt numFmtId="181" formatCode="_(* #,##0.00_);_(* \(#,##0.00\);_(* \-??_);_(@_)"/>
    <numFmt numFmtId="182" formatCode="0.0"/>
    <numFmt numFmtId="183" formatCode="_(* #,##0_);_(* \(#,##0\);_(* \-??_);_(@_)"/>
    <numFmt numFmtId="184" formatCode="&quot; &quot;* #,##0.00&quot; &quot;;&quot; &quot;* \(#,##0.00\);&quot; &quot;* &quot;-&quot;??&quot; &quot;"/>
    <numFmt numFmtId="185" formatCode="_ * #,##0_ ;_ * \-#,##0_ ;_ * &quot;-&quot;??_ ;_ @_ "/>
  </numFmts>
  <fonts count="54">
    <font>
      <sz val="10"/>
      <color indexed="8"/>
      <name val="Verdana"/>
      <charset val="134"/>
    </font>
    <font>
      <sz val="11"/>
      <name val="Helvetica"/>
      <charset val="134"/>
      <scheme val="minor"/>
    </font>
    <font>
      <b/>
      <sz val="11"/>
      <name val="Helvetica"/>
      <charset val="134"/>
      <scheme val="minor"/>
    </font>
    <font>
      <b/>
      <sz val="11"/>
      <color theme="1"/>
      <name val="Helvetica"/>
      <charset val="134"/>
      <scheme val="minor"/>
    </font>
    <font>
      <sz val="11"/>
      <color theme="1"/>
      <name val="Helvetica"/>
      <charset val="134"/>
      <scheme val="minor"/>
    </font>
    <font>
      <b/>
      <sz val="11"/>
      <color indexed="8"/>
      <name val="Helvetica"/>
      <charset val="134"/>
      <scheme val="minor"/>
    </font>
    <font>
      <sz val="11"/>
      <color indexed="8"/>
      <name val="Helvetica"/>
      <charset val="134"/>
      <scheme val="minor"/>
    </font>
    <font>
      <sz val="11"/>
      <color theme="1"/>
      <name val="Calibri"/>
      <charset val="134"/>
    </font>
    <font>
      <sz val="11"/>
      <name val="Calibri"/>
      <charset val="134"/>
    </font>
    <font>
      <b/>
      <sz val="12"/>
      <name val="Calibri"/>
      <charset val="134"/>
    </font>
    <font>
      <b/>
      <sz val="11"/>
      <name val="Calibri"/>
      <charset val="134"/>
    </font>
    <font>
      <sz val="11"/>
      <color indexed="8"/>
      <name val="Calibri"/>
      <charset val="134"/>
    </font>
    <font>
      <b/>
      <sz val="11"/>
      <color theme="1"/>
      <name val="Calibri"/>
      <charset val="134"/>
    </font>
    <font>
      <sz val="10"/>
      <name val="Tahoma"/>
      <charset val="134"/>
    </font>
    <font>
      <sz val="11"/>
      <color rgb="FF000000"/>
      <name val="Calibri"/>
      <charset val="134"/>
    </font>
    <font>
      <sz val="10"/>
      <name val="Calibri"/>
      <charset val="134"/>
    </font>
    <font>
      <b/>
      <sz val="10"/>
      <name val="Calibri"/>
      <charset val="134"/>
    </font>
    <font>
      <sz val="10"/>
      <color indexed="8"/>
      <name val="Calibri"/>
      <charset val="134"/>
    </font>
    <font>
      <b/>
      <sz val="10"/>
      <name val="Tahoma"/>
      <charset val="134"/>
    </font>
    <font>
      <sz val="10"/>
      <color rgb="FFFF0000"/>
      <name val="Tahoma"/>
      <charset val="134"/>
    </font>
    <font>
      <sz val="10"/>
      <color indexed="8"/>
      <name val="Tahoma"/>
      <charset val="134"/>
    </font>
    <font>
      <b/>
      <sz val="10"/>
      <color indexed="8"/>
      <name val="Tahoma"/>
      <charset val="134"/>
    </font>
    <font>
      <b/>
      <sz val="11"/>
      <name val="Tahoma"/>
      <charset val="134"/>
    </font>
    <font>
      <sz val="10.35"/>
      <color rgb="FF000000"/>
      <name val="Helvetica"/>
      <charset val="134"/>
      <scheme val="minor"/>
    </font>
    <font>
      <sz val="10"/>
      <color rgb="FFFF0000"/>
      <name val="Calibri"/>
      <charset val="134"/>
    </font>
    <font>
      <sz val="10"/>
      <color theme="1"/>
      <name val="Calibri"/>
      <charset val="134"/>
    </font>
    <font>
      <b/>
      <sz val="10"/>
      <color theme="1"/>
      <name val="Calibri"/>
      <charset val="134"/>
    </font>
    <font>
      <b/>
      <sz val="14"/>
      <color theme="1"/>
      <name val="Calibri"/>
      <charset val="134"/>
    </font>
    <font>
      <b/>
      <sz val="12"/>
      <color theme="1"/>
      <name val="Calibri"/>
      <charset val="134"/>
    </font>
    <font>
      <sz val="12"/>
      <color theme="1"/>
      <name val="Calibri"/>
      <charset val="134"/>
    </font>
    <font>
      <b/>
      <u/>
      <sz val="10"/>
      <color rgb="FFFF0000"/>
      <name val="Calibri"/>
      <charset val="134"/>
    </font>
    <font>
      <sz val="12"/>
      <color indexed="8"/>
      <name val="Verdana"/>
      <charset val="134"/>
    </font>
    <font>
      <u/>
      <sz val="11"/>
      <color rgb="FF0000FF"/>
      <name val="Helvetica"/>
      <charset val="0"/>
      <scheme val="minor"/>
    </font>
    <font>
      <u/>
      <sz val="11"/>
      <color rgb="FF800080"/>
      <name val="Helvetica"/>
      <charset val="0"/>
      <scheme val="minor"/>
    </font>
    <font>
      <sz val="11"/>
      <color rgb="FFFF0000"/>
      <name val="Helvetica"/>
      <charset val="0"/>
      <scheme val="minor"/>
    </font>
    <font>
      <b/>
      <sz val="18"/>
      <color theme="3"/>
      <name val="Helvetica"/>
      <charset val="134"/>
      <scheme val="minor"/>
    </font>
    <font>
      <i/>
      <sz val="11"/>
      <color rgb="FF7F7F7F"/>
      <name val="Helvetica"/>
      <charset val="0"/>
      <scheme val="minor"/>
    </font>
    <font>
      <b/>
      <sz val="15"/>
      <color theme="3"/>
      <name val="Helvetica"/>
      <charset val="134"/>
      <scheme val="minor"/>
    </font>
    <font>
      <b/>
      <sz val="13"/>
      <color theme="3"/>
      <name val="Helvetica"/>
      <charset val="134"/>
      <scheme val="minor"/>
    </font>
    <font>
      <b/>
      <sz val="11"/>
      <color theme="3"/>
      <name val="Helvetica"/>
      <charset val="134"/>
      <scheme val="minor"/>
    </font>
    <font>
      <sz val="11"/>
      <color rgb="FF3F3F76"/>
      <name val="Helvetica"/>
      <charset val="0"/>
      <scheme val="minor"/>
    </font>
    <font>
      <b/>
      <sz val="11"/>
      <color rgb="FF3F3F3F"/>
      <name val="Helvetica"/>
      <charset val="0"/>
      <scheme val="minor"/>
    </font>
    <font>
      <b/>
      <sz val="11"/>
      <color rgb="FFFA7D00"/>
      <name val="Helvetica"/>
      <charset val="0"/>
      <scheme val="minor"/>
    </font>
    <font>
      <b/>
      <sz val="11"/>
      <color rgb="FFFFFFFF"/>
      <name val="Helvetica"/>
      <charset val="0"/>
      <scheme val="minor"/>
    </font>
    <font>
      <sz val="11"/>
      <color rgb="FFFA7D00"/>
      <name val="Helvetica"/>
      <charset val="0"/>
      <scheme val="minor"/>
    </font>
    <font>
      <b/>
      <sz val="11"/>
      <color theme="1"/>
      <name val="Helvetica"/>
      <charset val="0"/>
      <scheme val="minor"/>
    </font>
    <font>
      <sz val="11"/>
      <color rgb="FF006100"/>
      <name val="Helvetica"/>
      <charset val="0"/>
      <scheme val="minor"/>
    </font>
    <font>
      <sz val="11"/>
      <color rgb="FF9C0006"/>
      <name val="Helvetica"/>
      <charset val="0"/>
      <scheme val="minor"/>
    </font>
    <font>
      <sz val="11"/>
      <color rgb="FF9C6500"/>
      <name val="Helvetica"/>
      <charset val="0"/>
      <scheme val="minor"/>
    </font>
    <font>
      <sz val="11"/>
      <color theme="0"/>
      <name val="Helvetica"/>
      <charset val="0"/>
      <scheme val="minor"/>
    </font>
    <font>
      <sz val="11"/>
      <color theme="1"/>
      <name val="Helvetica"/>
      <charset val="0"/>
      <scheme val="minor"/>
    </font>
    <font>
      <sz val="10"/>
      <name val="Arial"/>
      <charset val="134"/>
    </font>
    <font>
      <sz val="11"/>
      <color rgb="FFFF0000"/>
      <name val="Helvetica"/>
      <charset val="134"/>
      <scheme val="minor"/>
    </font>
    <font>
      <sz val="11"/>
      <color rgb="FFFF0000"/>
      <name val="Calibri"/>
      <charset val="134"/>
    </font>
  </fonts>
  <fills count="35">
    <fill>
      <patternFill patternType="none"/>
    </fill>
    <fill>
      <patternFill patternType="gray125"/>
    </fill>
    <fill>
      <patternFill patternType="solid">
        <fgColor theme="7" tint="0.79995117038483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medium">
        <color auto="1"/>
      </top>
      <bottom/>
      <diagonal/>
    </border>
    <border>
      <left style="thin">
        <color auto="1"/>
      </left>
      <right style="thin">
        <color auto="1"/>
      </right>
      <top style="thin">
        <color auto="1"/>
      </top>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pplyNumberFormat="0" applyFill="0" applyBorder="0" applyProtection="0">
      <alignment vertical="top" wrapText="1"/>
    </xf>
    <xf numFmtId="176" fontId="31" fillId="0" borderId="0" applyFont="0" applyFill="0" applyBorder="0" applyAlignment="0" applyProtection="0"/>
    <xf numFmtId="177" fontId="4" fillId="0" borderId="0" applyFont="0" applyFill="0" applyBorder="0" applyAlignment="0" applyProtection="0">
      <alignment vertical="center"/>
    </xf>
    <xf numFmtId="9" fontId="4" fillId="0" borderId="0" applyFont="0" applyFill="0" applyBorder="0" applyAlignment="0" applyProtection="0">
      <alignment vertical="center"/>
    </xf>
    <xf numFmtId="178" fontId="4" fillId="0" borderId="0" applyFont="0" applyFill="0" applyBorder="0" applyAlignment="0" applyProtection="0">
      <alignment vertical="center"/>
    </xf>
    <xf numFmtId="179" fontId="4"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 fillId="4" borderId="22"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3" applyNumberFormat="0" applyFill="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39" fillId="0" borderId="0" applyNumberFormat="0" applyFill="0" applyBorder="0" applyAlignment="0" applyProtection="0">
      <alignment vertical="center"/>
    </xf>
    <xf numFmtId="0" fontId="40" fillId="5" borderId="25" applyNumberFormat="0" applyAlignment="0" applyProtection="0">
      <alignment vertical="center"/>
    </xf>
    <xf numFmtId="0" fontId="41" fillId="6" borderId="26" applyNumberFormat="0" applyAlignment="0" applyProtection="0">
      <alignment vertical="center"/>
    </xf>
    <xf numFmtId="0" fontId="42" fillId="6" borderId="25" applyNumberFormat="0" applyAlignment="0" applyProtection="0">
      <alignment vertical="center"/>
    </xf>
    <xf numFmtId="0" fontId="43" fillId="7" borderId="27" applyNumberFormat="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180" fontId="4" fillId="0" borderId="0" applyFont="0" applyFill="0" applyBorder="0" applyAlignment="0" applyProtection="0"/>
    <xf numFmtId="181" fontId="51" fillId="0" borderId="0"/>
    <xf numFmtId="180" fontId="4" fillId="0" borderId="0" applyFont="0" applyFill="0" applyBorder="0" applyAlignment="0" applyProtection="0"/>
    <xf numFmtId="0" fontId="51" fillId="0" borderId="0"/>
    <xf numFmtId="0" fontId="51" fillId="0" borderId="0"/>
    <xf numFmtId="0" fontId="4" fillId="0" borderId="0"/>
    <xf numFmtId="0" fontId="51" fillId="0" borderId="0"/>
    <xf numFmtId="0" fontId="51" fillId="0" borderId="0"/>
    <xf numFmtId="0" fontId="4" fillId="0" borderId="0"/>
    <xf numFmtId="0" fontId="4" fillId="0" borderId="0"/>
    <xf numFmtId="0" fontId="51" fillId="0" borderId="0"/>
    <xf numFmtId="0" fontId="51" fillId="0" borderId="0"/>
  </cellStyleXfs>
  <cellXfs count="600">
    <xf numFmtId="0" fontId="0" fillId="0" borderId="0" xfId="0">
      <alignment vertical="top" wrapText="1"/>
    </xf>
    <xf numFmtId="0" fontId="1" fillId="0" borderId="0" xfId="0" applyFont="1" applyAlignment="1">
      <alignment wrapText="1"/>
    </xf>
    <xf numFmtId="0" fontId="1" fillId="0" borderId="0" xfId="0" applyFont="1" applyFill="1" applyAlignment="1"/>
    <xf numFmtId="0" fontId="2" fillId="0" borderId="0" xfId="0" applyNumberFormat="1" applyFont="1" applyAlignment="1">
      <alignment horizontal="center"/>
    </xf>
    <xf numFmtId="0" fontId="1" fillId="0" borderId="0" xfId="0" applyFont="1" applyAlignment="1">
      <alignment vertical="top"/>
    </xf>
    <xf numFmtId="0" fontId="1" fillId="0" borderId="0" xfId="0" applyFont="1" applyAlignment="1">
      <alignment horizontal="justify" vertical="top" wrapText="1"/>
    </xf>
    <xf numFmtId="0" fontId="1" fillId="0" borderId="0" xfId="0" applyFont="1" applyAlignment="1"/>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top" wrapText="1"/>
    </xf>
    <xf numFmtId="0" fontId="2" fillId="0" borderId="1" xfId="0" applyNumberFormat="1" applyFont="1" applyBorder="1" applyAlignment="1">
      <alignment horizontal="center" wrapText="1"/>
    </xf>
    <xf numFmtId="0" fontId="2" fillId="0" borderId="2" xfId="0" applyFont="1" applyBorder="1" applyAlignment="1">
      <alignment horizontal="center" vertical="top" wrapText="1"/>
    </xf>
    <xf numFmtId="0" fontId="3" fillId="2" borderId="2" xfId="58" applyFont="1" applyFill="1" applyBorder="1" applyAlignment="1">
      <alignment horizontal="center" vertical="center" wrapText="1"/>
    </xf>
    <xf numFmtId="0" fontId="2" fillId="0" borderId="3" xfId="0" applyNumberFormat="1" applyFont="1" applyBorder="1" applyAlignment="1">
      <alignment horizontal="center"/>
    </xf>
    <xf numFmtId="0" fontId="1" fillId="0" borderId="3" xfId="0" applyFont="1" applyBorder="1" applyAlignment="1">
      <alignment vertical="top"/>
    </xf>
    <xf numFmtId="0" fontId="1" fillId="0" borderId="3" xfId="0" applyFont="1" applyBorder="1" applyAlignment="1">
      <alignment horizontal="justify" vertical="top" wrapText="1"/>
    </xf>
    <xf numFmtId="0" fontId="2" fillId="0" borderId="3" xfId="0" applyNumberFormat="1" applyFont="1" applyBorder="1" applyAlignment="1">
      <alignment horizontal="center" vertical="top"/>
    </xf>
    <xf numFmtId="0" fontId="1" fillId="0" borderId="3" xfId="0" applyFont="1" applyBorder="1" applyAlignment="1">
      <alignment horizontal="center" vertical="top"/>
    </xf>
    <xf numFmtId="0" fontId="1" fillId="0" borderId="3" xfId="0" applyFont="1" applyBorder="1" applyAlignment="1">
      <alignment horizontal="center"/>
    </xf>
    <xf numFmtId="0" fontId="2" fillId="0" borderId="4" xfId="0" applyNumberFormat="1" applyFont="1" applyBorder="1" applyAlignment="1">
      <alignment horizontal="center"/>
    </xf>
    <xf numFmtId="0" fontId="2" fillId="0" borderId="5" xfId="0" applyFont="1" applyBorder="1" applyAlignment="1">
      <alignment horizontal="center" vertical="top"/>
    </xf>
    <xf numFmtId="0" fontId="2" fillId="0" borderId="5" xfId="0" applyFont="1" applyBorder="1" applyAlignment="1">
      <alignment horizontal="justify" vertical="top" wrapText="1"/>
    </xf>
    <xf numFmtId="0" fontId="1" fillId="0" borderId="5" xfId="0" applyFont="1" applyBorder="1" applyAlignment="1">
      <alignment horizontal="center"/>
    </xf>
    <xf numFmtId="0" fontId="2" fillId="0" borderId="6" xfId="0" applyNumberFormat="1" applyFont="1" applyBorder="1" applyAlignment="1">
      <alignment horizontal="center" vertical="top"/>
    </xf>
    <xf numFmtId="0" fontId="1" fillId="0" borderId="6" xfId="0" applyFont="1" applyBorder="1" applyAlignment="1">
      <alignment horizontal="center" vertical="top"/>
    </xf>
    <xf numFmtId="0" fontId="1" fillId="0" borderId="6" xfId="0" applyFont="1" applyBorder="1" applyAlignment="1">
      <alignment horizontal="justify" vertical="top" wrapText="1"/>
    </xf>
    <xf numFmtId="0" fontId="1" fillId="0" borderId="6" xfId="0" applyFont="1" applyBorder="1" applyAlignment="1">
      <alignment horizontal="center"/>
    </xf>
    <xf numFmtId="0" fontId="1" fillId="0" borderId="6" xfId="0" applyNumberFormat="1" applyFont="1" applyBorder="1" applyAlignment="1">
      <alignment horizontal="center" vertical="top"/>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Fill="1" applyBorder="1" applyAlignment="1">
      <alignment vertical="center"/>
    </xf>
    <xf numFmtId="0" fontId="1" fillId="0" borderId="6" xfId="52" applyFont="1" applyBorder="1" applyAlignment="1">
      <alignment horizontal="justify" vertical="top"/>
    </xf>
    <xf numFmtId="0" fontId="1" fillId="0" borderId="6" xfId="0" applyFont="1" applyFill="1" applyBorder="1" applyAlignment="1">
      <alignment horizontal="left" vertical="top" wrapText="1"/>
    </xf>
    <xf numFmtId="0" fontId="1" fillId="0" borderId="6" xfId="0" applyFont="1" applyFill="1" applyBorder="1" applyAlignment="1">
      <alignment horizontal="justify" vertical="top"/>
    </xf>
    <xf numFmtId="0" fontId="1" fillId="0" borderId="6" xfId="0" applyFont="1" applyFill="1" applyBorder="1" applyAlignment="1">
      <alignment horizontal="left" vertical="top"/>
    </xf>
    <xf numFmtId="0" fontId="1" fillId="0" borderId="6" xfId="0" applyFont="1" applyBorder="1" applyAlignment="1">
      <alignment vertical="top"/>
    </xf>
    <xf numFmtId="0" fontId="1" fillId="0" borderId="6" xfId="0" applyFont="1" applyFill="1" applyBorder="1" applyAlignment="1">
      <alignment horizontal="justify" vertical="top" wrapText="1"/>
    </xf>
    <xf numFmtId="0" fontId="3" fillId="2" borderId="7" xfId="58" applyFont="1" applyFill="1" applyBorder="1" applyAlignment="1">
      <alignment horizontal="center" vertical="center" wrapText="1"/>
    </xf>
    <xf numFmtId="0" fontId="2" fillId="0" borderId="8" xfId="0" applyFont="1" applyBorder="1" applyAlignment="1">
      <alignment horizontal="justify" vertical="top" wrapText="1"/>
    </xf>
    <xf numFmtId="0" fontId="1" fillId="0" borderId="9" xfId="0" applyFont="1" applyBorder="1" applyAlignment="1">
      <alignment horizontal="justify" vertical="top" wrapText="1"/>
    </xf>
    <xf numFmtId="0" fontId="2" fillId="0" borderId="10" xfId="0" applyFont="1" applyBorder="1" applyAlignment="1">
      <alignment horizontal="justify" vertical="top" wrapText="1"/>
    </xf>
    <xf numFmtId="2" fontId="1" fillId="0" borderId="6" xfId="0" applyNumberFormat="1" applyFont="1" applyBorder="1" applyAlignment="1">
      <alignment horizontal="center"/>
    </xf>
    <xf numFmtId="0" fontId="1" fillId="0" borderId="6" xfId="0" applyFont="1" applyBorder="1" applyAlignment="1">
      <alignment horizontal="left" vertical="top" wrapText="1"/>
    </xf>
    <xf numFmtId="0" fontId="1" fillId="0" borderId="6" xfId="60" applyFont="1" applyBorder="1" applyAlignment="1">
      <alignment horizontal="left" vertical="top" wrapText="1"/>
    </xf>
    <xf numFmtId="0" fontId="2" fillId="0" borderId="6" xfId="0" applyFont="1" applyFill="1" applyBorder="1" applyAlignment="1">
      <alignment horizontal="justify" vertical="top" wrapText="1"/>
    </xf>
    <xf numFmtId="0" fontId="1" fillId="0" borderId="6" xfId="0" applyFont="1" applyBorder="1" applyAlignment="1"/>
    <xf numFmtId="0" fontId="2" fillId="0" borderId="6" xfId="0" applyFont="1" applyBorder="1" applyAlignment="1">
      <alignment vertical="top"/>
    </xf>
    <xf numFmtId="0" fontId="2" fillId="0" borderId="6" xfId="0" applyFont="1" applyBorder="1" applyAlignment="1">
      <alignment horizontal="justify" vertical="top" wrapText="1"/>
    </xf>
    <xf numFmtId="2" fontId="1" fillId="0" borderId="6" xfId="0" applyNumberFormat="1" applyFont="1" applyBorder="1" applyAlignment="1">
      <alignment horizontal="center" vertical="top"/>
    </xf>
    <xf numFmtId="0" fontId="1" fillId="0" borderId="6" xfId="0" applyFont="1" applyBorder="1" applyAlignment="1">
      <alignment horizontal="center" vertical="top" wrapText="1"/>
    </xf>
    <xf numFmtId="0" fontId="4" fillId="3" borderId="6" xfId="57" applyFont="1" applyFill="1" applyBorder="1" applyAlignment="1">
      <alignment horizontal="left" vertical="top" wrapText="1"/>
    </xf>
    <xf numFmtId="0" fontId="2" fillId="0" borderId="6" xfId="0" applyFont="1" applyBorder="1" applyAlignment="1">
      <alignment horizontal="center" vertical="top"/>
    </xf>
    <xf numFmtId="0" fontId="2" fillId="0" borderId="6" xfId="0" applyFont="1" applyFill="1" applyBorder="1" applyAlignment="1">
      <alignment vertical="center"/>
    </xf>
    <xf numFmtId="0" fontId="1" fillId="0" borderId="6" xfId="0" applyNumberFormat="1" applyFont="1" applyBorder="1" applyAlignment="1">
      <alignment horizontal="center"/>
    </xf>
    <xf numFmtId="0" fontId="1" fillId="0" borderId="6" xfId="0" applyFont="1" applyFill="1" applyBorder="1" applyAlignment="1">
      <alignment horizontal="center" vertical="center"/>
    </xf>
    <xf numFmtId="0" fontId="2" fillId="0" borderId="6" xfId="0" applyFont="1" applyFill="1" applyBorder="1" applyAlignment="1">
      <alignment horizontal="center" vertical="top"/>
    </xf>
    <xf numFmtId="0" fontId="2" fillId="0" borderId="6" xfId="0" applyFont="1" applyFill="1" applyBorder="1" applyAlignment="1">
      <alignment horizontal="left" vertical="top" wrapText="1"/>
    </xf>
    <xf numFmtId="0" fontId="1" fillId="0" borderId="6" xfId="0" applyFont="1" applyFill="1" applyBorder="1" applyAlignment="1">
      <alignment horizontal="center"/>
    </xf>
    <xf numFmtId="0" fontId="2" fillId="0" borderId="6" xfId="0" applyNumberFormat="1" applyFont="1" applyBorder="1" applyAlignment="1">
      <alignment horizontal="center"/>
    </xf>
    <xf numFmtId="0" fontId="1" fillId="0" borderId="6" xfId="0" applyFont="1" applyFill="1" applyBorder="1" applyAlignment="1">
      <alignment horizontal="center" vertical="top"/>
    </xf>
    <xf numFmtId="0" fontId="1" fillId="0" borderId="6" xfId="0" applyFont="1" applyFill="1" applyBorder="1" applyAlignment="1">
      <alignment vertical="top"/>
    </xf>
    <xf numFmtId="0" fontId="2" fillId="0" borderId="6" xfId="0" applyFont="1" applyFill="1" applyBorder="1" applyAlignment="1">
      <alignment horizontal="center" vertical="top" wrapText="1"/>
    </xf>
    <xf numFmtId="182" fontId="1" fillId="0" borderId="6" xfId="0" applyNumberFormat="1" applyFont="1" applyBorder="1" applyAlignment="1">
      <alignment horizontal="center" vertical="top"/>
    </xf>
    <xf numFmtId="0" fontId="5" fillId="0" borderId="6" xfId="55" applyFont="1" applyBorder="1" applyAlignment="1">
      <alignment horizontal="justify" vertical="justify" wrapText="1"/>
    </xf>
    <xf numFmtId="0" fontId="6" fillId="0" borderId="6" xfId="55" applyFont="1" applyBorder="1" applyAlignment="1">
      <alignment horizontal="justify" vertical="justify" wrapText="1"/>
    </xf>
    <xf numFmtId="0" fontId="2" fillId="0" borderId="6" xfId="0" applyFont="1" applyFill="1" applyBorder="1" applyAlignment="1">
      <alignment horizontal="justify" vertical="top"/>
    </xf>
    <xf numFmtId="182" fontId="1" fillId="0" borderId="6" xfId="52" applyNumberFormat="1" applyFont="1" applyBorder="1" applyAlignment="1">
      <alignment horizontal="center" vertical="center" wrapText="1"/>
    </xf>
    <xf numFmtId="1" fontId="1" fillId="0" borderId="6" xfId="52" applyNumberFormat="1" applyFont="1" applyBorder="1" applyAlignment="1">
      <alignment horizontal="center" vertical="center" wrapText="1"/>
    </xf>
    <xf numFmtId="0" fontId="2" fillId="0" borderId="6" xfId="57" applyFont="1" applyBorder="1" applyAlignment="1">
      <alignment horizontal="center" vertical="center" wrapText="1"/>
    </xf>
    <xf numFmtId="0" fontId="1" fillId="0" borderId="6" xfId="52" applyFont="1" applyBorder="1" applyAlignment="1">
      <alignment horizontal="center" vertical="center" wrapText="1"/>
    </xf>
    <xf numFmtId="0" fontId="1" fillId="0" borderId="6" xfId="57" applyFont="1" applyBorder="1" applyAlignment="1">
      <alignment horizontal="center" vertical="center" wrapText="1"/>
    </xf>
    <xf numFmtId="0" fontId="2" fillId="0" borderId="11" xfId="0" applyNumberFormat="1" applyFont="1" applyBorder="1" applyAlignment="1">
      <alignment horizontal="center" vertical="top"/>
    </xf>
    <xf numFmtId="0" fontId="1" fillId="0" borderId="11" xfId="0" applyFont="1" applyBorder="1" applyAlignment="1">
      <alignment horizontal="center" vertical="top"/>
    </xf>
    <xf numFmtId="0" fontId="1" fillId="0" borderId="11" xfId="0" applyFont="1" applyFill="1" applyBorder="1" applyAlignment="1">
      <alignment horizontal="justify" vertical="top" wrapText="1"/>
    </xf>
    <xf numFmtId="0" fontId="2" fillId="0" borderId="1" xfId="0" applyNumberFormat="1" applyFont="1" applyBorder="1" applyAlignment="1">
      <alignment horizontal="center" vertical="top"/>
    </xf>
    <xf numFmtId="0" fontId="1" fillId="0" borderId="2" xfId="0" applyFont="1" applyBorder="1" applyAlignment="1">
      <alignment horizontal="center" vertical="top"/>
    </xf>
    <xf numFmtId="0" fontId="2" fillId="0" borderId="2" xfId="0" applyFont="1" applyFill="1" applyBorder="1" applyAlignment="1">
      <alignment horizontal="justify" vertical="top" wrapText="1"/>
    </xf>
    <xf numFmtId="0" fontId="2" fillId="0" borderId="0" xfId="0" applyNumberFormat="1" applyFont="1" applyBorder="1" applyAlignment="1">
      <alignment horizontal="center" vertical="top"/>
    </xf>
    <xf numFmtId="0" fontId="1" fillId="0" borderId="0" xfId="0" applyFont="1" applyBorder="1" applyAlignment="1">
      <alignment horizontal="center" vertical="top"/>
    </xf>
    <xf numFmtId="0" fontId="1" fillId="0" borderId="0" xfId="0" applyFont="1" applyFill="1" applyBorder="1" applyAlignment="1">
      <alignment horizontal="justify" vertical="top" wrapText="1"/>
    </xf>
    <xf numFmtId="0" fontId="2" fillId="0" borderId="0" xfId="0" applyNumberFormat="1" applyFont="1" applyFill="1" applyAlignment="1">
      <alignment horizontal="center"/>
    </xf>
    <xf numFmtId="0" fontId="1" fillId="0" borderId="0" xfId="0" applyFont="1" applyFill="1" applyAlignment="1">
      <alignment vertical="top"/>
    </xf>
    <xf numFmtId="1" fontId="1" fillId="0" borderId="6" xfId="0" applyNumberFormat="1" applyFont="1" applyFill="1" applyBorder="1" applyAlignment="1">
      <alignment horizontal="justify" vertical="top" wrapText="1"/>
    </xf>
    <xf numFmtId="183" fontId="1" fillId="0" borderId="6" xfId="51" applyNumberFormat="1" applyFont="1" applyFill="1" applyBorder="1" applyAlignment="1" applyProtection="1">
      <alignment horizontal="center" vertical="center" wrapText="1"/>
    </xf>
    <xf numFmtId="183" fontId="1" fillId="0" borderId="6" xfId="1" applyNumberFormat="1" applyFont="1" applyFill="1" applyBorder="1" applyAlignment="1" applyProtection="1">
      <alignment horizontal="center" vertical="center" wrapText="1"/>
    </xf>
    <xf numFmtId="1" fontId="2" fillId="0" borderId="12" xfId="0" applyNumberFormat="1" applyFont="1" applyFill="1" applyBorder="1" applyAlignment="1">
      <alignment horizontal="justify" vertical="top" wrapText="1"/>
    </xf>
    <xf numFmtId="1" fontId="1" fillId="0" borderId="0" xfId="0" applyNumberFormat="1" applyFont="1" applyAlignment="1"/>
    <xf numFmtId="0" fontId="1" fillId="0" borderId="0" xfId="0" applyFont="1" applyFill="1" applyAlignment="1">
      <alignment horizontal="justify" vertical="top" wrapText="1"/>
    </xf>
    <xf numFmtId="0" fontId="7" fillId="0" borderId="0" xfId="0"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0" fillId="0" borderId="15"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8" fillId="0" borderId="17" xfId="0" applyFont="1" applyFill="1" applyBorder="1" applyAlignment="1">
      <alignment horizontal="center" vertical="top" wrapText="1"/>
    </xf>
    <xf numFmtId="0" fontId="8" fillId="0" borderId="18" xfId="0" applyNumberFormat="1" applyFont="1" applyBorder="1" applyAlignment="1">
      <alignment horizontal="center" vertical="top"/>
    </xf>
    <xf numFmtId="2" fontId="8" fillId="0" borderId="18" xfId="0" applyNumberFormat="1" applyFont="1" applyFill="1" applyBorder="1" applyAlignment="1">
      <alignment horizontal="center" vertical="top"/>
    </xf>
    <xf numFmtId="0" fontId="11" fillId="0" borderId="18" xfId="0" applyFont="1" applyFill="1" applyBorder="1" applyAlignment="1">
      <alignment horizontal="left" vertical="top" wrapText="1"/>
    </xf>
    <xf numFmtId="0" fontId="8" fillId="0" borderId="18" xfId="0" applyFont="1" applyFill="1" applyBorder="1" applyAlignment="1">
      <alignment horizontal="left" vertical="top"/>
    </xf>
    <xf numFmtId="0" fontId="11" fillId="0" borderId="18" xfId="0" applyFont="1" applyFill="1" applyBorder="1" applyAlignment="1">
      <alignment horizontal="center" vertical="top" wrapText="1"/>
    </xf>
    <xf numFmtId="0" fontId="10" fillId="0" borderId="18" xfId="0" applyFont="1" applyBorder="1" applyAlignment="1">
      <alignment horizontal="center" vertical="center" wrapText="1"/>
    </xf>
    <xf numFmtId="0" fontId="8" fillId="0" borderId="18" xfId="0" applyFont="1" applyFill="1" applyBorder="1" applyAlignment="1">
      <alignment horizontal="center" vertical="center"/>
    </xf>
    <xf numFmtId="176" fontId="8" fillId="0" borderId="18" xfId="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17" xfId="0" applyFont="1" applyFill="1" applyBorder="1" applyAlignment="1">
      <alignment horizontal="center" vertical="center" wrapText="1"/>
    </xf>
    <xf numFmtId="176" fontId="8" fillId="0" borderId="17" xfId="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top" wrapText="1"/>
    </xf>
    <xf numFmtId="0" fontId="8" fillId="0" borderId="6" xfId="0" applyFont="1" applyFill="1" applyBorder="1" applyAlignment="1">
      <alignment horizontal="center" vertical="center" wrapText="1"/>
    </xf>
    <xf numFmtId="176" fontId="8" fillId="0" borderId="6" xfId="1" applyFont="1" applyFill="1" applyBorder="1" applyAlignment="1">
      <alignment horizontal="center" vertical="center" wrapText="1"/>
    </xf>
    <xf numFmtId="180" fontId="8" fillId="0" borderId="6" xfId="0" applyNumberFormat="1" applyFont="1" applyFill="1" applyBorder="1" applyAlignment="1">
      <alignment horizontal="center" vertical="center" wrapText="1"/>
    </xf>
    <xf numFmtId="0" fontId="8" fillId="0" borderId="6" xfId="0" applyNumberFormat="1" applyFont="1" applyBorder="1" applyAlignment="1">
      <alignment horizontal="center" vertical="top"/>
    </xf>
    <xf numFmtId="0" fontId="8" fillId="0" borderId="6" xfId="0" applyFont="1" applyFill="1" applyBorder="1" applyAlignment="1">
      <alignment horizontal="center" vertical="top"/>
    </xf>
    <xf numFmtId="0" fontId="8" fillId="0" borderId="6" xfId="0" applyFont="1" applyFill="1" applyBorder="1" applyAlignment="1">
      <alignment horizontal="center"/>
    </xf>
    <xf numFmtId="0" fontId="8" fillId="0" borderId="6" xfId="0" applyFont="1" applyFill="1" applyBorder="1" applyAlignment="1">
      <alignment horizontal="center" vertical="center"/>
    </xf>
    <xf numFmtId="0" fontId="8" fillId="0" borderId="6" xfId="0" applyNumberFormat="1" applyFont="1" applyBorder="1" applyAlignment="1">
      <alignment vertical="top"/>
    </xf>
    <xf numFmtId="0" fontId="8" fillId="0" borderId="11" xfId="0" applyFont="1" applyFill="1" applyBorder="1" applyAlignment="1">
      <alignment horizontal="center" vertical="top" wrapText="1"/>
    </xf>
    <xf numFmtId="176" fontId="8" fillId="0" borderId="11" xfId="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8" fillId="0" borderId="3" xfId="0" applyNumberFormat="1" applyFont="1" applyBorder="1" applyAlignment="1">
      <alignment vertical="top"/>
    </xf>
    <xf numFmtId="0" fontId="8" fillId="0" borderId="3" xfId="0" applyNumberFormat="1" applyFont="1" applyBorder="1" applyAlignment="1">
      <alignment horizontal="center" vertical="center"/>
    </xf>
    <xf numFmtId="1" fontId="8" fillId="0" borderId="2"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1" fontId="8" fillId="0" borderId="17"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0" fontId="10" fillId="0" borderId="6" xfId="57" applyFont="1" applyBorder="1" applyAlignment="1">
      <alignment horizontal="center" vertical="center" wrapText="1"/>
    </xf>
    <xf numFmtId="0" fontId="8" fillId="0" borderId="6" xfId="57" applyFont="1" applyBorder="1" applyAlignment="1">
      <alignment horizontal="center" vertical="center"/>
    </xf>
    <xf numFmtId="183" fontId="8" fillId="0" borderId="6" xfId="51" applyNumberFormat="1" applyFont="1" applyFill="1" applyBorder="1" applyAlignment="1" applyProtection="1">
      <alignment horizontal="center" vertical="center" wrapText="1"/>
    </xf>
    <xf numFmtId="0" fontId="8" fillId="0" borderId="6" xfId="57" applyFont="1" applyBorder="1" applyAlignment="1">
      <alignment horizontal="left" vertical="center" wrapText="1"/>
    </xf>
    <xf numFmtId="182" fontId="8" fillId="0" borderId="6" xfId="0" applyNumberFormat="1" applyFont="1" applyBorder="1" applyAlignment="1">
      <alignment horizontal="left" vertical="top"/>
    </xf>
    <xf numFmtId="0" fontId="10" fillId="0" borderId="6" xfId="0" applyFont="1" applyFill="1" applyBorder="1" applyAlignment="1">
      <alignment horizontal="left" vertical="top"/>
    </xf>
    <xf numFmtId="0" fontId="8" fillId="0" borderId="6" xfId="0" applyFont="1" applyFill="1" applyBorder="1" applyAlignment="1">
      <alignment horizontal="left" vertical="top"/>
    </xf>
    <xf numFmtId="0" fontId="10" fillId="0" borderId="6" xfId="0" applyFont="1" applyFill="1" applyBorder="1" applyAlignment="1">
      <alignment horizontal="center" vertical="top"/>
    </xf>
    <xf numFmtId="0" fontId="7" fillId="0" borderId="6" xfId="0" applyFont="1" applyFill="1" applyBorder="1" applyAlignment="1">
      <alignment horizontal="center" vertical="top" wrapText="1"/>
    </xf>
    <xf numFmtId="0" fontId="7" fillId="0" borderId="6" xfId="0" applyFont="1" applyFill="1" applyBorder="1">
      <alignment vertical="top" wrapText="1"/>
    </xf>
    <xf numFmtId="0" fontId="12" fillId="0" borderId="6" xfId="0" applyFont="1" applyFill="1" applyBorder="1" applyAlignment="1">
      <alignment horizontal="center" vertical="top" wrapText="1"/>
    </xf>
    <xf numFmtId="0" fontId="7" fillId="0" borderId="6" xfId="0" applyFont="1" applyFill="1" applyBorder="1" applyAlignment="1">
      <alignment horizontal="center" vertical="top"/>
    </xf>
    <xf numFmtId="0" fontId="12" fillId="0" borderId="6" xfId="0" applyNumberFormat="1" applyFont="1" applyFill="1" applyBorder="1" applyAlignment="1">
      <alignment horizontal="center" vertical="top" wrapText="1"/>
    </xf>
    <xf numFmtId="1" fontId="10" fillId="0" borderId="6"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0" fontId="8" fillId="0" borderId="6" xfId="0" applyFont="1" applyFill="1" applyBorder="1" applyAlignment="1">
      <alignment horizontal="left" vertical="center"/>
    </xf>
    <xf numFmtId="0" fontId="10" fillId="0" borderId="6" xfId="0" applyFont="1" applyFill="1" applyBorder="1" applyAlignment="1">
      <alignment horizontal="center" vertical="center" wrapText="1"/>
    </xf>
    <xf numFmtId="0" fontId="10" fillId="0" borderId="6" xfId="0" applyNumberFormat="1" applyFont="1" applyBorder="1" applyAlignment="1">
      <alignment horizontal="left" vertical="top"/>
    </xf>
    <xf numFmtId="0" fontId="8" fillId="0" borderId="14" xfId="0" applyNumberFormat="1" applyFont="1" applyFill="1" applyBorder="1" applyAlignment="1">
      <alignment horizontal="center" vertical="center" wrapText="1"/>
    </xf>
    <xf numFmtId="0" fontId="8" fillId="0" borderId="19"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 fontId="10" fillId="0" borderId="16" xfId="52" applyNumberFormat="1" applyFont="1" applyBorder="1" applyAlignment="1">
      <alignment horizontal="center" vertical="center"/>
    </xf>
    <xf numFmtId="1" fontId="10" fillId="0" borderId="20" xfId="52" applyNumberFormat="1" applyFont="1" applyBorder="1" applyAlignment="1">
      <alignment horizontal="center" vertical="center"/>
    </xf>
    <xf numFmtId="0" fontId="10" fillId="0" borderId="2" xfId="57" applyFont="1" applyBorder="1" applyAlignment="1">
      <alignment horizontal="center" vertical="center" wrapText="1"/>
    </xf>
    <xf numFmtId="0" fontId="10" fillId="0" borderId="12" xfId="57" applyFont="1" applyBorder="1" applyAlignment="1">
      <alignment horizontal="center" vertical="center" wrapText="1"/>
    </xf>
    <xf numFmtId="0" fontId="10" fillId="0" borderId="17" xfId="57" applyFont="1" applyBorder="1" applyAlignment="1">
      <alignment horizontal="center" vertical="center" wrapText="1"/>
    </xf>
    <xf numFmtId="0" fontId="8" fillId="0" borderId="3" xfId="57" applyFont="1" applyBorder="1" applyAlignment="1">
      <alignment horizontal="center" vertical="center" wrapText="1"/>
    </xf>
    <xf numFmtId="180" fontId="8" fillId="0" borderId="17" xfId="57" applyNumberFormat="1" applyFont="1" applyBorder="1" applyAlignment="1">
      <alignment horizontal="center" vertical="center" wrapText="1"/>
    </xf>
    <xf numFmtId="0" fontId="10" fillId="0" borderId="18" xfId="57" applyFont="1" applyBorder="1" applyAlignment="1">
      <alignment horizontal="center" vertical="center" wrapText="1"/>
    </xf>
    <xf numFmtId="0" fontId="8" fillId="3" borderId="17" xfId="57" applyFont="1" applyFill="1" applyBorder="1" applyAlignment="1">
      <alignment horizontal="center" vertical="center" wrapText="1"/>
    </xf>
    <xf numFmtId="0" fontId="8" fillId="3" borderId="6" xfId="57" applyFont="1" applyFill="1" applyBorder="1" applyAlignment="1">
      <alignment horizontal="center" vertical="center" wrapText="1"/>
    </xf>
    <xf numFmtId="0" fontId="8" fillId="0" borderId="6" xfId="57" applyFont="1" applyBorder="1" applyAlignment="1">
      <alignment horizontal="center" vertical="center" wrapText="1"/>
    </xf>
    <xf numFmtId="0" fontId="8" fillId="3" borderId="11" xfId="57" applyFont="1" applyFill="1" applyBorder="1" applyAlignment="1">
      <alignment horizontal="center" vertical="center" wrapText="1"/>
    </xf>
    <xf numFmtId="180" fontId="8" fillId="0" borderId="3" xfId="57" applyNumberFormat="1" applyFont="1" applyBorder="1" applyAlignment="1">
      <alignment horizontal="center" vertical="center" wrapText="1"/>
    </xf>
    <xf numFmtId="0" fontId="10" fillId="3" borderId="3" xfId="57" applyFont="1" applyFill="1" applyBorder="1" applyAlignment="1">
      <alignment horizontal="center" vertical="center" wrapText="1"/>
    </xf>
    <xf numFmtId="0" fontId="10" fillId="0" borderId="3" xfId="57" applyFont="1" applyBorder="1" applyAlignment="1">
      <alignment horizontal="center" vertical="center" wrapText="1"/>
    </xf>
    <xf numFmtId="0" fontId="8" fillId="3" borderId="2" xfId="0" applyNumberFormat="1"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8" fillId="3" borderId="17" xfId="0" applyNumberFormat="1" applyFont="1" applyFill="1" applyBorder="1" applyAlignment="1">
      <alignment horizontal="center" vertical="center" wrapText="1"/>
    </xf>
    <xf numFmtId="183" fontId="8" fillId="3" borderId="6" xfId="51" applyNumberFormat="1" applyFont="1" applyFill="1" applyBorder="1" applyAlignment="1" applyProtection="1">
      <alignment horizontal="center" vertical="center" wrapText="1"/>
    </xf>
    <xf numFmtId="0" fontId="8" fillId="3" borderId="6" xfId="0" applyNumberFormat="1" applyFont="1" applyFill="1" applyBorder="1" applyAlignment="1">
      <alignment horizontal="center" vertical="center" wrapText="1"/>
    </xf>
    <xf numFmtId="0" fontId="8" fillId="0" borderId="6" xfId="52" applyFont="1" applyBorder="1" applyAlignment="1">
      <alignment vertical="center" wrapText="1"/>
    </xf>
    <xf numFmtId="0" fontId="8" fillId="0" borderId="6" xfId="52" applyFont="1" applyBorder="1" applyAlignment="1">
      <alignment horizontal="center" vertical="center" wrapText="1"/>
    </xf>
    <xf numFmtId="183" fontId="7" fillId="3" borderId="6" xfId="51" applyNumberFormat="1" applyFont="1" applyFill="1" applyBorder="1" applyAlignment="1" applyProtection="1">
      <alignment horizontal="center" vertical="top" wrapText="1"/>
    </xf>
    <xf numFmtId="0" fontId="7" fillId="0" borderId="6" xfId="52" applyFont="1" applyBorder="1" applyAlignment="1">
      <alignment vertical="top" wrapText="1"/>
    </xf>
    <xf numFmtId="0" fontId="7" fillId="0" borderId="0" xfId="0" applyNumberFormat="1" applyFont="1" applyFill="1" applyBorder="1" applyAlignment="1">
      <alignment horizontal="center" vertical="center" wrapText="1"/>
    </xf>
    <xf numFmtId="0" fontId="10" fillId="3" borderId="6" xfId="57"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2" fontId="8" fillId="0" borderId="1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2" fontId="8" fillId="0" borderId="17" xfId="0" applyNumberFormat="1" applyFont="1" applyFill="1" applyBorder="1" applyAlignment="1">
      <alignment horizontal="center" vertical="center" wrapText="1"/>
    </xf>
    <xf numFmtId="0" fontId="10" fillId="0" borderId="6" xfId="52" applyFont="1" applyBorder="1" applyAlignment="1">
      <alignment horizontal="center" vertical="center" wrapText="1"/>
    </xf>
    <xf numFmtId="184" fontId="8" fillId="0" borderId="6" xfId="0" applyNumberFormat="1" applyFont="1" applyFill="1" applyBorder="1" applyAlignment="1">
      <alignment horizontal="center" vertical="center" wrapText="1"/>
    </xf>
    <xf numFmtId="182" fontId="8" fillId="0" borderId="6" xfId="0" applyNumberFormat="1" applyFont="1" applyBorder="1" applyAlignment="1">
      <alignment horizontal="center" vertical="top"/>
    </xf>
    <xf numFmtId="0" fontId="8" fillId="0" borderId="6" xfId="0" applyFont="1" applyFill="1" applyBorder="1" applyAlignment="1">
      <alignment vertical="center"/>
    </xf>
    <xf numFmtId="0" fontId="10" fillId="0" borderId="6" xfId="0" applyNumberFormat="1" applyFont="1" applyBorder="1" applyAlignment="1">
      <alignment horizontal="center" vertical="top"/>
    </xf>
    <xf numFmtId="0" fontId="8" fillId="0" borderId="6" xfId="0" applyFont="1" applyFill="1" applyBorder="1" applyAlignment="1">
      <alignment horizontal="left" vertical="top" wrapText="1"/>
    </xf>
    <xf numFmtId="1" fontId="10" fillId="0" borderId="2" xfId="0" applyNumberFormat="1" applyFont="1" applyFill="1" applyBorder="1" applyAlignment="1">
      <alignment horizontal="center" vertical="center" wrapText="1"/>
    </xf>
    <xf numFmtId="0" fontId="7" fillId="0" borderId="6" xfId="0" applyNumberFormat="1" applyFont="1" applyBorder="1" applyAlignment="1">
      <alignment horizontal="center" vertical="top"/>
    </xf>
    <xf numFmtId="0" fontId="7" fillId="0" borderId="6" xfId="0" applyFont="1" applyFill="1" applyBorder="1" applyAlignment="1">
      <alignment horizontal="center" vertical="center" wrapText="1"/>
    </xf>
    <xf numFmtId="0" fontId="7" fillId="0" borderId="6" xfId="0" applyFont="1" applyFill="1" applyBorder="1" applyAlignment="1">
      <alignment horizontal="center"/>
    </xf>
    <xf numFmtId="0" fontId="7" fillId="0" borderId="6" xfId="0" applyNumberFormat="1" applyFont="1" applyFill="1" applyBorder="1" applyAlignment="1">
      <alignment horizontal="center" vertical="center" wrapText="1"/>
    </xf>
    <xf numFmtId="0" fontId="8" fillId="3" borderId="11" xfId="0" applyNumberFormat="1" applyFont="1" applyFill="1" applyBorder="1" applyAlignment="1">
      <alignment horizontal="center" vertical="center" wrapText="1"/>
    </xf>
    <xf numFmtId="180" fontId="8" fillId="0" borderId="11" xfId="0" applyNumberFormat="1" applyFont="1" applyFill="1" applyBorder="1" applyAlignment="1">
      <alignment horizontal="center" vertical="center" wrapText="1"/>
    </xf>
    <xf numFmtId="180" fontId="8" fillId="0" borderId="12" xfId="0" applyNumberFormat="1" applyFont="1" applyFill="1" applyBorder="1" applyAlignment="1">
      <alignment horizontal="center" vertical="center" wrapText="1"/>
    </xf>
    <xf numFmtId="180" fontId="8" fillId="0" borderId="17" xfId="0" applyNumberFormat="1" applyFont="1" applyFill="1" applyBorder="1" applyAlignment="1">
      <alignment horizontal="center" vertical="center" wrapText="1"/>
    </xf>
    <xf numFmtId="183" fontId="8" fillId="3" borderId="17" xfId="49" applyNumberFormat="1" applyFont="1" applyFill="1" applyBorder="1" applyAlignment="1" applyProtection="1">
      <alignment horizontal="center" vertical="center" wrapText="1"/>
    </xf>
    <xf numFmtId="183" fontId="8" fillId="3" borderId="6" xfId="49" applyNumberFormat="1" applyFont="1" applyFill="1" applyBorder="1" applyAlignment="1" applyProtection="1">
      <alignment horizontal="center" vertical="center" wrapText="1"/>
    </xf>
    <xf numFmtId="180" fontId="10" fillId="0" borderId="12" xfId="0" applyNumberFormat="1" applyFont="1" applyFill="1" applyBorder="1" applyAlignment="1">
      <alignment horizontal="center" vertical="center" wrapText="1"/>
    </xf>
    <xf numFmtId="0" fontId="7" fillId="0" borderId="6" xfId="57" applyFont="1" applyBorder="1" applyAlignment="1">
      <alignment horizontal="center" vertical="center" wrapText="1"/>
    </xf>
    <xf numFmtId="180" fontId="7" fillId="0" borderId="6" xfId="0" applyNumberFormat="1" applyFont="1" applyFill="1" applyBorder="1" applyAlignment="1">
      <alignment horizontal="center" vertical="center" wrapText="1"/>
    </xf>
    <xf numFmtId="182" fontId="8" fillId="0" borderId="6" xfId="0" applyNumberFormat="1" applyFont="1" applyFill="1" applyBorder="1" applyAlignment="1">
      <alignment horizontal="center" vertical="center" wrapText="1"/>
    </xf>
    <xf numFmtId="0" fontId="8" fillId="0" borderId="0" xfId="52" applyFont="1" applyAlignment="1">
      <alignment horizontal="center" vertical="center" wrapText="1"/>
    </xf>
    <xf numFmtId="1" fontId="10" fillId="0" borderId="1" xfId="0" applyNumberFormat="1" applyFont="1" applyFill="1" applyBorder="1" applyAlignment="1">
      <alignment horizontal="center" vertical="center" wrapText="1"/>
    </xf>
    <xf numFmtId="2" fontId="10" fillId="0" borderId="2"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184" fontId="8" fillId="0" borderId="0" xfId="0" applyNumberFormat="1" applyFont="1" applyFill="1" applyBorder="1" applyAlignment="1">
      <alignment horizontal="center" vertical="center" wrapText="1"/>
    </xf>
    <xf numFmtId="2" fontId="10" fillId="0" borderId="12" xfId="0" applyNumberFormat="1" applyFont="1" applyFill="1" applyBorder="1" applyAlignment="1">
      <alignment wrapText="1"/>
    </xf>
    <xf numFmtId="180" fontId="8" fillId="0" borderId="0"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0" fontId="13" fillId="0" borderId="6" xfId="52" applyFont="1" applyBorder="1" applyAlignment="1">
      <alignment horizontal="center" vertical="center" wrapText="1"/>
    </xf>
    <xf numFmtId="0" fontId="10" fillId="0" borderId="6" xfId="52" applyFont="1" applyBorder="1" applyAlignment="1">
      <alignment horizontal="left" vertical="center" wrapText="1"/>
    </xf>
    <xf numFmtId="183" fontId="13" fillId="0" borderId="6" xfId="51" applyNumberFormat="1" applyFont="1" applyFill="1" applyBorder="1" applyAlignment="1" applyProtection="1">
      <alignment horizontal="center" vertical="center" wrapText="1"/>
    </xf>
    <xf numFmtId="0" fontId="14" fillId="0" borderId="18" xfId="0" applyFont="1" applyBorder="1">
      <alignment vertical="top" wrapText="1"/>
    </xf>
    <xf numFmtId="0" fontId="10" fillId="0" borderId="6" xfId="53" applyFont="1" applyBorder="1" applyAlignment="1">
      <alignment horizontal="center" vertical="center" wrapText="1"/>
    </xf>
    <xf numFmtId="0" fontId="8" fillId="0" borderId="6" xfId="59" applyFont="1" applyBorder="1" applyAlignment="1">
      <alignment horizontal="center" vertical="center" wrapText="1"/>
    </xf>
    <xf numFmtId="0" fontId="8" fillId="0" borderId="6" xfId="55" applyFont="1" applyBorder="1" applyAlignment="1">
      <alignment horizontal="center" vertical="center" wrapText="1"/>
    </xf>
    <xf numFmtId="183" fontId="13" fillId="3" borderId="6" xfId="51" applyNumberFormat="1" applyFont="1" applyFill="1" applyBorder="1" applyAlignment="1" applyProtection="1">
      <alignment horizontal="center" vertical="center" wrapText="1"/>
    </xf>
    <xf numFmtId="0" fontId="8" fillId="0" borderId="2" xfId="0" applyNumberFormat="1" applyFont="1" applyFill="1" applyBorder="1" applyAlignment="1">
      <alignment horizontal="center" vertical="center" wrapText="1"/>
    </xf>
    <xf numFmtId="183" fontId="8" fillId="0" borderId="17" xfId="49" applyNumberFormat="1" applyFont="1" applyFill="1" applyBorder="1" applyAlignment="1" applyProtection="1">
      <alignment horizontal="center" vertical="center" wrapText="1"/>
    </xf>
    <xf numFmtId="183" fontId="8" fillId="0" borderId="6" xfId="49" applyNumberFormat="1" applyFont="1" applyFill="1" applyBorder="1" applyAlignment="1" applyProtection="1">
      <alignment horizontal="center" vertical="center" wrapText="1"/>
    </xf>
    <xf numFmtId="0" fontId="8" fillId="0" borderId="6" xfId="53" applyFont="1" applyBorder="1" applyAlignment="1">
      <alignment horizontal="center" vertical="center" wrapText="1"/>
    </xf>
    <xf numFmtId="1" fontId="8" fillId="0" borderId="6" xfId="52" applyNumberFormat="1" applyFont="1" applyBorder="1" applyAlignment="1">
      <alignment horizontal="center" vertical="center" wrapText="1"/>
    </xf>
    <xf numFmtId="0" fontId="15" fillId="0" borderId="6" xfId="57" applyFont="1" applyBorder="1" applyAlignment="1">
      <alignment horizontal="center" vertical="center" wrapText="1"/>
    </xf>
    <xf numFmtId="0" fontId="15" fillId="0" borderId="6" xfId="57" applyFont="1" applyBorder="1" applyAlignment="1">
      <alignment vertical="center" wrapText="1"/>
    </xf>
    <xf numFmtId="0" fontId="16" fillId="0" borderId="6" xfId="52" applyFont="1" applyBorder="1" applyAlignment="1">
      <alignment horizontal="justify" vertical="center" wrapText="1"/>
    </xf>
    <xf numFmtId="0" fontId="15" fillId="0" borderId="6" xfId="52" applyFont="1" applyBorder="1" applyAlignment="1">
      <alignment horizontal="center" vertical="center" wrapText="1"/>
    </xf>
    <xf numFmtId="1" fontId="15" fillId="0" borderId="6" xfId="52" applyNumberFormat="1" applyFont="1" applyBorder="1" applyAlignment="1">
      <alignment horizontal="center" vertical="center" wrapText="1"/>
    </xf>
    <xf numFmtId="0" fontId="15" fillId="0" borderId="6" xfId="57" applyFont="1" applyBorder="1" applyAlignment="1">
      <alignment horizontal="left" vertical="center" wrapText="1"/>
    </xf>
    <xf numFmtId="0" fontId="8" fillId="0" borderId="6" xfId="54" applyFont="1" applyBorder="1" applyAlignment="1">
      <alignment horizontal="center" vertical="center" wrapText="1"/>
    </xf>
    <xf numFmtId="0" fontId="7" fillId="0" borderId="6" xfId="53" applyFont="1" applyBorder="1" applyAlignment="1">
      <alignment horizontal="center" vertical="center" wrapText="1"/>
    </xf>
    <xf numFmtId="0" fontId="17" fillId="0" borderId="6" xfId="56" applyFont="1" applyBorder="1" applyAlignment="1">
      <alignment horizontal="center" vertical="center" wrapText="1"/>
    </xf>
    <xf numFmtId="0" fontId="16" fillId="0" borderId="6" xfId="55" applyFont="1" applyBorder="1" applyAlignment="1">
      <alignment horizontal="justify" vertical="center" wrapText="1"/>
    </xf>
    <xf numFmtId="0" fontId="15" fillId="0" borderId="6" xfId="55" applyFont="1" applyBorder="1" applyAlignment="1">
      <alignment horizontal="justify" vertical="center" wrapText="1"/>
    </xf>
    <xf numFmtId="0" fontId="16" fillId="0" borderId="6" xfId="52" applyFont="1" applyBorder="1" applyAlignment="1">
      <alignment horizontal="center" vertical="center" wrapText="1"/>
    </xf>
    <xf numFmtId="0" fontId="15" fillId="0" borderId="6" xfId="57" applyFont="1" applyBorder="1" applyAlignment="1">
      <alignment horizontal="center" vertical="top" wrapText="1"/>
    </xf>
    <xf numFmtId="0" fontId="15" fillId="0" borderId="6" xfId="55" applyFont="1" applyBorder="1" applyAlignment="1">
      <alignment horizontal="center" vertical="center" wrapText="1"/>
    </xf>
    <xf numFmtId="0" fontId="15" fillId="0" borderId="6" xfId="52" applyFont="1" applyBorder="1" applyAlignment="1">
      <alignment vertical="center" wrapText="1"/>
    </xf>
    <xf numFmtId="183" fontId="13" fillId="0" borderId="6" xfId="51" applyNumberFormat="1" applyFont="1" applyFill="1" applyBorder="1" applyAlignment="1" applyProtection="1">
      <alignment horizontal="right" vertical="center" wrapText="1"/>
    </xf>
    <xf numFmtId="183" fontId="8" fillId="0" borderId="6" xfId="51" applyNumberFormat="1" applyFont="1" applyFill="1" applyBorder="1" applyAlignment="1" applyProtection="1">
      <alignment horizontal="center" vertical="center"/>
    </xf>
    <xf numFmtId="183" fontId="15" fillId="0" borderId="6" xfId="51" applyNumberFormat="1" applyFont="1" applyFill="1" applyBorder="1" applyAlignment="1" applyProtection="1">
      <alignment horizontal="center" vertical="center" wrapText="1"/>
    </xf>
    <xf numFmtId="0" fontId="10" fillId="0" borderId="6" xfId="55" applyFont="1" applyBorder="1" applyAlignment="1">
      <alignment horizontal="center" vertical="center" wrapText="1"/>
    </xf>
    <xf numFmtId="0" fontId="10" fillId="0" borderId="6" xfId="54" applyFont="1" applyBorder="1" applyAlignment="1">
      <alignment horizontal="center" vertical="center" wrapText="1"/>
    </xf>
    <xf numFmtId="1" fontId="8" fillId="0" borderId="11" xfId="52" applyNumberFormat="1" applyFont="1" applyBorder="1" applyAlignment="1">
      <alignment horizontal="center" vertical="center" wrapText="1"/>
    </xf>
    <xf numFmtId="0" fontId="8" fillId="0" borderId="11" xfId="52" applyFont="1" applyBorder="1" applyAlignment="1">
      <alignment horizontal="center" vertical="center" wrapText="1"/>
    </xf>
    <xf numFmtId="1" fontId="15" fillId="0" borderId="6" xfId="52" applyNumberFormat="1" applyFont="1" applyBorder="1" applyAlignment="1">
      <alignment horizontal="center" vertical="center"/>
    </xf>
    <xf numFmtId="0" fontId="16" fillId="0" borderId="6" xfId="57" applyFont="1" applyBorder="1" applyAlignment="1">
      <alignment horizontal="left" vertical="center" wrapText="1"/>
    </xf>
    <xf numFmtId="176" fontId="10" fillId="0" borderId="12" xfId="1" applyFont="1" applyFill="1" applyBorder="1" applyAlignment="1">
      <alignment wrapText="1"/>
    </xf>
    <xf numFmtId="0" fontId="18" fillId="0" borderId="0" xfId="52" applyFont="1" applyAlignment="1">
      <alignment horizontal="center" vertical="center" wrapText="1"/>
    </xf>
    <xf numFmtId="0" fontId="19" fillId="0" borderId="0" xfId="52" applyFont="1" applyAlignment="1">
      <alignment horizontal="center" vertical="center" wrapText="1"/>
    </xf>
    <xf numFmtId="0" fontId="13" fillId="0" borderId="0" xfId="52" applyFont="1" applyAlignment="1">
      <alignment horizontal="center" vertical="center" wrapText="1"/>
    </xf>
    <xf numFmtId="0" fontId="13" fillId="0" borderId="0" xfId="52" applyFont="1" applyAlignment="1">
      <alignment horizontal="left" vertical="center" wrapText="1"/>
    </xf>
    <xf numFmtId="185" fontId="13" fillId="0" borderId="0" xfId="1" applyNumberFormat="1" applyFont="1" applyFill="1" applyAlignment="1">
      <alignment horizontal="center" vertical="center" wrapText="1"/>
    </xf>
    <xf numFmtId="0" fontId="13" fillId="0" borderId="6" xfId="57" applyFont="1" applyBorder="1" applyAlignment="1">
      <alignment horizontal="center" vertical="center" wrapText="1"/>
    </xf>
    <xf numFmtId="0" fontId="18" fillId="0" borderId="6" xfId="57" applyFont="1" applyBorder="1" applyAlignment="1">
      <alignment horizontal="left" vertical="center" wrapText="1"/>
    </xf>
    <xf numFmtId="0" fontId="13" fillId="0" borderId="6" xfId="52" applyFont="1" applyBorder="1" applyAlignment="1">
      <alignment horizontal="left" vertical="center" wrapText="1"/>
    </xf>
    <xf numFmtId="182" fontId="18" fillId="0" borderId="6" xfId="52" applyNumberFormat="1" applyFont="1" applyBorder="1" applyAlignment="1">
      <alignment horizontal="center" vertical="center" wrapText="1"/>
    </xf>
    <xf numFmtId="0" fontId="18" fillId="0" borderId="6" xfId="57" applyFont="1" applyBorder="1" applyAlignment="1">
      <alignment horizontal="center" vertical="center" wrapText="1"/>
    </xf>
    <xf numFmtId="0" fontId="18" fillId="0" borderId="6" xfId="52" applyFont="1" applyBorder="1" applyAlignment="1">
      <alignment horizontal="left" vertical="center" wrapText="1"/>
    </xf>
    <xf numFmtId="0" fontId="18" fillId="0" borderId="6" xfId="52" applyFont="1" applyBorder="1" applyAlignment="1">
      <alignment horizontal="center" vertical="center" wrapText="1"/>
    </xf>
    <xf numFmtId="182" fontId="13" fillId="0" borderId="6" xfId="52" applyNumberFormat="1" applyFont="1" applyBorder="1" applyAlignment="1">
      <alignment horizontal="center" vertical="center" wrapText="1"/>
    </xf>
    <xf numFmtId="183" fontId="18" fillId="0" borderId="6" xfId="51" applyNumberFormat="1" applyFont="1" applyFill="1" applyBorder="1" applyAlignment="1" applyProtection="1">
      <alignment horizontal="center" vertical="center" wrapText="1"/>
    </xf>
    <xf numFmtId="0" fontId="13" fillId="0" borderId="6" xfId="57" applyFont="1" applyBorder="1" applyAlignment="1">
      <alignment horizontal="left" vertical="top" wrapText="1"/>
    </xf>
    <xf numFmtId="0" fontId="13" fillId="0" borderId="6" xfId="57" applyFont="1" applyBorder="1" applyAlignment="1">
      <alignment horizontal="left" vertical="center" wrapText="1"/>
    </xf>
    <xf numFmtId="0" fontId="13" fillId="0" borderId="6" xfId="57" applyFont="1" applyBorder="1" applyAlignment="1">
      <alignment horizontal="center" vertical="center"/>
    </xf>
    <xf numFmtId="182" fontId="13" fillId="0" borderId="6" xfId="57" applyNumberFormat="1" applyFont="1" applyBorder="1" applyAlignment="1">
      <alignment horizontal="center" vertical="center" wrapText="1"/>
    </xf>
    <xf numFmtId="0" fontId="18" fillId="0" borderId="6" xfId="57" applyFont="1" applyBorder="1" applyAlignment="1">
      <alignment horizontal="center" vertical="center"/>
    </xf>
    <xf numFmtId="0" fontId="20" fillId="0" borderId="6" xfId="0" applyNumberFormat="1" applyFont="1" applyFill="1" applyBorder="1" applyAlignment="1">
      <alignment horizontal="center" vertical="center" wrapText="1"/>
    </xf>
    <xf numFmtId="0" fontId="21" fillId="0" borderId="6" xfId="0" applyNumberFormat="1" applyFont="1" applyFill="1" applyBorder="1" applyAlignment="1">
      <alignment horizontal="left" vertical="center" wrapText="1"/>
    </xf>
    <xf numFmtId="2" fontId="20" fillId="0" borderId="6" xfId="0" applyNumberFormat="1" applyFont="1" applyFill="1" applyBorder="1" applyAlignment="1">
      <alignment horizontal="center" vertical="center" wrapText="1"/>
    </xf>
    <xf numFmtId="1" fontId="20" fillId="0" borderId="6" xfId="0" applyNumberFormat="1" applyFont="1" applyFill="1" applyBorder="1" applyAlignment="1">
      <alignment horizontal="center" vertical="center" wrapText="1"/>
    </xf>
    <xf numFmtId="0" fontId="20" fillId="0" borderId="6" xfId="0" applyNumberFormat="1" applyFont="1" applyFill="1" applyBorder="1" applyAlignment="1">
      <alignment horizontal="left" vertical="top" wrapText="1"/>
    </xf>
    <xf numFmtId="1" fontId="13" fillId="0" borderId="6" xfId="52" applyNumberFormat="1" applyFont="1" applyBorder="1" applyAlignment="1">
      <alignment horizontal="center" vertical="center" wrapText="1"/>
    </xf>
    <xf numFmtId="182" fontId="19" fillId="0" borderId="6" xfId="52" applyNumberFormat="1" applyFont="1" applyBorder="1" applyAlignment="1">
      <alignment horizontal="center" vertical="center" wrapText="1"/>
    </xf>
    <xf numFmtId="1" fontId="19" fillId="0" borderId="6" xfId="52" applyNumberFormat="1" applyFont="1" applyBorder="1" applyAlignment="1">
      <alignment horizontal="center" vertical="center" wrapText="1"/>
    </xf>
    <xf numFmtId="0" fontId="19" fillId="0" borderId="6" xfId="52" applyFont="1" applyBorder="1" applyAlignment="1">
      <alignment horizontal="center" vertical="center" wrapText="1"/>
    </xf>
    <xf numFmtId="183" fontId="19" fillId="0" borderId="6" xfId="51" applyNumberFormat="1" applyFont="1" applyFill="1" applyBorder="1" applyAlignment="1" applyProtection="1">
      <alignment horizontal="center" vertical="center" wrapText="1"/>
    </xf>
    <xf numFmtId="1" fontId="18" fillId="0" borderId="6" xfId="52" applyNumberFormat="1" applyFont="1" applyBorder="1" applyAlignment="1">
      <alignment horizontal="center" vertical="center" wrapText="1"/>
    </xf>
    <xf numFmtId="0" fontId="13" fillId="0" borderId="6" xfId="53" applyFont="1" applyBorder="1" applyAlignment="1">
      <alignment horizontal="left" vertical="center" wrapText="1"/>
    </xf>
    <xf numFmtId="0" fontId="18" fillId="0" borderId="6" xfId="55" applyFont="1" applyBorder="1" applyAlignment="1">
      <alignment horizontal="left" vertical="center" wrapText="1"/>
    </xf>
    <xf numFmtId="2" fontId="13" fillId="0" borderId="6" xfId="52" applyNumberFormat="1" applyFont="1" applyBorder="1" applyAlignment="1">
      <alignment horizontal="center" vertical="center" wrapText="1"/>
    </xf>
    <xf numFmtId="0" fontId="13" fillId="0" borderId="6" xfId="55" applyFont="1" applyBorder="1" applyAlignment="1">
      <alignment horizontal="left" vertical="center" wrapText="1"/>
    </xf>
    <xf numFmtId="185" fontId="13" fillId="0" borderId="6" xfId="1" applyNumberFormat="1" applyFont="1" applyFill="1" applyBorder="1" applyAlignment="1">
      <alignment horizontal="center" vertical="center" wrapText="1"/>
    </xf>
    <xf numFmtId="1" fontId="22" fillId="0" borderId="6" xfId="52" applyNumberFormat="1" applyFont="1" applyBorder="1" applyAlignment="1">
      <alignment horizontal="center" vertical="center"/>
    </xf>
    <xf numFmtId="185" fontId="18" fillId="0" borderId="6" xfId="1" applyNumberFormat="1" applyFont="1" applyFill="1" applyBorder="1" applyAlignment="1">
      <alignment horizontal="center" vertical="center" wrapText="1"/>
    </xf>
    <xf numFmtId="180" fontId="18" fillId="0" borderId="6" xfId="51" applyFont="1" applyFill="1" applyBorder="1" applyAlignment="1" applyProtection="1">
      <alignment horizontal="center" vertical="center" wrapText="1"/>
    </xf>
    <xf numFmtId="183" fontId="18" fillId="3" borderId="6" xfId="51" applyNumberFormat="1" applyFont="1" applyFill="1" applyBorder="1" applyAlignment="1" applyProtection="1">
      <alignment horizontal="center" vertical="center" wrapText="1"/>
    </xf>
    <xf numFmtId="183" fontId="13" fillId="3" borderId="6" xfId="1" applyNumberFormat="1" applyFont="1" applyFill="1" applyBorder="1" applyAlignment="1" applyProtection="1">
      <alignment horizontal="center" vertical="center" wrapText="1"/>
    </xf>
    <xf numFmtId="176" fontId="13" fillId="0" borderId="0" xfId="52" applyNumberFormat="1" applyFont="1" applyAlignment="1">
      <alignment horizontal="center" vertical="center" wrapText="1"/>
    </xf>
    <xf numFmtId="183" fontId="19" fillId="3" borderId="6" xfId="51" applyNumberFormat="1" applyFont="1" applyFill="1" applyBorder="1" applyAlignment="1" applyProtection="1">
      <alignment horizontal="center" vertical="center" wrapText="1"/>
    </xf>
    <xf numFmtId="183" fontId="13" fillId="3" borderId="6" xfId="51" applyNumberFormat="1" applyFont="1" applyFill="1" applyBorder="1" applyAlignment="1" applyProtection="1">
      <alignment horizontal="right" vertical="center" wrapText="1"/>
    </xf>
    <xf numFmtId="180" fontId="13" fillId="3" borderId="6" xfId="51" applyFont="1" applyFill="1" applyBorder="1" applyAlignment="1" applyProtection="1">
      <alignment horizontal="center" vertical="center" wrapText="1"/>
    </xf>
    <xf numFmtId="183" fontId="13" fillId="0" borderId="6" xfId="51" applyNumberFormat="1" applyFont="1" applyFill="1" applyBorder="1" applyAlignment="1" applyProtection="1">
      <alignment horizontal="center" vertical="center"/>
    </xf>
    <xf numFmtId="0" fontId="13" fillId="0" borderId="6" xfId="52" applyFont="1" applyBorder="1" applyAlignment="1">
      <alignment horizontal="center" vertical="center"/>
    </xf>
    <xf numFmtId="1" fontId="13" fillId="0" borderId="6" xfId="52" applyNumberFormat="1" applyFont="1" applyBorder="1" applyAlignment="1">
      <alignment horizontal="center" vertical="center"/>
    </xf>
    <xf numFmtId="2" fontId="18" fillId="0" borderId="6" xfId="52" applyNumberFormat="1" applyFont="1" applyBorder="1" applyAlignment="1">
      <alignment horizontal="center" vertical="center" wrapText="1"/>
    </xf>
    <xf numFmtId="183" fontId="13" fillId="0" borderId="6" xfId="1" applyNumberFormat="1" applyFont="1" applyFill="1" applyBorder="1" applyAlignment="1" applyProtection="1">
      <alignment horizontal="center" vertical="center" wrapText="1"/>
    </xf>
    <xf numFmtId="180" fontId="13" fillId="0" borderId="6" xfId="51" applyFont="1" applyFill="1" applyBorder="1" applyAlignment="1" applyProtection="1">
      <alignment horizontal="center" vertical="center" wrapText="1"/>
    </xf>
    <xf numFmtId="0" fontId="23" fillId="0" borderId="18" xfId="0" applyFont="1" applyFill="1" applyBorder="1">
      <alignment vertical="top" wrapText="1"/>
    </xf>
    <xf numFmtId="0" fontId="8" fillId="0" borderId="6" xfId="55" applyFont="1" applyBorder="1" applyAlignment="1">
      <alignment horizontal="left" vertical="center" wrapText="1"/>
    </xf>
    <xf numFmtId="0" fontId="16" fillId="0" borderId="6" xfId="57" applyFont="1" applyBorder="1" applyAlignment="1">
      <alignment horizontal="center" vertical="center" wrapText="1"/>
    </xf>
    <xf numFmtId="0" fontId="16" fillId="0" borderId="0" xfId="52" applyFont="1" applyAlignment="1">
      <alignment horizontal="center" vertical="center" wrapText="1"/>
    </xf>
    <xf numFmtId="0" fontId="15" fillId="0" borderId="0" xfId="52" applyFont="1" applyAlignment="1">
      <alignment horizontal="center" vertical="center" wrapText="1"/>
    </xf>
    <xf numFmtId="1" fontId="15" fillId="0" borderId="0" xfId="52" applyNumberFormat="1" applyFont="1" applyAlignment="1">
      <alignment horizontal="center" vertical="center" wrapText="1"/>
    </xf>
    <xf numFmtId="0" fontId="16" fillId="0" borderId="0" xfId="57" applyFont="1" applyAlignment="1">
      <alignment horizontal="center" vertical="center" wrapText="1"/>
    </xf>
    <xf numFmtId="1" fontId="16" fillId="0" borderId="0" xfId="52" applyNumberFormat="1" applyFont="1" applyAlignment="1">
      <alignment horizontal="center" vertical="center" wrapText="1"/>
    </xf>
    <xf numFmtId="1" fontId="16" fillId="0" borderId="11" xfId="52" applyNumberFormat="1" applyFont="1" applyBorder="1" applyAlignment="1">
      <alignment horizontal="center" vertical="center" wrapText="1"/>
    </xf>
    <xf numFmtId="182" fontId="16" fillId="0" borderId="1" xfId="52" applyNumberFormat="1" applyFont="1" applyBorder="1" applyAlignment="1">
      <alignment horizontal="center" vertical="center" wrapText="1"/>
    </xf>
    <xf numFmtId="0" fontId="16" fillId="0" borderId="2" xfId="57" applyFont="1" applyBorder="1" applyAlignment="1">
      <alignment horizontal="center" vertical="center" wrapText="1"/>
    </xf>
    <xf numFmtId="0" fontId="16" fillId="0" borderId="2" xfId="52" applyFont="1" applyBorder="1" applyAlignment="1">
      <alignment horizontal="center" vertical="center" wrapText="1"/>
    </xf>
    <xf numFmtId="182" fontId="15" fillId="0" borderId="3" xfId="52" applyNumberFormat="1" applyFont="1" applyBorder="1" applyAlignment="1">
      <alignment horizontal="center" vertical="center" wrapText="1"/>
    </xf>
    <xf numFmtId="0" fontId="15" fillId="0" borderId="3" xfId="52" applyFont="1" applyBorder="1" applyAlignment="1">
      <alignment horizontal="center" vertical="center" wrapText="1"/>
    </xf>
    <xf numFmtId="0" fontId="16" fillId="0" borderId="3" xfId="52" applyFont="1" applyBorder="1" applyAlignment="1">
      <alignment horizontal="center" vertical="center" wrapText="1"/>
    </xf>
    <xf numFmtId="183" fontId="16" fillId="0" borderId="3" xfId="51" applyNumberFormat="1" applyFont="1" applyFill="1" applyBorder="1" applyAlignment="1" applyProtection="1">
      <alignment horizontal="center" vertical="center" wrapText="1"/>
    </xf>
    <xf numFmtId="183" fontId="16" fillId="0" borderId="2" xfId="51" applyNumberFormat="1" applyFont="1" applyFill="1" applyBorder="1" applyAlignment="1" applyProtection="1">
      <alignment horizontal="center" vertical="center" wrapText="1"/>
    </xf>
    <xf numFmtId="182" fontId="15" fillId="0" borderId="17" xfId="52" applyNumberFormat="1" applyFont="1" applyBorder="1" applyAlignment="1">
      <alignment horizontal="center" vertical="center" wrapText="1"/>
    </xf>
    <xf numFmtId="0" fontId="15" fillId="0" borderId="17" xfId="52" applyFont="1" applyBorder="1" applyAlignment="1">
      <alignment horizontal="center" vertical="center" wrapText="1"/>
    </xf>
    <xf numFmtId="0" fontId="16" fillId="0" borderId="17" xfId="52" applyFont="1" applyBorder="1" applyAlignment="1">
      <alignment horizontal="center" vertical="center" wrapText="1"/>
    </xf>
    <xf numFmtId="183" fontId="15" fillId="0" borderId="17" xfId="51" applyNumberFormat="1" applyFont="1" applyFill="1" applyBorder="1" applyAlignment="1" applyProtection="1">
      <alignment horizontal="center" vertical="center" wrapText="1"/>
    </xf>
    <xf numFmtId="182" fontId="15" fillId="0" borderId="6" xfId="52" applyNumberFormat="1" applyFont="1" applyBorder="1" applyAlignment="1">
      <alignment horizontal="center" vertical="center" wrapText="1"/>
    </xf>
    <xf numFmtId="0" fontId="15" fillId="0" borderId="6" xfId="57" applyFont="1" applyBorder="1" applyAlignment="1">
      <alignment horizontal="center" vertical="center"/>
    </xf>
    <xf numFmtId="182" fontId="15" fillId="0" borderId="6" xfId="57" applyNumberFormat="1" applyFont="1" applyBorder="1" applyAlignment="1">
      <alignment horizontal="center" vertical="center" wrapText="1"/>
    </xf>
    <xf numFmtId="182" fontId="16" fillId="0" borderId="6" xfId="57" applyNumberFormat="1" applyFont="1" applyBorder="1" applyAlignment="1">
      <alignment horizontal="center" vertical="center" wrapText="1"/>
    </xf>
    <xf numFmtId="0" fontId="16" fillId="0" borderId="6" xfId="57" applyFont="1" applyBorder="1" applyAlignment="1">
      <alignment horizontal="center" vertical="center"/>
    </xf>
    <xf numFmtId="0" fontId="17" fillId="0" borderId="6" xfId="0" applyNumberFormat="1" applyFont="1" applyFill="1" applyBorder="1" applyAlignment="1">
      <alignment horizontal="center" vertical="center" wrapText="1"/>
    </xf>
    <xf numFmtId="2" fontId="17" fillId="0" borderId="6" xfId="0" applyNumberFormat="1" applyFont="1" applyFill="1" applyBorder="1" applyAlignment="1">
      <alignment horizontal="center" vertical="center" wrapText="1"/>
    </xf>
    <xf numFmtId="1" fontId="17" fillId="0" borderId="6" xfId="0" applyNumberFormat="1" applyFont="1" applyFill="1" applyBorder="1" applyAlignment="1">
      <alignment horizontal="center" vertical="center" wrapText="1"/>
    </xf>
    <xf numFmtId="0" fontId="15" fillId="0" borderId="6" xfId="53" applyFont="1" applyBorder="1" applyAlignment="1">
      <alignment horizontal="center" vertical="center" wrapText="1"/>
    </xf>
    <xf numFmtId="0" fontId="16" fillId="0" borderId="6" xfId="55" applyFont="1" applyBorder="1" applyAlignment="1">
      <alignment horizontal="center" vertical="center" wrapText="1"/>
    </xf>
    <xf numFmtId="183" fontId="15" fillId="0" borderId="6" xfId="50" applyNumberFormat="1" applyFont="1" applyBorder="1" applyAlignment="1">
      <alignment horizontal="center" vertical="center" wrapText="1"/>
    </xf>
    <xf numFmtId="1" fontId="16" fillId="0" borderId="6" xfId="57" applyNumberFormat="1" applyFont="1" applyBorder="1" applyAlignment="1">
      <alignment horizontal="left" vertical="center" wrapText="1"/>
    </xf>
    <xf numFmtId="0" fontId="15" fillId="0" borderId="6" xfId="52" applyFont="1" applyBorder="1" applyAlignment="1">
      <alignment horizontal="center" vertical="center"/>
    </xf>
    <xf numFmtId="183" fontId="15" fillId="0" borderId="6" xfId="51" applyNumberFormat="1" applyFont="1" applyFill="1" applyBorder="1" applyAlignment="1" applyProtection="1">
      <alignment horizontal="center" vertical="center"/>
    </xf>
    <xf numFmtId="0" fontId="15" fillId="0" borderId="6" xfId="52" applyFont="1" applyBorder="1" applyAlignment="1">
      <alignment horizontal="left" vertical="center" wrapText="1"/>
    </xf>
    <xf numFmtId="0" fontId="16" fillId="0" borderId="11" xfId="57" applyFont="1" applyBorder="1" applyAlignment="1">
      <alignment horizontal="center" vertical="center" wrapText="1"/>
    </xf>
    <xf numFmtId="0" fontId="15" fillId="0" borderId="11" xfId="57" applyFont="1" applyBorder="1" applyAlignment="1">
      <alignment horizontal="center" vertical="center" wrapText="1"/>
    </xf>
    <xf numFmtId="183" fontId="15" fillId="0" borderId="11" xfId="51" applyNumberFormat="1" applyFont="1" applyFill="1" applyBorder="1" applyAlignment="1" applyProtection="1">
      <alignment horizontal="center" vertical="center" wrapText="1"/>
    </xf>
    <xf numFmtId="182" fontId="10" fillId="0" borderId="1" xfId="52" applyNumberFormat="1" applyFont="1" applyBorder="1" applyAlignment="1">
      <alignment horizontal="center" vertical="center" wrapText="1"/>
    </xf>
    <xf numFmtId="1" fontId="10" fillId="0" borderId="2" xfId="52" applyNumberFormat="1" applyFont="1" applyBorder="1" applyAlignment="1">
      <alignment horizontal="center" vertical="center" wrapText="1"/>
    </xf>
    <xf numFmtId="0" fontId="10" fillId="0" borderId="2" xfId="52" applyFont="1" applyBorder="1" applyAlignment="1">
      <alignment horizontal="center" vertical="center" wrapText="1"/>
    </xf>
    <xf numFmtId="183" fontId="10" fillId="0" borderId="2" xfId="49" applyNumberFormat="1" applyFont="1" applyFill="1" applyBorder="1" applyAlignment="1" applyProtection="1">
      <alignment horizontal="center" vertical="center" wrapText="1"/>
    </xf>
    <xf numFmtId="182" fontId="8" fillId="0" borderId="17" xfId="52" applyNumberFormat="1" applyFont="1" applyBorder="1" applyAlignment="1">
      <alignment horizontal="center" vertical="center" wrapText="1"/>
    </xf>
    <xf numFmtId="1" fontId="8" fillId="0" borderId="17" xfId="52" applyNumberFormat="1" applyFont="1" applyBorder="1" applyAlignment="1">
      <alignment horizontal="center" vertical="center" wrapText="1"/>
    </xf>
    <xf numFmtId="0" fontId="10" fillId="0" borderId="17" xfId="52" applyFont="1" applyBorder="1" applyAlignment="1">
      <alignment horizontal="center" vertical="center" wrapText="1"/>
    </xf>
    <xf numFmtId="0" fontId="8" fillId="0" borderId="17" xfId="52" applyFont="1" applyBorder="1" applyAlignment="1">
      <alignment horizontal="center" vertical="center" wrapText="1"/>
    </xf>
    <xf numFmtId="182" fontId="8" fillId="0" borderId="6" xfId="52" applyNumberFormat="1" applyFont="1" applyBorder="1" applyAlignment="1">
      <alignment horizontal="center" vertical="center" wrapText="1"/>
    </xf>
    <xf numFmtId="0" fontId="15" fillId="0" borderId="6" xfId="54" applyFont="1" applyBorder="1" applyAlignment="1">
      <alignment horizontal="center" vertical="center" wrapText="1"/>
    </xf>
    <xf numFmtId="182" fontId="8" fillId="0" borderId="21" xfId="52" applyNumberFormat="1" applyFont="1" applyBorder="1" applyAlignment="1">
      <alignment horizontal="center" vertical="center" wrapText="1"/>
    </xf>
    <xf numFmtId="1" fontId="8" fillId="0" borderId="3" xfId="52" applyNumberFormat="1" applyFont="1" applyBorder="1" applyAlignment="1">
      <alignment horizontal="center" vertical="center" wrapText="1"/>
    </xf>
    <xf numFmtId="0" fontId="8" fillId="0" borderId="3" xfId="52" applyFont="1" applyBorder="1" applyAlignment="1">
      <alignment horizontal="center" vertical="center" wrapText="1"/>
    </xf>
    <xf numFmtId="0" fontId="8" fillId="0" borderId="3" xfId="54" applyFont="1" applyBorder="1" applyAlignment="1">
      <alignment horizontal="center" vertical="center" wrapText="1"/>
    </xf>
    <xf numFmtId="183" fontId="8" fillId="0" borderId="3" xfId="49" applyNumberFormat="1" applyFont="1" applyFill="1" applyBorder="1" applyAlignment="1" applyProtection="1">
      <alignment horizontal="center" vertical="center" wrapText="1"/>
    </xf>
    <xf numFmtId="182" fontId="8" fillId="0" borderId="11" xfId="52" applyNumberFormat="1" applyFont="1" applyBorder="1" applyAlignment="1">
      <alignment horizontal="center" vertical="center" wrapText="1"/>
    </xf>
    <xf numFmtId="0" fontId="8" fillId="0" borderId="11" xfId="54" applyFont="1" applyBorder="1" applyAlignment="1">
      <alignment horizontal="center" vertical="center" wrapText="1"/>
    </xf>
    <xf numFmtId="183" fontId="8" fillId="0" borderId="11" xfId="49" applyNumberFormat="1" applyFont="1" applyFill="1" applyBorder="1" applyAlignment="1" applyProtection="1">
      <alignment horizontal="center" vertical="center" wrapText="1"/>
    </xf>
    <xf numFmtId="182" fontId="16" fillId="0" borderId="17" xfId="52" applyNumberFormat="1" applyFont="1" applyBorder="1" applyAlignment="1">
      <alignment horizontal="center" vertical="center" wrapText="1"/>
    </xf>
    <xf numFmtId="1" fontId="16" fillId="0" borderId="17" xfId="52" applyNumberFormat="1" applyFont="1" applyBorder="1" applyAlignment="1">
      <alignment horizontal="center" vertical="center" wrapText="1"/>
    </xf>
    <xf numFmtId="183" fontId="16" fillId="0" borderId="17" xfId="51" applyNumberFormat="1" applyFont="1" applyFill="1" applyBorder="1" applyAlignment="1" applyProtection="1">
      <alignment horizontal="center" vertical="center" wrapText="1"/>
    </xf>
    <xf numFmtId="0" fontId="2" fillId="0" borderId="6" xfId="54" applyFont="1" applyBorder="1" applyAlignment="1">
      <alignment horizontal="center" vertical="center" wrapText="1"/>
    </xf>
    <xf numFmtId="0" fontId="1" fillId="0" borderId="6" xfId="54" applyFont="1" applyBorder="1" applyAlignment="1">
      <alignment horizontal="center" vertical="center" wrapText="1"/>
    </xf>
    <xf numFmtId="182" fontId="16" fillId="0" borderId="6" xfId="52" applyNumberFormat="1" applyFont="1" applyBorder="1" applyAlignment="1">
      <alignment horizontal="center" vertical="center" wrapText="1"/>
    </xf>
    <xf numFmtId="1" fontId="16" fillId="0" borderId="6" xfId="52" applyNumberFormat="1" applyFont="1" applyBorder="1" applyAlignment="1">
      <alignment horizontal="center" vertical="center" wrapText="1"/>
    </xf>
    <xf numFmtId="183" fontId="16" fillId="0" borderId="6" xfId="51" applyNumberFormat="1" applyFont="1" applyFill="1" applyBorder="1" applyAlignment="1" applyProtection="1">
      <alignment horizontal="center" vertical="center" wrapText="1"/>
    </xf>
    <xf numFmtId="1" fontId="24" fillId="0" borderId="6" xfId="52" applyNumberFormat="1" applyFont="1" applyBorder="1" applyAlignment="1">
      <alignment horizontal="center" vertical="center" wrapText="1"/>
    </xf>
    <xf numFmtId="0" fontId="15" fillId="0" borderId="6" xfId="59" applyFont="1" applyBorder="1" applyAlignment="1">
      <alignment horizontal="center" vertical="center" wrapText="1"/>
    </xf>
    <xf numFmtId="1" fontId="10" fillId="0" borderId="11" xfId="52" applyNumberFormat="1" applyFont="1" applyBorder="1" applyAlignment="1">
      <alignment horizontal="center" vertical="center"/>
    </xf>
    <xf numFmtId="1" fontId="16" fillId="0" borderId="12" xfId="57" applyNumberFormat="1" applyFont="1" applyBorder="1" applyAlignment="1">
      <alignment horizontal="center" vertical="center" wrapText="1"/>
    </xf>
    <xf numFmtId="180" fontId="16" fillId="0" borderId="3" xfId="51" applyFont="1" applyFill="1" applyBorder="1" applyAlignment="1" applyProtection="1">
      <alignment horizontal="center" vertical="center" wrapText="1"/>
    </xf>
    <xf numFmtId="1" fontId="15" fillId="0" borderId="3" xfId="52" applyNumberFormat="1" applyFont="1" applyBorder="1" applyAlignment="1">
      <alignment horizontal="center" vertical="center" wrapText="1"/>
    </xf>
    <xf numFmtId="180" fontId="16" fillId="0" borderId="2" xfId="51" applyFont="1" applyFill="1" applyBorder="1" applyAlignment="1" applyProtection="1">
      <alignment horizontal="center" vertical="center" wrapText="1"/>
    </xf>
    <xf numFmtId="1" fontId="16" fillId="0" borderId="12" xfId="52" applyNumberFormat="1" applyFont="1" applyBorder="1" applyAlignment="1">
      <alignment horizontal="center" vertical="center" wrapText="1"/>
    </xf>
    <xf numFmtId="180" fontId="15" fillId="0" borderId="17" xfId="51" applyFont="1" applyFill="1" applyBorder="1" applyAlignment="1" applyProtection="1">
      <alignment horizontal="center" vertical="center" wrapText="1"/>
    </xf>
    <xf numFmtId="1" fontId="15" fillId="0" borderId="17" xfId="52" applyNumberFormat="1" applyFont="1" applyBorder="1" applyAlignment="1">
      <alignment horizontal="center" vertical="center" wrapText="1"/>
    </xf>
    <xf numFmtId="183" fontId="15" fillId="3" borderId="6" xfId="51" applyNumberFormat="1" applyFont="1" applyFill="1" applyBorder="1" applyAlignment="1" applyProtection="1">
      <alignment horizontal="center" vertical="center" wrapText="1"/>
    </xf>
    <xf numFmtId="183" fontId="15" fillId="3" borderId="6" xfId="50" applyNumberFormat="1" applyFont="1" applyFill="1" applyBorder="1" applyAlignment="1">
      <alignment horizontal="center" vertical="center" wrapText="1"/>
    </xf>
    <xf numFmtId="1" fontId="15" fillId="0" borderId="6" xfId="52" applyNumberFormat="1" applyFont="1" applyBorder="1" applyAlignment="1">
      <alignment vertical="center" wrapText="1"/>
    </xf>
    <xf numFmtId="183" fontId="15" fillId="3" borderId="6" xfId="51" applyNumberFormat="1" applyFont="1" applyFill="1" applyBorder="1" applyAlignment="1" applyProtection="1">
      <alignment horizontal="center" vertical="center"/>
    </xf>
    <xf numFmtId="183" fontId="15" fillId="3" borderId="11" xfId="51" applyNumberFormat="1" applyFont="1" applyFill="1" applyBorder="1" applyAlignment="1" applyProtection="1">
      <alignment horizontal="center" vertical="center" wrapText="1"/>
    </xf>
    <xf numFmtId="1" fontId="15" fillId="0" borderId="11" xfId="52" applyNumberFormat="1" applyFont="1" applyBorder="1" applyAlignment="1">
      <alignment horizontal="center" vertical="center" wrapText="1"/>
    </xf>
    <xf numFmtId="183" fontId="10" fillId="3" borderId="2" xfId="49" applyNumberFormat="1" applyFont="1" applyFill="1" applyBorder="1" applyAlignment="1" applyProtection="1">
      <alignment horizontal="center" vertical="center" wrapText="1"/>
    </xf>
    <xf numFmtId="0" fontId="8" fillId="0" borderId="12" xfId="52" applyFont="1" applyBorder="1" applyAlignment="1">
      <alignment horizontal="center" vertical="center" wrapText="1"/>
    </xf>
    <xf numFmtId="0" fontId="8" fillId="0" borderId="9" xfId="52" applyFont="1" applyBorder="1" applyAlignment="1">
      <alignment horizontal="center" vertical="center" wrapText="1"/>
    </xf>
    <xf numFmtId="183" fontId="15" fillId="0" borderId="6" xfId="51" applyNumberFormat="1" applyFont="1" applyFill="1" applyBorder="1" applyAlignment="1" applyProtection="1">
      <alignment horizontal="right" vertical="center" wrapText="1"/>
    </xf>
    <xf numFmtId="183" fontId="15" fillId="0" borderId="6" xfId="1" applyNumberFormat="1" applyFont="1" applyFill="1" applyBorder="1" applyAlignment="1" applyProtection="1">
      <alignment horizontal="center" vertical="center" wrapText="1"/>
    </xf>
    <xf numFmtId="176" fontId="15" fillId="0" borderId="0" xfId="52" applyNumberFormat="1" applyFont="1" applyAlignment="1">
      <alignment horizontal="center" vertical="center" wrapText="1"/>
    </xf>
    <xf numFmtId="2" fontId="15" fillId="0" borderId="6" xfId="52" applyNumberFormat="1" applyFont="1" applyBorder="1" applyAlignment="1">
      <alignment horizontal="center" vertical="center" wrapText="1"/>
    </xf>
    <xf numFmtId="0" fontId="15" fillId="0" borderId="6" xfId="56" applyFont="1" applyBorder="1" applyAlignment="1">
      <alignment horizontal="center" vertical="center" wrapText="1"/>
    </xf>
    <xf numFmtId="182" fontId="15" fillId="0" borderId="11" xfId="52" applyNumberFormat="1" applyFont="1" applyBorder="1" applyAlignment="1">
      <alignment horizontal="center" vertical="center" wrapText="1"/>
    </xf>
    <xf numFmtId="0" fontId="15" fillId="0" borderId="11" xfId="52" applyFont="1" applyBorder="1" applyAlignment="1">
      <alignment horizontal="center" vertical="center" wrapText="1"/>
    </xf>
    <xf numFmtId="2" fontId="15" fillId="0" borderId="11" xfId="52" applyNumberFormat="1" applyFont="1" applyBorder="1" applyAlignment="1">
      <alignment horizontal="center" vertical="center" wrapText="1"/>
    </xf>
    <xf numFmtId="0" fontId="16" fillId="0" borderId="6" xfId="52" applyFont="1" applyBorder="1" applyAlignment="1">
      <alignment horizontal="left" vertical="center" wrapText="1"/>
    </xf>
    <xf numFmtId="0" fontId="15" fillId="0" borderId="6" xfId="55" applyFont="1" applyBorder="1" applyAlignment="1">
      <alignment horizontal="left" vertical="center" wrapText="1"/>
    </xf>
    <xf numFmtId="0" fontId="16" fillId="0" borderId="6" xfId="55" applyFont="1" applyBorder="1" applyAlignment="1">
      <alignment horizontal="left" vertical="center" wrapText="1"/>
    </xf>
    <xf numFmtId="2" fontId="16" fillId="0" borderId="6" xfId="52" applyNumberFormat="1" applyFont="1" applyBorder="1" applyAlignment="1">
      <alignment horizontal="center" vertical="center" wrapText="1"/>
    </xf>
    <xf numFmtId="182" fontId="16" fillId="0" borderId="11" xfId="52" applyNumberFormat="1" applyFont="1" applyBorder="1" applyAlignment="1">
      <alignment horizontal="center" vertical="center" wrapText="1"/>
    </xf>
    <xf numFmtId="0" fontId="15" fillId="0" borderId="11" xfId="57" applyFont="1" applyBorder="1" applyAlignment="1">
      <alignment horizontal="left" vertical="center" wrapText="1"/>
    </xf>
    <xf numFmtId="0" fontId="15" fillId="0" borderId="11" xfId="55" applyFont="1" applyBorder="1" applyAlignment="1">
      <alignment horizontal="center" vertical="center" wrapText="1"/>
    </xf>
    <xf numFmtId="2" fontId="16" fillId="0" borderId="11" xfId="52" applyNumberFormat="1" applyFont="1" applyBorder="1" applyAlignment="1">
      <alignment horizontal="center" vertical="center" wrapText="1"/>
    </xf>
    <xf numFmtId="2" fontId="10" fillId="0" borderId="1" xfId="52" applyNumberFormat="1" applyFont="1" applyBorder="1" applyAlignment="1">
      <alignment horizontal="center" vertical="center" wrapText="1"/>
    </xf>
    <xf numFmtId="0" fontId="24" fillId="0" borderId="0" xfId="52" applyFont="1" applyAlignment="1">
      <alignment horizontal="center" vertical="center" wrapText="1"/>
    </xf>
    <xf numFmtId="1" fontId="15" fillId="0" borderId="11" xfId="52" applyNumberFormat="1" applyFont="1" applyBorder="1" applyAlignment="1">
      <alignment vertical="center" wrapText="1"/>
    </xf>
    <xf numFmtId="0" fontId="15" fillId="0" borderId="11" xfId="52" applyFont="1" applyBorder="1" applyAlignment="1">
      <alignment vertical="center" wrapText="1"/>
    </xf>
    <xf numFmtId="180" fontId="10" fillId="0" borderId="2" xfId="49" applyFont="1" applyFill="1" applyBorder="1" applyAlignment="1" applyProtection="1">
      <alignment horizontal="center" vertical="center" wrapText="1"/>
    </xf>
    <xf numFmtId="2" fontId="8" fillId="0" borderId="17" xfId="52" applyNumberFormat="1" applyFont="1" applyBorder="1" applyAlignment="1">
      <alignment horizontal="center" vertical="center" wrapText="1"/>
    </xf>
    <xf numFmtId="182" fontId="15" fillId="0" borderId="1" xfId="52" applyNumberFormat="1" applyFont="1" applyBorder="1" applyAlignment="1">
      <alignment horizontal="center" vertical="center" wrapText="1"/>
    </xf>
    <xf numFmtId="1" fontId="15" fillId="0" borderId="2" xfId="52" applyNumberFormat="1" applyFont="1" applyBorder="1" applyAlignment="1">
      <alignment horizontal="center" vertical="center" wrapText="1"/>
    </xf>
    <xf numFmtId="0" fontId="15" fillId="0" borderId="2" xfId="52" applyFont="1" applyBorder="1" applyAlignment="1">
      <alignment horizontal="center" vertical="center" wrapText="1"/>
    </xf>
    <xf numFmtId="183" fontId="15" fillId="0" borderId="2" xfId="51" applyNumberFormat="1" applyFont="1" applyFill="1" applyBorder="1" applyAlignment="1" applyProtection="1">
      <alignment horizontal="center" vertical="center" wrapText="1"/>
    </xf>
    <xf numFmtId="180" fontId="8" fillId="0" borderId="17" xfId="49" applyFont="1" applyFill="1" applyBorder="1" applyAlignment="1" applyProtection="1">
      <alignment horizontal="center" vertical="center" wrapText="1"/>
    </xf>
    <xf numFmtId="180" fontId="8" fillId="0" borderId="6" xfId="49" applyFont="1" applyFill="1" applyBorder="1" applyAlignment="1" applyProtection="1">
      <alignment horizontal="center" vertical="center" wrapText="1"/>
    </xf>
    <xf numFmtId="0" fontId="16" fillId="0" borderId="0" xfId="52" applyFont="1" applyAlignment="1">
      <alignment vertical="center" wrapText="1"/>
    </xf>
    <xf numFmtId="0" fontId="25" fillId="0" borderId="0" xfId="52" applyFont="1" applyAlignment="1">
      <alignment vertical="center" wrapText="1"/>
    </xf>
    <xf numFmtId="0" fontId="25" fillId="3" borderId="0" xfId="52" applyFont="1" applyFill="1" applyAlignment="1">
      <alignment vertical="center" wrapText="1"/>
    </xf>
    <xf numFmtId="0" fontId="15" fillId="0" borderId="0" xfId="52" applyFont="1" applyAlignment="1">
      <alignment vertical="center" wrapText="1"/>
    </xf>
    <xf numFmtId="1" fontId="15" fillId="0" borderId="0" xfId="52" applyNumberFormat="1" applyFont="1" applyAlignment="1">
      <alignment vertical="center" wrapText="1"/>
    </xf>
    <xf numFmtId="1" fontId="16" fillId="0" borderId="2" xfId="57" applyNumberFormat="1" applyFont="1" applyBorder="1" applyAlignment="1">
      <alignment horizontal="center" vertical="center" wrapText="1"/>
    </xf>
    <xf numFmtId="182" fontId="16" fillId="0" borderId="3" xfId="52" applyNumberFormat="1" applyFont="1" applyBorder="1" applyAlignment="1">
      <alignment horizontal="center" vertical="center" wrapText="1"/>
    </xf>
    <xf numFmtId="0" fontId="16" fillId="0" borderId="3" xfId="57" applyFont="1" applyBorder="1" applyAlignment="1">
      <alignment horizontal="center" vertical="center" wrapText="1"/>
    </xf>
    <xf numFmtId="1" fontId="16" fillId="0" borderId="3" xfId="57" applyNumberFormat="1" applyFont="1" applyBorder="1" applyAlignment="1">
      <alignment horizontal="center" vertical="center" wrapText="1"/>
    </xf>
    <xf numFmtId="0" fontId="10" fillId="0" borderId="2" xfId="0" applyFont="1" applyBorder="1" applyAlignment="1">
      <alignment horizontal="center" vertical="center" wrapText="1"/>
    </xf>
    <xf numFmtId="176" fontId="8" fillId="0" borderId="2" xfId="1" applyFont="1" applyFill="1" applyBorder="1" applyAlignment="1">
      <alignment horizontal="center" vertical="center" wrapText="1"/>
    </xf>
    <xf numFmtId="0" fontId="10" fillId="0" borderId="17" xfId="0" applyFont="1" applyBorder="1" applyAlignment="1">
      <alignment horizontal="center" vertical="center" wrapText="1"/>
    </xf>
    <xf numFmtId="1" fontId="10" fillId="0" borderId="17" xfId="0" applyNumberFormat="1" applyFont="1" applyFill="1" applyBorder="1" applyAlignment="1">
      <alignment horizontal="center" vertical="center" wrapText="1"/>
    </xf>
    <xf numFmtId="0" fontId="16" fillId="0" borderId="11" xfId="52" applyFont="1" applyBorder="1" applyAlignment="1">
      <alignment horizontal="center" vertical="center" wrapText="1"/>
    </xf>
    <xf numFmtId="1" fontId="16" fillId="0" borderId="11" xfId="57" applyNumberFormat="1" applyFont="1" applyBorder="1" applyAlignment="1">
      <alignment horizontal="center" vertical="center" wrapText="1"/>
    </xf>
    <xf numFmtId="1" fontId="16" fillId="0" borderId="3" xfId="51" applyNumberFormat="1" applyFont="1" applyFill="1" applyBorder="1" applyAlignment="1" applyProtection="1">
      <alignment horizontal="center" vertical="center" wrapText="1"/>
    </xf>
    <xf numFmtId="0" fontId="16" fillId="0" borderId="2" xfId="52" applyFont="1" applyBorder="1" applyAlignment="1">
      <alignment horizontal="justify" vertical="center" wrapText="1"/>
    </xf>
    <xf numFmtId="1" fontId="15" fillId="0" borderId="2" xfId="51" applyNumberFormat="1" applyFont="1" applyFill="1" applyBorder="1" applyAlignment="1" applyProtection="1">
      <alignment horizontal="center" vertical="center" wrapText="1"/>
    </xf>
    <xf numFmtId="0" fontId="16" fillId="0" borderId="17" xfId="52" applyFont="1" applyBorder="1" applyAlignment="1">
      <alignment horizontal="justify" vertical="center" wrapText="1"/>
    </xf>
    <xf numFmtId="1" fontId="15" fillId="0" borderId="17" xfId="51" applyNumberFormat="1" applyFont="1" applyFill="1" applyBorder="1" applyAlignment="1" applyProtection="1">
      <alignment horizontal="center" vertical="center" wrapText="1"/>
    </xf>
    <xf numFmtId="0" fontId="16" fillId="0" borderId="6" xfId="52" applyFont="1" applyBorder="1" applyAlignment="1">
      <alignment vertical="center" wrapText="1"/>
    </xf>
    <xf numFmtId="1" fontId="15" fillId="0" borderId="6" xfId="51" applyNumberFormat="1" applyFont="1" applyFill="1" applyBorder="1" applyAlignment="1" applyProtection="1">
      <alignment horizontal="center" vertical="center" wrapText="1"/>
    </xf>
    <xf numFmtId="0" fontId="15" fillId="0" borderId="6" xfId="0" applyFont="1" applyFill="1" applyBorder="1" applyAlignment="1">
      <alignment horizontal="left" vertical="center" wrapText="1"/>
    </xf>
    <xf numFmtId="1" fontId="15" fillId="0" borderId="11" xfId="51" applyNumberFormat="1" applyFont="1" applyFill="1" applyBorder="1" applyAlignment="1" applyProtection="1">
      <alignment horizontal="center" vertical="center" wrapText="1"/>
    </xf>
    <xf numFmtId="1" fontId="16" fillId="0" borderId="2" xfId="52" applyNumberFormat="1" applyFont="1" applyBorder="1" applyAlignment="1">
      <alignment horizontal="center" vertical="center" wrapText="1"/>
    </xf>
    <xf numFmtId="1" fontId="16" fillId="0" borderId="2" xfId="51" applyNumberFormat="1" applyFont="1" applyFill="1" applyBorder="1" applyAlignment="1" applyProtection="1">
      <alignment horizontal="center" vertical="center" wrapText="1"/>
    </xf>
    <xf numFmtId="0" fontId="8" fillId="0" borderId="6" xfId="54" applyFont="1" applyBorder="1" applyAlignment="1">
      <alignment horizontal="left" vertical="center" wrapText="1"/>
    </xf>
    <xf numFmtId="182" fontId="25" fillId="0" borderId="6" xfId="52" applyNumberFormat="1" applyFont="1" applyBorder="1" applyAlignment="1">
      <alignment horizontal="center" vertical="center" wrapText="1"/>
    </xf>
    <xf numFmtId="1" fontId="25" fillId="0" borderId="6" xfId="52" applyNumberFormat="1" applyFont="1" applyBorder="1" applyAlignment="1">
      <alignment horizontal="center" vertical="center" wrapText="1"/>
    </xf>
    <xf numFmtId="1" fontId="7" fillId="0" borderId="6" xfId="52" applyNumberFormat="1" applyFont="1" applyBorder="1" applyAlignment="1">
      <alignment horizontal="center" vertical="center" wrapText="1"/>
    </xf>
    <xf numFmtId="0" fontId="7" fillId="0" borderId="6" xfId="52" applyFont="1" applyBorder="1" applyAlignment="1">
      <alignment horizontal="center" vertical="center" wrapText="1"/>
    </xf>
    <xf numFmtId="0" fontId="7" fillId="0" borderId="6" xfId="54" applyFont="1" applyBorder="1" applyAlignment="1">
      <alignment horizontal="center" vertical="center" wrapText="1"/>
    </xf>
    <xf numFmtId="1" fontId="25" fillId="0" borderId="6" xfId="51" applyNumberFormat="1" applyFont="1" applyFill="1" applyBorder="1" applyAlignment="1" applyProtection="1">
      <alignment horizontal="center" vertical="center" wrapText="1"/>
    </xf>
    <xf numFmtId="0" fontId="16" fillId="0" borderId="2" xfId="52" applyFont="1" applyBorder="1" applyAlignment="1">
      <alignment horizontal="left" vertical="center" wrapText="1"/>
    </xf>
    <xf numFmtId="0" fontId="16" fillId="0" borderId="17" xfId="52" applyFont="1" applyBorder="1" applyAlignment="1">
      <alignment horizontal="left" vertical="center" wrapText="1"/>
    </xf>
    <xf numFmtId="1" fontId="9" fillId="0" borderId="0" xfId="52" applyNumberFormat="1" applyFont="1" applyAlignment="1">
      <alignment horizontal="center" vertical="center" wrapText="1"/>
    </xf>
    <xf numFmtId="0" fontId="16" fillId="0" borderId="12" xfId="57" applyFont="1" applyBorder="1" applyAlignment="1">
      <alignment horizontal="center" vertical="center" wrapText="1"/>
    </xf>
    <xf numFmtId="182" fontId="8" fillId="0" borderId="2" xfId="0" applyNumberFormat="1" applyFont="1" applyFill="1" applyBorder="1" applyAlignment="1">
      <alignment horizontal="center" vertical="center" wrapText="1"/>
    </xf>
    <xf numFmtId="0" fontId="8" fillId="0" borderId="2" xfId="57" applyFont="1" applyBorder="1" applyAlignment="1">
      <alignment horizontal="center" vertical="center" wrapText="1"/>
    </xf>
    <xf numFmtId="3" fontId="16" fillId="0" borderId="2" xfId="52" applyNumberFormat="1" applyFont="1" applyBorder="1" applyAlignment="1">
      <alignment horizontal="center" vertical="center" wrapText="1"/>
    </xf>
    <xf numFmtId="3" fontId="16" fillId="0" borderId="12" xfId="52" applyNumberFormat="1" applyFont="1" applyBorder="1" applyAlignment="1">
      <alignment horizontal="center" vertical="center" wrapText="1"/>
    </xf>
    <xf numFmtId="0" fontId="16" fillId="0" borderId="17" xfId="57" applyFont="1" applyBorder="1" applyAlignment="1">
      <alignment horizontal="center" vertical="center" wrapText="1"/>
    </xf>
    <xf numFmtId="0" fontId="8" fillId="0" borderId="17" xfId="57" applyFont="1" applyBorder="1" applyAlignment="1">
      <alignment horizontal="center" vertical="center" wrapText="1"/>
    </xf>
    <xf numFmtId="3" fontId="16" fillId="0" borderId="17" xfId="52" applyNumberFormat="1" applyFont="1" applyBorder="1" applyAlignment="1">
      <alignment horizontal="center" vertical="center" wrapText="1"/>
    </xf>
    <xf numFmtId="3" fontId="16" fillId="0" borderId="6" xfId="52" applyNumberFormat="1" applyFont="1" applyBorder="1" applyAlignment="1">
      <alignment horizontal="center" vertical="center" wrapText="1"/>
    </xf>
    <xf numFmtId="3" fontId="16" fillId="0" borderId="11" xfId="52" applyNumberFormat="1" applyFont="1" applyBorder="1" applyAlignment="1">
      <alignment horizontal="center" vertical="center" wrapText="1"/>
    </xf>
    <xf numFmtId="3" fontId="16" fillId="3" borderId="3" xfId="52" applyNumberFormat="1" applyFont="1" applyFill="1" applyBorder="1" applyAlignment="1">
      <alignment horizontal="center" vertical="center" wrapText="1"/>
    </xf>
    <xf numFmtId="3" fontId="16" fillId="0" borderId="3" xfId="52" applyNumberFormat="1" applyFont="1" applyBorder="1" applyAlignment="1">
      <alignment horizontal="center" vertical="center" wrapText="1"/>
    </xf>
    <xf numFmtId="3" fontId="15" fillId="3" borderId="2" xfId="52" applyNumberFormat="1" applyFont="1" applyFill="1" applyBorder="1" applyAlignment="1">
      <alignment horizontal="center" vertical="center" wrapText="1"/>
    </xf>
    <xf numFmtId="3" fontId="15" fillId="0" borderId="2" xfId="52" applyNumberFormat="1" applyFont="1" applyBorder="1" applyAlignment="1">
      <alignment horizontal="center" vertical="center" wrapText="1"/>
    </xf>
    <xf numFmtId="3" fontId="15" fillId="0" borderId="12" xfId="52" applyNumberFormat="1" applyFont="1" applyBorder="1" applyAlignment="1">
      <alignment horizontal="center" vertical="center" wrapText="1"/>
    </xf>
    <xf numFmtId="3" fontId="15" fillId="3" borderId="17" xfId="52" applyNumberFormat="1" applyFont="1" applyFill="1" applyBorder="1" applyAlignment="1">
      <alignment horizontal="center" vertical="center" wrapText="1"/>
    </xf>
    <xf numFmtId="3" fontId="15" fillId="0" borderId="17" xfId="52" applyNumberFormat="1" applyFont="1" applyBorder="1" applyAlignment="1">
      <alignment horizontal="center" vertical="center" wrapText="1"/>
    </xf>
    <xf numFmtId="3" fontId="15" fillId="3" borderId="6" xfId="52" applyNumberFormat="1" applyFont="1" applyFill="1" applyBorder="1" applyAlignment="1">
      <alignment horizontal="center" vertical="center" wrapText="1"/>
    </xf>
    <xf numFmtId="3" fontId="15" fillId="0" borderId="6" xfId="52" applyNumberFormat="1" applyFont="1" applyBorder="1" applyAlignment="1">
      <alignment horizontal="center" vertical="center" wrapText="1"/>
    </xf>
    <xf numFmtId="3" fontId="15" fillId="0" borderId="11" xfId="52" applyNumberFormat="1" applyFont="1" applyBorder="1" applyAlignment="1">
      <alignment horizontal="center" vertical="center" wrapText="1"/>
    </xf>
    <xf numFmtId="1" fontId="15" fillId="0" borderId="12" xfId="52" applyNumberFormat="1" applyFont="1" applyBorder="1" applyAlignment="1">
      <alignment horizontal="center" vertical="center" wrapText="1"/>
    </xf>
    <xf numFmtId="1" fontId="7" fillId="0" borderId="17" xfId="0" applyNumberFormat="1" applyFont="1" applyFill="1" applyBorder="1" applyAlignment="1">
      <alignment horizontal="center" vertical="center" wrapText="1"/>
    </xf>
    <xf numFmtId="3" fontId="25" fillId="0" borderId="6" xfId="52" applyNumberFormat="1" applyFont="1" applyBorder="1" applyAlignment="1">
      <alignment horizontal="center" vertical="center" wrapText="1"/>
    </xf>
    <xf numFmtId="3" fontId="26" fillId="0" borderId="17" xfId="52" applyNumberFormat="1" applyFont="1" applyBorder="1" applyAlignment="1">
      <alignment horizontal="center" vertical="center" wrapText="1"/>
    </xf>
    <xf numFmtId="182" fontId="25" fillId="3" borderId="6" xfId="52" applyNumberFormat="1" applyFont="1" applyFill="1" applyBorder="1" applyAlignment="1">
      <alignment horizontal="center" vertical="center" wrapText="1"/>
    </xf>
    <xf numFmtId="1" fontId="25" fillId="3" borderId="6" xfId="52" applyNumberFormat="1" applyFont="1" applyFill="1" applyBorder="1" applyAlignment="1">
      <alignment horizontal="center" vertical="center" wrapText="1"/>
    </xf>
    <xf numFmtId="0" fontId="25" fillId="3" borderId="6" xfId="57" applyFont="1" applyFill="1" applyBorder="1" applyAlignment="1">
      <alignment horizontal="center" vertical="center" wrapText="1"/>
    </xf>
    <xf numFmtId="0" fontId="25" fillId="3" borderId="6" xfId="57" applyFont="1" applyFill="1" applyBorder="1" applyAlignment="1">
      <alignment vertical="center" wrapText="1"/>
    </xf>
    <xf numFmtId="0" fontId="26" fillId="3" borderId="6" xfId="52" applyFont="1" applyFill="1" applyBorder="1" applyAlignment="1">
      <alignment horizontal="justify" vertical="center" wrapText="1"/>
    </xf>
    <xf numFmtId="0" fontId="25" fillId="3" borderId="6" xfId="52" applyFont="1" applyFill="1" applyBorder="1" applyAlignment="1">
      <alignment horizontal="center" vertical="center" wrapText="1"/>
    </xf>
    <xf numFmtId="1" fontId="25" fillId="3" borderId="6" xfId="51" applyNumberFormat="1" applyFont="1" applyFill="1" applyBorder="1" applyAlignment="1" applyProtection="1">
      <alignment horizontal="center" vertical="center" wrapText="1"/>
    </xf>
    <xf numFmtId="0" fontId="15" fillId="0" borderId="6" xfId="53" applyFont="1" applyBorder="1" applyAlignment="1">
      <alignment horizontal="left" vertical="center" wrapText="1"/>
    </xf>
    <xf numFmtId="0" fontId="15" fillId="0" borderId="6" xfId="52" applyFont="1" applyBorder="1" applyAlignment="1">
      <alignment horizontal="justify" vertical="center" wrapText="1"/>
    </xf>
    <xf numFmtId="1" fontId="15" fillId="0" borderId="6" xfId="57" applyNumberFormat="1" applyFont="1" applyBorder="1" applyAlignment="1">
      <alignment horizontal="center" vertical="center" wrapText="1"/>
    </xf>
    <xf numFmtId="1" fontId="7" fillId="3" borderId="17" xfId="0" applyNumberFormat="1" applyFont="1" applyFill="1" applyBorder="1" applyAlignment="1">
      <alignment horizontal="center" vertical="center" wrapText="1"/>
    </xf>
    <xf numFmtId="3" fontId="25" fillId="3" borderId="6" xfId="52" applyNumberFormat="1" applyFont="1" applyFill="1" applyBorder="1" applyAlignment="1">
      <alignment horizontal="center" vertical="center" wrapText="1"/>
    </xf>
    <xf numFmtId="3" fontId="26" fillId="3" borderId="17" xfId="52" applyNumberFormat="1" applyFont="1" applyFill="1" applyBorder="1" applyAlignment="1">
      <alignment horizontal="center" vertical="center" wrapText="1"/>
    </xf>
    <xf numFmtId="1" fontId="15" fillId="0" borderId="11" xfId="57" applyNumberFormat="1" applyFont="1" applyBorder="1" applyAlignment="1">
      <alignment horizontal="center" vertical="center" wrapText="1"/>
    </xf>
    <xf numFmtId="1" fontId="15" fillId="0" borderId="6" xfId="57" applyNumberFormat="1" applyFont="1" applyBorder="1" applyAlignment="1">
      <alignment horizontal="left" vertical="center" wrapText="1"/>
    </xf>
    <xf numFmtId="2" fontId="16" fillId="0" borderId="1" xfId="52" applyNumberFormat="1" applyFont="1" applyBorder="1" applyAlignment="1">
      <alignment horizontal="center" vertical="center" wrapText="1"/>
    </xf>
    <xf numFmtId="0" fontId="15" fillId="0" borderId="17" xfId="57" applyFont="1" applyBorder="1" applyAlignment="1">
      <alignment horizontal="left" vertical="center" wrapText="1"/>
    </xf>
    <xf numFmtId="0" fontId="16" fillId="0" borderId="11" xfId="57" applyFont="1" applyBorder="1" applyAlignment="1">
      <alignment horizontal="left" vertical="center" wrapText="1"/>
    </xf>
    <xf numFmtId="0" fontId="15" fillId="0" borderId="1" xfId="52" applyFont="1" applyBorder="1" applyAlignment="1">
      <alignment vertical="center" wrapText="1"/>
    </xf>
    <xf numFmtId="0" fontId="15" fillId="0" borderId="2" xfId="52" applyFont="1" applyBorder="1" applyAlignment="1">
      <alignment vertical="center" wrapText="1"/>
    </xf>
    <xf numFmtId="1" fontId="15" fillId="0" borderId="2" xfId="52" applyNumberFormat="1" applyFont="1" applyBorder="1" applyAlignment="1">
      <alignment vertical="center" wrapText="1"/>
    </xf>
    <xf numFmtId="180" fontId="15" fillId="0" borderId="6" xfId="51" applyFont="1" applyFill="1" applyBorder="1" applyAlignment="1" applyProtection="1">
      <alignment horizontal="right" vertical="center" wrapText="1"/>
    </xf>
    <xf numFmtId="3" fontId="16" fillId="0" borderId="2" xfId="52" applyNumberFormat="1" applyFont="1" applyBorder="1" applyAlignment="1">
      <alignment vertical="center" wrapText="1"/>
    </xf>
    <xf numFmtId="0" fontId="15" fillId="0" borderId="12" xfId="52" applyFont="1" applyBorder="1" applyAlignment="1">
      <alignment vertical="center" wrapText="1"/>
    </xf>
    <xf numFmtId="0" fontId="15" fillId="3" borderId="0" xfId="52" applyFont="1" applyFill="1" applyAlignment="1">
      <alignment horizontal="center" vertical="center"/>
    </xf>
    <xf numFmtId="0" fontId="15" fillId="0" borderId="0" xfId="52" applyFont="1" applyAlignment="1">
      <alignment horizontal="center" vertical="center"/>
    </xf>
    <xf numFmtId="0" fontId="15" fillId="0" borderId="0" xfId="52" applyFont="1" applyAlignment="1">
      <alignment horizontal="left" vertical="center" wrapText="1"/>
    </xf>
    <xf numFmtId="0" fontId="16" fillId="0" borderId="0" xfId="57" applyFont="1" applyAlignment="1">
      <alignment horizontal="center" vertical="center"/>
    </xf>
    <xf numFmtId="1" fontId="16" fillId="0" borderId="0" xfId="52" applyNumberFormat="1" applyFont="1" applyAlignment="1">
      <alignment horizontal="center" vertical="center"/>
    </xf>
    <xf numFmtId="1" fontId="10" fillId="0" borderId="11" xfId="52" applyNumberFormat="1" applyFont="1" applyBorder="1" applyAlignment="1">
      <alignment horizontal="left" vertical="center" wrapText="1"/>
    </xf>
    <xf numFmtId="0" fontId="10" fillId="0" borderId="2" xfId="52" applyFont="1" applyBorder="1" applyAlignment="1">
      <alignment horizontal="left" vertical="center" wrapText="1"/>
    </xf>
    <xf numFmtId="182" fontId="8" fillId="0" borderId="3" xfId="52" applyNumberFormat="1" applyFont="1" applyBorder="1" applyAlignment="1">
      <alignment horizontal="center" vertical="center"/>
    </xf>
    <xf numFmtId="0" fontId="8" fillId="0" borderId="3" xfId="52" applyFont="1" applyBorder="1" applyAlignment="1">
      <alignment horizontal="center" vertical="center"/>
    </xf>
    <xf numFmtId="0" fontId="10" fillId="0" borderId="3" xfId="52" applyFont="1" applyBorder="1" applyAlignment="1">
      <alignment horizontal="left" vertical="center" wrapText="1"/>
    </xf>
    <xf numFmtId="0" fontId="10" fillId="0" borderId="3" xfId="52" applyFont="1" applyBorder="1" applyAlignment="1">
      <alignment horizontal="center" vertical="center"/>
    </xf>
    <xf numFmtId="183" fontId="10" fillId="0" borderId="3" xfId="51" applyNumberFormat="1" applyFont="1" applyFill="1" applyBorder="1" applyAlignment="1" applyProtection="1">
      <alignment horizontal="center" vertical="center"/>
    </xf>
    <xf numFmtId="182" fontId="8" fillId="0" borderId="1" xfId="52" applyNumberFormat="1" applyFont="1" applyBorder="1" applyAlignment="1">
      <alignment horizontal="center" vertical="center"/>
    </xf>
    <xf numFmtId="0" fontId="8" fillId="0" borderId="2" xfId="52" applyFont="1" applyBorder="1" applyAlignment="1">
      <alignment horizontal="center" vertical="center"/>
    </xf>
    <xf numFmtId="183" fontId="8" fillId="0" borderId="2" xfId="51" applyNumberFormat="1" applyFont="1" applyFill="1" applyBorder="1" applyAlignment="1" applyProtection="1">
      <alignment horizontal="center" vertical="center"/>
    </xf>
    <xf numFmtId="182" fontId="8" fillId="0" borderId="17" xfId="52" applyNumberFormat="1" applyFont="1" applyBorder="1" applyAlignment="1">
      <alignment horizontal="center" vertical="center"/>
    </xf>
    <xf numFmtId="0" fontId="8" fillId="0" borderId="17" xfId="52" applyFont="1" applyBorder="1" applyAlignment="1">
      <alignment horizontal="center" vertical="center"/>
    </xf>
    <xf numFmtId="0" fontId="10" fillId="0" borderId="17" xfId="52" applyFont="1" applyBorder="1" applyAlignment="1">
      <alignment horizontal="left" vertical="center" wrapText="1"/>
    </xf>
    <xf numFmtId="183" fontId="8" fillId="0" borderId="17" xfId="51" applyNumberFormat="1" applyFont="1" applyFill="1" applyBorder="1" applyAlignment="1" applyProtection="1">
      <alignment horizontal="center" vertical="center"/>
    </xf>
    <xf numFmtId="182" fontId="8" fillId="0" borderId="6" xfId="52" applyNumberFormat="1" applyFont="1" applyBorder="1" applyAlignment="1">
      <alignment horizontal="center" vertical="center"/>
    </xf>
    <xf numFmtId="0" fontId="8" fillId="0" borderId="6" xfId="52" applyFont="1" applyBorder="1" applyAlignment="1">
      <alignment horizontal="center" vertical="center"/>
    </xf>
    <xf numFmtId="0" fontId="8" fillId="0" borderId="6" xfId="52" applyFont="1" applyBorder="1" applyAlignment="1">
      <alignment horizontal="left" vertical="center" wrapText="1"/>
    </xf>
    <xf numFmtId="0" fontId="10" fillId="0" borderId="6" xfId="52" applyFont="1" applyBorder="1" applyAlignment="1">
      <alignment vertical="center" wrapText="1"/>
    </xf>
    <xf numFmtId="1" fontId="8" fillId="0" borderId="6" xfId="51" applyNumberFormat="1" applyFont="1" applyFill="1" applyBorder="1" applyAlignment="1" applyProtection="1">
      <alignment horizontal="center" vertical="center" wrapText="1"/>
    </xf>
    <xf numFmtId="1" fontId="8" fillId="0" borderId="6" xfId="57" applyNumberFormat="1" applyFont="1" applyBorder="1" applyAlignment="1">
      <alignment horizontal="left" vertical="center" wrapText="1"/>
    </xf>
    <xf numFmtId="1" fontId="8" fillId="0" borderId="6" xfId="52" applyNumberFormat="1" applyFont="1" applyBorder="1" applyAlignment="1">
      <alignment horizontal="center" vertical="center"/>
    </xf>
    <xf numFmtId="0" fontId="10" fillId="0" borderId="6" xfId="55" applyFont="1" applyBorder="1" applyAlignment="1">
      <alignment horizontal="left" vertical="center" wrapText="1"/>
    </xf>
    <xf numFmtId="1" fontId="10" fillId="0" borderId="6" xfId="57" applyNumberFormat="1" applyFont="1" applyBorder="1" applyAlignment="1">
      <alignment horizontal="left" vertical="center" wrapText="1"/>
    </xf>
    <xf numFmtId="182" fontId="8" fillId="0" borderId="11" xfId="52" applyNumberFormat="1" applyFont="1" applyBorder="1" applyAlignment="1">
      <alignment horizontal="center" vertical="center"/>
    </xf>
    <xf numFmtId="0" fontId="8" fillId="0" borderId="11" xfId="52" applyFont="1" applyBorder="1" applyAlignment="1">
      <alignment horizontal="center" vertical="center"/>
    </xf>
    <xf numFmtId="0" fontId="8" fillId="0" borderId="11" xfId="52" applyFont="1" applyBorder="1" applyAlignment="1">
      <alignment horizontal="left" vertical="center" wrapText="1"/>
    </xf>
    <xf numFmtId="183" fontId="8" fillId="0" borderId="11" xfId="51" applyNumberFormat="1" applyFont="1" applyFill="1" applyBorder="1" applyAlignment="1" applyProtection="1">
      <alignment horizontal="center" vertical="center"/>
    </xf>
    <xf numFmtId="182" fontId="10" fillId="0" borderId="1" xfId="52" applyNumberFormat="1" applyFont="1" applyBorder="1" applyAlignment="1">
      <alignment horizontal="center" vertical="center"/>
    </xf>
    <xf numFmtId="1" fontId="10" fillId="0" borderId="2" xfId="52" applyNumberFormat="1" applyFont="1" applyBorder="1" applyAlignment="1">
      <alignment horizontal="center" vertical="center"/>
    </xf>
    <xf numFmtId="0" fontId="10" fillId="0" borderId="2" xfId="52" applyFont="1" applyBorder="1" applyAlignment="1">
      <alignment horizontal="center" vertical="center"/>
    </xf>
    <xf numFmtId="183" fontId="10" fillId="0" borderId="2" xfId="51" applyNumberFormat="1" applyFont="1" applyFill="1" applyBorder="1" applyAlignment="1" applyProtection="1">
      <alignment horizontal="center" vertical="center"/>
    </xf>
    <xf numFmtId="1" fontId="8" fillId="0" borderId="17" xfId="52" applyNumberFormat="1" applyFont="1" applyBorder="1" applyAlignment="1">
      <alignment horizontal="center" vertical="center"/>
    </xf>
    <xf numFmtId="0" fontId="8" fillId="0" borderId="6" xfId="57" applyFont="1" applyBorder="1" applyAlignment="1">
      <alignment vertical="center" wrapText="1"/>
    </xf>
    <xf numFmtId="0" fontId="10" fillId="0" borderId="6" xfId="52" applyFont="1" applyBorder="1" applyAlignment="1">
      <alignment horizontal="justify" vertical="center" wrapText="1"/>
    </xf>
    <xf numFmtId="1" fontId="8" fillId="0" borderId="11" xfId="52" applyNumberFormat="1" applyFont="1" applyBorder="1" applyAlignment="1">
      <alignment horizontal="center" vertical="center"/>
    </xf>
    <xf numFmtId="0" fontId="8" fillId="0" borderId="11" xfId="57" applyFont="1" applyBorder="1" applyAlignment="1">
      <alignment horizontal="left" vertical="center" wrapText="1"/>
    </xf>
    <xf numFmtId="0" fontId="8" fillId="0" borderId="6" xfId="53" applyFont="1" applyBorder="1" applyAlignment="1">
      <alignment horizontal="left" vertical="center" wrapText="1"/>
    </xf>
    <xf numFmtId="2" fontId="8" fillId="0" borderId="6" xfId="52" applyNumberFormat="1" applyFont="1" applyBorder="1" applyAlignment="1">
      <alignment horizontal="center" vertical="center"/>
    </xf>
    <xf numFmtId="1" fontId="8" fillId="0" borderId="11" xfId="57" applyNumberFormat="1" applyFont="1" applyBorder="1" applyAlignment="1">
      <alignment horizontal="left" vertical="center" wrapText="1"/>
    </xf>
    <xf numFmtId="1" fontId="10" fillId="0" borderId="15" xfId="52" applyNumberFormat="1" applyFont="1" applyBorder="1" applyAlignment="1">
      <alignment vertical="center"/>
    </xf>
    <xf numFmtId="1" fontId="10" fillId="0" borderId="16" xfId="52" applyNumberFormat="1" applyFont="1" applyBorder="1" applyAlignment="1">
      <alignment vertical="center"/>
    </xf>
    <xf numFmtId="180" fontId="10" fillId="0" borderId="3" xfId="51" applyFont="1" applyFill="1" applyBorder="1" applyAlignment="1" applyProtection="1">
      <alignment horizontal="center" vertical="center"/>
    </xf>
    <xf numFmtId="180" fontId="8" fillId="0" borderId="2" xfId="51" applyFont="1" applyFill="1" applyBorder="1" applyAlignment="1" applyProtection="1">
      <alignment horizontal="center" vertical="center"/>
    </xf>
    <xf numFmtId="0" fontId="8" fillId="0" borderId="12" xfId="52" applyFont="1" applyBorder="1" applyAlignment="1">
      <alignment horizontal="center" vertical="center"/>
    </xf>
    <xf numFmtId="180" fontId="8" fillId="0" borderId="17" xfId="51" applyFont="1" applyFill="1" applyBorder="1" applyAlignment="1" applyProtection="1">
      <alignment horizontal="center" vertical="center"/>
    </xf>
    <xf numFmtId="1" fontId="8" fillId="0" borderId="6" xfId="52" applyNumberFormat="1" applyFont="1" applyBorder="1" applyAlignment="1">
      <alignment vertical="center" wrapText="1"/>
    </xf>
    <xf numFmtId="3" fontId="8" fillId="3" borderId="6" xfId="52" applyNumberFormat="1" applyFont="1" applyFill="1" applyBorder="1" applyAlignment="1">
      <alignment horizontal="center" vertical="center" wrapText="1"/>
    </xf>
    <xf numFmtId="3" fontId="8" fillId="0" borderId="6" xfId="52" applyNumberFormat="1" applyFont="1" applyBorder="1" applyAlignment="1">
      <alignment horizontal="center" vertical="center" wrapText="1"/>
    </xf>
    <xf numFmtId="1" fontId="8" fillId="3" borderId="6" xfId="51" applyNumberFormat="1" applyFont="1" applyFill="1" applyBorder="1" applyAlignment="1" applyProtection="1">
      <alignment horizontal="center" vertical="center" wrapText="1"/>
    </xf>
    <xf numFmtId="183" fontId="8" fillId="3" borderId="6" xfId="51" applyNumberFormat="1" applyFont="1" applyFill="1" applyBorder="1" applyAlignment="1" applyProtection="1">
      <alignment horizontal="center" vertical="center"/>
    </xf>
    <xf numFmtId="0" fontId="10" fillId="0" borderId="12" xfId="52" applyFont="1" applyBorder="1" applyAlignment="1">
      <alignment horizontal="center" vertical="center"/>
    </xf>
    <xf numFmtId="180" fontId="8" fillId="0" borderId="6" xfId="51" applyFont="1" applyFill="1" applyBorder="1" applyAlignment="1" applyProtection="1">
      <alignment horizontal="center" vertical="center"/>
    </xf>
    <xf numFmtId="182" fontId="8" fillId="3" borderId="6" xfId="52" applyNumberFormat="1" applyFont="1" applyFill="1" applyBorder="1" applyAlignment="1">
      <alignment horizontal="center" vertical="center"/>
    </xf>
    <xf numFmtId="1" fontId="8" fillId="3" borderId="6" xfId="52" applyNumberFormat="1" applyFont="1" applyFill="1" applyBorder="1" applyAlignment="1">
      <alignment horizontal="center" vertical="center"/>
    </xf>
    <xf numFmtId="0" fontId="10" fillId="3" borderId="6" xfId="52" applyFont="1" applyFill="1" applyBorder="1" applyAlignment="1">
      <alignment horizontal="left" vertical="center" wrapText="1"/>
    </xf>
    <xf numFmtId="0" fontId="8" fillId="3" borderId="6" xfId="52" applyFont="1" applyFill="1" applyBorder="1" applyAlignment="1">
      <alignment horizontal="center" vertical="center"/>
    </xf>
    <xf numFmtId="0" fontId="8" fillId="3" borderId="6" xfId="52" applyFont="1" applyFill="1" applyBorder="1" applyAlignment="1">
      <alignment horizontal="left" vertical="center" wrapText="1"/>
    </xf>
    <xf numFmtId="0" fontId="8" fillId="3" borderId="6" xfId="57" applyFont="1" applyFill="1" applyBorder="1" applyAlignment="1">
      <alignment horizontal="left" vertical="center" wrapText="1"/>
    </xf>
    <xf numFmtId="2" fontId="8" fillId="0" borderId="11" xfId="52" applyNumberFormat="1" applyFont="1" applyBorder="1" applyAlignment="1">
      <alignment horizontal="center" vertical="center"/>
    </xf>
    <xf numFmtId="2" fontId="10" fillId="0" borderId="1" xfId="52" applyNumberFormat="1" applyFont="1" applyBorder="1" applyAlignment="1">
      <alignment horizontal="center" vertical="center"/>
    </xf>
    <xf numFmtId="2" fontId="8" fillId="0" borderId="17" xfId="52" applyNumberFormat="1" applyFont="1" applyBorder="1" applyAlignment="1">
      <alignment horizontal="center" vertical="center"/>
    </xf>
    <xf numFmtId="0" fontId="10" fillId="0" borderId="6" xfId="57" applyFont="1" applyBorder="1" applyAlignment="1">
      <alignment horizontal="left" vertical="center" wrapText="1"/>
    </xf>
    <xf numFmtId="0" fontId="19" fillId="0" borderId="0" xfId="52" applyFont="1" applyAlignment="1">
      <alignment horizontal="left" vertical="center"/>
    </xf>
    <xf numFmtId="0" fontId="8" fillId="3" borderId="6" xfId="52" applyFont="1" applyFill="1" applyBorder="1" applyAlignment="1">
      <alignment vertical="center" wrapText="1"/>
    </xf>
    <xf numFmtId="0" fontId="15" fillId="3" borderId="0" xfId="52" applyFont="1" applyFill="1" applyAlignment="1">
      <alignment horizontal="left" vertical="center"/>
    </xf>
    <xf numFmtId="180" fontId="8" fillId="3" borderId="6" xfId="51" applyFont="1" applyFill="1" applyBorder="1" applyAlignment="1" applyProtection="1">
      <alignment horizontal="center" vertical="center"/>
    </xf>
    <xf numFmtId="180" fontId="8" fillId="0" borderId="11" xfId="51" applyFont="1" applyFill="1" applyBorder="1" applyAlignment="1" applyProtection="1">
      <alignment horizontal="center" vertical="center"/>
    </xf>
    <xf numFmtId="180" fontId="10" fillId="0" borderId="2" xfId="51" applyFont="1" applyFill="1" applyBorder="1" applyAlignment="1" applyProtection="1">
      <alignment horizontal="center" vertical="center"/>
    </xf>
    <xf numFmtId="0" fontId="15" fillId="0" borderId="0" xfId="52" applyFont="1" applyAlignment="1">
      <alignment horizontal="left" vertical="center"/>
    </xf>
    <xf numFmtId="180" fontId="8" fillId="0" borderId="6" xfId="51" applyFont="1" applyFill="1" applyBorder="1" applyAlignment="1" applyProtection="1">
      <alignment horizontal="right" vertical="center" wrapText="1"/>
    </xf>
    <xf numFmtId="185" fontId="10" fillId="3" borderId="6" xfId="1" applyNumberFormat="1" applyFont="1" applyFill="1" applyBorder="1" applyAlignment="1">
      <alignment horizontal="center" vertical="center"/>
    </xf>
    <xf numFmtId="0" fontId="25" fillId="0" borderId="0" xfId="58" applyFont="1"/>
    <xf numFmtId="0" fontId="27" fillId="0" borderId="6" xfId="58" applyFont="1" applyBorder="1" applyAlignment="1">
      <alignment horizontal="center" vertical="center"/>
    </xf>
    <xf numFmtId="0" fontId="28" fillId="0" borderId="11" xfId="58" applyFont="1" applyBorder="1" applyAlignment="1">
      <alignment horizontal="center" vertical="center"/>
    </xf>
    <xf numFmtId="0" fontId="29" fillId="0" borderId="11" xfId="58" applyFont="1" applyBorder="1" applyAlignment="1">
      <alignment horizontal="center" vertical="center"/>
    </xf>
    <xf numFmtId="0" fontId="28" fillId="0" borderId="1" xfId="58" applyFont="1" applyBorder="1" applyAlignment="1">
      <alignment horizontal="center" vertical="center"/>
    </xf>
    <xf numFmtId="0" fontId="28" fillId="0" borderId="2" xfId="58" applyFont="1" applyBorder="1" applyAlignment="1">
      <alignment horizontal="center" vertical="center"/>
    </xf>
    <xf numFmtId="0" fontId="28" fillId="0" borderId="12" xfId="58" applyFont="1" applyBorder="1" applyAlignment="1">
      <alignment horizontal="center" vertical="center"/>
    </xf>
    <xf numFmtId="0" fontId="25" fillId="0" borderId="17" xfId="58" applyFont="1" applyBorder="1" applyAlignment="1">
      <alignment horizontal="center" vertical="center"/>
    </xf>
    <xf numFmtId="0" fontId="25" fillId="0" borderId="6" xfId="58" applyFont="1" applyBorder="1" applyAlignment="1">
      <alignment horizontal="center" vertical="center"/>
    </xf>
    <xf numFmtId="176" fontId="25" fillId="0" borderId="6" xfId="1" applyFont="1" applyFill="1" applyBorder="1" applyAlignment="1" applyProtection="1">
      <alignment horizontal="center" vertical="center"/>
    </xf>
    <xf numFmtId="176" fontId="0" fillId="0" borderId="6" xfId="1" applyFont="1" applyBorder="1" applyAlignment="1">
      <alignment horizontal="center" vertical="center" wrapText="1"/>
    </xf>
    <xf numFmtId="0" fontId="25" fillId="0" borderId="11" xfId="58" applyFont="1" applyBorder="1" applyAlignment="1">
      <alignment horizontal="center" vertical="center"/>
    </xf>
    <xf numFmtId="176" fontId="0" fillId="0" borderId="11" xfId="1" applyFont="1" applyBorder="1" applyAlignment="1">
      <alignment horizontal="center" vertical="center" wrapText="1"/>
    </xf>
    <xf numFmtId="176" fontId="25" fillId="0" borderId="11" xfId="1" applyFont="1" applyFill="1" applyBorder="1" applyAlignment="1" applyProtection="1">
      <alignment horizontal="center" vertical="center"/>
    </xf>
    <xf numFmtId="0" fontId="12" fillId="0" borderId="1" xfId="58" applyFont="1" applyBorder="1" applyAlignment="1">
      <alignment horizontal="center" vertical="center"/>
    </xf>
    <xf numFmtId="0" fontId="12" fillId="0" borderId="2" xfId="58" applyFont="1" applyBorder="1" applyAlignment="1">
      <alignment horizontal="center" vertical="center"/>
    </xf>
    <xf numFmtId="176" fontId="12" fillId="0" borderId="12" xfId="1" applyFont="1" applyFill="1" applyBorder="1" applyAlignment="1" applyProtection="1">
      <alignment horizontal="center" vertical="center"/>
    </xf>
    <xf numFmtId="0" fontId="12" fillId="0" borderId="17" xfId="58" applyFont="1" applyBorder="1" applyAlignment="1">
      <alignment horizontal="center" vertical="center"/>
    </xf>
    <xf numFmtId="176" fontId="12" fillId="0" borderId="17" xfId="1" applyFont="1" applyFill="1" applyBorder="1" applyAlignment="1" applyProtection="1">
      <alignment horizontal="center" vertical="center"/>
    </xf>
    <xf numFmtId="0" fontId="12" fillId="0" borderId="3" xfId="58" applyFont="1" applyBorder="1" applyAlignment="1">
      <alignment horizontal="center" vertical="center"/>
    </xf>
    <xf numFmtId="0" fontId="7" fillId="0" borderId="3" xfId="58" applyFont="1" applyBorder="1" applyAlignment="1">
      <alignment horizontal="center" vertical="center"/>
    </xf>
    <xf numFmtId="176" fontId="7" fillId="0" borderId="3" xfId="1" applyFont="1" applyFill="1" applyBorder="1" applyAlignment="1" applyProtection="1">
      <alignment horizontal="center" vertical="center"/>
    </xf>
    <xf numFmtId="0" fontId="25" fillId="0" borderId="0" xfId="58" applyFont="1" applyAlignment="1">
      <alignment horizontal="center" vertical="center"/>
    </xf>
    <xf numFmtId="1" fontId="25" fillId="0" borderId="0" xfId="58" applyNumberFormat="1" applyFont="1" applyAlignment="1">
      <alignment horizontal="center" vertical="center"/>
    </xf>
    <xf numFmtId="0" fontId="30" fillId="0" borderId="0" xfId="58" applyFont="1"/>
    <xf numFmtId="0" fontId="24" fillId="0" borderId="0" xfId="58" applyFont="1"/>
    <xf numFmtId="0" fontId="24" fillId="0" borderId="0" xfId="58" applyFont="1" applyAlignment="1">
      <alignment horizontal="left" wrapText="1"/>
    </xf>
  </cellXfs>
  <cellStyles count="61">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Comma 2" xfId="49"/>
    <cellStyle name="Comma 3" xfId="50"/>
    <cellStyle name="Comma 4" xfId="51"/>
    <cellStyle name="Excel Built-in Normal" xfId="52"/>
    <cellStyle name="Normal 10" xfId="53"/>
    <cellStyle name="Normal 2" xfId="54"/>
    <cellStyle name="Normal 2 2" xfId="55"/>
    <cellStyle name="Normal 2 3" xfId="56"/>
    <cellStyle name="Normal 3" xfId="57"/>
    <cellStyle name="Normal 4" xfId="58"/>
    <cellStyle name="Normal 6" xfId="59"/>
    <cellStyle name="Normal 9" xfId="60"/>
  </cellStyles>
  <dxfs count="1">
    <dxf>
      <font>
        <color rgb="FF9C0006"/>
      </font>
      <fill>
        <patternFill patternType="solid">
          <bgColor rgb="FFFFC7CE"/>
        </patternFill>
      </fill>
    </dxf>
  </dxfs>
  <tableStyles count="0"/>
  <colors>
    <indexedColors>
      <rgbColor rgb="00000000"/>
      <rgbColor rgb="00FFFFFF"/>
      <rgbColor rgb="00FF0000"/>
      <rgbColor rgb="0000FF00"/>
      <rgbColor rgb="000000FF"/>
      <rgbColor rgb="00FFFF00"/>
      <rgbColor rgb="00FF00FF"/>
      <rgbColor rgb="0000FFFF"/>
      <rgbColor rgb="00000000"/>
      <rgbColor rgb="00FF2600"/>
      <rgbColor rgb="00AAAAAA"/>
      <rgbColor rgb="004D5D2C"/>
      <rgbColor rgb="00CE222B"/>
      <rgbColor rgb="00FF0000"/>
      <rgbColor rgb="00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38"/>
  <sheetViews>
    <sheetView workbookViewId="0">
      <selection activeCell="D16" sqref="D16:E16"/>
    </sheetView>
  </sheetViews>
  <sheetFormatPr defaultColWidth="9" defaultRowHeight="12.75" outlineLevelCol="2"/>
  <cols>
    <col min="1" max="1" width="6.375" style="573" customWidth="1"/>
    <col min="2" max="2" width="44.125" style="573" customWidth="1"/>
    <col min="3" max="3" width="17.625" style="573" customWidth="1"/>
    <col min="4" max="16384" width="9" style="573"/>
  </cols>
  <sheetData>
    <row r="2" ht="23.25" customHeight="1" spans="1:3">
      <c r="A2" s="574" t="s">
        <v>0</v>
      </c>
      <c r="B2" s="574"/>
      <c r="C2" s="574"/>
    </row>
    <row r="4" ht="21" customHeight="1" spans="1:3">
      <c r="A4" s="575" t="s">
        <v>1</v>
      </c>
      <c r="B4" s="576"/>
      <c r="C4" s="575" t="s">
        <v>2</v>
      </c>
    </row>
    <row r="5" ht="21" customHeight="1" spans="1:3">
      <c r="A5" s="577" t="s">
        <v>3</v>
      </c>
      <c r="B5" s="578" t="s">
        <v>4</v>
      </c>
      <c r="C5" s="579" t="s">
        <v>5</v>
      </c>
    </row>
    <row r="6" ht="13.5" customHeight="1" spans="1:3">
      <c r="A6" s="580"/>
      <c r="B6" s="580"/>
      <c r="C6" s="580"/>
    </row>
    <row r="7" ht="23.25" customHeight="1" spans="1:3">
      <c r="A7" s="581">
        <v>1</v>
      </c>
      <c r="B7" s="581" t="s">
        <v>6</v>
      </c>
      <c r="C7" s="582">
        <f>'0 Overall'!J91</f>
        <v>5630163</v>
      </c>
    </row>
    <row r="8" ht="23.25" customHeight="1" spans="1:3">
      <c r="A8" s="581">
        <v>2</v>
      </c>
      <c r="B8" s="581" t="s">
        <v>7</v>
      </c>
      <c r="C8" s="582">
        <f>'welcome zone'!O159</f>
        <v>6816555</v>
      </c>
    </row>
    <row r="9" ht="23.25" customHeight="1" spans="1:3">
      <c r="A9" s="581">
        <v>3</v>
      </c>
      <c r="B9" s="581" t="s">
        <v>8</v>
      </c>
      <c r="C9" s="582">
        <f>'fine dine &amp; live kitchen'!J139</f>
        <v>6132040</v>
      </c>
    </row>
    <row r="10" ht="23.25" customHeight="1" spans="1:3">
      <c r="A10" s="581">
        <v>4</v>
      </c>
      <c r="B10" s="581" t="s">
        <v>9</v>
      </c>
      <c r="C10" s="582">
        <f>'tea lounge'!K51</f>
        <v>4104300</v>
      </c>
    </row>
    <row r="11" ht="23.25" customHeight="1" spans="1:3">
      <c r="A11" s="581">
        <v>5</v>
      </c>
      <c r="B11" s="581" t="s">
        <v>10</v>
      </c>
      <c r="C11" s="582">
        <f>'sports &amp; relax lounge'!L103</f>
        <v>6068873</v>
      </c>
    </row>
    <row r="12" ht="23.25" customHeight="1" spans="1:3">
      <c r="A12" s="581">
        <v>6</v>
      </c>
      <c r="B12" s="581" t="s">
        <v>11</v>
      </c>
      <c r="C12" s="582">
        <f>SPA!J194</f>
        <v>4190567.5</v>
      </c>
    </row>
    <row r="13" ht="23.25" customHeight="1" spans="1:3">
      <c r="A13" s="581">
        <v>7</v>
      </c>
      <c r="B13" s="581" t="s">
        <v>12</v>
      </c>
      <c r="C13" s="583">
        <f>'Water Lounge'!J243</f>
        <v>8833020</v>
      </c>
    </row>
    <row r="14" ht="23.25" customHeight="1" spans="1:3">
      <c r="A14" s="584">
        <v>8</v>
      </c>
      <c r="B14" s="584" t="s">
        <v>13</v>
      </c>
      <c r="C14" s="585">
        <f>'CIVIL-WET WORK'!N171</f>
        <v>7975686.5</v>
      </c>
    </row>
    <row r="15" ht="23.25" customHeight="1" spans="1:3">
      <c r="A15" s="584"/>
      <c r="B15" s="584"/>
      <c r="C15" s="586"/>
    </row>
    <row r="16" ht="23.25" customHeight="1" spans="1:3">
      <c r="A16" s="587"/>
      <c r="B16" s="588" t="s">
        <v>14</v>
      </c>
      <c r="C16" s="589">
        <f>SUM(C7:C15)</f>
        <v>49751205</v>
      </c>
    </row>
    <row r="17" ht="23.25" customHeight="1" spans="1:3">
      <c r="A17" s="590"/>
      <c r="B17" s="590"/>
      <c r="C17" s="591"/>
    </row>
    <row r="18" ht="23.25" customHeight="1" spans="1:3">
      <c r="A18" s="592"/>
      <c r="B18" s="593" t="s">
        <v>15</v>
      </c>
      <c r="C18" s="594">
        <f>SUM(C16*10%)</f>
        <v>4975120.5</v>
      </c>
    </row>
    <row r="19" ht="23.25" customHeight="1" spans="1:3">
      <c r="A19" s="587"/>
      <c r="B19" s="588" t="s">
        <v>16</v>
      </c>
      <c r="C19" s="589">
        <f>SUM(C16:C18)</f>
        <v>54726325.5</v>
      </c>
    </row>
    <row r="20" ht="23.25" customHeight="1" spans="1:3">
      <c r="A20" s="595"/>
      <c r="B20" s="595"/>
      <c r="C20" s="596"/>
    </row>
    <row r="21" ht="13.5" customHeight="1" spans="1:2">
      <c r="A21" s="597" t="s">
        <v>17</v>
      </c>
      <c r="B21" s="598"/>
    </row>
    <row r="22" spans="1:2">
      <c r="A22" s="598" t="s">
        <v>18</v>
      </c>
      <c r="B22" s="598"/>
    </row>
    <row r="23" spans="1:2">
      <c r="A23" s="598" t="s">
        <v>19</v>
      </c>
      <c r="B23" s="598"/>
    </row>
    <row r="24" spans="1:2">
      <c r="A24" s="598" t="s">
        <v>20</v>
      </c>
      <c r="B24" s="598"/>
    </row>
    <row r="25" spans="1:2">
      <c r="A25" s="598" t="s">
        <v>21</v>
      </c>
      <c r="B25" s="598"/>
    </row>
    <row r="26" spans="1:2">
      <c r="A26" s="598"/>
      <c r="B26" s="598"/>
    </row>
    <row r="27" spans="1:2">
      <c r="A27" s="597" t="s">
        <v>22</v>
      </c>
      <c r="B27" s="598"/>
    </row>
    <row r="28" spans="1:2">
      <c r="A28" s="598" t="s">
        <v>23</v>
      </c>
      <c r="B28" s="598"/>
    </row>
    <row r="29" spans="1:2">
      <c r="A29" s="598" t="s">
        <v>24</v>
      </c>
      <c r="B29" s="598"/>
    </row>
    <row r="30" ht="30" customHeight="1" spans="1:3">
      <c r="A30" s="599" t="s">
        <v>25</v>
      </c>
      <c r="B30" s="599"/>
      <c r="C30" s="599"/>
    </row>
    <row r="31" spans="1:2">
      <c r="A31" s="598" t="s">
        <v>26</v>
      </c>
      <c r="B31" s="598"/>
    </row>
    <row r="32" spans="1:2">
      <c r="A32" s="598" t="s">
        <v>27</v>
      </c>
      <c r="B32" s="598"/>
    </row>
    <row r="33" spans="1:2">
      <c r="A33" s="598" t="s">
        <v>28</v>
      </c>
      <c r="B33" s="598"/>
    </row>
    <row r="34" spans="1:2">
      <c r="A34" s="598" t="s">
        <v>29</v>
      </c>
      <c r="B34" s="598"/>
    </row>
    <row r="35" spans="1:2">
      <c r="A35" s="598" t="s">
        <v>30</v>
      </c>
      <c r="B35" s="598"/>
    </row>
    <row r="36" spans="1:2">
      <c r="A36" s="598" t="s">
        <v>31</v>
      </c>
      <c r="B36" s="598"/>
    </row>
    <row r="37" spans="1:1">
      <c r="A37" s="598" t="s">
        <v>32</v>
      </c>
    </row>
    <row r="38" spans="1:1">
      <c r="A38" s="598" t="s">
        <v>33</v>
      </c>
    </row>
  </sheetData>
  <mergeCells count="2">
    <mergeCell ref="A2:C2"/>
    <mergeCell ref="A30:C3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8"/>
  <sheetViews>
    <sheetView topLeftCell="A3" workbookViewId="0">
      <pane ySplit="3" topLeftCell="A6" activePane="bottomLeft" state="frozen"/>
      <selection/>
      <selection pane="bottomLeft" activeCell="Q63" sqref="Q63"/>
    </sheetView>
  </sheetViews>
  <sheetFormatPr defaultColWidth="6.125" defaultRowHeight="12.75"/>
  <cols>
    <col min="1" max="3" width="3.5" style="498" customWidth="1"/>
    <col min="4" max="4" width="10.625" style="498" customWidth="1"/>
    <col min="5" max="5" width="11.75" style="498" customWidth="1"/>
    <col min="6" max="6" width="52.125" style="499" customWidth="1"/>
    <col min="7" max="7" width="4.375" style="498" customWidth="1"/>
    <col min="8" max="8" width="6.125" style="498" customWidth="1"/>
    <col min="9" max="9" width="12.75" style="498" customWidth="1"/>
    <col min="10" max="10" width="10.25" style="498" customWidth="1"/>
    <col min="11" max="11" width="7.375" style="498" customWidth="1"/>
    <col min="12" max="12" width="9.5" style="498" customWidth="1"/>
    <col min="13" max="247" width="6.125" style="498"/>
    <col min="248" max="248" width="5" style="498" customWidth="1"/>
    <col min="249" max="249" width="8.875" style="498" customWidth="1"/>
    <col min="250" max="250" width="5" style="498" customWidth="1"/>
    <col min="251" max="251" width="8.25" style="498" customWidth="1"/>
    <col min="252" max="252" width="16.125" style="498" customWidth="1"/>
    <col min="253" max="253" width="86" style="498" customWidth="1"/>
    <col min="254" max="254" width="5" style="498" customWidth="1"/>
    <col min="255" max="255" width="11.125" style="498" customWidth="1"/>
    <col min="256" max="256" width="10.375" style="498" customWidth="1"/>
    <col min="257" max="257" width="10.875" style="498" customWidth="1"/>
    <col min="258" max="258" width="7.75" style="498" customWidth="1"/>
    <col min="259" max="259" width="9.875" style="498" customWidth="1"/>
    <col min="260" max="260" width="10.625" style="498" customWidth="1"/>
    <col min="261" max="503" width="6.125" style="498"/>
    <col min="504" max="504" width="5" style="498" customWidth="1"/>
    <col min="505" max="505" width="8.875" style="498" customWidth="1"/>
    <col min="506" max="506" width="5" style="498" customWidth="1"/>
    <col min="507" max="507" width="8.25" style="498" customWidth="1"/>
    <col min="508" max="508" width="16.125" style="498" customWidth="1"/>
    <col min="509" max="509" width="86" style="498" customWidth="1"/>
    <col min="510" max="510" width="5" style="498" customWidth="1"/>
    <col min="511" max="511" width="11.125" style="498" customWidth="1"/>
    <col min="512" max="512" width="10.375" style="498" customWidth="1"/>
    <col min="513" max="513" width="10.875" style="498" customWidth="1"/>
    <col min="514" max="514" width="7.75" style="498" customWidth="1"/>
    <col min="515" max="515" width="9.875" style="498" customWidth="1"/>
    <col min="516" max="516" width="10.625" style="498" customWidth="1"/>
    <col min="517" max="759" width="6.125" style="498"/>
    <col min="760" max="760" width="5" style="498" customWidth="1"/>
    <col min="761" max="761" width="8.875" style="498" customWidth="1"/>
    <col min="762" max="762" width="5" style="498" customWidth="1"/>
    <col min="763" max="763" width="8.25" style="498" customWidth="1"/>
    <col min="764" max="764" width="16.125" style="498" customWidth="1"/>
    <col min="765" max="765" width="86" style="498" customWidth="1"/>
    <col min="766" max="766" width="5" style="498" customWidth="1"/>
    <col min="767" max="767" width="11.125" style="498" customWidth="1"/>
    <col min="768" max="768" width="10.375" style="498" customWidth="1"/>
    <col min="769" max="769" width="10.875" style="498" customWidth="1"/>
    <col min="770" max="770" width="7.75" style="498" customWidth="1"/>
    <col min="771" max="771" width="9.875" style="498" customWidth="1"/>
    <col min="772" max="772" width="10.625" style="498" customWidth="1"/>
    <col min="773" max="1015" width="6.125" style="498"/>
    <col min="1016" max="1016" width="5" style="498" customWidth="1"/>
    <col min="1017" max="1017" width="8.875" style="498" customWidth="1"/>
    <col min="1018" max="1018" width="5" style="498" customWidth="1"/>
    <col min="1019" max="1019" width="8.25" style="498" customWidth="1"/>
    <col min="1020" max="1020" width="16.125" style="498" customWidth="1"/>
    <col min="1021" max="1021" width="86" style="498" customWidth="1"/>
    <col min="1022" max="1022" width="5" style="498" customWidth="1"/>
    <col min="1023" max="1023" width="11.125" style="498" customWidth="1"/>
    <col min="1024" max="1024" width="10.375" style="498" customWidth="1"/>
    <col min="1025" max="1025" width="10.875" style="498" customWidth="1"/>
    <col min="1026" max="1026" width="7.75" style="498" customWidth="1"/>
    <col min="1027" max="1027" width="9.875" style="498" customWidth="1"/>
    <col min="1028" max="1028" width="10.625" style="498" customWidth="1"/>
    <col min="1029" max="1271" width="6.125" style="498"/>
    <col min="1272" max="1272" width="5" style="498" customWidth="1"/>
    <col min="1273" max="1273" width="8.875" style="498" customWidth="1"/>
    <col min="1274" max="1274" width="5" style="498" customWidth="1"/>
    <col min="1275" max="1275" width="8.25" style="498" customWidth="1"/>
    <col min="1276" max="1276" width="16.125" style="498" customWidth="1"/>
    <col min="1277" max="1277" width="86" style="498" customWidth="1"/>
    <col min="1278" max="1278" width="5" style="498" customWidth="1"/>
    <col min="1279" max="1279" width="11.125" style="498" customWidth="1"/>
    <col min="1280" max="1280" width="10.375" style="498" customWidth="1"/>
    <col min="1281" max="1281" width="10.875" style="498" customWidth="1"/>
    <col min="1282" max="1282" width="7.75" style="498" customWidth="1"/>
    <col min="1283" max="1283" width="9.875" style="498" customWidth="1"/>
    <col min="1284" max="1284" width="10.625" style="498" customWidth="1"/>
    <col min="1285" max="1527" width="6.125" style="498"/>
    <col min="1528" max="1528" width="5" style="498" customWidth="1"/>
    <col min="1529" max="1529" width="8.875" style="498" customWidth="1"/>
    <col min="1530" max="1530" width="5" style="498" customWidth="1"/>
    <col min="1531" max="1531" width="8.25" style="498" customWidth="1"/>
    <col min="1532" max="1532" width="16.125" style="498" customWidth="1"/>
    <col min="1533" max="1533" width="86" style="498" customWidth="1"/>
    <col min="1534" max="1534" width="5" style="498" customWidth="1"/>
    <col min="1535" max="1535" width="11.125" style="498" customWidth="1"/>
    <col min="1536" max="1536" width="10.375" style="498" customWidth="1"/>
    <col min="1537" max="1537" width="10.875" style="498" customWidth="1"/>
    <col min="1538" max="1538" width="7.75" style="498" customWidth="1"/>
    <col min="1539" max="1539" width="9.875" style="498" customWidth="1"/>
    <col min="1540" max="1540" width="10.625" style="498" customWidth="1"/>
    <col min="1541" max="1783" width="6.125" style="498"/>
    <col min="1784" max="1784" width="5" style="498" customWidth="1"/>
    <col min="1785" max="1785" width="8.875" style="498" customWidth="1"/>
    <col min="1786" max="1786" width="5" style="498" customWidth="1"/>
    <col min="1787" max="1787" width="8.25" style="498" customWidth="1"/>
    <col min="1788" max="1788" width="16.125" style="498" customWidth="1"/>
    <col min="1789" max="1789" width="86" style="498" customWidth="1"/>
    <col min="1790" max="1790" width="5" style="498" customWidth="1"/>
    <col min="1791" max="1791" width="11.125" style="498" customWidth="1"/>
    <col min="1792" max="1792" width="10.375" style="498" customWidth="1"/>
    <col min="1793" max="1793" width="10.875" style="498" customWidth="1"/>
    <col min="1794" max="1794" width="7.75" style="498" customWidth="1"/>
    <col min="1795" max="1795" width="9.875" style="498" customWidth="1"/>
    <col min="1796" max="1796" width="10.625" style="498" customWidth="1"/>
    <col min="1797" max="2039" width="6.125" style="498"/>
    <col min="2040" max="2040" width="5" style="498" customWidth="1"/>
    <col min="2041" max="2041" width="8.875" style="498" customWidth="1"/>
    <col min="2042" max="2042" width="5" style="498" customWidth="1"/>
    <col min="2043" max="2043" width="8.25" style="498" customWidth="1"/>
    <col min="2044" max="2044" width="16.125" style="498" customWidth="1"/>
    <col min="2045" max="2045" width="86" style="498" customWidth="1"/>
    <col min="2046" max="2046" width="5" style="498" customWidth="1"/>
    <col min="2047" max="2047" width="11.125" style="498" customWidth="1"/>
    <col min="2048" max="2048" width="10.375" style="498" customWidth="1"/>
    <col min="2049" max="2049" width="10.875" style="498" customWidth="1"/>
    <col min="2050" max="2050" width="7.75" style="498" customWidth="1"/>
    <col min="2051" max="2051" width="9.875" style="498" customWidth="1"/>
    <col min="2052" max="2052" width="10.625" style="498" customWidth="1"/>
    <col min="2053" max="2295" width="6.125" style="498"/>
    <col min="2296" max="2296" width="5" style="498" customWidth="1"/>
    <col min="2297" max="2297" width="8.875" style="498" customWidth="1"/>
    <col min="2298" max="2298" width="5" style="498" customWidth="1"/>
    <col min="2299" max="2299" width="8.25" style="498" customWidth="1"/>
    <col min="2300" max="2300" width="16.125" style="498" customWidth="1"/>
    <col min="2301" max="2301" width="86" style="498" customWidth="1"/>
    <col min="2302" max="2302" width="5" style="498" customWidth="1"/>
    <col min="2303" max="2303" width="11.125" style="498" customWidth="1"/>
    <col min="2304" max="2304" width="10.375" style="498" customWidth="1"/>
    <col min="2305" max="2305" width="10.875" style="498" customWidth="1"/>
    <col min="2306" max="2306" width="7.75" style="498" customWidth="1"/>
    <col min="2307" max="2307" width="9.875" style="498" customWidth="1"/>
    <col min="2308" max="2308" width="10.625" style="498" customWidth="1"/>
    <col min="2309" max="2551" width="6.125" style="498"/>
    <col min="2552" max="2552" width="5" style="498" customWidth="1"/>
    <col min="2553" max="2553" width="8.875" style="498" customWidth="1"/>
    <col min="2554" max="2554" width="5" style="498" customWidth="1"/>
    <col min="2555" max="2555" width="8.25" style="498" customWidth="1"/>
    <col min="2556" max="2556" width="16.125" style="498" customWidth="1"/>
    <col min="2557" max="2557" width="86" style="498" customWidth="1"/>
    <col min="2558" max="2558" width="5" style="498" customWidth="1"/>
    <col min="2559" max="2559" width="11.125" style="498" customWidth="1"/>
    <col min="2560" max="2560" width="10.375" style="498" customWidth="1"/>
    <col min="2561" max="2561" width="10.875" style="498" customWidth="1"/>
    <col min="2562" max="2562" width="7.75" style="498" customWidth="1"/>
    <col min="2563" max="2563" width="9.875" style="498" customWidth="1"/>
    <col min="2564" max="2564" width="10.625" style="498" customWidth="1"/>
    <col min="2565" max="2807" width="6.125" style="498"/>
    <col min="2808" max="2808" width="5" style="498" customWidth="1"/>
    <col min="2809" max="2809" width="8.875" style="498" customWidth="1"/>
    <col min="2810" max="2810" width="5" style="498" customWidth="1"/>
    <col min="2811" max="2811" width="8.25" style="498" customWidth="1"/>
    <col min="2812" max="2812" width="16.125" style="498" customWidth="1"/>
    <col min="2813" max="2813" width="86" style="498" customWidth="1"/>
    <col min="2814" max="2814" width="5" style="498" customWidth="1"/>
    <col min="2815" max="2815" width="11.125" style="498" customWidth="1"/>
    <col min="2816" max="2816" width="10.375" style="498" customWidth="1"/>
    <col min="2817" max="2817" width="10.875" style="498" customWidth="1"/>
    <col min="2818" max="2818" width="7.75" style="498" customWidth="1"/>
    <col min="2819" max="2819" width="9.875" style="498" customWidth="1"/>
    <col min="2820" max="2820" width="10.625" style="498" customWidth="1"/>
    <col min="2821" max="3063" width="6.125" style="498"/>
    <col min="3064" max="3064" width="5" style="498" customWidth="1"/>
    <col min="3065" max="3065" width="8.875" style="498" customWidth="1"/>
    <col min="3066" max="3066" width="5" style="498" customWidth="1"/>
    <col min="3067" max="3067" width="8.25" style="498" customWidth="1"/>
    <col min="3068" max="3068" width="16.125" style="498" customWidth="1"/>
    <col min="3069" max="3069" width="86" style="498" customWidth="1"/>
    <col min="3070" max="3070" width="5" style="498" customWidth="1"/>
    <col min="3071" max="3071" width="11.125" style="498" customWidth="1"/>
    <col min="3072" max="3072" width="10.375" style="498" customWidth="1"/>
    <col min="3073" max="3073" width="10.875" style="498" customWidth="1"/>
    <col min="3074" max="3074" width="7.75" style="498" customWidth="1"/>
    <col min="3075" max="3075" width="9.875" style="498" customWidth="1"/>
    <col min="3076" max="3076" width="10.625" style="498" customWidth="1"/>
    <col min="3077" max="3319" width="6.125" style="498"/>
    <col min="3320" max="3320" width="5" style="498" customWidth="1"/>
    <col min="3321" max="3321" width="8.875" style="498" customWidth="1"/>
    <col min="3322" max="3322" width="5" style="498" customWidth="1"/>
    <col min="3323" max="3323" width="8.25" style="498" customWidth="1"/>
    <col min="3324" max="3324" width="16.125" style="498" customWidth="1"/>
    <col min="3325" max="3325" width="86" style="498" customWidth="1"/>
    <col min="3326" max="3326" width="5" style="498" customWidth="1"/>
    <col min="3327" max="3327" width="11.125" style="498" customWidth="1"/>
    <col min="3328" max="3328" width="10.375" style="498" customWidth="1"/>
    <col min="3329" max="3329" width="10.875" style="498" customWidth="1"/>
    <col min="3330" max="3330" width="7.75" style="498" customWidth="1"/>
    <col min="3331" max="3331" width="9.875" style="498" customWidth="1"/>
    <col min="3332" max="3332" width="10.625" style="498" customWidth="1"/>
    <col min="3333" max="3575" width="6.125" style="498"/>
    <col min="3576" max="3576" width="5" style="498" customWidth="1"/>
    <col min="3577" max="3577" width="8.875" style="498" customWidth="1"/>
    <col min="3578" max="3578" width="5" style="498" customWidth="1"/>
    <col min="3579" max="3579" width="8.25" style="498" customWidth="1"/>
    <col min="3580" max="3580" width="16.125" style="498" customWidth="1"/>
    <col min="3581" max="3581" width="86" style="498" customWidth="1"/>
    <col min="3582" max="3582" width="5" style="498" customWidth="1"/>
    <col min="3583" max="3583" width="11.125" style="498" customWidth="1"/>
    <col min="3584" max="3584" width="10.375" style="498" customWidth="1"/>
    <col min="3585" max="3585" width="10.875" style="498" customWidth="1"/>
    <col min="3586" max="3586" width="7.75" style="498" customWidth="1"/>
    <col min="3587" max="3587" width="9.875" style="498" customWidth="1"/>
    <col min="3588" max="3588" width="10.625" style="498" customWidth="1"/>
    <col min="3589" max="3831" width="6.125" style="498"/>
    <col min="3832" max="3832" width="5" style="498" customWidth="1"/>
    <col min="3833" max="3833" width="8.875" style="498" customWidth="1"/>
    <col min="3834" max="3834" width="5" style="498" customWidth="1"/>
    <col min="3835" max="3835" width="8.25" style="498" customWidth="1"/>
    <col min="3836" max="3836" width="16.125" style="498" customWidth="1"/>
    <col min="3837" max="3837" width="86" style="498" customWidth="1"/>
    <col min="3838" max="3838" width="5" style="498" customWidth="1"/>
    <col min="3839" max="3839" width="11.125" style="498" customWidth="1"/>
    <col min="3840" max="3840" width="10.375" style="498" customWidth="1"/>
    <col min="3841" max="3841" width="10.875" style="498" customWidth="1"/>
    <col min="3842" max="3842" width="7.75" style="498" customWidth="1"/>
    <col min="3843" max="3843" width="9.875" style="498" customWidth="1"/>
    <col min="3844" max="3844" width="10.625" style="498" customWidth="1"/>
    <col min="3845" max="4087" width="6.125" style="498"/>
    <col min="4088" max="4088" width="5" style="498" customWidth="1"/>
    <col min="4089" max="4089" width="8.875" style="498" customWidth="1"/>
    <col min="4090" max="4090" width="5" style="498" customWidth="1"/>
    <col min="4091" max="4091" width="8.25" style="498" customWidth="1"/>
    <col min="4092" max="4092" width="16.125" style="498" customWidth="1"/>
    <col min="4093" max="4093" width="86" style="498" customWidth="1"/>
    <col min="4094" max="4094" width="5" style="498" customWidth="1"/>
    <col min="4095" max="4095" width="11.125" style="498" customWidth="1"/>
    <col min="4096" max="4096" width="10.375" style="498" customWidth="1"/>
    <col min="4097" max="4097" width="10.875" style="498" customWidth="1"/>
    <col min="4098" max="4098" width="7.75" style="498" customWidth="1"/>
    <col min="4099" max="4099" width="9.875" style="498" customWidth="1"/>
    <col min="4100" max="4100" width="10.625" style="498" customWidth="1"/>
    <col min="4101" max="4343" width="6.125" style="498"/>
    <col min="4344" max="4344" width="5" style="498" customWidth="1"/>
    <col min="4345" max="4345" width="8.875" style="498" customWidth="1"/>
    <col min="4346" max="4346" width="5" style="498" customWidth="1"/>
    <col min="4347" max="4347" width="8.25" style="498" customWidth="1"/>
    <col min="4348" max="4348" width="16.125" style="498" customWidth="1"/>
    <col min="4349" max="4349" width="86" style="498" customWidth="1"/>
    <col min="4350" max="4350" width="5" style="498" customWidth="1"/>
    <col min="4351" max="4351" width="11.125" style="498" customWidth="1"/>
    <col min="4352" max="4352" width="10.375" style="498" customWidth="1"/>
    <col min="4353" max="4353" width="10.875" style="498" customWidth="1"/>
    <col min="4354" max="4354" width="7.75" style="498" customWidth="1"/>
    <col min="4355" max="4355" width="9.875" style="498" customWidth="1"/>
    <col min="4356" max="4356" width="10.625" style="498" customWidth="1"/>
    <col min="4357" max="4599" width="6.125" style="498"/>
    <col min="4600" max="4600" width="5" style="498" customWidth="1"/>
    <col min="4601" max="4601" width="8.875" style="498" customWidth="1"/>
    <col min="4602" max="4602" width="5" style="498" customWidth="1"/>
    <col min="4603" max="4603" width="8.25" style="498" customWidth="1"/>
    <col min="4604" max="4604" width="16.125" style="498" customWidth="1"/>
    <col min="4605" max="4605" width="86" style="498" customWidth="1"/>
    <col min="4606" max="4606" width="5" style="498" customWidth="1"/>
    <col min="4607" max="4607" width="11.125" style="498" customWidth="1"/>
    <col min="4608" max="4608" width="10.375" style="498" customWidth="1"/>
    <col min="4609" max="4609" width="10.875" style="498" customWidth="1"/>
    <col min="4610" max="4610" width="7.75" style="498" customWidth="1"/>
    <col min="4611" max="4611" width="9.875" style="498" customWidth="1"/>
    <col min="4612" max="4612" width="10.625" style="498" customWidth="1"/>
    <col min="4613" max="4855" width="6.125" style="498"/>
    <col min="4856" max="4856" width="5" style="498" customWidth="1"/>
    <col min="4857" max="4857" width="8.875" style="498" customWidth="1"/>
    <col min="4858" max="4858" width="5" style="498" customWidth="1"/>
    <col min="4859" max="4859" width="8.25" style="498" customWidth="1"/>
    <col min="4860" max="4860" width="16.125" style="498" customWidth="1"/>
    <col min="4861" max="4861" width="86" style="498" customWidth="1"/>
    <col min="4862" max="4862" width="5" style="498" customWidth="1"/>
    <col min="4863" max="4863" width="11.125" style="498" customWidth="1"/>
    <col min="4864" max="4864" width="10.375" style="498" customWidth="1"/>
    <col min="4865" max="4865" width="10.875" style="498" customWidth="1"/>
    <col min="4866" max="4866" width="7.75" style="498" customWidth="1"/>
    <col min="4867" max="4867" width="9.875" style="498" customWidth="1"/>
    <col min="4868" max="4868" width="10.625" style="498" customWidth="1"/>
    <col min="4869" max="5111" width="6.125" style="498"/>
    <col min="5112" max="5112" width="5" style="498" customWidth="1"/>
    <col min="5113" max="5113" width="8.875" style="498" customWidth="1"/>
    <col min="5114" max="5114" width="5" style="498" customWidth="1"/>
    <col min="5115" max="5115" width="8.25" style="498" customWidth="1"/>
    <col min="5116" max="5116" width="16.125" style="498" customWidth="1"/>
    <col min="5117" max="5117" width="86" style="498" customWidth="1"/>
    <col min="5118" max="5118" width="5" style="498" customWidth="1"/>
    <col min="5119" max="5119" width="11.125" style="498" customWidth="1"/>
    <col min="5120" max="5120" width="10.375" style="498" customWidth="1"/>
    <col min="5121" max="5121" width="10.875" style="498" customWidth="1"/>
    <col min="5122" max="5122" width="7.75" style="498" customWidth="1"/>
    <col min="5123" max="5123" width="9.875" style="498" customWidth="1"/>
    <col min="5124" max="5124" width="10.625" style="498" customWidth="1"/>
    <col min="5125" max="5367" width="6.125" style="498"/>
    <col min="5368" max="5368" width="5" style="498" customWidth="1"/>
    <col min="5369" max="5369" width="8.875" style="498" customWidth="1"/>
    <col min="5370" max="5370" width="5" style="498" customWidth="1"/>
    <col min="5371" max="5371" width="8.25" style="498" customWidth="1"/>
    <col min="5372" max="5372" width="16.125" style="498" customWidth="1"/>
    <col min="5373" max="5373" width="86" style="498" customWidth="1"/>
    <col min="5374" max="5374" width="5" style="498" customWidth="1"/>
    <col min="5375" max="5375" width="11.125" style="498" customWidth="1"/>
    <col min="5376" max="5376" width="10.375" style="498" customWidth="1"/>
    <col min="5377" max="5377" width="10.875" style="498" customWidth="1"/>
    <col min="5378" max="5378" width="7.75" style="498" customWidth="1"/>
    <col min="5379" max="5379" width="9.875" style="498" customWidth="1"/>
    <col min="5380" max="5380" width="10.625" style="498" customWidth="1"/>
    <col min="5381" max="5623" width="6.125" style="498"/>
    <col min="5624" max="5624" width="5" style="498" customWidth="1"/>
    <col min="5625" max="5625" width="8.875" style="498" customWidth="1"/>
    <col min="5626" max="5626" width="5" style="498" customWidth="1"/>
    <col min="5627" max="5627" width="8.25" style="498" customWidth="1"/>
    <col min="5628" max="5628" width="16.125" style="498" customWidth="1"/>
    <col min="5629" max="5629" width="86" style="498" customWidth="1"/>
    <col min="5630" max="5630" width="5" style="498" customWidth="1"/>
    <col min="5631" max="5631" width="11.125" style="498" customWidth="1"/>
    <col min="5632" max="5632" width="10.375" style="498" customWidth="1"/>
    <col min="5633" max="5633" width="10.875" style="498" customWidth="1"/>
    <col min="5634" max="5634" width="7.75" style="498" customWidth="1"/>
    <col min="5635" max="5635" width="9.875" style="498" customWidth="1"/>
    <col min="5636" max="5636" width="10.625" style="498" customWidth="1"/>
    <col min="5637" max="5879" width="6.125" style="498"/>
    <col min="5880" max="5880" width="5" style="498" customWidth="1"/>
    <col min="5881" max="5881" width="8.875" style="498" customWidth="1"/>
    <col min="5882" max="5882" width="5" style="498" customWidth="1"/>
    <col min="5883" max="5883" width="8.25" style="498" customWidth="1"/>
    <col min="5884" max="5884" width="16.125" style="498" customWidth="1"/>
    <col min="5885" max="5885" width="86" style="498" customWidth="1"/>
    <col min="5886" max="5886" width="5" style="498" customWidth="1"/>
    <col min="5887" max="5887" width="11.125" style="498" customWidth="1"/>
    <col min="5888" max="5888" width="10.375" style="498" customWidth="1"/>
    <col min="5889" max="5889" width="10.875" style="498" customWidth="1"/>
    <col min="5890" max="5890" width="7.75" style="498" customWidth="1"/>
    <col min="5891" max="5891" width="9.875" style="498" customWidth="1"/>
    <col min="5892" max="5892" width="10.625" style="498" customWidth="1"/>
    <col min="5893" max="6135" width="6.125" style="498"/>
    <col min="6136" max="6136" width="5" style="498" customWidth="1"/>
    <col min="6137" max="6137" width="8.875" style="498" customWidth="1"/>
    <col min="6138" max="6138" width="5" style="498" customWidth="1"/>
    <col min="6139" max="6139" width="8.25" style="498" customWidth="1"/>
    <col min="6140" max="6140" width="16.125" style="498" customWidth="1"/>
    <col min="6141" max="6141" width="86" style="498" customWidth="1"/>
    <col min="6142" max="6142" width="5" style="498" customWidth="1"/>
    <col min="6143" max="6143" width="11.125" style="498" customWidth="1"/>
    <col min="6144" max="6144" width="10.375" style="498" customWidth="1"/>
    <col min="6145" max="6145" width="10.875" style="498" customWidth="1"/>
    <col min="6146" max="6146" width="7.75" style="498" customWidth="1"/>
    <col min="6147" max="6147" width="9.875" style="498" customWidth="1"/>
    <col min="6148" max="6148" width="10.625" style="498" customWidth="1"/>
    <col min="6149" max="6391" width="6.125" style="498"/>
    <col min="6392" max="6392" width="5" style="498" customWidth="1"/>
    <col min="6393" max="6393" width="8.875" style="498" customWidth="1"/>
    <col min="6394" max="6394" width="5" style="498" customWidth="1"/>
    <col min="6395" max="6395" width="8.25" style="498" customWidth="1"/>
    <col min="6396" max="6396" width="16.125" style="498" customWidth="1"/>
    <col min="6397" max="6397" width="86" style="498" customWidth="1"/>
    <col min="6398" max="6398" width="5" style="498" customWidth="1"/>
    <col min="6399" max="6399" width="11.125" style="498" customWidth="1"/>
    <col min="6400" max="6400" width="10.375" style="498" customWidth="1"/>
    <col min="6401" max="6401" width="10.875" style="498" customWidth="1"/>
    <col min="6402" max="6402" width="7.75" style="498" customWidth="1"/>
    <col min="6403" max="6403" width="9.875" style="498" customWidth="1"/>
    <col min="6404" max="6404" width="10.625" style="498" customWidth="1"/>
    <col min="6405" max="6647" width="6.125" style="498"/>
    <col min="6648" max="6648" width="5" style="498" customWidth="1"/>
    <col min="6649" max="6649" width="8.875" style="498" customWidth="1"/>
    <col min="6650" max="6650" width="5" style="498" customWidth="1"/>
    <col min="6651" max="6651" width="8.25" style="498" customWidth="1"/>
    <col min="6652" max="6652" width="16.125" style="498" customWidth="1"/>
    <col min="6653" max="6653" width="86" style="498" customWidth="1"/>
    <col min="6654" max="6654" width="5" style="498" customWidth="1"/>
    <col min="6655" max="6655" width="11.125" style="498" customWidth="1"/>
    <col min="6656" max="6656" width="10.375" style="498" customWidth="1"/>
    <col min="6657" max="6657" width="10.875" style="498" customWidth="1"/>
    <col min="6658" max="6658" width="7.75" style="498" customWidth="1"/>
    <col min="6659" max="6659" width="9.875" style="498" customWidth="1"/>
    <col min="6660" max="6660" width="10.625" style="498" customWidth="1"/>
    <col min="6661" max="6903" width="6.125" style="498"/>
    <col min="6904" max="6904" width="5" style="498" customWidth="1"/>
    <col min="6905" max="6905" width="8.875" style="498" customWidth="1"/>
    <col min="6906" max="6906" width="5" style="498" customWidth="1"/>
    <col min="6907" max="6907" width="8.25" style="498" customWidth="1"/>
    <col min="6908" max="6908" width="16.125" style="498" customWidth="1"/>
    <col min="6909" max="6909" width="86" style="498" customWidth="1"/>
    <col min="6910" max="6910" width="5" style="498" customWidth="1"/>
    <col min="6911" max="6911" width="11.125" style="498" customWidth="1"/>
    <col min="6912" max="6912" width="10.375" style="498" customWidth="1"/>
    <col min="6913" max="6913" width="10.875" style="498" customWidth="1"/>
    <col min="6914" max="6914" width="7.75" style="498" customWidth="1"/>
    <col min="6915" max="6915" width="9.875" style="498" customWidth="1"/>
    <col min="6916" max="6916" width="10.625" style="498" customWidth="1"/>
    <col min="6917" max="7159" width="6.125" style="498"/>
    <col min="7160" max="7160" width="5" style="498" customWidth="1"/>
    <col min="7161" max="7161" width="8.875" style="498" customWidth="1"/>
    <col min="7162" max="7162" width="5" style="498" customWidth="1"/>
    <col min="7163" max="7163" width="8.25" style="498" customWidth="1"/>
    <col min="7164" max="7164" width="16.125" style="498" customWidth="1"/>
    <col min="7165" max="7165" width="86" style="498" customWidth="1"/>
    <col min="7166" max="7166" width="5" style="498" customWidth="1"/>
    <col min="7167" max="7167" width="11.125" style="498" customWidth="1"/>
    <col min="7168" max="7168" width="10.375" style="498" customWidth="1"/>
    <col min="7169" max="7169" width="10.875" style="498" customWidth="1"/>
    <col min="7170" max="7170" width="7.75" style="498" customWidth="1"/>
    <col min="7171" max="7171" width="9.875" style="498" customWidth="1"/>
    <col min="7172" max="7172" width="10.625" style="498" customWidth="1"/>
    <col min="7173" max="7415" width="6.125" style="498"/>
    <col min="7416" max="7416" width="5" style="498" customWidth="1"/>
    <col min="7417" max="7417" width="8.875" style="498" customWidth="1"/>
    <col min="7418" max="7418" width="5" style="498" customWidth="1"/>
    <col min="7419" max="7419" width="8.25" style="498" customWidth="1"/>
    <col min="7420" max="7420" width="16.125" style="498" customWidth="1"/>
    <col min="7421" max="7421" width="86" style="498" customWidth="1"/>
    <col min="7422" max="7422" width="5" style="498" customWidth="1"/>
    <col min="7423" max="7423" width="11.125" style="498" customWidth="1"/>
    <col min="7424" max="7424" width="10.375" style="498" customWidth="1"/>
    <col min="7425" max="7425" width="10.875" style="498" customWidth="1"/>
    <col min="7426" max="7426" width="7.75" style="498" customWidth="1"/>
    <col min="7427" max="7427" width="9.875" style="498" customWidth="1"/>
    <col min="7428" max="7428" width="10.625" style="498" customWidth="1"/>
    <col min="7429" max="7671" width="6.125" style="498"/>
    <col min="7672" max="7672" width="5" style="498" customWidth="1"/>
    <col min="7673" max="7673" width="8.875" style="498" customWidth="1"/>
    <col min="7674" max="7674" width="5" style="498" customWidth="1"/>
    <col min="7675" max="7675" width="8.25" style="498" customWidth="1"/>
    <col min="7676" max="7676" width="16.125" style="498" customWidth="1"/>
    <col min="7677" max="7677" width="86" style="498" customWidth="1"/>
    <col min="7678" max="7678" width="5" style="498" customWidth="1"/>
    <col min="7679" max="7679" width="11.125" style="498" customWidth="1"/>
    <col min="7680" max="7680" width="10.375" style="498" customWidth="1"/>
    <col min="7681" max="7681" width="10.875" style="498" customWidth="1"/>
    <col min="7682" max="7682" width="7.75" style="498" customWidth="1"/>
    <col min="7683" max="7683" width="9.875" style="498" customWidth="1"/>
    <col min="7684" max="7684" width="10.625" style="498" customWidth="1"/>
    <col min="7685" max="7927" width="6.125" style="498"/>
    <col min="7928" max="7928" width="5" style="498" customWidth="1"/>
    <col min="7929" max="7929" width="8.875" style="498" customWidth="1"/>
    <col min="7930" max="7930" width="5" style="498" customWidth="1"/>
    <col min="7931" max="7931" width="8.25" style="498" customWidth="1"/>
    <col min="7932" max="7932" width="16.125" style="498" customWidth="1"/>
    <col min="7933" max="7933" width="86" style="498" customWidth="1"/>
    <col min="7934" max="7934" width="5" style="498" customWidth="1"/>
    <col min="7935" max="7935" width="11.125" style="498" customWidth="1"/>
    <col min="7936" max="7936" width="10.375" style="498" customWidth="1"/>
    <col min="7937" max="7937" width="10.875" style="498" customWidth="1"/>
    <col min="7938" max="7938" width="7.75" style="498" customWidth="1"/>
    <col min="7939" max="7939" width="9.875" style="498" customWidth="1"/>
    <col min="7940" max="7940" width="10.625" style="498" customWidth="1"/>
    <col min="7941" max="8183" width="6.125" style="498"/>
    <col min="8184" max="8184" width="5" style="498" customWidth="1"/>
    <col min="8185" max="8185" width="8.875" style="498" customWidth="1"/>
    <col min="8186" max="8186" width="5" style="498" customWidth="1"/>
    <col min="8187" max="8187" width="8.25" style="498" customWidth="1"/>
    <col min="8188" max="8188" width="16.125" style="498" customWidth="1"/>
    <col min="8189" max="8189" width="86" style="498" customWidth="1"/>
    <col min="8190" max="8190" width="5" style="498" customWidth="1"/>
    <col min="8191" max="8191" width="11.125" style="498" customWidth="1"/>
    <col min="8192" max="8192" width="10.375" style="498" customWidth="1"/>
    <col min="8193" max="8193" width="10.875" style="498" customWidth="1"/>
    <col min="8194" max="8194" width="7.75" style="498" customWidth="1"/>
    <col min="8195" max="8195" width="9.875" style="498" customWidth="1"/>
    <col min="8196" max="8196" width="10.625" style="498" customWidth="1"/>
    <col min="8197" max="8439" width="6.125" style="498"/>
    <col min="8440" max="8440" width="5" style="498" customWidth="1"/>
    <col min="8441" max="8441" width="8.875" style="498" customWidth="1"/>
    <col min="8442" max="8442" width="5" style="498" customWidth="1"/>
    <col min="8443" max="8443" width="8.25" style="498" customWidth="1"/>
    <col min="8444" max="8444" width="16.125" style="498" customWidth="1"/>
    <col min="8445" max="8445" width="86" style="498" customWidth="1"/>
    <col min="8446" max="8446" width="5" style="498" customWidth="1"/>
    <col min="8447" max="8447" width="11.125" style="498" customWidth="1"/>
    <col min="8448" max="8448" width="10.375" style="498" customWidth="1"/>
    <col min="8449" max="8449" width="10.875" style="498" customWidth="1"/>
    <col min="8450" max="8450" width="7.75" style="498" customWidth="1"/>
    <col min="8451" max="8451" width="9.875" style="498" customWidth="1"/>
    <col min="8452" max="8452" width="10.625" style="498" customWidth="1"/>
    <col min="8453" max="8695" width="6.125" style="498"/>
    <col min="8696" max="8696" width="5" style="498" customWidth="1"/>
    <col min="8697" max="8697" width="8.875" style="498" customWidth="1"/>
    <col min="8698" max="8698" width="5" style="498" customWidth="1"/>
    <col min="8699" max="8699" width="8.25" style="498" customWidth="1"/>
    <col min="8700" max="8700" width="16.125" style="498" customWidth="1"/>
    <col min="8701" max="8701" width="86" style="498" customWidth="1"/>
    <col min="8702" max="8702" width="5" style="498" customWidth="1"/>
    <col min="8703" max="8703" width="11.125" style="498" customWidth="1"/>
    <col min="8704" max="8704" width="10.375" style="498" customWidth="1"/>
    <col min="8705" max="8705" width="10.875" style="498" customWidth="1"/>
    <col min="8706" max="8706" width="7.75" style="498" customWidth="1"/>
    <col min="8707" max="8707" width="9.875" style="498" customWidth="1"/>
    <col min="8708" max="8708" width="10.625" style="498" customWidth="1"/>
    <col min="8709" max="8951" width="6.125" style="498"/>
    <col min="8952" max="8952" width="5" style="498" customWidth="1"/>
    <col min="8953" max="8953" width="8.875" style="498" customWidth="1"/>
    <col min="8954" max="8954" width="5" style="498" customWidth="1"/>
    <col min="8955" max="8955" width="8.25" style="498" customWidth="1"/>
    <col min="8956" max="8956" width="16.125" style="498" customWidth="1"/>
    <col min="8957" max="8957" width="86" style="498" customWidth="1"/>
    <col min="8958" max="8958" width="5" style="498" customWidth="1"/>
    <col min="8959" max="8959" width="11.125" style="498" customWidth="1"/>
    <col min="8960" max="8960" width="10.375" style="498" customWidth="1"/>
    <col min="8961" max="8961" width="10.875" style="498" customWidth="1"/>
    <col min="8962" max="8962" width="7.75" style="498" customWidth="1"/>
    <col min="8963" max="8963" width="9.875" style="498" customWidth="1"/>
    <col min="8964" max="8964" width="10.625" style="498" customWidth="1"/>
    <col min="8965" max="9207" width="6.125" style="498"/>
    <col min="9208" max="9208" width="5" style="498" customWidth="1"/>
    <col min="9209" max="9209" width="8.875" style="498" customWidth="1"/>
    <col min="9210" max="9210" width="5" style="498" customWidth="1"/>
    <col min="9211" max="9211" width="8.25" style="498" customWidth="1"/>
    <col min="9212" max="9212" width="16.125" style="498" customWidth="1"/>
    <col min="9213" max="9213" width="86" style="498" customWidth="1"/>
    <col min="9214" max="9214" width="5" style="498" customWidth="1"/>
    <col min="9215" max="9215" width="11.125" style="498" customWidth="1"/>
    <col min="9216" max="9216" width="10.375" style="498" customWidth="1"/>
    <col min="9217" max="9217" width="10.875" style="498" customWidth="1"/>
    <col min="9218" max="9218" width="7.75" style="498" customWidth="1"/>
    <col min="9219" max="9219" width="9.875" style="498" customWidth="1"/>
    <col min="9220" max="9220" width="10.625" style="498" customWidth="1"/>
    <col min="9221" max="9463" width="6.125" style="498"/>
    <col min="9464" max="9464" width="5" style="498" customWidth="1"/>
    <col min="9465" max="9465" width="8.875" style="498" customWidth="1"/>
    <col min="9466" max="9466" width="5" style="498" customWidth="1"/>
    <col min="9467" max="9467" width="8.25" style="498" customWidth="1"/>
    <col min="9468" max="9468" width="16.125" style="498" customWidth="1"/>
    <col min="9469" max="9469" width="86" style="498" customWidth="1"/>
    <col min="9470" max="9470" width="5" style="498" customWidth="1"/>
    <col min="9471" max="9471" width="11.125" style="498" customWidth="1"/>
    <col min="9472" max="9472" width="10.375" style="498" customWidth="1"/>
    <col min="9473" max="9473" width="10.875" style="498" customWidth="1"/>
    <col min="9474" max="9474" width="7.75" style="498" customWidth="1"/>
    <col min="9475" max="9475" width="9.875" style="498" customWidth="1"/>
    <col min="9476" max="9476" width="10.625" style="498" customWidth="1"/>
    <col min="9477" max="9719" width="6.125" style="498"/>
    <col min="9720" max="9720" width="5" style="498" customWidth="1"/>
    <col min="9721" max="9721" width="8.875" style="498" customWidth="1"/>
    <col min="9722" max="9722" width="5" style="498" customWidth="1"/>
    <col min="9723" max="9723" width="8.25" style="498" customWidth="1"/>
    <col min="9724" max="9724" width="16.125" style="498" customWidth="1"/>
    <col min="9725" max="9725" width="86" style="498" customWidth="1"/>
    <col min="9726" max="9726" width="5" style="498" customWidth="1"/>
    <col min="9727" max="9727" width="11.125" style="498" customWidth="1"/>
    <col min="9728" max="9728" width="10.375" style="498" customWidth="1"/>
    <col min="9729" max="9729" width="10.875" style="498" customWidth="1"/>
    <col min="9730" max="9730" width="7.75" style="498" customWidth="1"/>
    <col min="9731" max="9731" width="9.875" style="498" customWidth="1"/>
    <col min="9732" max="9732" width="10.625" style="498" customWidth="1"/>
    <col min="9733" max="9975" width="6.125" style="498"/>
    <col min="9976" max="9976" width="5" style="498" customWidth="1"/>
    <col min="9977" max="9977" width="8.875" style="498" customWidth="1"/>
    <col min="9978" max="9978" width="5" style="498" customWidth="1"/>
    <col min="9979" max="9979" width="8.25" style="498" customWidth="1"/>
    <col min="9980" max="9980" width="16.125" style="498" customWidth="1"/>
    <col min="9981" max="9981" width="86" style="498" customWidth="1"/>
    <col min="9982" max="9982" width="5" style="498" customWidth="1"/>
    <col min="9983" max="9983" width="11.125" style="498" customWidth="1"/>
    <col min="9984" max="9984" width="10.375" style="498" customWidth="1"/>
    <col min="9985" max="9985" width="10.875" style="498" customWidth="1"/>
    <col min="9986" max="9986" width="7.75" style="498" customWidth="1"/>
    <col min="9987" max="9987" width="9.875" style="498" customWidth="1"/>
    <col min="9988" max="9988" width="10.625" style="498" customWidth="1"/>
    <col min="9989" max="10231" width="6.125" style="498"/>
    <col min="10232" max="10232" width="5" style="498" customWidth="1"/>
    <col min="10233" max="10233" width="8.875" style="498" customWidth="1"/>
    <col min="10234" max="10234" width="5" style="498" customWidth="1"/>
    <col min="10235" max="10235" width="8.25" style="498" customWidth="1"/>
    <col min="10236" max="10236" width="16.125" style="498" customWidth="1"/>
    <col min="10237" max="10237" width="86" style="498" customWidth="1"/>
    <col min="10238" max="10238" width="5" style="498" customWidth="1"/>
    <col min="10239" max="10239" width="11.125" style="498" customWidth="1"/>
    <col min="10240" max="10240" width="10.375" style="498" customWidth="1"/>
    <col min="10241" max="10241" width="10.875" style="498" customWidth="1"/>
    <col min="10242" max="10242" width="7.75" style="498" customWidth="1"/>
    <col min="10243" max="10243" width="9.875" style="498" customWidth="1"/>
    <col min="10244" max="10244" width="10.625" style="498" customWidth="1"/>
    <col min="10245" max="10487" width="6.125" style="498"/>
    <col min="10488" max="10488" width="5" style="498" customWidth="1"/>
    <col min="10489" max="10489" width="8.875" style="498" customWidth="1"/>
    <col min="10490" max="10490" width="5" style="498" customWidth="1"/>
    <col min="10491" max="10491" width="8.25" style="498" customWidth="1"/>
    <col min="10492" max="10492" width="16.125" style="498" customWidth="1"/>
    <col min="10493" max="10493" width="86" style="498" customWidth="1"/>
    <col min="10494" max="10494" width="5" style="498" customWidth="1"/>
    <col min="10495" max="10495" width="11.125" style="498" customWidth="1"/>
    <col min="10496" max="10496" width="10.375" style="498" customWidth="1"/>
    <col min="10497" max="10497" width="10.875" style="498" customWidth="1"/>
    <col min="10498" max="10498" width="7.75" style="498" customWidth="1"/>
    <col min="10499" max="10499" width="9.875" style="498" customWidth="1"/>
    <col min="10500" max="10500" width="10.625" style="498" customWidth="1"/>
    <col min="10501" max="10743" width="6.125" style="498"/>
    <col min="10744" max="10744" width="5" style="498" customWidth="1"/>
    <col min="10745" max="10745" width="8.875" style="498" customWidth="1"/>
    <col min="10746" max="10746" width="5" style="498" customWidth="1"/>
    <col min="10747" max="10747" width="8.25" style="498" customWidth="1"/>
    <col min="10748" max="10748" width="16.125" style="498" customWidth="1"/>
    <col min="10749" max="10749" width="86" style="498" customWidth="1"/>
    <col min="10750" max="10750" width="5" style="498" customWidth="1"/>
    <col min="10751" max="10751" width="11.125" style="498" customWidth="1"/>
    <col min="10752" max="10752" width="10.375" style="498" customWidth="1"/>
    <col min="10753" max="10753" width="10.875" style="498" customWidth="1"/>
    <col min="10754" max="10754" width="7.75" style="498" customWidth="1"/>
    <col min="10755" max="10755" width="9.875" style="498" customWidth="1"/>
    <col min="10756" max="10756" width="10.625" style="498" customWidth="1"/>
    <col min="10757" max="10999" width="6.125" style="498"/>
    <col min="11000" max="11000" width="5" style="498" customWidth="1"/>
    <col min="11001" max="11001" width="8.875" style="498" customWidth="1"/>
    <col min="11002" max="11002" width="5" style="498" customWidth="1"/>
    <col min="11003" max="11003" width="8.25" style="498" customWidth="1"/>
    <col min="11004" max="11004" width="16.125" style="498" customWidth="1"/>
    <col min="11005" max="11005" width="86" style="498" customWidth="1"/>
    <col min="11006" max="11006" width="5" style="498" customWidth="1"/>
    <col min="11007" max="11007" width="11.125" style="498" customWidth="1"/>
    <col min="11008" max="11008" width="10.375" style="498" customWidth="1"/>
    <col min="11009" max="11009" width="10.875" style="498" customWidth="1"/>
    <col min="11010" max="11010" width="7.75" style="498" customWidth="1"/>
    <col min="11011" max="11011" width="9.875" style="498" customWidth="1"/>
    <col min="11012" max="11012" width="10.625" style="498" customWidth="1"/>
    <col min="11013" max="11255" width="6.125" style="498"/>
    <col min="11256" max="11256" width="5" style="498" customWidth="1"/>
    <col min="11257" max="11257" width="8.875" style="498" customWidth="1"/>
    <col min="11258" max="11258" width="5" style="498" customWidth="1"/>
    <col min="11259" max="11259" width="8.25" style="498" customWidth="1"/>
    <col min="11260" max="11260" width="16.125" style="498" customWidth="1"/>
    <col min="11261" max="11261" width="86" style="498" customWidth="1"/>
    <col min="11262" max="11262" width="5" style="498" customWidth="1"/>
    <col min="11263" max="11263" width="11.125" style="498" customWidth="1"/>
    <col min="11264" max="11264" width="10.375" style="498" customWidth="1"/>
    <col min="11265" max="11265" width="10.875" style="498" customWidth="1"/>
    <col min="11266" max="11266" width="7.75" style="498" customWidth="1"/>
    <col min="11267" max="11267" width="9.875" style="498" customWidth="1"/>
    <col min="11268" max="11268" width="10.625" style="498" customWidth="1"/>
    <col min="11269" max="11511" width="6.125" style="498"/>
    <col min="11512" max="11512" width="5" style="498" customWidth="1"/>
    <col min="11513" max="11513" width="8.875" style="498" customWidth="1"/>
    <col min="11514" max="11514" width="5" style="498" customWidth="1"/>
    <col min="11515" max="11515" width="8.25" style="498" customWidth="1"/>
    <col min="11516" max="11516" width="16.125" style="498" customWidth="1"/>
    <col min="11517" max="11517" width="86" style="498" customWidth="1"/>
    <col min="11518" max="11518" width="5" style="498" customWidth="1"/>
    <col min="11519" max="11519" width="11.125" style="498" customWidth="1"/>
    <col min="11520" max="11520" width="10.375" style="498" customWidth="1"/>
    <col min="11521" max="11521" width="10.875" style="498" customWidth="1"/>
    <col min="11522" max="11522" width="7.75" style="498" customWidth="1"/>
    <col min="11523" max="11523" width="9.875" style="498" customWidth="1"/>
    <col min="11524" max="11524" width="10.625" style="498" customWidth="1"/>
    <col min="11525" max="11767" width="6.125" style="498"/>
    <col min="11768" max="11768" width="5" style="498" customWidth="1"/>
    <col min="11769" max="11769" width="8.875" style="498" customWidth="1"/>
    <col min="11770" max="11770" width="5" style="498" customWidth="1"/>
    <col min="11771" max="11771" width="8.25" style="498" customWidth="1"/>
    <col min="11772" max="11772" width="16.125" style="498" customWidth="1"/>
    <col min="11773" max="11773" width="86" style="498" customWidth="1"/>
    <col min="11774" max="11774" width="5" style="498" customWidth="1"/>
    <col min="11775" max="11775" width="11.125" style="498" customWidth="1"/>
    <col min="11776" max="11776" width="10.375" style="498" customWidth="1"/>
    <col min="11777" max="11777" width="10.875" style="498" customWidth="1"/>
    <col min="11778" max="11778" width="7.75" style="498" customWidth="1"/>
    <col min="11779" max="11779" width="9.875" style="498" customWidth="1"/>
    <col min="11780" max="11780" width="10.625" style="498" customWidth="1"/>
    <col min="11781" max="12023" width="6.125" style="498"/>
    <col min="12024" max="12024" width="5" style="498" customWidth="1"/>
    <col min="12025" max="12025" width="8.875" style="498" customWidth="1"/>
    <col min="12026" max="12026" width="5" style="498" customWidth="1"/>
    <col min="12027" max="12027" width="8.25" style="498" customWidth="1"/>
    <col min="12028" max="12028" width="16.125" style="498" customWidth="1"/>
    <col min="12029" max="12029" width="86" style="498" customWidth="1"/>
    <col min="12030" max="12030" width="5" style="498" customWidth="1"/>
    <col min="12031" max="12031" width="11.125" style="498" customWidth="1"/>
    <col min="12032" max="12032" width="10.375" style="498" customWidth="1"/>
    <col min="12033" max="12033" width="10.875" style="498" customWidth="1"/>
    <col min="12034" max="12034" width="7.75" style="498" customWidth="1"/>
    <col min="12035" max="12035" width="9.875" style="498" customWidth="1"/>
    <col min="12036" max="12036" width="10.625" style="498" customWidth="1"/>
    <col min="12037" max="12279" width="6.125" style="498"/>
    <col min="12280" max="12280" width="5" style="498" customWidth="1"/>
    <col min="12281" max="12281" width="8.875" style="498" customWidth="1"/>
    <col min="12282" max="12282" width="5" style="498" customWidth="1"/>
    <col min="12283" max="12283" width="8.25" style="498" customWidth="1"/>
    <col min="12284" max="12284" width="16.125" style="498" customWidth="1"/>
    <col min="12285" max="12285" width="86" style="498" customWidth="1"/>
    <col min="12286" max="12286" width="5" style="498" customWidth="1"/>
    <col min="12287" max="12287" width="11.125" style="498" customWidth="1"/>
    <col min="12288" max="12288" width="10.375" style="498" customWidth="1"/>
    <col min="12289" max="12289" width="10.875" style="498" customWidth="1"/>
    <col min="12290" max="12290" width="7.75" style="498" customWidth="1"/>
    <col min="12291" max="12291" width="9.875" style="498" customWidth="1"/>
    <col min="12292" max="12292" width="10.625" style="498" customWidth="1"/>
    <col min="12293" max="12535" width="6.125" style="498"/>
    <col min="12536" max="12536" width="5" style="498" customWidth="1"/>
    <col min="12537" max="12537" width="8.875" style="498" customWidth="1"/>
    <col min="12538" max="12538" width="5" style="498" customWidth="1"/>
    <col min="12539" max="12539" width="8.25" style="498" customWidth="1"/>
    <col min="12540" max="12540" width="16.125" style="498" customWidth="1"/>
    <col min="12541" max="12541" width="86" style="498" customWidth="1"/>
    <col min="12542" max="12542" width="5" style="498" customWidth="1"/>
    <col min="12543" max="12543" width="11.125" style="498" customWidth="1"/>
    <col min="12544" max="12544" width="10.375" style="498" customWidth="1"/>
    <col min="12545" max="12545" width="10.875" style="498" customWidth="1"/>
    <col min="12546" max="12546" width="7.75" style="498" customWidth="1"/>
    <col min="12547" max="12547" width="9.875" style="498" customWidth="1"/>
    <col min="12548" max="12548" width="10.625" style="498" customWidth="1"/>
    <col min="12549" max="12791" width="6.125" style="498"/>
    <col min="12792" max="12792" width="5" style="498" customWidth="1"/>
    <col min="12793" max="12793" width="8.875" style="498" customWidth="1"/>
    <col min="12794" max="12794" width="5" style="498" customWidth="1"/>
    <col min="12795" max="12795" width="8.25" style="498" customWidth="1"/>
    <col min="12796" max="12796" width="16.125" style="498" customWidth="1"/>
    <col min="12797" max="12797" width="86" style="498" customWidth="1"/>
    <col min="12798" max="12798" width="5" style="498" customWidth="1"/>
    <col min="12799" max="12799" width="11.125" style="498" customWidth="1"/>
    <col min="12800" max="12800" width="10.375" style="498" customWidth="1"/>
    <col min="12801" max="12801" width="10.875" style="498" customWidth="1"/>
    <col min="12802" max="12802" width="7.75" style="498" customWidth="1"/>
    <col min="12803" max="12803" width="9.875" style="498" customWidth="1"/>
    <col min="12804" max="12804" width="10.625" style="498" customWidth="1"/>
    <col min="12805" max="13047" width="6.125" style="498"/>
    <col min="13048" max="13048" width="5" style="498" customWidth="1"/>
    <col min="13049" max="13049" width="8.875" style="498" customWidth="1"/>
    <col min="13050" max="13050" width="5" style="498" customWidth="1"/>
    <col min="13051" max="13051" width="8.25" style="498" customWidth="1"/>
    <col min="13052" max="13052" width="16.125" style="498" customWidth="1"/>
    <col min="13053" max="13053" width="86" style="498" customWidth="1"/>
    <col min="13054" max="13054" width="5" style="498" customWidth="1"/>
    <col min="13055" max="13055" width="11.125" style="498" customWidth="1"/>
    <col min="13056" max="13056" width="10.375" style="498" customWidth="1"/>
    <col min="13057" max="13057" width="10.875" style="498" customWidth="1"/>
    <col min="13058" max="13058" width="7.75" style="498" customWidth="1"/>
    <col min="13059" max="13059" width="9.875" style="498" customWidth="1"/>
    <col min="13060" max="13060" width="10.625" style="498" customWidth="1"/>
    <col min="13061" max="13303" width="6.125" style="498"/>
    <col min="13304" max="13304" width="5" style="498" customWidth="1"/>
    <col min="13305" max="13305" width="8.875" style="498" customWidth="1"/>
    <col min="13306" max="13306" width="5" style="498" customWidth="1"/>
    <col min="13307" max="13307" width="8.25" style="498" customWidth="1"/>
    <col min="13308" max="13308" width="16.125" style="498" customWidth="1"/>
    <col min="13309" max="13309" width="86" style="498" customWidth="1"/>
    <col min="13310" max="13310" width="5" style="498" customWidth="1"/>
    <col min="13311" max="13311" width="11.125" style="498" customWidth="1"/>
    <col min="13312" max="13312" width="10.375" style="498" customWidth="1"/>
    <col min="13313" max="13313" width="10.875" style="498" customWidth="1"/>
    <col min="13314" max="13314" width="7.75" style="498" customWidth="1"/>
    <col min="13315" max="13315" width="9.875" style="498" customWidth="1"/>
    <col min="13316" max="13316" width="10.625" style="498" customWidth="1"/>
    <col min="13317" max="13559" width="6.125" style="498"/>
    <col min="13560" max="13560" width="5" style="498" customWidth="1"/>
    <col min="13561" max="13561" width="8.875" style="498" customWidth="1"/>
    <col min="13562" max="13562" width="5" style="498" customWidth="1"/>
    <col min="13563" max="13563" width="8.25" style="498" customWidth="1"/>
    <col min="13564" max="13564" width="16.125" style="498" customWidth="1"/>
    <col min="13565" max="13565" width="86" style="498" customWidth="1"/>
    <col min="13566" max="13566" width="5" style="498" customWidth="1"/>
    <col min="13567" max="13567" width="11.125" style="498" customWidth="1"/>
    <col min="13568" max="13568" width="10.375" style="498" customWidth="1"/>
    <col min="13569" max="13569" width="10.875" style="498" customWidth="1"/>
    <col min="13570" max="13570" width="7.75" style="498" customWidth="1"/>
    <col min="13571" max="13571" width="9.875" style="498" customWidth="1"/>
    <col min="13572" max="13572" width="10.625" style="498" customWidth="1"/>
    <col min="13573" max="13815" width="6.125" style="498"/>
    <col min="13816" max="13816" width="5" style="498" customWidth="1"/>
    <col min="13817" max="13817" width="8.875" style="498" customWidth="1"/>
    <col min="13818" max="13818" width="5" style="498" customWidth="1"/>
    <col min="13819" max="13819" width="8.25" style="498" customWidth="1"/>
    <col min="13820" max="13820" width="16.125" style="498" customWidth="1"/>
    <col min="13821" max="13821" width="86" style="498" customWidth="1"/>
    <col min="13822" max="13822" width="5" style="498" customWidth="1"/>
    <col min="13823" max="13823" width="11.125" style="498" customWidth="1"/>
    <col min="13824" max="13824" width="10.375" style="498" customWidth="1"/>
    <col min="13825" max="13825" width="10.875" style="498" customWidth="1"/>
    <col min="13826" max="13826" width="7.75" style="498" customWidth="1"/>
    <col min="13827" max="13827" width="9.875" style="498" customWidth="1"/>
    <col min="13828" max="13828" width="10.625" style="498" customWidth="1"/>
    <col min="13829" max="14071" width="6.125" style="498"/>
    <col min="14072" max="14072" width="5" style="498" customWidth="1"/>
    <col min="14073" max="14073" width="8.875" style="498" customWidth="1"/>
    <col min="14074" max="14074" width="5" style="498" customWidth="1"/>
    <col min="14075" max="14075" width="8.25" style="498" customWidth="1"/>
    <col min="14076" max="14076" width="16.125" style="498" customWidth="1"/>
    <col min="14077" max="14077" width="86" style="498" customWidth="1"/>
    <col min="14078" max="14078" width="5" style="498" customWidth="1"/>
    <col min="14079" max="14079" width="11.125" style="498" customWidth="1"/>
    <col min="14080" max="14080" width="10.375" style="498" customWidth="1"/>
    <col min="14081" max="14081" width="10.875" style="498" customWidth="1"/>
    <col min="14082" max="14082" width="7.75" style="498" customWidth="1"/>
    <col min="14083" max="14083" width="9.875" style="498" customWidth="1"/>
    <col min="14084" max="14084" width="10.625" style="498" customWidth="1"/>
    <col min="14085" max="14327" width="6.125" style="498"/>
    <col min="14328" max="14328" width="5" style="498" customWidth="1"/>
    <col min="14329" max="14329" width="8.875" style="498" customWidth="1"/>
    <col min="14330" max="14330" width="5" style="498" customWidth="1"/>
    <col min="14331" max="14331" width="8.25" style="498" customWidth="1"/>
    <col min="14332" max="14332" width="16.125" style="498" customWidth="1"/>
    <col min="14333" max="14333" width="86" style="498" customWidth="1"/>
    <col min="14334" max="14334" width="5" style="498" customWidth="1"/>
    <col min="14335" max="14335" width="11.125" style="498" customWidth="1"/>
    <col min="14336" max="14336" width="10.375" style="498" customWidth="1"/>
    <col min="14337" max="14337" width="10.875" style="498" customWidth="1"/>
    <col min="14338" max="14338" width="7.75" style="498" customWidth="1"/>
    <col min="14339" max="14339" width="9.875" style="498" customWidth="1"/>
    <col min="14340" max="14340" width="10.625" style="498" customWidth="1"/>
    <col min="14341" max="14583" width="6.125" style="498"/>
    <col min="14584" max="14584" width="5" style="498" customWidth="1"/>
    <col min="14585" max="14585" width="8.875" style="498" customWidth="1"/>
    <col min="14586" max="14586" width="5" style="498" customWidth="1"/>
    <col min="14587" max="14587" width="8.25" style="498" customWidth="1"/>
    <col min="14588" max="14588" width="16.125" style="498" customWidth="1"/>
    <col min="14589" max="14589" width="86" style="498" customWidth="1"/>
    <col min="14590" max="14590" width="5" style="498" customWidth="1"/>
    <col min="14591" max="14591" width="11.125" style="498" customWidth="1"/>
    <col min="14592" max="14592" width="10.375" style="498" customWidth="1"/>
    <col min="14593" max="14593" width="10.875" style="498" customWidth="1"/>
    <col min="14594" max="14594" width="7.75" style="498" customWidth="1"/>
    <col min="14595" max="14595" width="9.875" style="498" customWidth="1"/>
    <col min="14596" max="14596" width="10.625" style="498" customWidth="1"/>
    <col min="14597" max="14839" width="6.125" style="498"/>
    <col min="14840" max="14840" width="5" style="498" customWidth="1"/>
    <col min="14841" max="14841" width="8.875" style="498" customWidth="1"/>
    <col min="14842" max="14842" width="5" style="498" customWidth="1"/>
    <col min="14843" max="14843" width="8.25" style="498" customWidth="1"/>
    <col min="14844" max="14844" width="16.125" style="498" customWidth="1"/>
    <col min="14845" max="14845" width="86" style="498" customWidth="1"/>
    <col min="14846" max="14846" width="5" style="498" customWidth="1"/>
    <col min="14847" max="14847" width="11.125" style="498" customWidth="1"/>
    <col min="14848" max="14848" width="10.375" style="498" customWidth="1"/>
    <col min="14849" max="14849" width="10.875" style="498" customWidth="1"/>
    <col min="14850" max="14850" width="7.75" style="498" customWidth="1"/>
    <col min="14851" max="14851" width="9.875" style="498" customWidth="1"/>
    <col min="14852" max="14852" width="10.625" style="498" customWidth="1"/>
    <col min="14853" max="15095" width="6.125" style="498"/>
    <col min="15096" max="15096" width="5" style="498" customWidth="1"/>
    <col min="15097" max="15097" width="8.875" style="498" customWidth="1"/>
    <col min="15098" max="15098" width="5" style="498" customWidth="1"/>
    <col min="15099" max="15099" width="8.25" style="498" customWidth="1"/>
    <col min="15100" max="15100" width="16.125" style="498" customWidth="1"/>
    <col min="15101" max="15101" width="86" style="498" customWidth="1"/>
    <col min="15102" max="15102" width="5" style="498" customWidth="1"/>
    <col min="15103" max="15103" width="11.125" style="498" customWidth="1"/>
    <col min="15104" max="15104" width="10.375" style="498" customWidth="1"/>
    <col min="15105" max="15105" width="10.875" style="498" customWidth="1"/>
    <col min="15106" max="15106" width="7.75" style="498" customWidth="1"/>
    <col min="15107" max="15107" width="9.875" style="498" customWidth="1"/>
    <col min="15108" max="15108" width="10.625" style="498" customWidth="1"/>
    <col min="15109" max="15351" width="6.125" style="498"/>
    <col min="15352" max="15352" width="5" style="498" customWidth="1"/>
    <col min="15353" max="15353" width="8.875" style="498" customWidth="1"/>
    <col min="15354" max="15354" width="5" style="498" customWidth="1"/>
    <col min="15355" max="15355" width="8.25" style="498" customWidth="1"/>
    <col min="15356" max="15356" width="16.125" style="498" customWidth="1"/>
    <col min="15357" max="15357" width="86" style="498" customWidth="1"/>
    <col min="15358" max="15358" width="5" style="498" customWidth="1"/>
    <col min="15359" max="15359" width="11.125" style="498" customWidth="1"/>
    <col min="15360" max="15360" width="10.375" style="498" customWidth="1"/>
    <col min="15361" max="15361" width="10.875" style="498" customWidth="1"/>
    <col min="15362" max="15362" width="7.75" style="498" customWidth="1"/>
    <col min="15363" max="15363" width="9.875" style="498" customWidth="1"/>
    <col min="15364" max="15364" width="10.625" style="498" customWidth="1"/>
    <col min="15365" max="15607" width="6.125" style="498"/>
    <col min="15608" max="15608" width="5" style="498" customWidth="1"/>
    <col min="15609" max="15609" width="8.875" style="498" customWidth="1"/>
    <col min="15610" max="15610" width="5" style="498" customWidth="1"/>
    <col min="15611" max="15611" width="8.25" style="498" customWidth="1"/>
    <col min="15612" max="15612" width="16.125" style="498" customWidth="1"/>
    <col min="15613" max="15613" width="86" style="498" customWidth="1"/>
    <col min="15614" max="15614" width="5" style="498" customWidth="1"/>
    <col min="15615" max="15615" width="11.125" style="498" customWidth="1"/>
    <col min="15616" max="15616" width="10.375" style="498" customWidth="1"/>
    <col min="15617" max="15617" width="10.875" style="498" customWidth="1"/>
    <col min="15618" max="15618" width="7.75" style="498" customWidth="1"/>
    <col min="15619" max="15619" width="9.875" style="498" customWidth="1"/>
    <col min="15620" max="15620" width="10.625" style="498" customWidth="1"/>
    <col min="15621" max="15863" width="6.125" style="498"/>
    <col min="15864" max="15864" width="5" style="498" customWidth="1"/>
    <col min="15865" max="15865" width="8.875" style="498" customWidth="1"/>
    <col min="15866" max="15866" width="5" style="498" customWidth="1"/>
    <col min="15867" max="15867" width="8.25" style="498" customWidth="1"/>
    <col min="15868" max="15868" width="16.125" style="498" customWidth="1"/>
    <col min="15869" max="15869" width="86" style="498" customWidth="1"/>
    <col min="15870" max="15870" width="5" style="498" customWidth="1"/>
    <col min="15871" max="15871" width="11.125" style="498" customWidth="1"/>
    <col min="15872" max="15872" width="10.375" style="498" customWidth="1"/>
    <col min="15873" max="15873" width="10.875" style="498" customWidth="1"/>
    <col min="15874" max="15874" width="7.75" style="498" customWidth="1"/>
    <col min="15875" max="15875" width="9.875" style="498" customWidth="1"/>
    <col min="15876" max="15876" width="10.625" style="498" customWidth="1"/>
    <col min="15877" max="16119" width="6.125" style="498"/>
    <col min="16120" max="16120" width="5" style="498" customWidth="1"/>
    <col min="16121" max="16121" width="8.875" style="498" customWidth="1"/>
    <col min="16122" max="16122" width="5" style="498" customWidth="1"/>
    <col min="16123" max="16123" width="8.25" style="498" customWidth="1"/>
    <col min="16124" max="16124" width="16.125" style="498" customWidth="1"/>
    <col min="16125" max="16125" width="86" style="498" customWidth="1"/>
    <col min="16126" max="16126" width="5" style="498" customWidth="1"/>
    <col min="16127" max="16127" width="11.125" style="498" customWidth="1"/>
    <col min="16128" max="16128" width="10.375" style="498" customWidth="1"/>
    <col min="16129" max="16129" width="10.875" style="498" customWidth="1"/>
    <col min="16130" max="16130" width="7.75" style="498" customWidth="1"/>
    <col min="16131" max="16131" width="9.875" style="498" customWidth="1"/>
    <col min="16132" max="16132" width="10.625" style="498" customWidth="1"/>
    <col min="16133" max="16384" width="6.125" style="498"/>
  </cols>
  <sheetData>
    <row r="1" ht="24" customHeight="1" spans="1:8">
      <c r="A1" s="500" t="s">
        <v>34</v>
      </c>
      <c r="B1" s="500"/>
      <c r="C1" s="500"/>
      <c r="D1" s="500"/>
      <c r="E1" s="500"/>
      <c r="F1" s="500"/>
      <c r="G1" s="500"/>
      <c r="H1" s="500"/>
    </row>
    <row r="2" customHeight="1" spans="1:9">
      <c r="A2" s="501"/>
      <c r="B2" s="501"/>
      <c r="C2" s="501"/>
      <c r="D2" s="501"/>
      <c r="E2" s="501"/>
      <c r="F2" s="501"/>
      <c r="G2" s="501"/>
      <c r="H2" s="501"/>
      <c r="I2" s="501"/>
    </row>
    <row r="3" ht="32.25" customHeight="1" spans="1:12">
      <c r="A3" s="368"/>
      <c r="B3" s="368"/>
      <c r="C3" s="368"/>
      <c r="D3" s="368"/>
      <c r="E3" s="368"/>
      <c r="F3" s="502"/>
      <c r="G3" s="368"/>
      <c r="H3" s="368"/>
      <c r="I3" s="541" t="s">
        <v>35</v>
      </c>
      <c r="J3" s="542"/>
      <c r="K3" s="541"/>
      <c r="L3" s="542"/>
    </row>
    <row r="4" s="304" customFormat="1" ht="65.25" customHeight="1" spans="1:12">
      <c r="A4" s="340" t="s">
        <v>36</v>
      </c>
      <c r="B4" s="155" t="s">
        <v>37</v>
      </c>
      <c r="C4" s="155" t="s">
        <v>38</v>
      </c>
      <c r="D4" s="155" t="s">
        <v>39</v>
      </c>
      <c r="E4" s="155" t="s">
        <v>40</v>
      </c>
      <c r="F4" s="503" t="s">
        <v>41</v>
      </c>
      <c r="G4" s="342" t="s">
        <v>42</v>
      </c>
      <c r="H4" s="155" t="s">
        <v>43</v>
      </c>
      <c r="I4" s="155" t="s">
        <v>44</v>
      </c>
      <c r="J4" s="155" t="s">
        <v>45</v>
      </c>
      <c r="K4" s="155"/>
      <c r="L4" s="156"/>
    </row>
    <row r="5" ht="15.75" spans="1:12">
      <c r="A5" s="504"/>
      <c r="B5" s="505"/>
      <c r="C5" s="505"/>
      <c r="D5" s="505"/>
      <c r="E5" s="505"/>
      <c r="F5" s="506"/>
      <c r="G5" s="507"/>
      <c r="H5" s="508"/>
      <c r="I5" s="543"/>
      <c r="J5" s="505"/>
      <c r="K5" s="505"/>
      <c r="L5" s="505"/>
    </row>
    <row r="6" ht="15.75" spans="1:12">
      <c r="A6" s="509" t="s">
        <v>46</v>
      </c>
      <c r="B6" s="510"/>
      <c r="C6" s="510"/>
      <c r="D6" s="510"/>
      <c r="E6" s="510"/>
      <c r="F6" s="503" t="s">
        <v>47</v>
      </c>
      <c r="G6" s="510"/>
      <c r="H6" s="511"/>
      <c r="I6" s="544"/>
      <c r="J6" s="510"/>
      <c r="K6" s="510"/>
      <c r="L6" s="545"/>
    </row>
    <row r="7" ht="15" spans="1:12">
      <c r="A7" s="512"/>
      <c r="B7" s="513"/>
      <c r="C7" s="513"/>
      <c r="D7" s="513"/>
      <c r="E7" s="513"/>
      <c r="F7" s="514"/>
      <c r="G7" s="513"/>
      <c r="H7" s="515"/>
      <c r="I7" s="546"/>
      <c r="J7" s="513"/>
      <c r="K7" s="513"/>
      <c r="L7" s="513"/>
    </row>
    <row r="8" s="305" customFormat="1" ht="30" spans="1:12">
      <c r="A8" s="516">
        <v>1.1</v>
      </c>
      <c r="B8" s="517"/>
      <c r="C8" s="517"/>
      <c r="D8" s="133" t="s">
        <v>48</v>
      </c>
      <c r="E8" s="174" t="s">
        <v>49</v>
      </c>
      <c r="F8" s="214" t="s">
        <v>50</v>
      </c>
      <c r="G8" s="517" t="s">
        <v>51</v>
      </c>
      <c r="H8" s="242">
        <v>190</v>
      </c>
      <c r="I8" s="171">
        <v>8950</v>
      </c>
      <c r="J8" s="547">
        <f>SUM(H8*I8)</f>
        <v>1700500</v>
      </c>
      <c r="K8" s="174"/>
      <c r="L8" s="174"/>
    </row>
    <row r="9" s="305" customFormat="1" ht="150" spans="1:12">
      <c r="A9" s="516"/>
      <c r="B9" s="517"/>
      <c r="C9" s="517"/>
      <c r="D9" s="517"/>
      <c r="E9" s="517"/>
      <c r="F9" s="135" t="s">
        <v>52</v>
      </c>
      <c r="G9" s="517"/>
      <c r="H9" s="242"/>
      <c r="I9" s="171"/>
      <c r="J9" s="174"/>
      <c r="K9" s="174"/>
      <c r="L9" s="174"/>
    </row>
    <row r="10" s="305" customFormat="1" ht="15" spans="1:12">
      <c r="A10" s="348"/>
      <c r="B10" s="174"/>
      <c r="C10" s="174"/>
      <c r="D10" s="174"/>
      <c r="E10" s="174"/>
      <c r="F10" s="518"/>
      <c r="G10" s="174"/>
      <c r="H10" s="134"/>
      <c r="I10" s="171"/>
      <c r="J10" s="174"/>
      <c r="K10" s="174"/>
      <c r="L10" s="174"/>
    </row>
    <row r="11" s="305" customFormat="1" ht="15" spans="1:12">
      <c r="A11" s="348"/>
      <c r="B11" s="174"/>
      <c r="C11" s="174"/>
      <c r="D11" s="174"/>
      <c r="E11" s="174"/>
      <c r="F11" s="518"/>
      <c r="G11" s="174"/>
      <c r="H11" s="134"/>
      <c r="I11" s="171"/>
      <c r="J11" s="174"/>
      <c r="K11" s="174"/>
      <c r="L11" s="174"/>
    </row>
    <row r="12" s="305" customFormat="1" ht="30" spans="1:12">
      <c r="A12" s="348">
        <v>1.2</v>
      </c>
      <c r="B12" s="174"/>
      <c r="C12" s="174"/>
      <c r="D12" s="135" t="s">
        <v>53</v>
      </c>
      <c r="E12" s="174" t="s">
        <v>54</v>
      </c>
      <c r="F12" s="519" t="s">
        <v>55</v>
      </c>
      <c r="G12" s="174" t="s">
        <v>51</v>
      </c>
      <c r="H12" s="520">
        <f>(3.8*3)*3.6</f>
        <v>41.04</v>
      </c>
      <c r="I12" s="548">
        <v>8950</v>
      </c>
      <c r="J12" s="547">
        <f>SUM(H12*I12)</f>
        <v>367308</v>
      </c>
      <c r="K12" s="549"/>
      <c r="L12" s="225"/>
    </row>
    <row r="13" s="305" customFormat="1" ht="120" spans="1:12">
      <c r="A13" s="348"/>
      <c r="B13" s="174"/>
      <c r="C13" s="174"/>
      <c r="D13" s="174"/>
      <c r="E13" s="174"/>
      <c r="F13" s="135" t="s">
        <v>56</v>
      </c>
      <c r="G13" s="174"/>
      <c r="H13" s="520"/>
      <c r="I13" s="550"/>
      <c r="J13" s="520"/>
      <c r="K13" s="549"/>
      <c r="L13" s="225"/>
    </row>
    <row r="14" s="305" customFormat="1" ht="15" spans="1:12">
      <c r="A14" s="348"/>
      <c r="B14" s="174"/>
      <c r="C14" s="174"/>
      <c r="D14" s="174"/>
      <c r="E14" s="174"/>
      <c r="F14" s="518"/>
      <c r="G14" s="174"/>
      <c r="H14" s="134"/>
      <c r="I14" s="171"/>
      <c r="J14" s="174"/>
      <c r="K14" s="174"/>
      <c r="L14" s="174"/>
    </row>
    <row r="15" s="305" customFormat="1" ht="30" spans="1:12">
      <c r="A15" s="516">
        <v>1.3</v>
      </c>
      <c r="B15" s="517"/>
      <c r="C15" s="517"/>
      <c r="D15" s="133" t="s">
        <v>53</v>
      </c>
      <c r="E15" s="174" t="s">
        <v>57</v>
      </c>
      <c r="F15" s="214" t="s">
        <v>58</v>
      </c>
      <c r="G15" s="517" t="s">
        <v>51</v>
      </c>
      <c r="H15" s="134">
        <f>7*3.6</f>
        <v>25.2</v>
      </c>
      <c r="I15" s="171">
        <v>8150</v>
      </c>
      <c r="J15" s="547">
        <f>SUM(H15*I15)</f>
        <v>205380</v>
      </c>
      <c r="K15" s="174"/>
      <c r="L15" s="174"/>
    </row>
    <row r="16" s="305" customFormat="1" ht="75" spans="1:12">
      <c r="A16" s="516"/>
      <c r="B16" s="174"/>
      <c r="C16" s="517"/>
      <c r="D16" s="517"/>
      <c r="E16" s="517"/>
      <c r="F16" s="135" t="s">
        <v>59</v>
      </c>
      <c r="G16" s="517"/>
      <c r="H16" s="134"/>
      <c r="I16" s="171"/>
      <c r="J16" s="174"/>
      <c r="K16" s="174"/>
      <c r="L16" s="174"/>
    </row>
    <row r="17" s="305" customFormat="1" ht="15" spans="1:12">
      <c r="A17" s="516"/>
      <c r="B17" s="517"/>
      <c r="C17" s="517"/>
      <c r="D17" s="517"/>
      <c r="E17" s="517"/>
      <c r="F17" s="521"/>
      <c r="G17" s="517"/>
      <c r="H17" s="134"/>
      <c r="I17" s="171"/>
      <c r="J17" s="174"/>
      <c r="K17" s="174"/>
      <c r="L17" s="174"/>
    </row>
    <row r="18" s="305" customFormat="1" ht="15" spans="1:12">
      <c r="A18" s="516"/>
      <c r="B18" s="522"/>
      <c r="C18" s="522"/>
      <c r="D18" s="522"/>
      <c r="E18" s="522"/>
      <c r="F18" s="518"/>
      <c r="G18" s="517"/>
      <c r="H18" s="134"/>
      <c r="I18" s="171"/>
      <c r="J18" s="174"/>
      <c r="K18" s="174"/>
      <c r="L18" s="174"/>
    </row>
    <row r="19" s="305" customFormat="1" ht="15" spans="1:12">
      <c r="A19" s="516">
        <v>1.4</v>
      </c>
      <c r="B19" s="522"/>
      <c r="C19" s="522"/>
      <c r="D19" s="133" t="s">
        <v>60</v>
      </c>
      <c r="E19" s="174" t="s">
        <v>61</v>
      </c>
      <c r="F19" s="523" t="s">
        <v>62</v>
      </c>
      <c r="G19" s="517" t="s">
        <v>63</v>
      </c>
      <c r="H19" s="134">
        <f>7.5*3</f>
        <v>22.5</v>
      </c>
      <c r="I19" s="171">
        <v>2750</v>
      </c>
      <c r="J19" s="173">
        <f>SUM(H19*I19)</f>
        <v>61875</v>
      </c>
      <c r="K19" s="174"/>
      <c r="L19" s="174"/>
    </row>
    <row r="20" s="305" customFormat="1" ht="150" spans="1:12">
      <c r="A20" s="516"/>
      <c r="B20" s="522"/>
      <c r="C20" s="522"/>
      <c r="D20" s="522"/>
      <c r="E20" s="517"/>
      <c r="F20" s="302" t="s">
        <v>64</v>
      </c>
      <c r="G20" s="517"/>
      <c r="H20" s="134"/>
      <c r="I20" s="171"/>
      <c r="J20" s="174"/>
      <c r="K20" s="174"/>
      <c r="L20" s="174"/>
    </row>
    <row r="21" s="305" customFormat="1" ht="15" spans="1:12">
      <c r="A21" s="516"/>
      <c r="B21" s="522"/>
      <c r="C21" s="522"/>
      <c r="D21" s="522"/>
      <c r="E21" s="522"/>
      <c r="F21" s="518"/>
      <c r="G21" s="517"/>
      <c r="H21" s="134"/>
      <c r="I21" s="171"/>
      <c r="J21" s="174"/>
      <c r="K21" s="174"/>
      <c r="L21" s="174"/>
    </row>
    <row r="22" s="305" customFormat="1" ht="15" spans="1:12">
      <c r="A22" s="516"/>
      <c r="B22" s="517"/>
      <c r="C22" s="517"/>
      <c r="D22" s="517"/>
      <c r="E22" s="517"/>
      <c r="F22" s="521"/>
      <c r="G22" s="174"/>
      <c r="H22" s="134"/>
      <c r="I22" s="171"/>
      <c r="J22" s="174"/>
      <c r="K22" s="174"/>
      <c r="L22" s="174"/>
    </row>
    <row r="23" s="305" customFormat="1" ht="30" spans="1:12">
      <c r="A23" s="516">
        <v>1.5</v>
      </c>
      <c r="B23" s="517"/>
      <c r="C23" s="517"/>
      <c r="D23" s="133" t="s">
        <v>65</v>
      </c>
      <c r="E23" s="174" t="s">
        <v>66</v>
      </c>
      <c r="F23" s="524" t="s">
        <v>67</v>
      </c>
      <c r="G23" s="517" t="s">
        <v>63</v>
      </c>
      <c r="H23" s="242">
        <v>60</v>
      </c>
      <c r="I23" s="171">
        <v>2650</v>
      </c>
      <c r="J23" s="173">
        <f>SUM(H23*I23)</f>
        <v>159000</v>
      </c>
      <c r="K23" s="174"/>
      <c r="L23" s="174"/>
    </row>
    <row r="24" ht="105" spans="1:12">
      <c r="A24" s="516"/>
      <c r="B24" s="517"/>
      <c r="C24" s="517"/>
      <c r="D24" s="517"/>
      <c r="E24" s="517"/>
      <c r="F24" s="518" t="s">
        <v>68</v>
      </c>
      <c r="G24" s="517"/>
      <c r="H24" s="242"/>
      <c r="I24" s="551"/>
      <c r="J24" s="517"/>
      <c r="K24" s="517"/>
      <c r="L24" s="517"/>
    </row>
    <row r="25" ht="15.75" spans="1:12">
      <c r="A25" s="525"/>
      <c r="B25" s="526"/>
      <c r="C25" s="526"/>
      <c r="D25" s="526"/>
      <c r="E25" s="526"/>
      <c r="F25" s="527"/>
      <c r="G25" s="526"/>
      <c r="H25" s="528"/>
      <c r="I25" s="528"/>
      <c r="J25" s="526"/>
      <c r="K25" s="526"/>
      <c r="L25" s="526"/>
    </row>
    <row r="26" ht="15.75" spans="1:12">
      <c r="A26" s="529" t="s">
        <v>69</v>
      </c>
      <c r="B26" s="530"/>
      <c r="C26" s="530"/>
      <c r="D26" s="530"/>
      <c r="E26" s="530"/>
      <c r="F26" s="503" t="s">
        <v>70</v>
      </c>
      <c r="G26" s="531"/>
      <c r="H26" s="532"/>
      <c r="I26" s="532"/>
      <c r="J26" s="531"/>
      <c r="K26" s="531"/>
      <c r="L26" s="552"/>
    </row>
    <row r="27" ht="15" spans="1:12">
      <c r="A27" s="512"/>
      <c r="B27" s="533"/>
      <c r="C27" s="533"/>
      <c r="D27" s="533"/>
      <c r="E27" s="533"/>
      <c r="F27" s="514"/>
      <c r="G27" s="513"/>
      <c r="H27" s="515"/>
      <c r="I27" s="515"/>
      <c r="J27" s="513"/>
      <c r="K27" s="513"/>
      <c r="L27" s="513"/>
    </row>
    <row r="28" ht="15" spans="1:12">
      <c r="A28" s="348">
        <v>2.1</v>
      </c>
      <c r="B28" s="225"/>
      <c r="C28" s="225"/>
      <c r="D28" s="163" t="s">
        <v>71</v>
      </c>
      <c r="E28" s="534" t="s">
        <v>72</v>
      </c>
      <c r="F28" s="535" t="s">
        <v>73</v>
      </c>
      <c r="G28" s="174" t="s">
        <v>51</v>
      </c>
      <c r="H28" s="130">
        <v>20</v>
      </c>
      <c r="I28" s="549">
        <v>2050</v>
      </c>
      <c r="J28" s="173">
        <f>SUM(H28*I28)</f>
        <v>41000</v>
      </c>
      <c r="K28" s="225"/>
      <c r="L28" s="225"/>
    </row>
    <row r="29" ht="150" spans="1:12">
      <c r="A29" s="348"/>
      <c r="B29" s="225"/>
      <c r="C29" s="225"/>
      <c r="D29" s="225"/>
      <c r="E29" s="174"/>
      <c r="F29" s="232" t="s">
        <v>74</v>
      </c>
      <c r="G29" s="174"/>
      <c r="H29" s="242"/>
      <c r="I29" s="242"/>
      <c r="J29" s="517"/>
      <c r="K29" s="517"/>
      <c r="L29" s="517"/>
    </row>
    <row r="30" ht="15" spans="1:12">
      <c r="A30" s="516"/>
      <c r="B30" s="522"/>
      <c r="C30" s="522"/>
      <c r="D30" s="522"/>
      <c r="E30" s="522"/>
      <c r="F30" s="214"/>
      <c r="G30" s="517"/>
      <c r="H30" s="242"/>
      <c r="I30" s="242"/>
      <c r="J30" s="517"/>
      <c r="K30" s="517"/>
      <c r="L30" s="517"/>
    </row>
    <row r="31" ht="15" spans="1:12">
      <c r="A31" s="516">
        <v>2.2</v>
      </c>
      <c r="B31" s="522"/>
      <c r="C31" s="522"/>
      <c r="D31" s="133" t="s">
        <v>71</v>
      </c>
      <c r="E31" s="133" t="s">
        <v>72</v>
      </c>
      <c r="F31" s="214" t="s">
        <v>75</v>
      </c>
      <c r="G31" s="517" t="s">
        <v>63</v>
      </c>
      <c r="H31" s="242">
        <v>30</v>
      </c>
      <c r="I31" s="551">
        <v>10600</v>
      </c>
      <c r="J31" s="173">
        <f>SUM(H31*I31)</f>
        <v>318000</v>
      </c>
      <c r="K31" s="517"/>
      <c r="L31" s="517"/>
    </row>
    <row r="32" ht="195" spans="1:12">
      <c r="A32" s="516"/>
      <c r="B32" s="522"/>
      <c r="C32" s="522"/>
      <c r="D32" s="522"/>
      <c r="E32" s="517"/>
      <c r="F32" s="135" t="s">
        <v>76</v>
      </c>
      <c r="G32" s="517"/>
      <c r="H32" s="242"/>
      <c r="I32" s="242"/>
      <c r="J32" s="517"/>
      <c r="K32" s="517"/>
      <c r="L32" s="517"/>
    </row>
    <row r="33" ht="15" spans="1:12">
      <c r="A33" s="516"/>
      <c r="B33" s="522"/>
      <c r="C33" s="522"/>
      <c r="D33" s="522"/>
      <c r="E33" s="522"/>
      <c r="F33" s="521" t="s">
        <v>77</v>
      </c>
      <c r="G33" s="517"/>
      <c r="H33" s="242"/>
      <c r="I33" s="242"/>
      <c r="J33" s="517"/>
      <c r="K33" s="517"/>
      <c r="L33" s="517"/>
    </row>
    <row r="34" ht="15" spans="1:12">
      <c r="A34" s="516"/>
      <c r="B34" s="522"/>
      <c r="C34" s="522"/>
      <c r="D34" s="522"/>
      <c r="E34" s="522"/>
      <c r="F34" s="518"/>
      <c r="G34" s="517"/>
      <c r="H34" s="242"/>
      <c r="I34" s="242"/>
      <c r="J34" s="517"/>
      <c r="K34" s="517"/>
      <c r="L34" s="517"/>
    </row>
    <row r="35" ht="15" spans="1:12">
      <c r="A35" s="516">
        <v>2.3</v>
      </c>
      <c r="B35" s="522"/>
      <c r="C35" s="522"/>
      <c r="D35" s="133" t="s">
        <v>71</v>
      </c>
      <c r="E35" s="133" t="s">
        <v>78</v>
      </c>
      <c r="F35" s="214" t="s">
        <v>79</v>
      </c>
      <c r="G35" s="517" t="s">
        <v>51</v>
      </c>
      <c r="H35" s="242">
        <v>50</v>
      </c>
      <c r="I35" s="242">
        <v>475</v>
      </c>
      <c r="J35" s="173">
        <f>SUM(H35*I35)</f>
        <v>23750</v>
      </c>
      <c r="K35" s="517"/>
      <c r="L35" s="517"/>
    </row>
    <row r="36" ht="90" spans="1:12">
      <c r="A36" s="516"/>
      <c r="B36" s="522"/>
      <c r="C36" s="522"/>
      <c r="D36" s="522"/>
      <c r="E36" s="522"/>
      <c r="F36" s="135" t="s">
        <v>80</v>
      </c>
      <c r="G36" s="517"/>
      <c r="H36" s="242"/>
      <c r="I36" s="242"/>
      <c r="J36" s="517"/>
      <c r="K36" s="517"/>
      <c r="L36" s="517"/>
    </row>
    <row r="37" ht="15.75" spans="1:12">
      <c r="A37" s="525"/>
      <c r="B37" s="536"/>
      <c r="C37" s="536"/>
      <c r="D37" s="536"/>
      <c r="E37" s="536"/>
      <c r="F37" s="537"/>
      <c r="G37" s="526"/>
      <c r="H37" s="528"/>
      <c r="I37" s="528"/>
      <c r="J37" s="526"/>
      <c r="K37" s="526"/>
      <c r="L37" s="526"/>
    </row>
    <row r="38" ht="15.75" spans="1:12">
      <c r="A38" s="529" t="s">
        <v>81</v>
      </c>
      <c r="B38" s="530"/>
      <c r="C38" s="530"/>
      <c r="D38" s="530"/>
      <c r="E38" s="530"/>
      <c r="F38" s="503" t="s">
        <v>82</v>
      </c>
      <c r="G38" s="531"/>
      <c r="H38" s="532"/>
      <c r="I38" s="532"/>
      <c r="J38" s="531"/>
      <c r="K38" s="531"/>
      <c r="L38" s="552"/>
    </row>
    <row r="39" ht="15" spans="1:12">
      <c r="A39" s="512"/>
      <c r="B39" s="533"/>
      <c r="C39" s="533"/>
      <c r="D39" s="533"/>
      <c r="E39" s="533"/>
      <c r="F39" s="514"/>
      <c r="G39" s="513"/>
      <c r="H39" s="515"/>
      <c r="I39" s="515"/>
      <c r="J39" s="513"/>
      <c r="K39" s="513"/>
      <c r="L39" s="513"/>
    </row>
    <row r="40" ht="15" spans="1:12">
      <c r="A40" s="516"/>
      <c r="B40" s="522"/>
      <c r="C40" s="522"/>
      <c r="D40" s="522"/>
      <c r="E40" s="522"/>
      <c r="F40" s="135"/>
      <c r="G40" s="517"/>
      <c r="H40" s="242"/>
      <c r="I40" s="242"/>
      <c r="J40" s="517"/>
      <c r="K40" s="517"/>
      <c r="L40" s="517"/>
    </row>
    <row r="41" ht="15" spans="1:12">
      <c r="A41" s="516">
        <v>3.1</v>
      </c>
      <c r="B41" s="522"/>
      <c r="C41" s="522"/>
      <c r="D41" s="522" t="s">
        <v>83</v>
      </c>
      <c r="E41" s="522" t="s">
        <v>84</v>
      </c>
      <c r="F41" s="214" t="s">
        <v>85</v>
      </c>
      <c r="G41" s="517"/>
      <c r="H41" s="242"/>
      <c r="I41" s="553"/>
      <c r="J41" s="517"/>
      <c r="K41" s="517"/>
      <c r="L41" s="517"/>
    </row>
    <row r="42" ht="75" spans="1:12">
      <c r="A42" s="516"/>
      <c r="B42" s="522"/>
      <c r="C42" s="522"/>
      <c r="D42" s="522"/>
      <c r="E42" s="522"/>
      <c r="F42" s="135" t="s">
        <v>86</v>
      </c>
      <c r="G42" s="517"/>
      <c r="H42" s="242"/>
      <c r="I42" s="242"/>
      <c r="J42" s="517"/>
      <c r="K42" s="517"/>
      <c r="L42" s="517"/>
    </row>
    <row r="43" ht="15" spans="1:12">
      <c r="A43" s="516"/>
      <c r="B43" s="522"/>
      <c r="C43" s="522"/>
      <c r="D43" s="522"/>
      <c r="E43" s="522"/>
      <c r="F43" s="538" t="s">
        <v>87</v>
      </c>
      <c r="G43" s="517" t="s">
        <v>51</v>
      </c>
      <c r="H43" s="242">
        <v>10</v>
      </c>
      <c r="I43" s="242">
        <v>1890</v>
      </c>
      <c r="J43" s="173">
        <f>SUM(H43*I43)</f>
        <v>18900</v>
      </c>
      <c r="K43" s="517"/>
      <c r="L43" s="517"/>
    </row>
    <row r="44" ht="15" spans="1:12">
      <c r="A44" s="516"/>
      <c r="B44" s="522"/>
      <c r="C44" s="522"/>
      <c r="D44" s="522"/>
      <c r="E44" s="522"/>
      <c r="F44" s="538" t="s">
        <v>88</v>
      </c>
      <c r="G44" s="517" t="s">
        <v>51</v>
      </c>
      <c r="H44" s="242">
        <v>10</v>
      </c>
      <c r="I44" s="242">
        <v>2100</v>
      </c>
      <c r="J44" s="547">
        <f>SUM(H44*I44)</f>
        <v>21000</v>
      </c>
      <c r="K44" s="517"/>
      <c r="L44" s="517"/>
    </row>
    <row r="45" ht="15" spans="1:12">
      <c r="A45" s="516"/>
      <c r="B45" s="522"/>
      <c r="C45" s="522"/>
      <c r="D45" s="522"/>
      <c r="E45" s="522"/>
      <c r="F45" s="538" t="s">
        <v>89</v>
      </c>
      <c r="G45" s="517" t="s">
        <v>51</v>
      </c>
      <c r="H45" s="242">
        <v>10</v>
      </c>
      <c r="I45" s="242">
        <v>2300</v>
      </c>
      <c r="J45" s="547">
        <f>SUM(H45*I45)</f>
        <v>23000</v>
      </c>
      <c r="K45" s="517"/>
      <c r="L45" s="517"/>
    </row>
    <row r="46" ht="15" spans="1:12">
      <c r="A46" s="516"/>
      <c r="B46" s="522"/>
      <c r="C46" s="522"/>
      <c r="D46" s="522"/>
      <c r="E46" s="522"/>
      <c r="F46" s="538" t="s">
        <v>90</v>
      </c>
      <c r="G46" s="517" t="s">
        <v>51</v>
      </c>
      <c r="H46" s="242">
        <v>10</v>
      </c>
      <c r="I46" s="242">
        <v>1280</v>
      </c>
      <c r="J46" s="547">
        <f>SUM(H46*I46)</f>
        <v>12800</v>
      </c>
      <c r="K46" s="517"/>
      <c r="L46" s="517"/>
    </row>
    <row r="47" ht="15" spans="1:12">
      <c r="A47" s="516"/>
      <c r="B47" s="522"/>
      <c r="C47" s="522"/>
      <c r="D47" s="522"/>
      <c r="E47" s="522"/>
      <c r="F47" s="521"/>
      <c r="G47" s="517"/>
      <c r="H47" s="242"/>
      <c r="I47" s="242"/>
      <c r="J47" s="517"/>
      <c r="K47" s="517"/>
      <c r="L47" s="517"/>
    </row>
    <row r="48" ht="15" spans="1:12">
      <c r="A48" s="516">
        <v>3.2</v>
      </c>
      <c r="B48" s="522"/>
      <c r="C48" s="522"/>
      <c r="D48" s="522" t="s">
        <v>83</v>
      </c>
      <c r="E48" s="522" t="s">
        <v>91</v>
      </c>
      <c r="F48" s="214" t="s">
        <v>92</v>
      </c>
      <c r="G48" s="517" t="s">
        <v>51</v>
      </c>
      <c r="H48" s="242">
        <v>10</v>
      </c>
      <c r="I48" s="242">
        <v>6890</v>
      </c>
      <c r="J48" s="173">
        <f>SUM(H48*I48)</f>
        <v>68900</v>
      </c>
      <c r="K48" s="517"/>
      <c r="L48" s="517"/>
    </row>
    <row r="49" ht="90" spans="1:12">
      <c r="A49" s="516"/>
      <c r="B49" s="522"/>
      <c r="C49" s="522"/>
      <c r="D49" s="522"/>
      <c r="E49" s="522"/>
      <c r="F49" s="135" t="s">
        <v>93</v>
      </c>
      <c r="G49" s="517"/>
      <c r="H49" s="242"/>
      <c r="I49" s="242"/>
      <c r="J49" s="517"/>
      <c r="K49" s="517"/>
      <c r="L49" s="517"/>
    </row>
    <row r="50" ht="15" spans="1:12">
      <c r="A50" s="516"/>
      <c r="B50" s="522"/>
      <c r="C50" s="522"/>
      <c r="D50" s="522"/>
      <c r="E50" s="522"/>
      <c r="F50" s="135" t="s">
        <v>94</v>
      </c>
      <c r="G50" s="517"/>
      <c r="H50" s="242"/>
      <c r="I50" s="242"/>
      <c r="J50" s="517"/>
      <c r="K50" s="517"/>
      <c r="L50" s="517"/>
    </row>
    <row r="51" ht="15" spans="1:12">
      <c r="A51" s="516"/>
      <c r="B51" s="522"/>
      <c r="C51" s="522"/>
      <c r="D51" s="522"/>
      <c r="E51" s="522"/>
      <c r="F51" s="521" t="s">
        <v>77</v>
      </c>
      <c r="G51" s="517"/>
      <c r="H51" s="242"/>
      <c r="I51" s="242"/>
      <c r="J51" s="517"/>
      <c r="K51" s="517"/>
      <c r="L51" s="517"/>
    </row>
    <row r="52" ht="15" spans="1:12">
      <c r="A52" s="539"/>
      <c r="B52" s="522"/>
      <c r="C52" s="522"/>
      <c r="D52" s="133"/>
      <c r="E52" s="163"/>
      <c r="F52" s="518"/>
      <c r="G52" s="517"/>
      <c r="H52" s="242"/>
      <c r="I52" s="242"/>
      <c r="J52" s="517"/>
      <c r="K52" s="517"/>
      <c r="L52" s="517"/>
    </row>
    <row r="53" ht="15" spans="1:12">
      <c r="A53" s="516">
        <v>3.3</v>
      </c>
      <c r="B53" s="522"/>
      <c r="C53" s="522"/>
      <c r="D53" s="522" t="s">
        <v>95</v>
      </c>
      <c r="E53" s="522" t="s">
        <v>96</v>
      </c>
      <c r="F53" s="214" t="s">
        <v>97</v>
      </c>
      <c r="G53" s="517" t="s">
        <v>98</v>
      </c>
      <c r="H53" s="242">
        <v>150</v>
      </c>
      <c r="I53" s="242">
        <v>800</v>
      </c>
      <c r="J53" s="173">
        <f>SUM(H53*I53)</f>
        <v>120000</v>
      </c>
      <c r="K53" s="517"/>
      <c r="L53" s="517"/>
    </row>
    <row r="54" ht="30" spans="1:12">
      <c r="A54" s="516"/>
      <c r="B54" s="522"/>
      <c r="C54" s="522"/>
      <c r="D54" s="522"/>
      <c r="E54" s="522"/>
      <c r="F54" s="518" t="s">
        <v>99</v>
      </c>
      <c r="G54" s="517"/>
      <c r="H54" s="242"/>
      <c r="I54" s="242"/>
      <c r="J54" s="517"/>
      <c r="K54" s="517"/>
      <c r="L54" s="517"/>
    </row>
    <row r="55" ht="15" spans="1:12">
      <c r="A55" s="516"/>
      <c r="B55" s="522"/>
      <c r="C55" s="522"/>
      <c r="D55" s="522"/>
      <c r="E55" s="517"/>
      <c r="F55" s="518"/>
      <c r="G55" s="517"/>
      <c r="H55" s="242"/>
      <c r="I55" s="242"/>
      <c r="J55" s="517"/>
      <c r="K55" s="517"/>
      <c r="L55" s="517"/>
    </row>
    <row r="56" ht="15" spans="1:12">
      <c r="A56" s="516">
        <v>3.4</v>
      </c>
      <c r="B56" s="522"/>
      <c r="C56" s="522"/>
      <c r="D56" s="522" t="s">
        <v>95</v>
      </c>
      <c r="E56" s="522" t="s">
        <v>100</v>
      </c>
      <c r="F56" s="523" t="s">
        <v>101</v>
      </c>
      <c r="G56" s="517" t="s">
        <v>98</v>
      </c>
      <c r="H56" s="242">
        <v>10</v>
      </c>
      <c r="I56" s="134">
        <v>1350</v>
      </c>
      <c r="J56" s="173">
        <f>SUM(H56*I56)</f>
        <v>13500</v>
      </c>
      <c r="K56" s="517"/>
      <c r="L56" s="517"/>
    </row>
    <row r="57" ht="30" spans="1:12">
      <c r="A57" s="516"/>
      <c r="B57" s="522"/>
      <c r="C57" s="522"/>
      <c r="D57" s="522"/>
      <c r="E57" s="517"/>
      <c r="F57" s="302" t="s">
        <v>102</v>
      </c>
      <c r="G57" s="517"/>
      <c r="H57" s="242"/>
      <c r="I57" s="242"/>
      <c r="J57" s="517"/>
      <c r="K57" s="517"/>
      <c r="L57" s="517"/>
    </row>
    <row r="58" ht="15" spans="1:12">
      <c r="A58" s="516"/>
      <c r="B58" s="522"/>
      <c r="C58" s="522"/>
      <c r="D58" s="522"/>
      <c r="E58" s="517"/>
      <c r="F58" s="521" t="s">
        <v>77</v>
      </c>
      <c r="G58" s="517"/>
      <c r="H58" s="242"/>
      <c r="I58" s="242"/>
      <c r="J58" s="517"/>
      <c r="K58" s="517"/>
      <c r="L58" s="517"/>
    </row>
    <row r="59" ht="15" spans="1:12">
      <c r="A59" s="525"/>
      <c r="B59" s="536"/>
      <c r="C59" s="536"/>
      <c r="D59" s="536"/>
      <c r="E59" s="526"/>
      <c r="F59" s="540"/>
      <c r="G59" s="526"/>
      <c r="H59" s="528"/>
      <c r="I59" s="528"/>
      <c r="J59" s="526"/>
      <c r="K59" s="526"/>
      <c r="L59" s="526"/>
    </row>
    <row r="60" ht="15" spans="1:12">
      <c r="A60" s="516">
        <v>3.5</v>
      </c>
      <c r="B60" s="522"/>
      <c r="C60" s="522"/>
      <c r="D60" s="522" t="s">
        <v>103</v>
      </c>
      <c r="E60" s="522" t="s">
        <v>104</v>
      </c>
      <c r="F60" s="523" t="s">
        <v>105</v>
      </c>
      <c r="G60" s="517" t="s">
        <v>106</v>
      </c>
      <c r="H60" s="242">
        <f>30*3</f>
        <v>90</v>
      </c>
      <c r="I60" s="134">
        <v>3850</v>
      </c>
      <c r="J60" s="173">
        <f>SUM(H60*I60)</f>
        <v>346500</v>
      </c>
      <c r="K60" s="517"/>
      <c r="L60" s="517"/>
    </row>
    <row r="61" ht="75" spans="1:12">
      <c r="A61" s="516"/>
      <c r="B61" s="522"/>
      <c r="C61" s="522"/>
      <c r="D61" s="522"/>
      <c r="E61" s="517"/>
      <c r="F61" s="302" t="s">
        <v>107</v>
      </c>
      <c r="G61" s="517"/>
      <c r="H61" s="242"/>
      <c r="I61" s="242"/>
      <c r="J61" s="517"/>
      <c r="K61" s="517"/>
      <c r="L61" s="517"/>
    </row>
    <row r="62" ht="15.75" spans="1:12">
      <c r="A62" s="525"/>
      <c r="B62" s="536"/>
      <c r="C62" s="536"/>
      <c r="D62" s="536"/>
      <c r="E62" s="536"/>
      <c r="F62" s="527"/>
      <c r="G62" s="526"/>
      <c r="H62" s="528"/>
      <c r="I62" s="528"/>
      <c r="J62" s="526"/>
      <c r="K62" s="526"/>
      <c r="L62" s="526"/>
    </row>
    <row r="63" ht="15.75" spans="1:12">
      <c r="A63" s="529" t="s">
        <v>108</v>
      </c>
      <c r="B63" s="530"/>
      <c r="C63" s="530"/>
      <c r="D63" s="530"/>
      <c r="E63" s="530"/>
      <c r="F63" s="503" t="s">
        <v>109</v>
      </c>
      <c r="G63" s="531"/>
      <c r="H63" s="532"/>
      <c r="I63" s="532"/>
      <c r="J63" s="531"/>
      <c r="K63" s="531"/>
      <c r="L63" s="552"/>
    </row>
    <row r="64" ht="15" spans="1:12">
      <c r="A64" s="512"/>
      <c r="B64" s="533"/>
      <c r="C64" s="533"/>
      <c r="D64" s="533"/>
      <c r="E64" s="533"/>
      <c r="F64" s="514"/>
      <c r="G64" s="513"/>
      <c r="H64" s="515"/>
      <c r="I64" s="515"/>
      <c r="J64" s="513"/>
      <c r="K64" s="513"/>
      <c r="L64" s="513"/>
    </row>
    <row r="65" s="497" customFormat="1" ht="15" spans="1:13">
      <c r="A65" s="554">
        <v>4.1</v>
      </c>
      <c r="B65" s="555"/>
      <c r="C65" s="555"/>
      <c r="D65" s="555" t="s">
        <v>110</v>
      </c>
      <c r="E65" s="555" t="s">
        <v>111</v>
      </c>
      <c r="F65" s="556" t="s">
        <v>112</v>
      </c>
      <c r="G65" s="557" t="s">
        <v>113</v>
      </c>
      <c r="H65" s="551">
        <v>1</v>
      </c>
      <c r="I65" s="565">
        <v>500000</v>
      </c>
      <c r="J65" s="565">
        <f t="shared" ref="J65:J69" si="0">SUM(H65*I65)</f>
        <v>500000</v>
      </c>
      <c r="K65" s="557"/>
      <c r="L65" s="557"/>
      <c r="M65" s="566"/>
    </row>
    <row r="66" s="497" customFormat="1" ht="15" spans="1:13">
      <c r="A66" s="554"/>
      <c r="B66" s="555"/>
      <c r="C66" s="555"/>
      <c r="D66" s="555"/>
      <c r="E66" s="555"/>
      <c r="F66" s="556"/>
      <c r="G66" s="557"/>
      <c r="H66" s="551"/>
      <c r="I66" s="557"/>
      <c r="J66" s="565"/>
      <c r="K66" s="557"/>
      <c r="L66" s="557"/>
      <c r="M66" s="566"/>
    </row>
    <row r="67" s="497" customFormat="1" ht="15" spans="1:13">
      <c r="A67" s="554">
        <v>4.2</v>
      </c>
      <c r="B67" s="555"/>
      <c r="C67" s="555"/>
      <c r="D67" s="555" t="s">
        <v>110</v>
      </c>
      <c r="E67" s="555" t="s">
        <v>114</v>
      </c>
      <c r="F67" s="556" t="s">
        <v>115</v>
      </c>
      <c r="G67" s="557" t="s">
        <v>113</v>
      </c>
      <c r="H67" s="551">
        <v>1</v>
      </c>
      <c r="I67" s="565">
        <v>500000</v>
      </c>
      <c r="J67" s="565">
        <f t="shared" si="0"/>
        <v>500000</v>
      </c>
      <c r="K67" s="557"/>
      <c r="L67" s="557"/>
      <c r="M67" s="566"/>
    </row>
    <row r="68" s="497" customFormat="1" ht="15" spans="1:13">
      <c r="A68" s="554"/>
      <c r="B68" s="555"/>
      <c r="C68" s="555"/>
      <c r="D68" s="555"/>
      <c r="E68" s="555"/>
      <c r="F68" s="558"/>
      <c r="G68" s="557"/>
      <c r="H68" s="551"/>
      <c r="I68" s="557"/>
      <c r="J68" s="565"/>
      <c r="K68" s="557"/>
      <c r="L68" s="557"/>
      <c r="M68" s="566"/>
    </row>
    <row r="69" s="497" customFormat="1" ht="15" spans="1:13">
      <c r="A69" s="554">
        <v>4.3</v>
      </c>
      <c r="B69" s="555"/>
      <c r="C69" s="555"/>
      <c r="D69" s="555" t="s">
        <v>110</v>
      </c>
      <c r="E69" s="555" t="s">
        <v>116</v>
      </c>
      <c r="F69" s="556" t="s">
        <v>117</v>
      </c>
      <c r="G69" s="557" t="s">
        <v>113</v>
      </c>
      <c r="H69" s="551">
        <v>1</v>
      </c>
      <c r="I69" s="565">
        <v>800000</v>
      </c>
      <c r="J69" s="565">
        <f t="shared" si="0"/>
        <v>800000</v>
      </c>
      <c r="K69" s="557"/>
      <c r="L69" s="557"/>
      <c r="M69" s="566"/>
    </row>
    <row r="70" s="497" customFormat="1" ht="15" spans="1:13">
      <c r="A70" s="554"/>
      <c r="B70" s="555"/>
      <c r="C70" s="555"/>
      <c r="D70" s="555"/>
      <c r="E70" s="555"/>
      <c r="F70" s="559" t="s">
        <v>118</v>
      </c>
      <c r="G70" s="557"/>
      <c r="H70" s="551"/>
      <c r="I70" s="567"/>
      <c r="J70" s="565"/>
      <c r="K70" s="557"/>
      <c r="L70" s="557"/>
      <c r="M70" s="566"/>
    </row>
    <row r="71" s="497" customFormat="1" ht="15" spans="1:12">
      <c r="A71" s="554"/>
      <c r="B71" s="555"/>
      <c r="C71" s="555"/>
      <c r="D71" s="555"/>
      <c r="E71" s="555"/>
      <c r="F71" s="559" t="s">
        <v>119</v>
      </c>
      <c r="G71" s="557"/>
      <c r="H71" s="551"/>
      <c r="I71" s="567"/>
      <c r="J71" s="557"/>
      <c r="K71" s="557"/>
      <c r="L71" s="557"/>
    </row>
    <row r="72" s="497" customFormat="1" ht="15" spans="1:12">
      <c r="A72" s="554"/>
      <c r="B72" s="555"/>
      <c r="C72" s="555"/>
      <c r="D72" s="555"/>
      <c r="E72" s="555"/>
      <c r="F72" s="559" t="s">
        <v>120</v>
      </c>
      <c r="G72" s="557"/>
      <c r="H72" s="551"/>
      <c r="I72" s="567"/>
      <c r="J72" s="557"/>
      <c r="K72" s="557"/>
      <c r="L72" s="557"/>
    </row>
    <row r="73" s="497" customFormat="1" ht="15" spans="1:12">
      <c r="A73" s="554"/>
      <c r="B73" s="555"/>
      <c r="C73" s="555"/>
      <c r="D73" s="555"/>
      <c r="E73" s="555"/>
      <c r="F73" s="559" t="s">
        <v>121</v>
      </c>
      <c r="G73" s="557"/>
      <c r="H73" s="551"/>
      <c r="I73" s="567"/>
      <c r="J73" s="557"/>
      <c r="K73" s="557"/>
      <c r="L73" s="557"/>
    </row>
    <row r="74" s="497" customFormat="1" ht="15" spans="1:12">
      <c r="A74" s="554"/>
      <c r="B74" s="555"/>
      <c r="C74" s="555"/>
      <c r="D74" s="555"/>
      <c r="E74" s="555"/>
      <c r="F74" s="559" t="s">
        <v>122</v>
      </c>
      <c r="G74" s="557"/>
      <c r="H74" s="551"/>
      <c r="I74" s="567"/>
      <c r="J74" s="557"/>
      <c r="K74" s="557"/>
      <c r="L74" s="557"/>
    </row>
    <row r="75" s="497" customFormat="1" ht="15" spans="1:12">
      <c r="A75" s="554"/>
      <c r="B75" s="555"/>
      <c r="C75" s="555"/>
      <c r="D75" s="555"/>
      <c r="E75" s="555"/>
      <c r="F75" s="559" t="s">
        <v>123</v>
      </c>
      <c r="G75" s="557"/>
      <c r="H75" s="551"/>
      <c r="I75" s="567"/>
      <c r="J75" s="557"/>
      <c r="K75" s="557"/>
      <c r="L75" s="557"/>
    </row>
    <row r="76" s="497" customFormat="1" ht="15" spans="1:12">
      <c r="A76" s="554"/>
      <c r="B76" s="555"/>
      <c r="C76" s="555"/>
      <c r="D76" s="555"/>
      <c r="E76" s="555"/>
      <c r="F76" s="559" t="s">
        <v>124</v>
      </c>
      <c r="G76" s="557"/>
      <c r="H76" s="551"/>
      <c r="I76" s="567"/>
      <c r="J76" s="557"/>
      <c r="K76" s="557"/>
      <c r="L76" s="557"/>
    </row>
    <row r="77" ht="15.75" spans="1:12">
      <c r="A77" s="560"/>
      <c r="B77" s="536"/>
      <c r="C77" s="536"/>
      <c r="D77" s="536"/>
      <c r="E77" s="536"/>
      <c r="F77" s="527"/>
      <c r="G77" s="526"/>
      <c r="H77" s="528"/>
      <c r="I77" s="568"/>
      <c r="J77" s="526"/>
      <c r="K77" s="526"/>
      <c r="L77" s="526"/>
    </row>
    <row r="78" ht="15.75" spans="1:12">
      <c r="A78" s="561" t="s">
        <v>125</v>
      </c>
      <c r="B78" s="530"/>
      <c r="C78" s="530"/>
      <c r="D78" s="530"/>
      <c r="E78" s="530"/>
      <c r="F78" s="503" t="s">
        <v>126</v>
      </c>
      <c r="G78" s="531"/>
      <c r="H78" s="532"/>
      <c r="I78" s="569"/>
      <c r="J78" s="531"/>
      <c r="K78" s="531"/>
      <c r="L78" s="552"/>
    </row>
    <row r="79" ht="15" spans="1:12">
      <c r="A79" s="562"/>
      <c r="B79" s="533"/>
      <c r="C79" s="533"/>
      <c r="D79" s="533"/>
      <c r="E79" s="533"/>
      <c r="F79" s="514"/>
      <c r="G79" s="513"/>
      <c r="H79" s="515"/>
      <c r="I79" s="546"/>
      <c r="J79" s="513"/>
      <c r="K79" s="513"/>
      <c r="L79" s="513"/>
    </row>
    <row r="80" ht="15" spans="1:13">
      <c r="A80" s="516">
        <v>5.1</v>
      </c>
      <c r="B80" s="522"/>
      <c r="C80" s="522"/>
      <c r="D80" s="522" t="s">
        <v>127</v>
      </c>
      <c r="E80" s="522" t="s">
        <v>128</v>
      </c>
      <c r="F80" s="563" t="s">
        <v>129</v>
      </c>
      <c r="G80" s="517" t="s">
        <v>130</v>
      </c>
      <c r="H80" s="242">
        <v>50</v>
      </c>
      <c r="I80" s="553">
        <v>600</v>
      </c>
      <c r="J80" s="173">
        <f>SUM(H80*I80)</f>
        <v>30000</v>
      </c>
      <c r="K80" s="517"/>
      <c r="L80" s="517"/>
      <c r="M80" s="570"/>
    </row>
    <row r="81" ht="60" spans="1:12">
      <c r="A81" s="516"/>
      <c r="B81" s="522"/>
      <c r="C81" s="522"/>
      <c r="D81" s="522"/>
      <c r="E81" s="522"/>
      <c r="F81" s="135" t="s">
        <v>131</v>
      </c>
      <c r="G81" s="517"/>
      <c r="H81" s="242"/>
      <c r="I81" s="553"/>
      <c r="J81" s="517"/>
      <c r="K81" s="517"/>
      <c r="L81" s="517"/>
    </row>
    <row r="82" ht="15" spans="1:12">
      <c r="A82" s="516"/>
      <c r="B82" s="522"/>
      <c r="C82" s="522"/>
      <c r="D82" s="522"/>
      <c r="E82" s="522"/>
      <c r="F82" s="135"/>
      <c r="G82" s="517"/>
      <c r="H82" s="242"/>
      <c r="I82" s="553"/>
      <c r="J82" s="517"/>
      <c r="K82" s="517"/>
      <c r="L82" s="517"/>
    </row>
    <row r="83" ht="15" spans="1:12">
      <c r="A83" s="516">
        <v>5.2</v>
      </c>
      <c r="B83" s="522"/>
      <c r="C83" s="522"/>
      <c r="D83" s="522" t="s">
        <v>127</v>
      </c>
      <c r="E83" s="522" t="s">
        <v>128</v>
      </c>
      <c r="F83" s="563" t="s">
        <v>132</v>
      </c>
      <c r="G83" s="517" t="s">
        <v>130</v>
      </c>
      <c r="H83" s="242">
        <v>50</v>
      </c>
      <c r="I83" s="553">
        <v>2095</v>
      </c>
      <c r="J83" s="173">
        <f>SUM(H83*I83)</f>
        <v>104750</v>
      </c>
      <c r="K83" s="517"/>
      <c r="L83" s="517"/>
    </row>
    <row r="84" ht="30" spans="1:12">
      <c r="A84" s="516"/>
      <c r="B84" s="522"/>
      <c r="C84" s="522"/>
      <c r="D84" s="522"/>
      <c r="E84" s="522"/>
      <c r="F84" s="135" t="s">
        <v>133</v>
      </c>
      <c r="G84" s="517"/>
      <c r="H84" s="242"/>
      <c r="I84" s="553"/>
      <c r="J84" s="517"/>
      <c r="K84" s="517"/>
      <c r="L84" s="517"/>
    </row>
    <row r="85" ht="15" spans="1:12">
      <c r="A85" s="516"/>
      <c r="B85" s="522"/>
      <c r="C85" s="522"/>
      <c r="D85" s="522"/>
      <c r="E85" s="522"/>
      <c r="F85" s="135"/>
      <c r="G85" s="517"/>
      <c r="H85" s="242"/>
      <c r="I85" s="553"/>
      <c r="J85" s="517"/>
      <c r="K85" s="517"/>
      <c r="L85" s="517"/>
    </row>
    <row r="86" ht="15" spans="1:12">
      <c r="A86" s="516">
        <v>5.3</v>
      </c>
      <c r="B86" s="522"/>
      <c r="C86" s="522"/>
      <c r="D86" s="522" t="s">
        <v>127</v>
      </c>
      <c r="E86" s="522" t="s">
        <v>134</v>
      </c>
      <c r="F86" s="563" t="s">
        <v>135</v>
      </c>
      <c r="G86" s="517" t="s">
        <v>130</v>
      </c>
      <c r="H86" s="242">
        <v>50</v>
      </c>
      <c r="I86" s="553">
        <v>380</v>
      </c>
      <c r="J86" s="173">
        <f>SUM(H86*I86)</f>
        <v>19000</v>
      </c>
      <c r="K86" s="517"/>
      <c r="L86" s="517"/>
    </row>
    <row r="87" ht="60" spans="1:12">
      <c r="A87" s="516"/>
      <c r="B87" s="522"/>
      <c r="C87" s="522"/>
      <c r="D87" s="522"/>
      <c r="E87" s="522"/>
      <c r="F87" s="135" t="s">
        <v>136</v>
      </c>
      <c r="G87" s="517"/>
      <c r="H87" s="242"/>
      <c r="I87" s="553"/>
      <c r="J87" s="517"/>
      <c r="K87" s="517"/>
      <c r="L87" s="517"/>
    </row>
    <row r="88" ht="15" spans="1:12">
      <c r="A88" s="516"/>
      <c r="B88" s="522"/>
      <c r="C88" s="522"/>
      <c r="D88" s="522"/>
      <c r="E88" s="522"/>
      <c r="F88" s="135"/>
      <c r="G88" s="517"/>
      <c r="H88" s="242"/>
      <c r="I88" s="553"/>
      <c r="J88" s="517"/>
      <c r="K88" s="517"/>
      <c r="L88" s="517"/>
    </row>
    <row r="89" ht="15" spans="1:12">
      <c r="A89" s="516">
        <v>5.4</v>
      </c>
      <c r="B89" s="522"/>
      <c r="C89" s="522"/>
      <c r="D89" s="522" t="s">
        <v>127</v>
      </c>
      <c r="E89" s="522" t="s">
        <v>137</v>
      </c>
      <c r="F89" s="563" t="s">
        <v>138</v>
      </c>
      <c r="G89" s="517" t="s">
        <v>130</v>
      </c>
      <c r="H89" s="242">
        <v>50</v>
      </c>
      <c r="I89" s="571">
        <v>3500</v>
      </c>
      <c r="J89" s="173">
        <f>SUM(H89*I89)</f>
        <v>175000</v>
      </c>
      <c r="K89" s="517"/>
      <c r="L89" s="517"/>
    </row>
    <row r="90" ht="15" spans="1:12">
      <c r="A90" s="516"/>
      <c r="B90" s="522"/>
      <c r="C90" s="522"/>
      <c r="D90" s="522"/>
      <c r="E90" s="522"/>
      <c r="F90" s="135" t="s">
        <v>139</v>
      </c>
      <c r="G90" s="517"/>
      <c r="H90" s="242"/>
      <c r="I90" s="553"/>
      <c r="J90" s="517"/>
      <c r="K90" s="517"/>
      <c r="L90" s="517"/>
    </row>
    <row r="91" ht="27.75" customHeight="1" spans="1:12">
      <c r="A91" s="516"/>
      <c r="B91" s="522"/>
      <c r="C91" s="522"/>
      <c r="D91" s="522"/>
      <c r="E91" s="522"/>
      <c r="F91" s="135"/>
      <c r="G91" s="517"/>
      <c r="H91" s="242"/>
      <c r="I91" s="553"/>
      <c r="J91" s="572">
        <f>SUM(J7:J90)</f>
        <v>5630163</v>
      </c>
      <c r="K91" s="517"/>
      <c r="L91" s="517"/>
    </row>
    <row r="93" ht="25.5" customHeight="1" spans="2:2">
      <c r="B93" s="564" t="s">
        <v>140</v>
      </c>
    </row>
    <row r="94" spans="2:2">
      <c r="B94" s="564" t="s">
        <v>141</v>
      </c>
    </row>
    <row r="95" spans="2:2">
      <c r="B95" s="564" t="s">
        <v>142</v>
      </c>
    </row>
    <row r="96" spans="2:2">
      <c r="B96" s="564" t="s">
        <v>143</v>
      </c>
    </row>
    <row r="97" spans="2:2">
      <c r="B97" s="564" t="s">
        <v>144</v>
      </c>
    </row>
    <row r="98" spans="2:2">
      <c r="B98" s="564" t="s">
        <v>145</v>
      </c>
    </row>
  </sheetData>
  <mergeCells count="2">
    <mergeCell ref="A1:H1"/>
    <mergeCell ref="A2:H2"/>
  </mergeCells>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9"/>
  <sheetViews>
    <sheetView workbookViewId="0">
      <selection activeCell="F59" sqref="F59"/>
    </sheetView>
  </sheetViews>
  <sheetFormatPr defaultColWidth="6.125" defaultRowHeight="12.75"/>
  <cols>
    <col min="1" max="4" width="7.75" style="416" customWidth="1"/>
    <col min="5" max="5" width="10.875" style="416" customWidth="1"/>
    <col min="6" max="6" width="56" style="416" customWidth="1"/>
    <col min="7" max="7" width="6.75" style="416" customWidth="1"/>
    <col min="8" max="10" width="7.75" style="417" customWidth="1"/>
    <col min="11" max="11" width="10.125" style="416" customWidth="1"/>
    <col min="12" max="14" width="7.5" style="416" hidden="1" customWidth="1"/>
    <col min="15" max="15" width="10.875" style="416" customWidth="1"/>
    <col min="16" max="16" width="11.25" style="416" customWidth="1"/>
    <col min="17" max="17" width="8.5" style="416" customWidth="1"/>
    <col min="18" max="244" width="6.125" style="416"/>
    <col min="245" max="245" width="5" style="416" customWidth="1"/>
    <col min="246" max="246" width="8.875" style="416" customWidth="1"/>
    <col min="247" max="247" width="5" style="416" customWidth="1"/>
    <col min="248" max="248" width="8.25" style="416" customWidth="1"/>
    <col min="249" max="249" width="16.125" style="416" customWidth="1"/>
    <col min="250" max="250" width="86" style="416" customWidth="1"/>
    <col min="251" max="251" width="5" style="416" customWidth="1"/>
    <col min="252" max="252" width="11.125" style="416" customWidth="1"/>
    <col min="253" max="253" width="10.375" style="416" customWidth="1"/>
    <col min="254" max="254" width="10.875" style="416" customWidth="1"/>
    <col min="255" max="255" width="7.75" style="416" customWidth="1"/>
    <col min="256" max="256" width="9.875" style="416" customWidth="1"/>
    <col min="257" max="257" width="10.625" style="416" customWidth="1"/>
    <col min="258" max="500" width="6.125" style="416"/>
    <col min="501" max="501" width="5" style="416" customWidth="1"/>
    <col min="502" max="502" width="8.875" style="416" customWidth="1"/>
    <col min="503" max="503" width="5" style="416" customWidth="1"/>
    <col min="504" max="504" width="8.25" style="416" customWidth="1"/>
    <col min="505" max="505" width="16.125" style="416" customWidth="1"/>
    <col min="506" max="506" width="86" style="416" customWidth="1"/>
    <col min="507" max="507" width="5" style="416" customWidth="1"/>
    <col min="508" max="508" width="11.125" style="416" customWidth="1"/>
    <col min="509" max="509" width="10.375" style="416" customWidth="1"/>
    <col min="510" max="510" width="10.875" style="416" customWidth="1"/>
    <col min="511" max="511" width="7.75" style="416" customWidth="1"/>
    <col min="512" max="512" width="9.875" style="416" customWidth="1"/>
    <col min="513" max="513" width="10.625" style="416" customWidth="1"/>
    <col min="514" max="756" width="6.125" style="416"/>
    <col min="757" max="757" width="5" style="416" customWidth="1"/>
    <col min="758" max="758" width="8.875" style="416" customWidth="1"/>
    <col min="759" max="759" width="5" style="416" customWidth="1"/>
    <col min="760" max="760" width="8.25" style="416" customWidth="1"/>
    <col min="761" max="761" width="16.125" style="416" customWidth="1"/>
    <col min="762" max="762" width="86" style="416" customWidth="1"/>
    <col min="763" max="763" width="5" style="416" customWidth="1"/>
    <col min="764" max="764" width="11.125" style="416" customWidth="1"/>
    <col min="765" max="765" width="10.375" style="416" customWidth="1"/>
    <col min="766" max="766" width="10.875" style="416" customWidth="1"/>
    <col min="767" max="767" width="7.75" style="416" customWidth="1"/>
    <col min="768" max="768" width="9.875" style="416" customWidth="1"/>
    <col min="769" max="769" width="10.625" style="416" customWidth="1"/>
    <col min="770" max="1012" width="6.125" style="416"/>
    <col min="1013" max="1013" width="5" style="416" customWidth="1"/>
    <col min="1014" max="1014" width="8.875" style="416" customWidth="1"/>
    <col min="1015" max="1015" width="5" style="416" customWidth="1"/>
    <col min="1016" max="1016" width="8.25" style="416" customWidth="1"/>
    <col min="1017" max="1017" width="16.125" style="416" customWidth="1"/>
    <col min="1018" max="1018" width="86" style="416" customWidth="1"/>
    <col min="1019" max="1019" width="5" style="416" customWidth="1"/>
    <col min="1020" max="1020" width="11.125" style="416" customWidth="1"/>
    <col min="1021" max="1021" width="10.375" style="416" customWidth="1"/>
    <col min="1022" max="1022" width="10.875" style="416" customWidth="1"/>
    <col min="1023" max="1023" width="7.75" style="416" customWidth="1"/>
    <col min="1024" max="1024" width="9.875" style="416" customWidth="1"/>
    <col min="1025" max="1025" width="10.625" style="416" customWidth="1"/>
    <col min="1026" max="1268" width="6.125" style="416"/>
    <col min="1269" max="1269" width="5" style="416" customWidth="1"/>
    <col min="1270" max="1270" width="8.875" style="416" customWidth="1"/>
    <col min="1271" max="1271" width="5" style="416" customWidth="1"/>
    <col min="1272" max="1272" width="8.25" style="416" customWidth="1"/>
    <col min="1273" max="1273" width="16.125" style="416" customWidth="1"/>
    <col min="1274" max="1274" width="86" style="416" customWidth="1"/>
    <col min="1275" max="1275" width="5" style="416" customWidth="1"/>
    <col min="1276" max="1276" width="11.125" style="416" customWidth="1"/>
    <col min="1277" max="1277" width="10.375" style="416" customWidth="1"/>
    <col min="1278" max="1278" width="10.875" style="416" customWidth="1"/>
    <col min="1279" max="1279" width="7.75" style="416" customWidth="1"/>
    <col min="1280" max="1280" width="9.875" style="416" customWidth="1"/>
    <col min="1281" max="1281" width="10.625" style="416" customWidth="1"/>
    <col min="1282" max="1524" width="6.125" style="416"/>
    <col min="1525" max="1525" width="5" style="416" customWidth="1"/>
    <col min="1526" max="1526" width="8.875" style="416" customWidth="1"/>
    <col min="1527" max="1527" width="5" style="416" customWidth="1"/>
    <col min="1528" max="1528" width="8.25" style="416" customWidth="1"/>
    <col min="1529" max="1529" width="16.125" style="416" customWidth="1"/>
    <col min="1530" max="1530" width="86" style="416" customWidth="1"/>
    <col min="1531" max="1531" width="5" style="416" customWidth="1"/>
    <col min="1532" max="1532" width="11.125" style="416" customWidth="1"/>
    <col min="1533" max="1533" width="10.375" style="416" customWidth="1"/>
    <col min="1534" max="1534" width="10.875" style="416" customWidth="1"/>
    <col min="1535" max="1535" width="7.75" style="416" customWidth="1"/>
    <col min="1536" max="1536" width="9.875" style="416" customWidth="1"/>
    <col min="1537" max="1537" width="10.625" style="416" customWidth="1"/>
    <col min="1538" max="1780" width="6.125" style="416"/>
    <col min="1781" max="1781" width="5" style="416" customWidth="1"/>
    <col min="1782" max="1782" width="8.875" style="416" customWidth="1"/>
    <col min="1783" max="1783" width="5" style="416" customWidth="1"/>
    <col min="1784" max="1784" width="8.25" style="416" customWidth="1"/>
    <col min="1785" max="1785" width="16.125" style="416" customWidth="1"/>
    <col min="1786" max="1786" width="86" style="416" customWidth="1"/>
    <col min="1787" max="1787" width="5" style="416" customWidth="1"/>
    <col min="1788" max="1788" width="11.125" style="416" customWidth="1"/>
    <col min="1789" max="1789" width="10.375" style="416" customWidth="1"/>
    <col min="1790" max="1790" width="10.875" style="416" customWidth="1"/>
    <col min="1791" max="1791" width="7.75" style="416" customWidth="1"/>
    <col min="1792" max="1792" width="9.875" style="416" customWidth="1"/>
    <col min="1793" max="1793" width="10.625" style="416" customWidth="1"/>
    <col min="1794" max="2036" width="6.125" style="416"/>
    <col min="2037" max="2037" width="5" style="416" customWidth="1"/>
    <col min="2038" max="2038" width="8.875" style="416" customWidth="1"/>
    <col min="2039" max="2039" width="5" style="416" customWidth="1"/>
    <col min="2040" max="2040" width="8.25" style="416" customWidth="1"/>
    <col min="2041" max="2041" width="16.125" style="416" customWidth="1"/>
    <col min="2042" max="2042" width="86" style="416" customWidth="1"/>
    <col min="2043" max="2043" width="5" style="416" customWidth="1"/>
    <col min="2044" max="2044" width="11.125" style="416" customWidth="1"/>
    <col min="2045" max="2045" width="10.375" style="416" customWidth="1"/>
    <col min="2046" max="2046" width="10.875" style="416" customWidth="1"/>
    <col min="2047" max="2047" width="7.75" style="416" customWidth="1"/>
    <col min="2048" max="2048" width="9.875" style="416" customWidth="1"/>
    <col min="2049" max="2049" width="10.625" style="416" customWidth="1"/>
    <col min="2050" max="2292" width="6.125" style="416"/>
    <col min="2293" max="2293" width="5" style="416" customWidth="1"/>
    <col min="2294" max="2294" width="8.875" style="416" customWidth="1"/>
    <col min="2295" max="2295" width="5" style="416" customWidth="1"/>
    <col min="2296" max="2296" width="8.25" style="416" customWidth="1"/>
    <col min="2297" max="2297" width="16.125" style="416" customWidth="1"/>
    <col min="2298" max="2298" width="86" style="416" customWidth="1"/>
    <col min="2299" max="2299" width="5" style="416" customWidth="1"/>
    <col min="2300" max="2300" width="11.125" style="416" customWidth="1"/>
    <col min="2301" max="2301" width="10.375" style="416" customWidth="1"/>
    <col min="2302" max="2302" width="10.875" style="416" customWidth="1"/>
    <col min="2303" max="2303" width="7.75" style="416" customWidth="1"/>
    <col min="2304" max="2304" width="9.875" style="416" customWidth="1"/>
    <col min="2305" max="2305" width="10.625" style="416" customWidth="1"/>
    <col min="2306" max="2548" width="6.125" style="416"/>
    <col min="2549" max="2549" width="5" style="416" customWidth="1"/>
    <col min="2550" max="2550" width="8.875" style="416" customWidth="1"/>
    <col min="2551" max="2551" width="5" style="416" customWidth="1"/>
    <col min="2552" max="2552" width="8.25" style="416" customWidth="1"/>
    <col min="2553" max="2553" width="16.125" style="416" customWidth="1"/>
    <col min="2554" max="2554" width="86" style="416" customWidth="1"/>
    <col min="2555" max="2555" width="5" style="416" customWidth="1"/>
    <col min="2556" max="2556" width="11.125" style="416" customWidth="1"/>
    <col min="2557" max="2557" width="10.375" style="416" customWidth="1"/>
    <col min="2558" max="2558" width="10.875" style="416" customWidth="1"/>
    <col min="2559" max="2559" width="7.75" style="416" customWidth="1"/>
    <col min="2560" max="2560" width="9.875" style="416" customWidth="1"/>
    <col min="2561" max="2561" width="10.625" style="416" customWidth="1"/>
    <col min="2562" max="2804" width="6.125" style="416"/>
    <col min="2805" max="2805" width="5" style="416" customWidth="1"/>
    <col min="2806" max="2806" width="8.875" style="416" customWidth="1"/>
    <col min="2807" max="2807" width="5" style="416" customWidth="1"/>
    <col min="2808" max="2808" width="8.25" style="416" customWidth="1"/>
    <col min="2809" max="2809" width="16.125" style="416" customWidth="1"/>
    <col min="2810" max="2810" width="86" style="416" customWidth="1"/>
    <col min="2811" max="2811" width="5" style="416" customWidth="1"/>
    <col min="2812" max="2812" width="11.125" style="416" customWidth="1"/>
    <col min="2813" max="2813" width="10.375" style="416" customWidth="1"/>
    <col min="2814" max="2814" width="10.875" style="416" customWidth="1"/>
    <col min="2815" max="2815" width="7.75" style="416" customWidth="1"/>
    <col min="2816" max="2816" width="9.875" style="416" customWidth="1"/>
    <col min="2817" max="2817" width="10.625" style="416" customWidth="1"/>
    <col min="2818" max="3060" width="6.125" style="416"/>
    <col min="3061" max="3061" width="5" style="416" customWidth="1"/>
    <col min="3062" max="3062" width="8.875" style="416" customWidth="1"/>
    <col min="3063" max="3063" width="5" style="416" customWidth="1"/>
    <col min="3064" max="3064" width="8.25" style="416" customWidth="1"/>
    <col min="3065" max="3065" width="16.125" style="416" customWidth="1"/>
    <col min="3066" max="3066" width="86" style="416" customWidth="1"/>
    <col min="3067" max="3067" width="5" style="416" customWidth="1"/>
    <col min="3068" max="3068" width="11.125" style="416" customWidth="1"/>
    <col min="3069" max="3069" width="10.375" style="416" customWidth="1"/>
    <col min="3070" max="3070" width="10.875" style="416" customWidth="1"/>
    <col min="3071" max="3071" width="7.75" style="416" customWidth="1"/>
    <col min="3072" max="3072" width="9.875" style="416" customWidth="1"/>
    <col min="3073" max="3073" width="10.625" style="416" customWidth="1"/>
    <col min="3074" max="3316" width="6.125" style="416"/>
    <col min="3317" max="3317" width="5" style="416" customWidth="1"/>
    <col min="3318" max="3318" width="8.875" style="416" customWidth="1"/>
    <col min="3319" max="3319" width="5" style="416" customWidth="1"/>
    <col min="3320" max="3320" width="8.25" style="416" customWidth="1"/>
    <col min="3321" max="3321" width="16.125" style="416" customWidth="1"/>
    <col min="3322" max="3322" width="86" style="416" customWidth="1"/>
    <col min="3323" max="3323" width="5" style="416" customWidth="1"/>
    <col min="3324" max="3324" width="11.125" style="416" customWidth="1"/>
    <col min="3325" max="3325" width="10.375" style="416" customWidth="1"/>
    <col min="3326" max="3326" width="10.875" style="416" customWidth="1"/>
    <col min="3327" max="3327" width="7.75" style="416" customWidth="1"/>
    <col min="3328" max="3328" width="9.875" style="416" customWidth="1"/>
    <col min="3329" max="3329" width="10.625" style="416" customWidth="1"/>
    <col min="3330" max="3572" width="6.125" style="416"/>
    <col min="3573" max="3573" width="5" style="416" customWidth="1"/>
    <col min="3574" max="3574" width="8.875" style="416" customWidth="1"/>
    <col min="3575" max="3575" width="5" style="416" customWidth="1"/>
    <col min="3576" max="3576" width="8.25" style="416" customWidth="1"/>
    <col min="3577" max="3577" width="16.125" style="416" customWidth="1"/>
    <col min="3578" max="3578" width="86" style="416" customWidth="1"/>
    <col min="3579" max="3579" width="5" style="416" customWidth="1"/>
    <col min="3580" max="3580" width="11.125" style="416" customWidth="1"/>
    <col min="3581" max="3581" width="10.375" style="416" customWidth="1"/>
    <col min="3582" max="3582" width="10.875" style="416" customWidth="1"/>
    <col min="3583" max="3583" width="7.75" style="416" customWidth="1"/>
    <col min="3584" max="3584" width="9.875" style="416" customWidth="1"/>
    <col min="3585" max="3585" width="10.625" style="416" customWidth="1"/>
    <col min="3586" max="3828" width="6.125" style="416"/>
    <col min="3829" max="3829" width="5" style="416" customWidth="1"/>
    <col min="3830" max="3830" width="8.875" style="416" customWidth="1"/>
    <col min="3831" max="3831" width="5" style="416" customWidth="1"/>
    <col min="3832" max="3832" width="8.25" style="416" customWidth="1"/>
    <col min="3833" max="3833" width="16.125" style="416" customWidth="1"/>
    <col min="3834" max="3834" width="86" style="416" customWidth="1"/>
    <col min="3835" max="3835" width="5" style="416" customWidth="1"/>
    <col min="3836" max="3836" width="11.125" style="416" customWidth="1"/>
    <col min="3837" max="3837" width="10.375" style="416" customWidth="1"/>
    <col min="3838" max="3838" width="10.875" style="416" customWidth="1"/>
    <col min="3839" max="3839" width="7.75" style="416" customWidth="1"/>
    <col min="3840" max="3840" width="9.875" style="416" customWidth="1"/>
    <col min="3841" max="3841" width="10.625" style="416" customWidth="1"/>
    <col min="3842" max="4084" width="6.125" style="416"/>
    <col min="4085" max="4085" width="5" style="416" customWidth="1"/>
    <col min="4086" max="4086" width="8.875" style="416" customWidth="1"/>
    <col min="4087" max="4087" width="5" style="416" customWidth="1"/>
    <col min="4088" max="4088" width="8.25" style="416" customWidth="1"/>
    <col min="4089" max="4089" width="16.125" style="416" customWidth="1"/>
    <col min="4090" max="4090" width="86" style="416" customWidth="1"/>
    <col min="4091" max="4091" width="5" style="416" customWidth="1"/>
    <col min="4092" max="4092" width="11.125" style="416" customWidth="1"/>
    <col min="4093" max="4093" width="10.375" style="416" customWidth="1"/>
    <col min="4094" max="4094" width="10.875" style="416" customWidth="1"/>
    <col min="4095" max="4095" width="7.75" style="416" customWidth="1"/>
    <col min="4096" max="4096" width="9.875" style="416" customWidth="1"/>
    <col min="4097" max="4097" width="10.625" style="416" customWidth="1"/>
    <col min="4098" max="4340" width="6.125" style="416"/>
    <col min="4341" max="4341" width="5" style="416" customWidth="1"/>
    <col min="4342" max="4342" width="8.875" style="416" customWidth="1"/>
    <col min="4343" max="4343" width="5" style="416" customWidth="1"/>
    <col min="4344" max="4344" width="8.25" style="416" customWidth="1"/>
    <col min="4345" max="4345" width="16.125" style="416" customWidth="1"/>
    <col min="4346" max="4346" width="86" style="416" customWidth="1"/>
    <col min="4347" max="4347" width="5" style="416" customWidth="1"/>
    <col min="4348" max="4348" width="11.125" style="416" customWidth="1"/>
    <col min="4349" max="4349" width="10.375" style="416" customWidth="1"/>
    <col min="4350" max="4350" width="10.875" style="416" customWidth="1"/>
    <col min="4351" max="4351" width="7.75" style="416" customWidth="1"/>
    <col min="4352" max="4352" width="9.875" style="416" customWidth="1"/>
    <col min="4353" max="4353" width="10.625" style="416" customWidth="1"/>
    <col min="4354" max="4596" width="6.125" style="416"/>
    <col min="4597" max="4597" width="5" style="416" customWidth="1"/>
    <col min="4598" max="4598" width="8.875" style="416" customWidth="1"/>
    <col min="4599" max="4599" width="5" style="416" customWidth="1"/>
    <col min="4600" max="4600" width="8.25" style="416" customWidth="1"/>
    <col min="4601" max="4601" width="16.125" style="416" customWidth="1"/>
    <col min="4602" max="4602" width="86" style="416" customWidth="1"/>
    <col min="4603" max="4603" width="5" style="416" customWidth="1"/>
    <col min="4604" max="4604" width="11.125" style="416" customWidth="1"/>
    <col min="4605" max="4605" width="10.375" style="416" customWidth="1"/>
    <col min="4606" max="4606" width="10.875" style="416" customWidth="1"/>
    <col min="4607" max="4607" width="7.75" style="416" customWidth="1"/>
    <col min="4608" max="4608" width="9.875" style="416" customWidth="1"/>
    <col min="4609" max="4609" width="10.625" style="416" customWidth="1"/>
    <col min="4610" max="4852" width="6.125" style="416"/>
    <col min="4853" max="4853" width="5" style="416" customWidth="1"/>
    <col min="4854" max="4854" width="8.875" style="416" customWidth="1"/>
    <col min="4855" max="4855" width="5" style="416" customWidth="1"/>
    <col min="4856" max="4856" width="8.25" style="416" customWidth="1"/>
    <col min="4857" max="4857" width="16.125" style="416" customWidth="1"/>
    <col min="4858" max="4858" width="86" style="416" customWidth="1"/>
    <col min="4859" max="4859" width="5" style="416" customWidth="1"/>
    <col min="4860" max="4860" width="11.125" style="416" customWidth="1"/>
    <col min="4861" max="4861" width="10.375" style="416" customWidth="1"/>
    <col min="4862" max="4862" width="10.875" style="416" customWidth="1"/>
    <col min="4863" max="4863" width="7.75" style="416" customWidth="1"/>
    <col min="4864" max="4864" width="9.875" style="416" customWidth="1"/>
    <col min="4865" max="4865" width="10.625" style="416" customWidth="1"/>
    <col min="4866" max="5108" width="6.125" style="416"/>
    <col min="5109" max="5109" width="5" style="416" customWidth="1"/>
    <col min="5110" max="5110" width="8.875" style="416" customWidth="1"/>
    <col min="5111" max="5111" width="5" style="416" customWidth="1"/>
    <col min="5112" max="5112" width="8.25" style="416" customWidth="1"/>
    <col min="5113" max="5113" width="16.125" style="416" customWidth="1"/>
    <col min="5114" max="5114" width="86" style="416" customWidth="1"/>
    <col min="5115" max="5115" width="5" style="416" customWidth="1"/>
    <col min="5116" max="5116" width="11.125" style="416" customWidth="1"/>
    <col min="5117" max="5117" width="10.375" style="416" customWidth="1"/>
    <col min="5118" max="5118" width="10.875" style="416" customWidth="1"/>
    <col min="5119" max="5119" width="7.75" style="416" customWidth="1"/>
    <col min="5120" max="5120" width="9.875" style="416" customWidth="1"/>
    <col min="5121" max="5121" width="10.625" style="416" customWidth="1"/>
    <col min="5122" max="5364" width="6.125" style="416"/>
    <col min="5365" max="5365" width="5" style="416" customWidth="1"/>
    <col min="5366" max="5366" width="8.875" style="416" customWidth="1"/>
    <col min="5367" max="5367" width="5" style="416" customWidth="1"/>
    <col min="5368" max="5368" width="8.25" style="416" customWidth="1"/>
    <col min="5369" max="5369" width="16.125" style="416" customWidth="1"/>
    <col min="5370" max="5370" width="86" style="416" customWidth="1"/>
    <col min="5371" max="5371" width="5" style="416" customWidth="1"/>
    <col min="5372" max="5372" width="11.125" style="416" customWidth="1"/>
    <col min="5373" max="5373" width="10.375" style="416" customWidth="1"/>
    <col min="5374" max="5374" width="10.875" style="416" customWidth="1"/>
    <col min="5375" max="5375" width="7.75" style="416" customWidth="1"/>
    <col min="5376" max="5376" width="9.875" style="416" customWidth="1"/>
    <col min="5377" max="5377" width="10.625" style="416" customWidth="1"/>
    <col min="5378" max="5620" width="6.125" style="416"/>
    <col min="5621" max="5621" width="5" style="416" customWidth="1"/>
    <col min="5622" max="5622" width="8.875" style="416" customWidth="1"/>
    <col min="5623" max="5623" width="5" style="416" customWidth="1"/>
    <col min="5624" max="5624" width="8.25" style="416" customWidth="1"/>
    <col min="5625" max="5625" width="16.125" style="416" customWidth="1"/>
    <col min="5626" max="5626" width="86" style="416" customWidth="1"/>
    <col min="5627" max="5627" width="5" style="416" customWidth="1"/>
    <col min="5628" max="5628" width="11.125" style="416" customWidth="1"/>
    <col min="5629" max="5629" width="10.375" style="416" customWidth="1"/>
    <col min="5630" max="5630" width="10.875" style="416" customWidth="1"/>
    <col min="5631" max="5631" width="7.75" style="416" customWidth="1"/>
    <col min="5632" max="5632" width="9.875" style="416" customWidth="1"/>
    <col min="5633" max="5633" width="10.625" style="416" customWidth="1"/>
    <col min="5634" max="5876" width="6.125" style="416"/>
    <col min="5877" max="5877" width="5" style="416" customWidth="1"/>
    <col min="5878" max="5878" width="8.875" style="416" customWidth="1"/>
    <col min="5879" max="5879" width="5" style="416" customWidth="1"/>
    <col min="5880" max="5880" width="8.25" style="416" customWidth="1"/>
    <col min="5881" max="5881" width="16.125" style="416" customWidth="1"/>
    <col min="5882" max="5882" width="86" style="416" customWidth="1"/>
    <col min="5883" max="5883" width="5" style="416" customWidth="1"/>
    <col min="5884" max="5884" width="11.125" style="416" customWidth="1"/>
    <col min="5885" max="5885" width="10.375" style="416" customWidth="1"/>
    <col min="5886" max="5886" width="10.875" style="416" customWidth="1"/>
    <col min="5887" max="5887" width="7.75" style="416" customWidth="1"/>
    <col min="5888" max="5888" width="9.875" style="416" customWidth="1"/>
    <col min="5889" max="5889" width="10.625" style="416" customWidth="1"/>
    <col min="5890" max="6132" width="6.125" style="416"/>
    <col min="6133" max="6133" width="5" style="416" customWidth="1"/>
    <col min="6134" max="6134" width="8.875" style="416" customWidth="1"/>
    <col min="6135" max="6135" width="5" style="416" customWidth="1"/>
    <col min="6136" max="6136" width="8.25" style="416" customWidth="1"/>
    <col min="6137" max="6137" width="16.125" style="416" customWidth="1"/>
    <col min="6138" max="6138" width="86" style="416" customWidth="1"/>
    <col min="6139" max="6139" width="5" style="416" customWidth="1"/>
    <col min="6140" max="6140" width="11.125" style="416" customWidth="1"/>
    <col min="6141" max="6141" width="10.375" style="416" customWidth="1"/>
    <col min="6142" max="6142" width="10.875" style="416" customWidth="1"/>
    <col min="6143" max="6143" width="7.75" style="416" customWidth="1"/>
    <col min="6144" max="6144" width="9.875" style="416" customWidth="1"/>
    <col min="6145" max="6145" width="10.625" style="416" customWidth="1"/>
    <col min="6146" max="6388" width="6.125" style="416"/>
    <col min="6389" max="6389" width="5" style="416" customWidth="1"/>
    <col min="6390" max="6390" width="8.875" style="416" customWidth="1"/>
    <col min="6391" max="6391" width="5" style="416" customWidth="1"/>
    <col min="6392" max="6392" width="8.25" style="416" customWidth="1"/>
    <col min="6393" max="6393" width="16.125" style="416" customWidth="1"/>
    <col min="6394" max="6394" width="86" style="416" customWidth="1"/>
    <col min="6395" max="6395" width="5" style="416" customWidth="1"/>
    <col min="6396" max="6396" width="11.125" style="416" customWidth="1"/>
    <col min="6397" max="6397" width="10.375" style="416" customWidth="1"/>
    <col min="6398" max="6398" width="10.875" style="416" customWidth="1"/>
    <col min="6399" max="6399" width="7.75" style="416" customWidth="1"/>
    <col min="6400" max="6400" width="9.875" style="416" customWidth="1"/>
    <col min="6401" max="6401" width="10.625" style="416" customWidth="1"/>
    <col min="6402" max="6644" width="6.125" style="416"/>
    <col min="6645" max="6645" width="5" style="416" customWidth="1"/>
    <col min="6646" max="6646" width="8.875" style="416" customWidth="1"/>
    <col min="6647" max="6647" width="5" style="416" customWidth="1"/>
    <col min="6648" max="6648" width="8.25" style="416" customWidth="1"/>
    <col min="6649" max="6649" width="16.125" style="416" customWidth="1"/>
    <col min="6650" max="6650" width="86" style="416" customWidth="1"/>
    <col min="6651" max="6651" width="5" style="416" customWidth="1"/>
    <col min="6652" max="6652" width="11.125" style="416" customWidth="1"/>
    <col min="6653" max="6653" width="10.375" style="416" customWidth="1"/>
    <col min="6654" max="6654" width="10.875" style="416" customWidth="1"/>
    <col min="6655" max="6655" width="7.75" style="416" customWidth="1"/>
    <col min="6656" max="6656" width="9.875" style="416" customWidth="1"/>
    <col min="6657" max="6657" width="10.625" style="416" customWidth="1"/>
    <col min="6658" max="6900" width="6.125" style="416"/>
    <col min="6901" max="6901" width="5" style="416" customWidth="1"/>
    <col min="6902" max="6902" width="8.875" style="416" customWidth="1"/>
    <col min="6903" max="6903" width="5" style="416" customWidth="1"/>
    <col min="6904" max="6904" width="8.25" style="416" customWidth="1"/>
    <col min="6905" max="6905" width="16.125" style="416" customWidth="1"/>
    <col min="6906" max="6906" width="86" style="416" customWidth="1"/>
    <col min="6907" max="6907" width="5" style="416" customWidth="1"/>
    <col min="6908" max="6908" width="11.125" style="416" customWidth="1"/>
    <col min="6909" max="6909" width="10.375" style="416" customWidth="1"/>
    <col min="6910" max="6910" width="10.875" style="416" customWidth="1"/>
    <col min="6911" max="6911" width="7.75" style="416" customWidth="1"/>
    <col min="6912" max="6912" width="9.875" style="416" customWidth="1"/>
    <col min="6913" max="6913" width="10.625" style="416" customWidth="1"/>
    <col min="6914" max="7156" width="6.125" style="416"/>
    <col min="7157" max="7157" width="5" style="416" customWidth="1"/>
    <col min="7158" max="7158" width="8.875" style="416" customWidth="1"/>
    <col min="7159" max="7159" width="5" style="416" customWidth="1"/>
    <col min="7160" max="7160" width="8.25" style="416" customWidth="1"/>
    <col min="7161" max="7161" width="16.125" style="416" customWidth="1"/>
    <col min="7162" max="7162" width="86" style="416" customWidth="1"/>
    <col min="7163" max="7163" width="5" style="416" customWidth="1"/>
    <col min="7164" max="7164" width="11.125" style="416" customWidth="1"/>
    <col min="7165" max="7165" width="10.375" style="416" customWidth="1"/>
    <col min="7166" max="7166" width="10.875" style="416" customWidth="1"/>
    <col min="7167" max="7167" width="7.75" style="416" customWidth="1"/>
    <col min="7168" max="7168" width="9.875" style="416" customWidth="1"/>
    <col min="7169" max="7169" width="10.625" style="416" customWidth="1"/>
    <col min="7170" max="7412" width="6.125" style="416"/>
    <col min="7413" max="7413" width="5" style="416" customWidth="1"/>
    <col min="7414" max="7414" width="8.875" style="416" customWidth="1"/>
    <col min="7415" max="7415" width="5" style="416" customWidth="1"/>
    <col min="7416" max="7416" width="8.25" style="416" customWidth="1"/>
    <col min="7417" max="7417" width="16.125" style="416" customWidth="1"/>
    <col min="7418" max="7418" width="86" style="416" customWidth="1"/>
    <col min="7419" max="7419" width="5" style="416" customWidth="1"/>
    <col min="7420" max="7420" width="11.125" style="416" customWidth="1"/>
    <col min="7421" max="7421" width="10.375" style="416" customWidth="1"/>
    <col min="7422" max="7422" width="10.875" style="416" customWidth="1"/>
    <col min="7423" max="7423" width="7.75" style="416" customWidth="1"/>
    <col min="7424" max="7424" width="9.875" style="416" customWidth="1"/>
    <col min="7425" max="7425" width="10.625" style="416" customWidth="1"/>
    <col min="7426" max="7668" width="6.125" style="416"/>
    <col min="7669" max="7669" width="5" style="416" customWidth="1"/>
    <col min="7670" max="7670" width="8.875" style="416" customWidth="1"/>
    <col min="7671" max="7671" width="5" style="416" customWidth="1"/>
    <col min="7672" max="7672" width="8.25" style="416" customWidth="1"/>
    <col min="7673" max="7673" width="16.125" style="416" customWidth="1"/>
    <col min="7674" max="7674" width="86" style="416" customWidth="1"/>
    <col min="7675" max="7675" width="5" style="416" customWidth="1"/>
    <col min="7676" max="7676" width="11.125" style="416" customWidth="1"/>
    <col min="7677" max="7677" width="10.375" style="416" customWidth="1"/>
    <col min="7678" max="7678" width="10.875" style="416" customWidth="1"/>
    <col min="7679" max="7679" width="7.75" style="416" customWidth="1"/>
    <col min="7680" max="7680" width="9.875" style="416" customWidth="1"/>
    <col min="7681" max="7681" width="10.625" style="416" customWidth="1"/>
    <col min="7682" max="7924" width="6.125" style="416"/>
    <col min="7925" max="7925" width="5" style="416" customWidth="1"/>
    <col min="7926" max="7926" width="8.875" style="416" customWidth="1"/>
    <col min="7927" max="7927" width="5" style="416" customWidth="1"/>
    <col min="7928" max="7928" width="8.25" style="416" customWidth="1"/>
    <col min="7929" max="7929" width="16.125" style="416" customWidth="1"/>
    <col min="7930" max="7930" width="86" style="416" customWidth="1"/>
    <col min="7931" max="7931" width="5" style="416" customWidth="1"/>
    <col min="7932" max="7932" width="11.125" style="416" customWidth="1"/>
    <col min="7933" max="7933" width="10.375" style="416" customWidth="1"/>
    <col min="7934" max="7934" width="10.875" style="416" customWidth="1"/>
    <col min="7935" max="7935" width="7.75" style="416" customWidth="1"/>
    <col min="7936" max="7936" width="9.875" style="416" customWidth="1"/>
    <col min="7937" max="7937" width="10.625" style="416" customWidth="1"/>
    <col min="7938" max="8180" width="6.125" style="416"/>
    <col min="8181" max="8181" width="5" style="416" customWidth="1"/>
    <col min="8182" max="8182" width="8.875" style="416" customWidth="1"/>
    <col min="8183" max="8183" width="5" style="416" customWidth="1"/>
    <col min="8184" max="8184" width="8.25" style="416" customWidth="1"/>
    <col min="8185" max="8185" width="16.125" style="416" customWidth="1"/>
    <col min="8186" max="8186" width="86" style="416" customWidth="1"/>
    <col min="8187" max="8187" width="5" style="416" customWidth="1"/>
    <col min="8188" max="8188" width="11.125" style="416" customWidth="1"/>
    <col min="8189" max="8189" width="10.375" style="416" customWidth="1"/>
    <col min="8190" max="8190" width="10.875" style="416" customWidth="1"/>
    <col min="8191" max="8191" width="7.75" style="416" customWidth="1"/>
    <col min="8192" max="8192" width="9.875" style="416" customWidth="1"/>
    <col min="8193" max="8193" width="10.625" style="416" customWidth="1"/>
    <col min="8194" max="8436" width="6.125" style="416"/>
    <col min="8437" max="8437" width="5" style="416" customWidth="1"/>
    <col min="8438" max="8438" width="8.875" style="416" customWidth="1"/>
    <col min="8439" max="8439" width="5" style="416" customWidth="1"/>
    <col min="8440" max="8440" width="8.25" style="416" customWidth="1"/>
    <col min="8441" max="8441" width="16.125" style="416" customWidth="1"/>
    <col min="8442" max="8442" width="86" style="416" customWidth="1"/>
    <col min="8443" max="8443" width="5" style="416" customWidth="1"/>
    <col min="8444" max="8444" width="11.125" style="416" customWidth="1"/>
    <col min="8445" max="8445" width="10.375" style="416" customWidth="1"/>
    <col min="8446" max="8446" width="10.875" style="416" customWidth="1"/>
    <col min="8447" max="8447" width="7.75" style="416" customWidth="1"/>
    <col min="8448" max="8448" width="9.875" style="416" customWidth="1"/>
    <col min="8449" max="8449" width="10.625" style="416" customWidth="1"/>
    <col min="8450" max="8692" width="6.125" style="416"/>
    <col min="8693" max="8693" width="5" style="416" customWidth="1"/>
    <col min="8694" max="8694" width="8.875" style="416" customWidth="1"/>
    <col min="8695" max="8695" width="5" style="416" customWidth="1"/>
    <col min="8696" max="8696" width="8.25" style="416" customWidth="1"/>
    <col min="8697" max="8697" width="16.125" style="416" customWidth="1"/>
    <col min="8698" max="8698" width="86" style="416" customWidth="1"/>
    <col min="8699" max="8699" width="5" style="416" customWidth="1"/>
    <col min="8700" max="8700" width="11.125" style="416" customWidth="1"/>
    <col min="8701" max="8701" width="10.375" style="416" customWidth="1"/>
    <col min="8702" max="8702" width="10.875" style="416" customWidth="1"/>
    <col min="8703" max="8703" width="7.75" style="416" customWidth="1"/>
    <col min="8704" max="8704" width="9.875" style="416" customWidth="1"/>
    <col min="8705" max="8705" width="10.625" style="416" customWidth="1"/>
    <col min="8706" max="8948" width="6.125" style="416"/>
    <col min="8949" max="8949" width="5" style="416" customWidth="1"/>
    <col min="8950" max="8950" width="8.875" style="416" customWidth="1"/>
    <col min="8951" max="8951" width="5" style="416" customWidth="1"/>
    <col min="8952" max="8952" width="8.25" style="416" customWidth="1"/>
    <col min="8953" max="8953" width="16.125" style="416" customWidth="1"/>
    <col min="8954" max="8954" width="86" style="416" customWidth="1"/>
    <col min="8955" max="8955" width="5" style="416" customWidth="1"/>
    <col min="8956" max="8956" width="11.125" style="416" customWidth="1"/>
    <col min="8957" max="8957" width="10.375" style="416" customWidth="1"/>
    <col min="8958" max="8958" width="10.875" style="416" customWidth="1"/>
    <col min="8959" max="8959" width="7.75" style="416" customWidth="1"/>
    <col min="8960" max="8960" width="9.875" style="416" customWidth="1"/>
    <col min="8961" max="8961" width="10.625" style="416" customWidth="1"/>
    <col min="8962" max="9204" width="6.125" style="416"/>
    <col min="9205" max="9205" width="5" style="416" customWidth="1"/>
    <col min="9206" max="9206" width="8.875" style="416" customWidth="1"/>
    <col min="9207" max="9207" width="5" style="416" customWidth="1"/>
    <col min="9208" max="9208" width="8.25" style="416" customWidth="1"/>
    <col min="9209" max="9209" width="16.125" style="416" customWidth="1"/>
    <col min="9210" max="9210" width="86" style="416" customWidth="1"/>
    <col min="9211" max="9211" width="5" style="416" customWidth="1"/>
    <col min="9212" max="9212" width="11.125" style="416" customWidth="1"/>
    <col min="9213" max="9213" width="10.375" style="416" customWidth="1"/>
    <col min="9214" max="9214" width="10.875" style="416" customWidth="1"/>
    <col min="9215" max="9215" width="7.75" style="416" customWidth="1"/>
    <col min="9216" max="9216" width="9.875" style="416" customWidth="1"/>
    <col min="9217" max="9217" width="10.625" style="416" customWidth="1"/>
    <col min="9218" max="9460" width="6.125" style="416"/>
    <col min="9461" max="9461" width="5" style="416" customWidth="1"/>
    <col min="9462" max="9462" width="8.875" style="416" customWidth="1"/>
    <col min="9463" max="9463" width="5" style="416" customWidth="1"/>
    <col min="9464" max="9464" width="8.25" style="416" customWidth="1"/>
    <col min="9465" max="9465" width="16.125" style="416" customWidth="1"/>
    <col min="9466" max="9466" width="86" style="416" customWidth="1"/>
    <col min="9467" max="9467" width="5" style="416" customWidth="1"/>
    <col min="9468" max="9468" width="11.125" style="416" customWidth="1"/>
    <col min="9469" max="9469" width="10.375" style="416" customWidth="1"/>
    <col min="9470" max="9470" width="10.875" style="416" customWidth="1"/>
    <col min="9471" max="9471" width="7.75" style="416" customWidth="1"/>
    <col min="9472" max="9472" width="9.875" style="416" customWidth="1"/>
    <col min="9473" max="9473" width="10.625" style="416" customWidth="1"/>
    <col min="9474" max="9716" width="6.125" style="416"/>
    <col min="9717" max="9717" width="5" style="416" customWidth="1"/>
    <col min="9718" max="9718" width="8.875" style="416" customWidth="1"/>
    <col min="9719" max="9719" width="5" style="416" customWidth="1"/>
    <col min="9720" max="9720" width="8.25" style="416" customWidth="1"/>
    <col min="9721" max="9721" width="16.125" style="416" customWidth="1"/>
    <col min="9722" max="9722" width="86" style="416" customWidth="1"/>
    <col min="9723" max="9723" width="5" style="416" customWidth="1"/>
    <col min="9724" max="9724" width="11.125" style="416" customWidth="1"/>
    <col min="9725" max="9725" width="10.375" style="416" customWidth="1"/>
    <col min="9726" max="9726" width="10.875" style="416" customWidth="1"/>
    <col min="9727" max="9727" width="7.75" style="416" customWidth="1"/>
    <col min="9728" max="9728" width="9.875" style="416" customWidth="1"/>
    <col min="9729" max="9729" width="10.625" style="416" customWidth="1"/>
    <col min="9730" max="9972" width="6.125" style="416"/>
    <col min="9973" max="9973" width="5" style="416" customWidth="1"/>
    <col min="9974" max="9974" width="8.875" style="416" customWidth="1"/>
    <col min="9975" max="9975" width="5" style="416" customWidth="1"/>
    <col min="9976" max="9976" width="8.25" style="416" customWidth="1"/>
    <col min="9977" max="9977" width="16.125" style="416" customWidth="1"/>
    <col min="9978" max="9978" width="86" style="416" customWidth="1"/>
    <col min="9979" max="9979" width="5" style="416" customWidth="1"/>
    <col min="9980" max="9980" width="11.125" style="416" customWidth="1"/>
    <col min="9981" max="9981" width="10.375" style="416" customWidth="1"/>
    <col min="9982" max="9982" width="10.875" style="416" customWidth="1"/>
    <col min="9983" max="9983" width="7.75" style="416" customWidth="1"/>
    <col min="9984" max="9984" width="9.875" style="416" customWidth="1"/>
    <col min="9985" max="9985" width="10.625" style="416" customWidth="1"/>
    <col min="9986" max="10228" width="6.125" style="416"/>
    <col min="10229" max="10229" width="5" style="416" customWidth="1"/>
    <col min="10230" max="10230" width="8.875" style="416" customWidth="1"/>
    <col min="10231" max="10231" width="5" style="416" customWidth="1"/>
    <col min="10232" max="10232" width="8.25" style="416" customWidth="1"/>
    <col min="10233" max="10233" width="16.125" style="416" customWidth="1"/>
    <col min="10234" max="10234" width="86" style="416" customWidth="1"/>
    <col min="10235" max="10235" width="5" style="416" customWidth="1"/>
    <col min="10236" max="10236" width="11.125" style="416" customWidth="1"/>
    <col min="10237" max="10237" width="10.375" style="416" customWidth="1"/>
    <col min="10238" max="10238" width="10.875" style="416" customWidth="1"/>
    <col min="10239" max="10239" width="7.75" style="416" customWidth="1"/>
    <col min="10240" max="10240" width="9.875" style="416" customWidth="1"/>
    <col min="10241" max="10241" width="10.625" style="416" customWidth="1"/>
    <col min="10242" max="10484" width="6.125" style="416"/>
    <col min="10485" max="10485" width="5" style="416" customWidth="1"/>
    <col min="10486" max="10486" width="8.875" style="416" customWidth="1"/>
    <col min="10487" max="10487" width="5" style="416" customWidth="1"/>
    <col min="10488" max="10488" width="8.25" style="416" customWidth="1"/>
    <col min="10489" max="10489" width="16.125" style="416" customWidth="1"/>
    <col min="10490" max="10490" width="86" style="416" customWidth="1"/>
    <col min="10491" max="10491" width="5" style="416" customWidth="1"/>
    <col min="10492" max="10492" width="11.125" style="416" customWidth="1"/>
    <col min="10493" max="10493" width="10.375" style="416" customWidth="1"/>
    <col min="10494" max="10494" width="10.875" style="416" customWidth="1"/>
    <col min="10495" max="10495" width="7.75" style="416" customWidth="1"/>
    <col min="10496" max="10496" width="9.875" style="416" customWidth="1"/>
    <col min="10497" max="10497" width="10.625" style="416" customWidth="1"/>
    <col min="10498" max="10740" width="6.125" style="416"/>
    <col min="10741" max="10741" width="5" style="416" customWidth="1"/>
    <col min="10742" max="10742" width="8.875" style="416" customWidth="1"/>
    <col min="10743" max="10743" width="5" style="416" customWidth="1"/>
    <col min="10744" max="10744" width="8.25" style="416" customWidth="1"/>
    <col min="10745" max="10745" width="16.125" style="416" customWidth="1"/>
    <col min="10746" max="10746" width="86" style="416" customWidth="1"/>
    <col min="10747" max="10747" width="5" style="416" customWidth="1"/>
    <col min="10748" max="10748" width="11.125" style="416" customWidth="1"/>
    <col min="10749" max="10749" width="10.375" style="416" customWidth="1"/>
    <col min="10750" max="10750" width="10.875" style="416" customWidth="1"/>
    <col min="10751" max="10751" width="7.75" style="416" customWidth="1"/>
    <col min="10752" max="10752" width="9.875" style="416" customWidth="1"/>
    <col min="10753" max="10753" width="10.625" style="416" customWidth="1"/>
    <col min="10754" max="10996" width="6.125" style="416"/>
    <col min="10997" max="10997" width="5" style="416" customWidth="1"/>
    <col min="10998" max="10998" width="8.875" style="416" customWidth="1"/>
    <col min="10999" max="10999" width="5" style="416" customWidth="1"/>
    <col min="11000" max="11000" width="8.25" style="416" customWidth="1"/>
    <col min="11001" max="11001" width="16.125" style="416" customWidth="1"/>
    <col min="11002" max="11002" width="86" style="416" customWidth="1"/>
    <col min="11003" max="11003" width="5" style="416" customWidth="1"/>
    <col min="11004" max="11004" width="11.125" style="416" customWidth="1"/>
    <col min="11005" max="11005" width="10.375" style="416" customWidth="1"/>
    <col min="11006" max="11006" width="10.875" style="416" customWidth="1"/>
    <col min="11007" max="11007" width="7.75" style="416" customWidth="1"/>
    <col min="11008" max="11008" width="9.875" style="416" customWidth="1"/>
    <col min="11009" max="11009" width="10.625" style="416" customWidth="1"/>
    <col min="11010" max="11252" width="6.125" style="416"/>
    <col min="11253" max="11253" width="5" style="416" customWidth="1"/>
    <col min="11254" max="11254" width="8.875" style="416" customWidth="1"/>
    <col min="11255" max="11255" width="5" style="416" customWidth="1"/>
    <col min="11256" max="11256" width="8.25" style="416" customWidth="1"/>
    <col min="11257" max="11257" width="16.125" style="416" customWidth="1"/>
    <col min="11258" max="11258" width="86" style="416" customWidth="1"/>
    <col min="11259" max="11259" width="5" style="416" customWidth="1"/>
    <col min="11260" max="11260" width="11.125" style="416" customWidth="1"/>
    <col min="11261" max="11261" width="10.375" style="416" customWidth="1"/>
    <col min="11262" max="11262" width="10.875" style="416" customWidth="1"/>
    <col min="11263" max="11263" width="7.75" style="416" customWidth="1"/>
    <col min="11264" max="11264" width="9.875" style="416" customWidth="1"/>
    <col min="11265" max="11265" width="10.625" style="416" customWidth="1"/>
    <col min="11266" max="11508" width="6.125" style="416"/>
    <col min="11509" max="11509" width="5" style="416" customWidth="1"/>
    <col min="11510" max="11510" width="8.875" style="416" customWidth="1"/>
    <col min="11511" max="11511" width="5" style="416" customWidth="1"/>
    <col min="11512" max="11512" width="8.25" style="416" customWidth="1"/>
    <col min="11513" max="11513" width="16.125" style="416" customWidth="1"/>
    <col min="11514" max="11514" width="86" style="416" customWidth="1"/>
    <col min="11515" max="11515" width="5" style="416" customWidth="1"/>
    <col min="11516" max="11516" width="11.125" style="416" customWidth="1"/>
    <col min="11517" max="11517" width="10.375" style="416" customWidth="1"/>
    <col min="11518" max="11518" width="10.875" style="416" customWidth="1"/>
    <col min="11519" max="11519" width="7.75" style="416" customWidth="1"/>
    <col min="11520" max="11520" width="9.875" style="416" customWidth="1"/>
    <col min="11521" max="11521" width="10.625" style="416" customWidth="1"/>
    <col min="11522" max="11764" width="6.125" style="416"/>
    <col min="11765" max="11765" width="5" style="416" customWidth="1"/>
    <col min="11766" max="11766" width="8.875" style="416" customWidth="1"/>
    <col min="11767" max="11767" width="5" style="416" customWidth="1"/>
    <col min="11768" max="11768" width="8.25" style="416" customWidth="1"/>
    <col min="11769" max="11769" width="16.125" style="416" customWidth="1"/>
    <col min="11770" max="11770" width="86" style="416" customWidth="1"/>
    <col min="11771" max="11771" width="5" style="416" customWidth="1"/>
    <col min="11772" max="11772" width="11.125" style="416" customWidth="1"/>
    <col min="11773" max="11773" width="10.375" style="416" customWidth="1"/>
    <col min="11774" max="11774" width="10.875" style="416" customWidth="1"/>
    <col min="11775" max="11775" width="7.75" style="416" customWidth="1"/>
    <col min="11776" max="11776" width="9.875" style="416" customWidth="1"/>
    <col min="11777" max="11777" width="10.625" style="416" customWidth="1"/>
    <col min="11778" max="12020" width="6.125" style="416"/>
    <col min="12021" max="12021" width="5" style="416" customWidth="1"/>
    <col min="12022" max="12022" width="8.875" style="416" customWidth="1"/>
    <col min="12023" max="12023" width="5" style="416" customWidth="1"/>
    <col min="12024" max="12024" width="8.25" style="416" customWidth="1"/>
    <col min="12025" max="12025" width="16.125" style="416" customWidth="1"/>
    <col min="12026" max="12026" width="86" style="416" customWidth="1"/>
    <col min="12027" max="12027" width="5" style="416" customWidth="1"/>
    <col min="12028" max="12028" width="11.125" style="416" customWidth="1"/>
    <col min="12029" max="12029" width="10.375" style="416" customWidth="1"/>
    <col min="12030" max="12030" width="10.875" style="416" customWidth="1"/>
    <col min="12031" max="12031" width="7.75" style="416" customWidth="1"/>
    <col min="12032" max="12032" width="9.875" style="416" customWidth="1"/>
    <col min="12033" max="12033" width="10.625" style="416" customWidth="1"/>
    <col min="12034" max="12276" width="6.125" style="416"/>
    <col min="12277" max="12277" width="5" style="416" customWidth="1"/>
    <col min="12278" max="12278" width="8.875" style="416" customWidth="1"/>
    <col min="12279" max="12279" width="5" style="416" customWidth="1"/>
    <col min="12280" max="12280" width="8.25" style="416" customWidth="1"/>
    <col min="12281" max="12281" width="16.125" style="416" customWidth="1"/>
    <col min="12282" max="12282" width="86" style="416" customWidth="1"/>
    <col min="12283" max="12283" width="5" style="416" customWidth="1"/>
    <col min="12284" max="12284" width="11.125" style="416" customWidth="1"/>
    <col min="12285" max="12285" width="10.375" style="416" customWidth="1"/>
    <col min="12286" max="12286" width="10.875" style="416" customWidth="1"/>
    <col min="12287" max="12287" width="7.75" style="416" customWidth="1"/>
    <col min="12288" max="12288" width="9.875" style="416" customWidth="1"/>
    <col min="12289" max="12289" width="10.625" style="416" customWidth="1"/>
    <col min="12290" max="12532" width="6.125" style="416"/>
    <col min="12533" max="12533" width="5" style="416" customWidth="1"/>
    <col min="12534" max="12534" width="8.875" style="416" customWidth="1"/>
    <col min="12535" max="12535" width="5" style="416" customWidth="1"/>
    <col min="12536" max="12536" width="8.25" style="416" customWidth="1"/>
    <col min="12537" max="12537" width="16.125" style="416" customWidth="1"/>
    <col min="12538" max="12538" width="86" style="416" customWidth="1"/>
    <col min="12539" max="12539" width="5" style="416" customWidth="1"/>
    <col min="12540" max="12540" width="11.125" style="416" customWidth="1"/>
    <col min="12541" max="12541" width="10.375" style="416" customWidth="1"/>
    <col min="12542" max="12542" width="10.875" style="416" customWidth="1"/>
    <col min="12543" max="12543" width="7.75" style="416" customWidth="1"/>
    <col min="12544" max="12544" width="9.875" style="416" customWidth="1"/>
    <col min="12545" max="12545" width="10.625" style="416" customWidth="1"/>
    <col min="12546" max="12788" width="6.125" style="416"/>
    <col min="12789" max="12789" width="5" style="416" customWidth="1"/>
    <col min="12790" max="12790" width="8.875" style="416" customWidth="1"/>
    <col min="12791" max="12791" width="5" style="416" customWidth="1"/>
    <col min="12792" max="12792" width="8.25" style="416" customWidth="1"/>
    <col min="12793" max="12793" width="16.125" style="416" customWidth="1"/>
    <col min="12794" max="12794" width="86" style="416" customWidth="1"/>
    <col min="12795" max="12795" width="5" style="416" customWidth="1"/>
    <col min="12796" max="12796" width="11.125" style="416" customWidth="1"/>
    <col min="12797" max="12797" width="10.375" style="416" customWidth="1"/>
    <col min="12798" max="12798" width="10.875" style="416" customWidth="1"/>
    <col min="12799" max="12799" width="7.75" style="416" customWidth="1"/>
    <col min="12800" max="12800" width="9.875" style="416" customWidth="1"/>
    <col min="12801" max="12801" width="10.625" style="416" customWidth="1"/>
    <col min="12802" max="13044" width="6.125" style="416"/>
    <col min="13045" max="13045" width="5" style="416" customWidth="1"/>
    <col min="13046" max="13046" width="8.875" style="416" customWidth="1"/>
    <col min="13047" max="13047" width="5" style="416" customWidth="1"/>
    <col min="13048" max="13048" width="8.25" style="416" customWidth="1"/>
    <col min="13049" max="13049" width="16.125" style="416" customWidth="1"/>
    <col min="13050" max="13050" width="86" style="416" customWidth="1"/>
    <col min="13051" max="13051" width="5" style="416" customWidth="1"/>
    <col min="13052" max="13052" width="11.125" style="416" customWidth="1"/>
    <col min="13053" max="13053" width="10.375" style="416" customWidth="1"/>
    <col min="13054" max="13054" width="10.875" style="416" customWidth="1"/>
    <col min="13055" max="13055" width="7.75" style="416" customWidth="1"/>
    <col min="13056" max="13056" width="9.875" style="416" customWidth="1"/>
    <col min="13057" max="13057" width="10.625" style="416" customWidth="1"/>
    <col min="13058" max="13300" width="6.125" style="416"/>
    <col min="13301" max="13301" width="5" style="416" customWidth="1"/>
    <col min="13302" max="13302" width="8.875" style="416" customWidth="1"/>
    <col min="13303" max="13303" width="5" style="416" customWidth="1"/>
    <col min="13304" max="13304" width="8.25" style="416" customWidth="1"/>
    <col min="13305" max="13305" width="16.125" style="416" customWidth="1"/>
    <col min="13306" max="13306" width="86" style="416" customWidth="1"/>
    <col min="13307" max="13307" width="5" style="416" customWidth="1"/>
    <col min="13308" max="13308" width="11.125" style="416" customWidth="1"/>
    <col min="13309" max="13309" width="10.375" style="416" customWidth="1"/>
    <col min="13310" max="13310" width="10.875" style="416" customWidth="1"/>
    <col min="13311" max="13311" width="7.75" style="416" customWidth="1"/>
    <col min="13312" max="13312" width="9.875" style="416" customWidth="1"/>
    <col min="13313" max="13313" width="10.625" style="416" customWidth="1"/>
    <col min="13314" max="13556" width="6.125" style="416"/>
    <col min="13557" max="13557" width="5" style="416" customWidth="1"/>
    <col min="13558" max="13558" width="8.875" style="416" customWidth="1"/>
    <col min="13559" max="13559" width="5" style="416" customWidth="1"/>
    <col min="13560" max="13560" width="8.25" style="416" customWidth="1"/>
    <col min="13561" max="13561" width="16.125" style="416" customWidth="1"/>
    <col min="13562" max="13562" width="86" style="416" customWidth="1"/>
    <col min="13563" max="13563" width="5" style="416" customWidth="1"/>
    <col min="13564" max="13564" width="11.125" style="416" customWidth="1"/>
    <col min="13565" max="13565" width="10.375" style="416" customWidth="1"/>
    <col min="13566" max="13566" width="10.875" style="416" customWidth="1"/>
    <col min="13567" max="13567" width="7.75" style="416" customWidth="1"/>
    <col min="13568" max="13568" width="9.875" style="416" customWidth="1"/>
    <col min="13569" max="13569" width="10.625" style="416" customWidth="1"/>
    <col min="13570" max="13812" width="6.125" style="416"/>
    <col min="13813" max="13813" width="5" style="416" customWidth="1"/>
    <col min="13814" max="13814" width="8.875" style="416" customWidth="1"/>
    <col min="13815" max="13815" width="5" style="416" customWidth="1"/>
    <col min="13816" max="13816" width="8.25" style="416" customWidth="1"/>
    <col min="13817" max="13817" width="16.125" style="416" customWidth="1"/>
    <col min="13818" max="13818" width="86" style="416" customWidth="1"/>
    <col min="13819" max="13819" width="5" style="416" customWidth="1"/>
    <col min="13820" max="13820" width="11.125" style="416" customWidth="1"/>
    <col min="13821" max="13821" width="10.375" style="416" customWidth="1"/>
    <col min="13822" max="13822" width="10.875" style="416" customWidth="1"/>
    <col min="13823" max="13823" width="7.75" style="416" customWidth="1"/>
    <col min="13824" max="13824" width="9.875" style="416" customWidth="1"/>
    <col min="13825" max="13825" width="10.625" style="416" customWidth="1"/>
    <col min="13826" max="14068" width="6.125" style="416"/>
    <col min="14069" max="14069" width="5" style="416" customWidth="1"/>
    <col min="14070" max="14070" width="8.875" style="416" customWidth="1"/>
    <col min="14071" max="14071" width="5" style="416" customWidth="1"/>
    <col min="14072" max="14072" width="8.25" style="416" customWidth="1"/>
    <col min="14073" max="14073" width="16.125" style="416" customWidth="1"/>
    <col min="14074" max="14074" width="86" style="416" customWidth="1"/>
    <col min="14075" max="14075" width="5" style="416" customWidth="1"/>
    <col min="14076" max="14076" width="11.125" style="416" customWidth="1"/>
    <col min="14077" max="14077" width="10.375" style="416" customWidth="1"/>
    <col min="14078" max="14078" width="10.875" style="416" customWidth="1"/>
    <col min="14079" max="14079" width="7.75" style="416" customWidth="1"/>
    <col min="14080" max="14080" width="9.875" style="416" customWidth="1"/>
    <col min="14081" max="14081" width="10.625" style="416" customWidth="1"/>
    <col min="14082" max="14324" width="6.125" style="416"/>
    <col min="14325" max="14325" width="5" style="416" customWidth="1"/>
    <col min="14326" max="14326" width="8.875" style="416" customWidth="1"/>
    <col min="14327" max="14327" width="5" style="416" customWidth="1"/>
    <col min="14328" max="14328" width="8.25" style="416" customWidth="1"/>
    <col min="14329" max="14329" width="16.125" style="416" customWidth="1"/>
    <col min="14330" max="14330" width="86" style="416" customWidth="1"/>
    <col min="14331" max="14331" width="5" style="416" customWidth="1"/>
    <col min="14332" max="14332" width="11.125" style="416" customWidth="1"/>
    <col min="14333" max="14333" width="10.375" style="416" customWidth="1"/>
    <col min="14334" max="14334" width="10.875" style="416" customWidth="1"/>
    <col min="14335" max="14335" width="7.75" style="416" customWidth="1"/>
    <col min="14336" max="14336" width="9.875" style="416" customWidth="1"/>
    <col min="14337" max="14337" width="10.625" style="416" customWidth="1"/>
    <col min="14338" max="14580" width="6.125" style="416"/>
    <col min="14581" max="14581" width="5" style="416" customWidth="1"/>
    <col min="14582" max="14582" width="8.875" style="416" customWidth="1"/>
    <col min="14583" max="14583" width="5" style="416" customWidth="1"/>
    <col min="14584" max="14584" width="8.25" style="416" customWidth="1"/>
    <col min="14585" max="14585" width="16.125" style="416" customWidth="1"/>
    <col min="14586" max="14586" width="86" style="416" customWidth="1"/>
    <col min="14587" max="14587" width="5" style="416" customWidth="1"/>
    <col min="14588" max="14588" width="11.125" style="416" customWidth="1"/>
    <col min="14589" max="14589" width="10.375" style="416" customWidth="1"/>
    <col min="14590" max="14590" width="10.875" style="416" customWidth="1"/>
    <col min="14591" max="14591" width="7.75" style="416" customWidth="1"/>
    <col min="14592" max="14592" width="9.875" style="416" customWidth="1"/>
    <col min="14593" max="14593" width="10.625" style="416" customWidth="1"/>
    <col min="14594" max="14836" width="6.125" style="416"/>
    <col min="14837" max="14837" width="5" style="416" customWidth="1"/>
    <col min="14838" max="14838" width="8.875" style="416" customWidth="1"/>
    <col min="14839" max="14839" width="5" style="416" customWidth="1"/>
    <col min="14840" max="14840" width="8.25" style="416" customWidth="1"/>
    <col min="14841" max="14841" width="16.125" style="416" customWidth="1"/>
    <col min="14842" max="14842" width="86" style="416" customWidth="1"/>
    <col min="14843" max="14843" width="5" style="416" customWidth="1"/>
    <col min="14844" max="14844" width="11.125" style="416" customWidth="1"/>
    <col min="14845" max="14845" width="10.375" style="416" customWidth="1"/>
    <col min="14846" max="14846" width="10.875" style="416" customWidth="1"/>
    <col min="14847" max="14847" width="7.75" style="416" customWidth="1"/>
    <col min="14848" max="14848" width="9.875" style="416" customWidth="1"/>
    <col min="14849" max="14849" width="10.625" style="416" customWidth="1"/>
    <col min="14850" max="15092" width="6.125" style="416"/>
    <col min="15093" max="15093" width="5" style="416" customWidth="1"/>
    <col min="15094" max="15094" width="8.875" style="416" customWidth="1"/>
    <col min="15095" max="15095" width="5" style="416" customWidth="1"/>
    <col min="15096" max="15096" width="8.25" style="416" customWidth="1"/>
    <col min="15097" max="15097" width="16.125" style="416" customWidth="1"/>
    <col min="15098" max="15098" width="86" style="416" customWidth="1"/>
    <col min="15099" max="15099" width="5" style="416" customWidth="1"/>
    <col min="15100" max="15100" width="11.125" style="416" customWidth="1"/>
    <col min="15101" max="15101" width="10.375" style="416" customWidth="1"/>
    <col min="15102" max="15102" width="10.875" style="416" customWidth="1"/>
    <col min="15103" max="15103" width="7.75" style="416" customWidth="1"/>
    <col min="15104" max="15104" width="9.875" style="416" customWidth="1"/>
    <col min="15105" max="15105" width="10.625" style="416" customWidth="1"/>
    <col min="15106" max="15348" width="6.125" style="416"/>
    <col min="15349" max="15349" width="5" style="416" customWidth="1"/>
    <col min="15350" max="15350" width="8.875" style="416" customWidth="1"/>
    <col min="15351" max="15351" width="5" style="416" customWidth="1"/>
    <col min="15352" max="15352" width="8.25" style="416" customWidth="1"/>
    <col min="15353" max="15353" width="16.125" style="416" customWidth="1"/>
    <col min="15354" max="15354" width="86" style="416" customWidth="1"/>
    <col min="15355" max="15355" width="5" style="416" customWidth="1"/>
    <col min="15356" max="15356" width="11.125" style="416" customWidth="1"/>
    <col min="15357" max="15357" width="10.375" style="416" customWidth="1"/>
    <col min="15358" max="15358" width="10.875" style="416" customWidth="1"/>
    <col min="15359" max="15359" width="7.75" style="416" customWidth="1"/>
    <col min="15360" max="15360" width="9.875" style="416" customWidth="1"/>
    <col min="15361" max="15361" width="10.625" style="416" customWidth="1"/>
    <col min="15362" max="15604" width="6.125" style="416"/>
    <col min="15605" max="15605" width="5" style="416" customWidth="1"/>
    <col min="15606" max="15606" width="8.875" style="416" customWidth="1"/>
    <col min="15607" max="15607" width="5" style="416" customWidth="1"/>
    <col min="15608" max="15608" width="8.25" style="416" customWidth="1"/>
    <col min="15609" max="15609" width="16.125" style="416" customWidth="1"/>
    <col min="15610" max="15610" width="86" style="416" customWidth="1"/>
    <col min="15611" max="15611" width="5" style="416" customWidth="1"/>
    <col min="15612" max="15612" width="11.125" style="416" customWidth="1"/>
    <col min="15613" max="15613" width="10.375" style="416" customWidth="1"/>
    <col min="15614" max="15614" width="10.875" style="416" customWidth="1"/>
    <col min="15615" max="15615" width="7.75" style="416" customWidth="1"/>
    <col min="15616" max="15616" width="9.875" style="416" customWidth="1"/>
    <col min="15617" max="15617" width="10.625" style="416" customWidth="1"/>
    <col min="15618" max="15860" width="6.125" style="416"/>
    <col min="15861" max="15861" width="5" style="416" customWidth="1"/>
    <col min="15862" max="15862" width="8.875" style="416" customWidth="1"/>
    <col min="15863" max="15863" width="5" style="416" customWidth="1"/>
    <col min="15864" max="15864" width="8.25" style="416" customWidth="1"/>
    <col min="15865" max="15865" width="16.125" style="416" customWidth="1"/>
    <col min="15866" max="15866" width="86" style="416" customWidth="1"/>
    <col min="15867" max="15867" width="5" style="416" customWidth="1"/>
    <col min="15868" max="15868" width="11.125" style="416" customWidth="1"/>
    <col min="15869" max="15869" width="10.375" style="416" customWidth="1"/>
    <col min="15870" max="15870" width="10.875" style="416" customWidth="1"/>
    <col min="15871" max="15871" width="7.75" style="416" customWidth="1"/>
    <col min="15872" max="15872" width="9.875" style="416" customWidth="1"/>
    <col min="15873" max="15873" width="10.625" style="416" customWidth="1"/>
    <col min="15874" max="16116" width="6.125" style="416"/>
    <col min="16117" max="16117" width="5" style="416" customWidth="1"/>
    <col min="16118" max="16118" width="8.875" style="416" customWidth="1"/>
    <col min="16119" max="16119" width="5" style="416" customWidth="1"/>
    <col min="16120" max="16120" width="8.25" style="416" customWidth="1"/>
    <col min="16121" max="16121" width="16.125" style="416" customWidth="1"/>
    <col min="16122" max="16122" width="86" style="416" customWidth="1"/>
    <col min="16123" max="16123" width="5" style="416" customWidth="1"/>
    <col min="16124" max="16124" width="11.125" style="416" customWidth="1"/>
    <col min="16125" max="16125" width="10.375" style="416" customWidth="1"/>
    <col min="16126" max="16126" width="10.875" style="416" customWidth="1"/>
    <col min="16127" max="16127" width="7.75" style="416" customWidth="1"/>
    <col min="16128" max="16128" width="9.875" style="416" customWidth="1"/>
    <col min="16129" max="16129" width="10.625" style="416" customWidth="1"/>
    <col min="16130" max="16384" width="6.125" style="416"/>
  </cols>
  <sheetData>
    <row r="1" spans="1:15">
      <c r="A1" s="307" t="s">
        <v>146</v>
      </c>
      <c r="B1" s="307"/>
      <c r="C1" s="307"/>
      <c r="D1" s="307"/>
      <c r="E1" s="307"/>
      <c r="F1" s="307"/>
      <c r="G1" s="307"/>
      <c r="H1" s="307"/>
      <c r="I1" s="307"/>
      <c r="J1" s="307"/>
      <c r="K1" s="307"/>
      <c r="L1" s="307"/>
      <c r="M1" s="307"/>
      <c r="N1" s="307"/>
      <c r="O1" s="307"/>
    </row>
    <row r="2" customHeight="1" spans="1:15">
      <c r="A2" s="308"/>
      <c r="B2" s="308"/>
      <c r="C2" s="308"/>
      <c r="D2" s="308"/>
      <c r="E2" s="308"/>
      <c r="F2" s="308"/>
      <c r="G2" s="308"/>
      <c r="H2" s="308"/>
      <c r="I2" s="308"/>
      <c r="J2" s="308"/>
      <c r="K2" s="308"/>
      <c r="L2" s="308"/>
      <c r="M2" s="308"/>
      <c r="N2" s="308"/>
      <c r="O2" s="308"/>
    </row>
    <row r="3" ht="16.5" spans="1:16">
      <c r="A3" s="308"/>
      <c r="B3" s="308"/>
      <c r="C3" s="308"/>
      <c r="D3" s="308"/>
      <c r="E3" s="308"/>
      <c r="F3" s="308"/>
      <c r="G3" s="308"/>
      <c r="H3" s="308"/>
      <c r="I3" s="308"/>
      <c r="J3" s="308"/>
      <c r="K3" s="308"/>
      <c r="L3" s="448"/>
      <c r="M3" s="448"/>
      <c r="N3" s="448"/>
      <c r="O3" s="448"/>
      <c r="P3" s="308"/>
    </row>
    <row r="4" s="413" customFormat="1" ht="64.5" spans="1:16">
      <c r="A4" s="310" t="s">
        <v>36</v>
      </c>
      <c r="B4" s="311" t="s">
        <v>37</v>
      </c>
      <c r="C4" s="311" t="s">
        <v>38</v>
      </c>
      <c r="D4" s="311" t="s">
        <v>39</v>
      </c>
      <c r="E4" s="311" t="s">
        <v>40</v>
      </c>
      <c r="F4" s="312" t="s">
        <v>41</v>
      </c>
      <c r="G4" s="312" t="s">
        <v>42</v>
      </c>
      <c r="H4" s="418" t="s">
        <v>147</v>
      </c>
      <c r="I4" s="418" t="s">
        <v>148</v>
      </c>
      <c r="J4" s="418" t="s">
        <v>149</v>
      </c>
      <c r="K4" s="311" t="s">
        <v>150</v>
      </c>
      <c r="L4" s="311" t="s">
        <v>151</v>
      </c>
      <c r="M4" s="311" t="s">
        <v>152</v>
      </c>
      <c r="N4" s="311" t="s">
        <v>44</v>
      </c>
      <c r="O4" s="311" t="s">
        <v>45</v>
      </c>
      <c r="P4" s="449" t="s">
        <v>153</v>
      </c>
    </row>
    <row r="5" s="413" customFormat="1" ht="54" customHeight="1" spans="1:16">
      <c r="A5" s="419"/>
      <c r="B5" s="420"/>
      <c r="C5" s="420"/>
      <c r="D5" s="420"/>
      <c r="E5" s="420"/>
      <c r="F5" s="315"/>
      <c r="G5" s="315"/>
      <c r="H5" s="421"/>
      <c r="I5" s="421"/>
      <c r="J5" s="421"/>
      <c r="K5" s="420"/>
      <c r="L5" s="420"/>
      <c r="M5" s="420"/>
      <c r="N5" s="420"/>
      <c r="O5" s="420"/>
      <c r="P5" s="420"/>
    </row>
    <row r="6" s="413" customFormat="1" ht="15.75" spans="1:16">
      <c r="A6" s="108" t="s">
        <v>46</v>
      </c>
      <c r="B6" s="96"/>
      <c r="C6" s="96"/>
      <c r="D6" s="96"/>
      <c r="E6" s="96"/>
      <c r="F6" s="422" t="s">
        <v>154</v>
      </c>
      <c r="G6" s="423" t="s">
        <v>155</v>
      </c>
      <c r="H6" s="128">
        <v>1</v>
      </c>
      <c r="I6" s="450">
        <v>1</v>
      </c>
      <c r="J6" s="450">
        <f>SUM(H6:I6)</f>
        <v>2</v>
      </c>
      <c r="K6" s="451">
        <v>100000</v>
      </c>
      <c r="L6" s="452"/>
      <c r="M6" s="452"/>
      <c r="N6" s="452"/>
      <c r="O6" s="452">
        <f>SUM(J6*K6)</f>
        <v>200000</v>
      </c>
      <c r="P6" s="453"/>
    </row>
    <row r="7" s="413" customFormat="1" ht="15" spans="1:16">
      <c r="A7" s="97"/>
      <c r="B7" s="97"/>
      <c r="C7" s="97"/>
      <c r="D7" s="97"/>
      <c r="E7" s="97"/>
      <c r="F7" s="424"/>
      <c r="G7" s="97"/>
      <c r="H7" s="425"/>
      <c r="I7" s="425"/>
      <c r="J7" s="425"/>
      <c r="K7" s="157"/>
      <c r="L7" s="157"/>
      <c r="M7" s="89"/>
      <c r="N7" s="454"/>
      <c r="O7" s="454"/>
      <c r="P7" s="454"/>
    </row>
    <row r="8" s="413" customFormat="1" ht="13.5" spans="1:16">
      <c r="A8" s="397"/>
      <c r="B8" s="337"/>
      <c r="C8" s="337"/>
      <c r="D8" s="337"/>
      <c r="E8" s="337"/>
      <c r="F8" s="426"/>
      <c r="G8" s="426"/>
      <c r="H8" s="427"/>
      <c r="I8" s="427"/>
      <c r="J8" s="427"/>
      <c r="K8" s="337"/>
      <c r="L8" s="337"/>
      <c r="M8" s="337"/>
      <c r="N8" s="337"/>
      <c r="O8" s="337"/>
      <c r="P8" s="337"/>
    </row>
    <row r="9" ht="15.75" spans="1:16">
      <c r="A9" s="108" t="s">
        <v>69</v>
      </c>
      <c r="B9" s="96"/>
      <c r="C9" s="96"/>
      <c r="D9" s="96"/>
      <c r="E9" s="96"/>
      <c r="F9" s="109" t="s">
        <v>156</v>
      </c>
      <c r="G9" s="96"/>
      <c r="H9" s="190"/>
      <c r="I9" s="190"/>
      <c r="J9" s="190"/>
      <c r="K9" s="155"/>
      <c r="L9" s="452"/>
      <c r="M9" s="452"/>
      <c r="N9" s="452"/>
      <c r="O9" s="452"/>
      <c r="P9" s="453"/>
    </row>
    <row r="10" ht="240" spans="1:16">
      <c r="A10" s="99">
        <v>2.1</v>
      </c>
      <c r="B10" s="99" t="s">
        <v>157</v>
      </c>
      <c r="C10" s="99" t="s">
        <v>158</v>
      </c>
      <c r="D10" s="99" t="s">
        <v>159</v>
      </c>
      <c r="E10" s="99" t="s">
        <v>160</v>
      </c>
      <c r="F10" s="110" t="s">
        <v>161</v>
      </c>
      <c r="G10" s="111" t="s">
        <v>162</v>
      </c>
      <c r="H10" s="130">
        <v>62</v>
      </c>
      <c r="I10" s="130">
        <f>7*3.6</f>
        <v>25.2</v>
      </c>
      <c r="J10" s="130">
        <f>SUM(H10:I10)</f>
        <v>87.2</v>
      </c>
      <c r="K10" s="455">
        <v>2050</v>
      </c>
      <c r="L10" s="456"/>
      <c r="M10" s="456"/>
      <c r="N10" s="456"/>
      <c r="O10" s="456">
        <f>SUM(J10*K10)</f>
        <v>178760</v>
      </c>
      <c r="P10" s="456"/>
    </row>
    <row r="11" ht="15" spans="1:16">
      <c r="A11" s="112"/>
      <c r="B11" s="112"/>
      <c r="C11" s="112"/>
      <c r="D11" s="112"/>
      <c r="E11" s="112"/>
      <c r="F11" s="112"/>
      <c r="G11" s="112"/>
      <c r="H11" s="131"/>
      <c r="I11" s="131"/>
      <c r="J11" s="131"/>
      <c r="K11" s="163"/>
      <c r="L11" s="457"/>
      <c r="M11" s="457"/>
      <c r="N11" s="457"/>
      <c r="O11" s="457"/>
      <c r="P11" s="457"/>
    </row>
    <row r="12" ht="240" spans="1:16">
      <c r="A12" s="114">
        <v>2.2</v>
      </c>
      <c r="B12" s="114" t="s">
        <v>157</v>
      </c>
      <c r="C12" s="114" t="s">
        <v>158</v>
      </c>
      <c r="D12" s="114" t="s">
        <v>159</v>
      </c>
      <c r="E12" s="114" t="s">
        <v>163</v>
      </c>
      <c r="F12" s="115" t="s">
        <v>164</v>
      </c>
      <c r="G12" s="116" t="s">
        <v>162</v>
      </c>
      <c r="H12" s="131">
        <v>36.12</v>
      </c>
      <c r="I12" s="131">
        <v>5</v>
      </c>
      <c r="J12" s="130">
        <f>SUM(H12:I12)</f>
        <v>41.12</v>
      </c>
      <c r="K12" s="163">
        <v>1850</v>
      </c>
      <c r="L12" s="457"/>
      <c r="M12" s="457"/>
      <c r="N12" s="457"/>
      <c r="O12" s="456">
        <f>SUM(J12*K12)</f>
        <v>76072</v>
      </c>
      <c r="P12" s="457"/>
    </row>
    <row r="13" ht="15" spans="1:16">
      <c r="A13" s="112"/>
      <c r="B13" s="112"/>
      <c r="C13" s="112"/>
      <c r="D13" s="112"/>
      <c r="E13" s="112"/>
      <c r="F13" s="112"/>
      <c r="G13" s="112"/>
      <c r="H13" s="131"/>
      <c r="I13" s="131"/>
      <c r="J13" s="131"/>
      <c r="K13" s="163"/>
      <c r="L13" s="457"/>
      <c r="M13" s="457"/>
      <c r="N13" s="457"/>
      <c r="O13" s="457"/>
      <c r="P13" s="457"/>
    </row>
    <row r="14" ht="300" spans="1:16">
      <c r="A14" s="114">
        <v>2.3</v>
      </c>
      <c r="B14" s="114" t="s">
        <v>165</v>
      </c>
      <c r="C14" s="114" t="s">
        <v>158</v>
      </c>
      <c r="D14" s="114" t="s">
        <v>166</v>
      </c>
      <c r="E14" s="114" t="s">
        <v>167</v>
      </c>
      <c r="F14" s="115" t="s">
        <v>168</v>
      </c>
      <c r="G14" s="116" t="s">
        <v>162</v>
      </c>
      <c r="H14" s="131">
        <v>180.79</v>
      </c>
      <c r="I14" s="131">
        <f>60</f>
        <v>60</v>
      </c>
      <c r="J14" s="130">
        <f>SUM(H14:I14)</f>
        <v>240.79</v>
      </c>
      <c r="K14" s="163">
        <v>650</v>
      </c>
      <c r="L14" s="457"/>
      <c r="M14" s="457"/>
      <c r="N14" s="457"/>
      <c r="O14" s="456">
        <f>SUM(J14*K14)</f>
        <v>156513.5</v>
      </c>
      <c r="P14" s="457"/>
    </row>
    <row r="15" ht="15" spans="1:16">
      <c r="A15" s="112"/>
      <c r="B15" s="112"/>
      <c r="C15" s="112"/>
      <c r="D15" s="112"/>
      <c r="E15" s="112"/>
      <c r="F15" s="112"/>
      <c r="G15" s="112"/>
      <c r="H15" s="131"/>
      <c r="I15" s="131"/>
      <c r="J15" s="131"/>
      <c r="K15" s="163"/>
      <c r="L15" s="457"/>
      <c r="M15" s="457"/>
      <c r="N15" s="457"/>
      <c r="O15" s="457"/>
      <c r="P15" s="457"/>
    </row>
    <row r="16" ht="300" spans="1:16">
      <c r="A16" s="114">
        <v>2.4</v>
      </c>
      <c r="B16" s="114" t="s">
        <v>165</v>
      </c>
      <c r="C16" s="114" t="s">
        <v>158</v>
      </c>
      <c r="D16" s="114" t="s">
        <v>169</v>
      </c>
      <c r="E16" s="114" t="s">
        <v>170</v>
      </c>
      <c r="F16" s="115" t="s">
        <v>168</v>
      </c>
      <c r="G16" s="116" t="s">
        <v>162</v>
      </c>
      <c r="H16" s="131">
        <v>408.3</v>
      </c>
      <c r="I16" s="131">
        <f>10*3.6</f>
        <v>36</v>
      </c>
      <c r="J16" s="130">
        <f>SUM(H16:I16)</f>
        <v>444.3</v>
      </c>
      <c r="K16" s="162">
        <v>850</v>
      </c>
      <c r="L16" s="457"/>
      <c r="M16" s="457"/>
      <c r="N16" s="457"/>
      <c r="O16" s="456">
        <f>SUM(J16*K16)</f>
        <v>377655</v>
      </c>
      <c r="P16" s="457"/>
    </row>
    <row r="17" ht="15" spans="1:16">
      <c r="A17" s="114"/>
      <c r="B17" s="114"/>
      <c r="C17" s="114"/>
      <c r="D17" s="114"/>
      <c r="E17" s="114"/>
      <c r="F17" s="115"/>
      <c r="G17" s="116"/>
      <c r="H17" s="131"/>
      <c r="I17" s="131"/>
      <c r="J17" s="131"/>
      <c r="K17" s="162"/>
      <c r="L17" s="457"/>
      <c r="M17" s="457"/>
      <c r="N17" s="457"/>
      <c r="O17" s="457"/>
      <c r="P17" s="457"/>
    </row>
    <row r="18" ht="135" spans="1:16">
      <c r="A18" s="114">
        <v>2.5</v>
      </c>
      <c r="B18" s="114" t="s">
        <v>171</v>
      </c>
      <c r="C18" s="114" t="s">
        <v>158</v>
      </c>
      <c r="D18" s="114" t="s">
        <v>172</v>
      </c>
      <c r="E18" s="114" t="s">
        <v>173</v>
      </c>
      <c r="F18" s="115" t="s">
        <v>174</v>
      </c>
      <c r="G18" s="116" t="s">
        <v>162</v>
      </c>
      <c r="H18" s="131">
        <f>70+21+20</f>
        <v>111</v>
      </c>
      <c r="I18" s="131">
        <f>20</f>
        <v>20</v>
      </c>
      <c r="J18" s="130">
        <f>SUM(H18:I18)</f>
        <v>131</v>
      </c>
      <c r="K18" s="162">
        <v>1850</v>
      </c>
      <c r="L18" s="159">
        <f>SUM(H18*K18)</f>
        <v>205350</v>
      </c>
      <c r="M18" s="457"/>
      <c r="N18" s="457"/>
      <c r="O18" s="456">
        <f>SUM(J18*K18)</f>
        <v>242350</v>
      </c>
      <c r="P18" s="457"/>
    </row>
    <row r="19" ht="15" spans="1:16">
      <c r="A19" s="123"/>
      <c r="B19" s="123"/>
      <c r="C19" s="123"/>
      <c r="D19" s="123"/>
      <c r="E19" s="123"/>
      <c r="F19" s="181"/>
      <c r="G19" s="124"/>
      <c r="H19" s="179"/>
      <c r="I19" s="179"/>
      <c r="J19" s="179"/>
      <c r="K19" s="164"/>
      <c r="L19" s="458"/>
      <c r="M19" s="458"/>
      <c r="N19" s="458"/>
      <c r="O19" s="458"/>
      <c r="P19" s="458"/>
    </row>
    <row r="20" ht="13.5" spans="1:16">
      <c r="A20" s="313"/>
      <c r="B20" s="314"/>
      <c r="C20" s="314"/>
      <c r="D20" s="314"/>
      <c r="E20" s="314"/>
      <c r="F20" s="315"/>
      <c r="G20" s="315"/>
      <c r="H20" s="428"/>
      <c r="I20" s="428"/>
      <c r="J20" s="428"/>
      <c r="K20" s="459"/>
      <c r="L20" s="460"/>
      <c r="M20" s="460"/>
      <c r="N20" s="460"/>
      <c r="O20" s="460"/>
      <c r="P20" s="460"/>
    </row>
    <row r="21" ht="13.5" spans="1:16">
      <c r="A21" s="310" t="s">
        <v>81</v>
      </c>
      <c r="B21" s="409"/>
      <c r="C21" s="409"/>
      <c r="D21" s="409"/>
      <c r="E21" s="409"/>
      <c r="F21" s="429" t="s">
        <v>47</v>
      </c>
      <c r="G21" s="409"/>
      <c r="H21" s="430"/>
      <c r="I21" s="430"/>
      <c r="J21" s="430"/>
      <c r="K21" s="461"/>
      <c r="L21" s="462"/>
      <c r="M21" s="462"/>
      <c r="N21" s="462"/>
      <c r="O21" s="462"/>
      <c r="P21" s="463"/>
    </row>
    <row r="22" spans="1:16">
      <c r="A22" s="318"/>
      <c r="B22" s="319"/>
      <c r="C22" s="319"/>
      <c r="D22" s="319"/>
      <c r="E22" s="319"/>
      <c r="F22" s="431"/>
      <c r="G22" s="319"/>
      <c r="H22" s="432"/>
      <c r="I22" s="432"/>
      <c r="J22" s="432"/>
      <c r="K22" s="464"/>
      <c r="L22" s="465"/>
      <c r="M22" s="465"/>
      <c r="N22" s="465"/>
      <c r="O22" s="465"/>
      <c r="P22" s="465"/>
    </row>
    <row r="23" ht="25.5" spans="1:16">
      <c r="A23" s="322">
        <v>3.1</v>
      </c>
      <c r="B23" s="229"/>
      <c r="C23" s="229"/>
      <c r="D23" s="231" t="s">
        <v>48</v>
      </c>
      <c r="E23" s="229" t="s">
        <v>49</v>
      </c>
      <c r="F23" s="433" t="s">
        <v>175</v>
      </c>
      <c r="G23" s="229" t="s">
        <v>51</v>
      </c>
      <c r="H23" s="434">
        <v>80</v>
      </c>
      <c r="I23" s="434">
        <f>20</f>
        <v>20</v>
      </c>
      <c r="J23" s="130">
        <f>SUM(H23:I23)</f>
        <v>100</v>
      </c>
      <c r="K23" s="171">
        <v>8950</v>
      </c>
      <c r="L23" s="230"/>
      <c r="M23" s="230"/>
      <c r="N23" s="230"/>
      <c r="O23" s="456">
        <f>SUM(J23*K23)</f>
        <v>895000</v>
      </c>
      <c r="P23" s="230"/>
    </row>
    <row r="24" ht="102" spans="1:16">
      <c r="A24" s="322"/>
      <c r="B24" s="229"/>
      <c r="C24" s="229"/>
      <c r="D24" s="229"/>
      <c r="E24" s="229"/>
      <c r="F24" s="231" t="s">
        <v>176</v>
      </c>
      <c r="G24" s="229"/>
      <c r="H24" s="434"/>
      <c r="I24" s="434"/>
      <c r="J24" s="434"/>
      <c r="K24" s="466"/>
      <c r="L24" s="230"/>
      <c r="M24" s="230"/>
      <c r="N24" s="230"/>
      <c r="O24" s="230"/>
      <c r="P24" s="230"/>
    </row>
    <row r="25" spans="1:16">
      <c r="A25" s="322"/>
      <c r="B25" s="229"/>
      <c r="C25" s="229"/>
      <c r="D25" s="229"/>
      <c r="E25" s="229"/>
      <c r="F25" s="240"/>
      <c r="G25" s="229"/>
      <c r="H25" s="434"/>
      <c r="I25" s="434"/>
      <c r="J25" s="434"/>
      <c r="K25" s="466"/>
      <c r="L25" s="230"/>
      <c r="M25" s="230"/>
      <c r="N25" s="230"/>
      <c r="O25" s="230"/>
      <c r="P25" s="230"/>
    </row>
    <row r="26" spans="1:16">
      <c r="A26" s="322"/>
      <c r="B26" s="229"/>
      <c r="C26" s="229"/>
      <c r="D26" s="229"/>
      <c r="E26" s="229"/>
      <c r="F26" s="240"/>
      <c r="G26" s="229"/>
      <c r="H26" s="434"/>
      <c r="I26" s="434"/>
      <c r="J26" s="434"/>
      <c r="K26" s="466"/>
      <c r="L26" s="230"/>
      <c r="M26" s="230"/>
      <c r="N26" s="230"/>
      <c r="O26" s="230"/>
      <c r="P26" s="230"/>
    </row>
    <row r="27" ht="15" spans="1:16">
      <c r="A27" s="136">
        <v>3.2</v>
      </c>
      <c r="B27" s="137" t="s">
        <v>177</v>
      </c>
      <c r="C27" s="138" t="s">
        <v>158</v>
      </c>
      <c r="D27" s="138" t="s">
        <v>178</v>
      </c>
      <c r="E27" s="137" t="s">
        <v>179</v>
      </c>
      <c r="F27" s="139" t="s">
        <v>180</v>
      </c>
      <c r="G27" s="229" t="s">
        <v>51</v>
      </c>
      <c r="H27" s="434">
        <v>25</v>
      </c>
      <c r="I27" s="434">
        <v>0</v>
      </c>
      <c r="J27" s="130">
        <f>SUM(H27:I27)</f>
        <v>25</v>
      </c>
      <c r="K27" s="466">
        <v>1695</v>
      </c>
      <c r="L27" s="230"/>
      <c r="M27" s="230"/>
      <c r="N27" s="230"/>
      <c r="O27" s="456">
        <f>SUM(J27*K27)</f>
        <v>42375</v>
      </c>
      <c r="P27" s="230"/>
    </row>
    <row r="28" ht="132.75" customHeight="1" spans="1:16">
      <c r="A28" s="322"/>
      <c r="B28" s="229"/>
      <c r="C28" s="229"/>
      <c r="D28" s="229"/>
      <c r="E28" s="229"/>
      <c r="F28" s="435" t="s">
        <v>181</v>
      </c>
      <c r="G28" s="229"/>
      <c r="H28" s="434"/>
      <c r="I28" s="434"/>
      <c r="J28" s="434"/>
      <c r="K28" s="466"/>
      <c r="L28" s="230"/>
      <c r="M28" s="230"/>
      <c r="N28" s="230"/>
      <c r="O28" s="230"/>
      <c r="P28" s="230"/>
    </row>
    <row r="29" spans="1:16">
      <c r="A29" s="322"/>
      <c r="B29" s="229"/>
      <c r="C29" s="229"/>
      <c r="D29" s="229"/>
      <c r="E29" s="229"/>
      <c r="F29" s="240"/>
      <c r="G29" s="229"/>
      <c r="H29" s="434"/>
      <c r="I29" s="434"/>
      <c r="J29" s="434"/>
      <c r="K29" s="466"/>
      <c r="L29" s="230"/>
      <c r="M29" s="230"/>
      <c r="N29" s="230"/>
      <c r="O29" s="230"/>
      <c r="P29" s="230"/>
    </row>
    <row r="30" ht="25.5" spans="1:16">
      <c r="A30" s="322">
        <v>3.3</v>
      </c>
      <c r="B30" s="229"/>
      <c r="C30" s="229"/>
      <c r="D30" s="231" t="s">
        <v>53</v>
      </c>
      <c r="E30" s="229" t="s">
        <v>54</v>
      </c>
      <c r="F30" s="433" t="s">
        <v>55</v>
      </c>
      <c r="G30" s="229" t="s">
        <v>51</v>
      </c>
      <c r="H30" s="434">
        <v>40</v>
      </c>
      <c r="I30" s="434">
        <f>(4+2)*3.6</f>
        <v>21.6</v>
      </c>
      <c r="J30" s="130">
        <f>SUM(H30:I30)</f>
        <v>61.6</v>
      </c>
      <c r="K30" s="466">
        <v>9500</v>
      </c>
      <c r="L30" s="230"/>
      <c r="M30" s="230"/>
      <c r="N30" s="230"/>
      <c r="O30" s="456">
        <f>SUM(J30*K30)</f>
        <v>585200</v>
      </c>
      <c r="P30" s="230"/>
    </row>
    <row r="31" ht="76.5" spans="1:16">
      <c r="A31" s="322"/>
      <c r="B31" s="229"/>
      <c r="C31" s="229"/>
      <c r="D31" s="229"/>
      <c r="E31" s="229"/>
      <c r="F31" s="231" t="s">
        <v>182</v>
      </c>
      <c r="G31" s="229"/>
      <c r="H31" s="434"/>
      <c r="I31" s="434"/>
      <c r="J31" s="434"/>
      <c r="K31" s="466"/>
      <c r="L31" s="230"/>
      <c r="M31" s="230"/>
      <c r="N31" s="230"/>
      <c r="O31" s="230"/>
      <c r="P31" s="230"/>
    </row>
    <row r="32" spans="1:16">
      <c r="A32" s="322"/>
      <c r="B32" s="229"/>
      <c r="C32" s="229"/>
      <c r="D32" s="229"/>
      <c r="E32" s="229"/>
      <c r="F32" s="240"/>
      <c r="G32" s="229"/>
      <c r="H32" s="434"/>
      <c r="I32" s="434"/>
      <c r="J32" s="434"/>
      <c r="K32" s="466"/>
      <c r="L32" s="230"/>
      <c r="M32" s="230"/>
      <c r="N32" s="230"/>
      <c r="O32" s="230"/>
      <c r="P32" s="230"/>
    </row>
    <row r="33" spans="1:16">
      <c r="A33" s="322"/>
      <c r="B33" s="229"/>
      <c r="C33" s="229"/>
      <c r="D33" s="229"/>
      <c r="E33" s="229"/>
      <c r="F33" s="240"/>
      <c r="G33" s="229"/>
      <c r="H33" s="434"/>
      <c r="I33" s="434"/>
      <c r="J33" s="434"/>
      <c r="K33" s="466"/>
      <c r="L33" s="230"/>
      <c r="M33" s="230"/>
      <c r="N33" s="230"/>
      <c r="O33" s="230"/>
      <c r="P33" s="230"/>
    </row>
    <row r="34" ht="25.5" spans="1:16">
      <c r="A34" s="322">
        <v>3.4</v>
      </c>
      <c r="B34" s="229"/>
      <c r="C34" s="229"/>
      <c r="D34" s="231" t="s">
        <v>53</v>
      </c>
      <c r="E34" s="229" t="s">
        <v>54</v>
      </c>
      <c r="F34" s="433" t="s">
        <v>183</v>
      </c>
      <c r="G34" s="229" t="s">
        <v>51</v>
      </c>
      <c r="H34" s="434">
        <v>10</v>
      </c>
      <c r="I34" s="434">
        <f>4.5*3.6</f>
        <v>16.2</v>
      </c>
      <c r="J34" s="130">
        <f>SUM(H34:I34)</f>
        <v>26.2</v>
      </c>
      <c r="K34" s="466">
        <v>17500</v>
      </c>
      <c r="L34" s="230"/>
      <c r="M34" s="230"/>
      <c r="N34" s="230"/>
      <c r="O34" s="456">
        <f>SUM(J34*K34)</f>
        <v>458500</v>
      </c>
      <c r="P34" s="230"/>
    </row>
    <row r="35" ht="89.25" spans="1:16">
      <c r="A35" s="322"/>
      <c r="B35" s="229"/>
      <c r="C35" s="229"/>
      <c r="D35" s="229"/>
      <c r="E35" s="229"/>
      <c r="F35" s="231" t="s">
        <v>184</v>
      </c>
      <c r="G35" s="229"/>
      <c r="H35" s="434"/>
      <c r="I35" s="434"/>
      <c r="J35" s="434"/>
      <c r="K35" s="467"/>
      <c r="L35" s="230"/>
      <c r="M35" s="230"/>
      <c r="N35" s="230"/>
      <c r="O35" s="230"/>
      <c r="P35" s="230"/>
    </row>
    <row r="36" spans="1:16">
      <c r="A36" s="322"/>
      <c r="B36" s="229"/>
      <c r="C36" s="229"/>
      <c r="D36" s="229"/>
      <c r="E36" s="229"/>
      <c r="F36" s="240"/>
      <c r="G36" s="229"/>
      <c r="H36" s="434"/>
      <c r="I36" s="434"/>
      <c r="J36" s="434"/>
      <c r="K36" s="467"/>
      <c r="L36" s="230"/>
      <c r="M36" s="230"/>
      <c r="N36" s="230"/>
      <c r="O36" s="230"/>
      <c r="P36" s="230"/>
    </row>
    <row r="37" ht="15" spans="1:16">
      <c r="A37" s="322">
        <v>3.5</v>
      </c>
      <c r="B37" s="229"/>
      <c r="C37" s="229"/>
      <c r="D37" s="231" t="s">
        <v>53</v>
      </c>
      <c r="E37" s="229" t="s">
        <v>185</v>
      </c>
      <c r="F37" s="433" t="s">
        <v>186</v>
      </c>
      <c r="G37" s="229" t="s">
        <v>187</v>
      </c>
      <c r="H37" s="434">
        <v>1</v>
      </c>
      <c r="I37" s="434">
        <v>1</v>
      </c>
      <c r="J37" s="130">
        <f>SUM(H37:I37)</f>
        <v>2</v>
      </c>
      <c r="K37" s="467">
        <v>70800</v>
      </c>
      <c r="L37" s="230"/>
      <c r="M37" s="230"/>
      <c r="N37" s="230"/>
      <c r="O37" s="456">
        <f>SUM(J37*K37)</f>
        <v>141600</v>
      </c>
      <c r="P37" s="230"/>
    </row>
    <row r="38" ht="153" spans="1:16">
      <c r="A38" s="322"/>
      <c r="B38" s="229"/>
      <c r="C38" s="229"/>
      <c r="D38" s="229"/>
      <c r="E38" s="229"/>
      <c r="F38" s="231" t="s">
        <v>188</v>
      </c>
      <c r="G38" s="229"/>
      <c r="H38" s="434"/>
      <c r="I38" s="434"/>
      <c r="J38" s="434"/>
      <c r="K38" s="467"/>
      <c r="L38" s="230"/>
      <c r="M38" s="230"/>
      <c r="N38" s="230"/>
      <c r="O38" s="230"/>
      <c r="P38" s="230"/>
    </row>
    <row r="39" spans="1:16">
      <c r="A39" s="322"/>
      <c r="B39" s="229"/>
      <c r="C39" s="229"/>
      <c r="D39" s="229"/>
      <c r="E39" s="229"/>
      <c r="F39" s="231"/>
      <c r="G39" s="229"/>
      <c r="H39" s="434"/>
      <c r="I39" s="434"/>
      <c r="J39" s="434"/>
      <c r="K39" s="467"/>
      <c r="L39" s="230"/>
      <c r="M39" s="230"/>
      <c r="N39" s="230"/>
      <c r="O39" s="230"/>
      <c r="P39" s="230"/>
    </row>
    <row r="40" ht="15" spans="1:16">
      <c r="A40" s="136">
        <v>3.6</v>
      </c>
      <c r="B40" s="137" t="s">
        <v>177</v>
      </c>
      <c r="C40" s="138" t="s">
        <v>158</v>
      </c>
      <c r="D40" s="138" t="s">
        <v>189</v>
      </c>
      <c r="E40" s="137" t="s">
        <v>190</v>
      </c>
      <c r="F40" s="139" t="s">
        <v>191</v>
      </c>
      <c r="G40" s="229" t="s">
        <v>98</v>
      </c>
      <c r="H40" s="434">
        <v>40</v>
      </c>
      <c r="I40" s="434">
        <v>0</v>
      </c>
      <c r="J40" s="130">
        <f>SUM(H40:I40)</f>
        <v>40</v>
      </c>
      <c r="K40" s="466">
        <v>230</v>
      </c>
      <c r="L40" s="230"/>
      <c r="M40" s="230"/>
      <c r="N40" s="230"/>
      <c r="O40" s="456">
        <f>SUM(J40*K40)</f>
        <v>9200</v>
      </c>
      <c r="P40" s="230"/>
    </row>
    <row r="41" ht="89.25" spans="1:16">
      <c r="A41" s="322"/>
      <c r="B41" s="229"/>
      <c r="C41" s="229"/>
      <c r="D41" s="229"/>
      <c r="E41" s="229"/>
      <c r="F41" s="435" t="s">
        <v>192</v>
      </c>
      <c r="G41" s="229"/>
      <c r="H41" s="434"/>
      <c r="I41" s="434"/>
      <c r="J41" s="434"/>
      <c r="K41" s="467"/>
      <c r="L41" s="230"/>
      <c r="M41" s="230"/>
      <c r="N41" s="230"/>
      <c r="O41" s="230"/>
      <c r="P41" s="230"/>
    </row>
    <row r="42" ht="13.5" spans="1:16">
      <c r="A42" s="390"/>
      <c r="B42" s="391"/>
      <c r="C42" s="391"/>
      <c r="D42" s="391"/>
      <c r="E42" s="391"/>
      <c r="F42" s="404"/>
      <c r="G42" s="391"/>
      <c r="H42" s="436"/>
      <c r="I42" s="436"/>
      <c r="J42" s="436"/>
      <c r="K42" s="468"/>
      <c r="L42" s="381"/>
      <c r="M42" s="381"/>
      <c r="N42" s="381"/>
      <c r="O42" s="381"/>
      <c r="P42" s="381"/>
    </row>
    <row r="43" ht="13.5" spans="1:16">
      <c r="A43" s="310" t="s">
        <v>108</v>
      </c>
      <c r="B43" s="437"/>
      <c r="C43" s="437"/>
      <c r="D43" s="437"/>
      <c r="E43" s="437"/>
      <c r="F43" s="429" t="s">
        <v>70</v>
      </c>
      <c r="G43" s="312"/>
      <c r="H43" s="438"/>
      <c r="I43" s="438"/>
      <c r="J43" s="438"/>
      <c r="K43" s="452"/>
      <c r="L43" s="437"/>
      <c r="M43" s="437"/>
      <c r="N43" s="408"/>
      <c r="O43" s="408"/>
      <c r="P43" s="469"/>
    </row>
    <row r="44" spans="1:16">
      <c r="A44" s="318"/>
      <c r="B44" s="375"/>
      <c r="C44" s="375"/>
      <c r="D44" s="375"/>
      <c r="E44" s="375"/>
      <c r="F44" s="431"/>
      <c r="G44" s="319"/>
      <c r="H44" s="432"/>
      <c r="I44" s="432"/>
      <c r="J44" s="432"/>
      <c r="K44" s="465"/>
      <c r="L44" s="375"/>
      <c r="M44" s="375"/>
      <c r="N44" s="375"/>
      <c r="O44" s="375"/>
      <c r="P44" s="375"/>
    </row>
    <row r="45" ht="15" spans="1:16">
      <c r="A45" s="322">
        <v>4.1</v>
      </c>
      <c r="B45" s="230"/>
      <c r="C45" s="230"/>
      <c r="D45" s="226" t="s">
        <v>71</v>
      </c>
      <c r="E45" s="227" t="s">
        <v>72</v>
      </c>
      <c r="F45" s="228" t="s">
        <v>73</v>
      </c>
      <c r="G45" s="229" t="s">
        <v>51</v>
      </c>
      <c r="H45" s="434">
        <v>108</v>
      </c>
      <c r="I45" s="434">
        <f>20</f>
        <v>20</v>
      </c>
      <c r="J45" s="130">
        <f>SUM(H45:I45)</f>
        <v>128</v>
      </c>
      <c r="K45" s="467">
        <v>2050</v>
      </c>
      <c r="L45" s="230"/>
      <c r="M45" s="230"/>
      <c r="N45" s="230"/>
      <c r="O45" s="456">
        <f>SUM(J45*K45)</f>
        <v>262400</v>
      </c>
      <c r="P45" s="230"/>
    </row>
    <row r="46" ht="150" spans="1:16">
      <c r="A46" s="322"/>
      <c r="B46" s="230"/>
      <c r="C46" s="230"/>
      <c r="D46" s="230"/>
      <c r="E46" s="229"/>
      <c r="F46" s="439" t="s">
        <v>74</v>
      </c>
      <c r="G46" s="229"/>
      <c r="H46" s="434"/>
      <c r="I46" s="434"/>
      <c r="J46" s="434"/>
      <c r="K46" s="467"/>
      <c r="L46" s="230"/>
      <c r="M46" s="230"/>
      <c r="N46" s="230"/>
      <c r="O46" s="230"/>
      <c r="P46" s="230"/>
    </row>
    <row r="47" spans="1:16">
      <c r="A47" s="322"/>
      <c r="B47" s="230"/>
      <c r="C47" s="230"/>
      <c r="D47" s="230"/>
      <c r="E47" s="230"/>
      <c r="F47" s="240"/>
      <c r="G47" s="229"/>
      <c r="H47" s="434"/>
      <c r="I47" s="434"/>
      <c r="J47" s="434"/>
      <c r="K47" s="467"/>
      <c r="L47" s="230"/>
      <c r="M47" s="230"/>
      <c r="N47" s="230"/>
      <c r="O47" s="230"/>
      <c r="P47" s="230"/>
    </row>
    <row r="48" spans="1:16">
      <c r="A48" s="322"/>
      <c r="B48" s="230"/>
      <c r="C48" s="230"/>
      <c r="D48" s="230"/>
      <c r="E48" s="230"/>
      <c r="F48" s="240"/>
      <c r="G48" s="229"/>
      <c r="H48" s="434"/>
      <c r="I48" s="434"/>
      <c r="J48" s="434"/>
      <c r="K48" s="467"/>
      <c r="L48" s="230"/>
      <c r="M48" s="230"/>
      <c r="N48" s="230"/>
      <c r="O48" s="230"/>
      <c r="P48" s="230"/>
    </row>
    <row r="49" ht="25.5" spans="1:16">
      <c r="A49" s="322">
        <v>4.2</v>
      </c>
      <c r="B49" s="230"/>
      <c r="C49" s="230"/>
      <c r="D49" s="226" t="s">
        <v>71</v>
      </c>
      <c r="E49" s="227" t="s">
        <v>193</v>
      </c>
      <c r="F49" s="228" t="s">
        <v>194</v>
      </c>
      <c r="G49" s="229" t="s">
        <v>51</v>
      </c>
      <c r="H49" s="434">
        <v>5</v>
      </c>
      <c r="I49" s="434"/>
      <c r="J49" s="130">
        <f>SUM(H49:I49)</f>
        <v>5</v>
      </c>
      <c r="K49" s="467">
        <v>14000</v>
      </c>
      <c r="L49" s="230"/>
      <c r="M49" s="230"/>
      <c r="N49" s="230"/>
      <c r="O49" s="456">
        <f>SUM(J49*K49)</f>
        <v>70000</v>
      </c>
      <c r="P49" s="230"/>
    </row>
    <row r="50" ht="102" spans="1:16">
      <c r="A50" s="322"/>
      <c r="B50" s="230"/>
      <c r="C50" s="230"/>
      <c r="D50" s="230"/>
      <c r="E50" s="229"/>
      <c r="F50" s="231" t="s">
        <v>195</v>
      </c>
      <c r="G50" s="229"/>
      <c r="H50" s="434"/>
      <c r="I50" s="434"/>
      <c r="J50" s="434"/>
      <c r="K50" s="467"/>
      <c r="L50" s="230"/>
      <c r="M50" s="230"/>
      <c r="N50" s="230"/>
      <c r="O50" s="230"/>
      <c r="P50" s="230"/>
    </row>
    <row r="51" spans="1:16">
      <c r="A51" s="322"/>
      <c r="B51" s="230"/>
      <c r="C51" s="230"/>
      <c r="D51" s="230"/>
      <c r="E51" s="230"/>
      <c r="F51" s="240"/>
      <c r="G51" s="229"/>
      <c r="H51" s="434"/>
      <c r="I51" s="434"/>
      <c r="J51" s="434"/>
      <c r="K51" s="467"/>
      <c r="L51" s="230"/>
      <c r="M51" s="230"/>
      <c r="N51" s="230"/>
      <c r="O51" s="230"/>
      <c r="P51" s="230"/>
    </row>
    <row r="52" spans="1:16">
      <c r="A52" s="322"/>
      <c r="B52" s="230"/>
      <c r="C52" s="230"/>
      <c r="D52" s="230"/>
      <c r="E52" s="230"/>
      <c r="F52" s="240"/>
      <c r="G52" s="229"/>
      <c r="H52" s="434"/>
      <c r="I52" s="434"/>
      <c r="J52" s="434"/>
      <c r="K52" s="467"/>
      <c r="L52" s="230"/>
      <c r="M52" s="230"/>
      <c r="N52" s="230"/>
      <c r="O52" s="230"/>
      <c r="P52" s="230"/>
    </row>
    <row r="53" ht="30" spans="1:16">
      <c r="A53" s="322">
        <v>4.3</v>
      </c>
      <c r="B53" s="230"/>
      <c r="C53" s="230"/>
      <c r="D53" s="232" t="s">
        <v>71</v>
      </c>
      <c r="E53" s="232" t="s">
        <v>196</v>
      </c>
      <c r="F53" s="184" t="s">
        <v>197</v>
      </c>
      <c r="G53" s="174"/>
      <c r="H53" s="434"/>
      <c r="I53" s="434"/>
      <c r="J53" s="434"/>
      <c r="K53" s="467"/>
      <c r="L53" s="230"/>
      <c r="M53" s="230"/>
      <c r="N53" s="230"/>
      <c r="O53" s="230"/>
      <c r="P53" s="230"/>
    </row>
    <row r="54" ht="102" spans="1:16">
      <c r="A54" s="322"/>
      <c r="B54" s="230"/>
      <c r="C54" s="230"/>
      <c r="D54" s="225"/>
      <c r="E54" s="174"/>
      <c r="F54" s="231" t="s">
        <v>198</v>
      </c>
      <c r="G54" s="174"/>
      <c r="H54" s="434"/>
      <c r="I54" s="434"/>
      <c r="J54" s="434"/>
      <c r="K54" s="467"/>
      <c r="L54" s="230"/>
      <c r="M54" s="230"/>
      <c r="N54" s="230"/>
      <c r="O54" s="230"/>
      <c r="P54" s="230"/>
    </row>
    <row r="55" ht="15" spans="1:16">
      <c r="A55" s="322"/>
      <c r="B55" s="230"/>
      <c r="C55" s="230"/>
      <c r="D55" s="225"/>
      <c r="E55" s="174"/>
      <c r="F55" s="232" t="s">
        <v>199</v>
      </c>
      <c r="G55" s="174" t="s">
        <v>98</v>
      </c>
      <c r="H55" s="434">
        <v>15</v>
      </c>
      <c r="I55" s="434">
        <f>17</f>
        <v>17</v>
      </c>
      <c r="J55" s="130">
        <f t="shared" ref="J55:J56" si="0">SUM(H55:I55)</f>
        <v>32</v>
      </c>
      <c r="K55" s="467">
        <v>320</v>
      </c>
      <c r="L55" s="230"/>
      <c r="M55" s="230"/>
      <c r="N55" s="230"/>
      <c r="O55" s="456">
        <f t="shared" ref="O55:O56" si="1">SUM(J55*K55)</f>
        <v>10240</v>
      </c>
      <c r="P55" s="230"/>
    </row>
    <row r="56" s="414" customFormat="1" ht="15" spans="1:16">
      <c r="A56" s="440"/>
      <c r="B56" s="441"/>
      <c r="C56" s="441"/>
      <c r="D56" s="442"/>
      <c r="E56" s="443"/>
      <c r="F56" s="444" t="s">
        <v>200</v>
      </c>
      <c r="G56" s="443" t="s">
        <v>98</v>
      </c>
      <c r="H56" s="445">
        <v>30</v>
      </c>
      <c r="I56" s="445">
        <v>0</v>
      </c>
      <c r="J56" s="470">
        <f t="shared" si="0"/>
        <v>30</v>
      </c>
      <c r="K56" s="471">
        <v>350</v>
      </c>
      <c r="L56" s="441"/>
      <c r="M56" s="441"/>
      <c r="N56" s="441"/>
      <c r="O56" s="472">
        <f t="shared" si="1"/>
        <v>10500</v>
      </c>
      <c r="P56" s="441"/>
    </row>
    <row r="57" ht="15" spans="1:16">
      <c r="A57" s="322"/>
      <c r="B57" s="230"/>
      <c r="C57" s="230"/>
      <c r="D57" s="225"/>
      <c r="E57" s="174"/>
      <c r="F57" s="232"/>
      <c r="G57" s="174"/>
      <c r="H57" s="434"/>
      <c r="I57" s="434"/>
      <c r="J57" s="434"/>
      <c r="K57" s="467"/>
      <c r="L57" s="230"/>
      <c r="M57" s="230"/>
      <c r="N57" s="230"/>
      <c r="O57" s="230"/>
      <c r="P57" s="230"/>
    </row>
    <row r="58" ht="15" spans="1:16">
      <c r="A58" s="322">
        <v>4.4</v>
      </c>
      <c r="B58" s="230"/>
      <c r="C58" s="230"/>
      <c r="D58" s="226" t="s">
        <v>71</v>
      </c>
      <c r="E58" s="227" t="s">
        <v>201</v>
      </c>
      <c r="F58" s="393" t="s">
        <v>79</v>
      </c>
      <c r="G58" s="229" t="s">
        <v>51</v>
      </c>
      <c r="H58" s="434">
        <v>167.4</v>
      </c>
      <c r="I58" s="434">
        <f>5*3.7+6</f>
        <v>24.5</v>
      </c>
      <c r="J58" s="130">
        <f>SUM(H58:I58)</f>
        <v>191.9</v>
      </c>
      <c r="K58" s="467">
        <v>475</v>
      </c>
      <c r="L58" s="230"/>
      <c r="M58" s="230"/>
      <c r="N58" s="230"/>
      <c r="O58" s="456">
        <f>SUM(J58*K58)</f>
        <v>91152.5</v>
      </c>
      <c r="P58" s="230"/>
    </row>
    <row r="59" ht="63.75" spans="1:16">
      <c r="A59" s="322"/>
      <c r="B59" s="230"/>
      <c r="C59" s="230"/>
      <c r="D59" s="230"/>
      <c r="E59" s="230"/>
      <c r="F59" s="231" t="s">
        <v>202</v>
      </c>
      <c r="G59" s="229"/>
      <c r="H59" s="434"/>
      <c r="I59" s="434"/>
      <c r="J59" s="434"/>
      <c r="K59" s="467"/>
      <c r="L59" s="230"/>
      <c r="M59" s="230"/>
      <c r="N59" s="230"/>
      <c r="O59" s="230"/>
      <c r="P59" s="230"/>
    </row>
    <row r="60" ht="13.5" spans="1:16">
      <c r="A60" s="390"/>
      <c r="B60" s="381"/>
      <c r="C60" s="381"/>
      <c r="D60" s="381"/>
      <c r="E60" s="381"/>
      <c r="F60" s="398"/>
      <c r="G60" s="391"/>
      <c r="H60" s="436"/>
      <c r="I60" s="436"/>
      <c r="J60" s="436"/>
      <c r="K60" s="468"/>
      <c r="L60" s="381"/>
      <c r="M60" s="381"/>
      <c r="N60" s="381"/>
      <c r="O60" s="381"/>
      <c r="P60" s="381"/>
    </row>
    <row r="61" ht="13.5" spans="1:16">
      <c r="A61" s="310" t="s">
        <v>125</v>
      </c>
      <c r="B61" s="437"/>
      <c r="C61" s="437"/>
      <c r="D61" s="437"/>
      <c r="E61" s="437"/>
      <c r="F61" s="446" t="s">
        <v>82</v>
      </c>
      <c r="G61" s="312"/>
      <c r="H61" s="438"/>
      <c r="I61" s="438"/>
      <c r="J61" s="438"/>
      <c r="K61" s="452"/>
      <c r="L61" s="437"/>
      <c r="M61" s="437"/>
      <c r="N61" s="408"/>
      <c r="O61" s="408"/>
      <c r="P61" s="469"/>
    </row>
    <row r="62" spans="1:16">
      <c r="A62" s="318"/>
      <c r="B62" s="375"/>
      <c r="C62" s="375"/>
      <c r="D62" s="375"/>
      <c r="E62" s="375"/>
      <c r="F62" s="447"/>
      <c r="G62" s="319"/>
      <c r="H62" s="432"/>
      <c r="I62" s="432"/>
      <c r="J62" s="432"/>
      <c r="K62" s="465"/>
      <c r="L62" s="375"/>
      <c r="M62" s="375"/>
      <c r="N62" s="375"/>
      <c r="O62" s="375"/>
      <c r="P62" s="375"/>
    </row>
    <row r="63" ht="25.5" spans="1:16">
      <c r="A63" s="322">
        <v>5.1</v>
      </c>
      <c r="B63" s="230"/>
      <c r="C63" s="230"/>
      <c r="D63" s="226" t="s">
        <v>203</v>
      </c>
      <c r="E63" s="227" t="s">
        <v>204</v>
      </c>
      <c r="F63" s="228" t="s">
        <v>205</v>
      </c>
      <c r="G63" s="229" t="s">
        <v>51</v>
      </c>
      <c r="H63" s="434">
        <v>42</v>
      </c>
      <c r="I63" s="434">
        <f>2.1*3.6</f>
        <v>7.56</v>
      </c>
      <c r="J63" s="130">
        <f>SUM(H63:I63)</f>
        <v>49.56</v>
      </c>
      <c r="K63" s="467">
        <v>2500</v>
      </c>
      <c r="L63" s="230"/>
      <c r="M63" s="230"/>
      <c r="N63" s="230"/>
      <c r="O63" s="456">
        <f>SUM(J63*K63)</f>
        <v>123900</v>
      </c>
      <c r="P63" s="230"/>
    </row>
    <row r="64" ht="76.5" spans="1:16">
      <c r="A64" s="322"/>
      <c r="B64" s="230"/>
      <c r="C64" s="230"/>
      <c r="D64" s="230"/>
      <c r="E64" s="230"/>
      <c r="F64" s="231" t="s">
        <v>206</v>
      </c>
      <c r="G64" s="229"/>
      <c r="H64" s="434"/>
      <c r="I64" s="434"/>
      <c r="J64" s="434"/>
      <c r="K64" s="467"/>
      <c r="L64" s="230"/>
      <c r="M64" s="230"/>
      <c r="N64" s="230"/>
      <c r="O64" s="230"/>
      <c r="P64" s="230"/>
    </row>
    <row r="65" spans="1:16">
      <c r="A65" s="322"/>
      <c r="B65" s="230"/>
      <c r="C65" s="230"/>
      <c r="D65" s="230"/>
      <c r="E65" s="230"/>
      <c r="F65" s="240"/>
      <c r="G65" s="229"/>
      <c r="H65" s="434"/>
      <c r="I65" s="434"/>
      <c r="J65" s="434"/>
      <c r="K65" s="467"/>
      <c r="L65" s="230"/>
      <c r="M65" s="230"/>
      <c r="N65" s="230"/>
      <c r="O65" s="230"/>
      <c r="P65" s="230"/>
    </row>
    <row r="66" spans="1:16">
      <c r="A66" s="322"/>
      <c r="B66" s="230"/>
      <c r="C66" s="230"/>
      <c r="D66" s="230"/>
      <c r="E66" s="230"/>
      <c r="F66" s="240"/>
      <c r="G66" s="229"/>
      <c r="H66" s="434"/>
      <c r="I66" s="434"/>
      <c r="J66" s="434"/>
      <c r="K66" s="467"/>
      <c r="L66" s="230"/>
      <c r="M66" s="230"/>
      <c r="N66" s="230"/>
      <c r="O66" s="230"/>
      <c r="P66" s="230"/>
    </row>
    <row r="67" s="415" customFormat="1" ht="25.5" spans="1:16">
      <c r="A67" s="473">
        <v>5.2</v>
      </c>
      <c r="B67" s="474"/>
      <c r="C67" s="474"/>
      <c r="D67" s="475" t="s">
        <v>203</v>
      </c>
      <c r="E67" s="476" t="s">
        <v>204</v>
      </c>
      <c r="F67" s="477" t="s">
        <v>207</v>
      </c>
      <c r="G67" s="478" t="s">
        <v>51</v>
      </c>
      <c r="H67" s="479">
        <v>30.45</v>
      </c>
      <c r="I67" s="479">
        <f>3*3.6</f>
        <v>10.8</v>
      </c>
      <c r="J67" s="483">
        <f>SUM(H67:I67)</f>
        <v>41.25</v>
      </c>
      <c r="K67" s="484">
        <v>2500</v>
      </c>
      <c r="L67" s="474"/>
      <c r="M67" s="474"/>
      <c r="N67" s="474"/>
      <c r="O67" s="485">
        <f>SUM(J67*K67)</f>
        <v>103125</v>
      </c>
      <c r="P67" s="474"/>
    </row>
    <row r="68" ht="124.5" customHeight="1" spans="1:16">
      <c r="A68" s="322"/>
      <c r="B68" s="230"/>
      <c r="C68" s="230"/>
      <c r="D68" s="230"/>
      <c r="E68" s="230"/>
      <c r="F68" s="231" t="s">
        <v>206</v>
      </c>
      <c r="G68" s="229"/>
      <c r="H68" s="434"/>
      <c r="I68" s="434"/>
      <c r="J68" s="434"/>
      <c r="K68" s="467"/>
      <c r="L68" s="230"/>
      <c r="M68" s="230"/>
      <c r="N68" s="230"/>
      <c r="O68" s="230"/>
      <c r="P68" s="230"/>
    </row>
    <row r="69" spans="1:16">
      <c r="A69" s="322"/>
      <c r="B69" s="230"/>
      <c r="C69" s="230"/>
      <c r="D69" s="230"/>
      <c r="E69" s="230"/>
      <c r="F69" s="240"/>
      <c r="G69" s="229"/>
      <c r="H69" s="434"/>
      <c r="I69" s="434"/>
      <c r="J69" s="434"/>
      <c r="K69" s="467"/>
      <c r="L69" s="230"/>
      <c r="M69" s="230"/>
      <c r="N69" s="230"/>
      <c r="O69" s="230"/>
      <c r="P69" s="230"/>
    </row>
    <row r="70" spans="1:16">
      <c r="A70" s="322"/>
      <c r="B70" s="230"/>
      <c r="C70" s="230"/>
      <c r="D70" s="230"/>
      <c r="E70" s="230"/>
      <c r="F70" s="231"/>
      <c r="G70" s="229"/>
      <c r="H70" s="434"/>
      <c r="I70" s="434"/>
      <c r="J70" s="434"/>
      <c r="K70" s="467"/>
      <c r="L70" s="230"/>
      <c r="M70" s="230"/>
      <c r="N70" s="230"/>
      <c r="O70" s="230"/>
      <c r="P70" s="230"/>
    </row>
    <row r="71" spans="1:16">
      <c r="A71" s="322">
        <v>5.3</v>
      </c>
      <c r="B71" s="230"/>
      <c r="C71" s="230"/>
      <c r="D71" s="230" t="s">
        <v>83</v>
      </c>
      <c r="E71" s="230" t="s">
        <v>84</v>
      </c>
      <c r="F71" s="228" t="s">
        <v>85</v>
      </c>
      <c r="G71" s="229"/>
      <c r="H71" s="434"/>
      <c r="I71" s="434"/>
      <c r="J71" s="434"/>
      <c r="K71" s="467"/>
      <c r="L71" s="230"/>
      <c r="M71" s="230"/>
      <c r="N71" s="230"/>
      <c r="O71" s="230"/>
      <c r="P71" s="230"/>
    </row>
    <row r="72" ht="66" customHeight="1" spans="1:16">
      <c r="A72" s="322"/>
      <c r="B72" s="230"/>
      <c r="C72" s="230"/>
      <c r="D72" s="230"/>
      <c r="E72" s="230"/>
      <c r="F72" s="231" t="s">
        <v>208</v>
      </c>
      <c r="G72" s="229"/>
      <c r="H72" s="434"/>
      <c r="I72" s="434"/>
      <c r="J72" s="434"/>
      <c r="K72" s="467"/>
      <c r="L72" s="230"/>
      <c r="M72" s="230"/>
      <c r="N72" s="230"/>
      <c r="O72" s="230"/>
      <c r="P72" s="230"/>
    </row>
    <row r="73" ht="15" spans="1:16">
      <c r="A73" s="322" t="s">
        <v>209</v>
      </c>
      <c r="B73" s="230"/>
      <c r="C73" s="230"/>
      <c r="D73" s="230"/>
      <c r="E73" s="230"/>
      <c r="F73" s="480" t="s">
        <v>210</v>
      </c>
      <c r="G73" s="229" t="s">
        <v>51</v>
      </c>
      <c r="H73" s="434">
        <v>91</v>
      </c>
      <c r="I73" s="434">
        <f>20</f>
        <v>20</v>
      </c>
      <c r="J73" s="130">
        <f t="shared" ref="J73:J76" si="2">SUM(H73:I73)</f>
        <v>111</v>
      </c>
      <c r="K73" s="385">
        <v>1890</v>
      </c>
      <c r="L73" s="230"/>
      <c r="M73" s="230"/>
      <c r="N73" s="230"/>
      <c r="O73" s="456">
        <f t="shared" ref="O73:O76" si="3">SUM(J73*K73)</f>
        <v>209790</v>
      </c>
      <c r="P73" s="230"/>
    </row>
    <row r="74" ht="15" spans="1:16">
      <c r="A74" s="322" t="s">
        <v>211</v>
      </c>
      <c r="B74" s="230"/>
      <c r="C74" s="230"/>
      <c r="D74" s="230"/>
      <c r="E74" s="230"/>
      <c r="F74" s="480" t="s">
        <v>212</v>
      </c>
      <c r="G74" s="229" t="s">
        <v>51</v>
      </c>
      <c r="H74" s="434">
        <v>5</v>
      </c>
      <c r="I74" s="434">
        <v>5</v>
      </c>
      <c r="J74" s="130">
        <f t="shared" si="2"/>
        <v>10</v>
      </c>
      <c r="K74" s="385">
        <v>2100</v>
      </c>
      <c r="L74" s="230"/>
      <c r="M74" s="230"/>
      <c r="N74" s="230"/>
      <c r="O74" s="456">
        <f t="shared" si="3"/>
        <v>21000</v>
      </c>
      <c r="P74" s="230"/>
    </row>
    <row r="75" ht="15" spans="1:16">
      <c r="A75" s="322" t="s">
        <v>213</v>
      </c>
      <c r="B75" s="230"/>
      <c r="C75" s="230"/>
      <c r="D75" s="230"/>
      <c r="E75" s="230"/>
      <c r="F75" s="480" t="s">
        <v>214</v>
      </c>
      <c r="G75" s="229" t="s">
        <v>51</v>
      </c>
      <c r="H75" s="434">
        <v>5</v>
      </c>
      <c r="I75" s="434">
        <v>5</v>
      </c>
      <c r="J75" s="130">
        <f t="shared" si="2"/>
        <v>10</v>
      </c>
      <c r="K75" s="385">
        <v>2300</v>
      </c>
      <c r="L75" s="230"/>
      <c r="M75" s="230"/>
      <c r="N75" s="230"/>
      <c r="O75" s="456">
        <f t="shared" si="3"/>
        <v>23000</v>
      </c>
      <c r="P75" s="230"/>
    </row>
    <row r="76" ht="15" spans="1:16">
      <c r="A76" s="322" t="s">
        <v>215</v>
      </c>
      <c r="B76" s="230"/>
      <c r="C76" s="230"/>
      <c r="D76" s="230"/>
      <c r="E76" s="230"/>
      <c r="F76" s="480" t="s">
        <v>216</v>
      </c>
      <c r="G76" s="229" t="s">
        <v>51</v>
      </c>
      <c r="H76" s="434">
        <v>5</v>
      </c>
      <c r="I76" s="434">
        <v>5</v>
      </c>
      <c r="J76" s="130">
        <f t="shared" si="2"/>
        <v>10</v>
      </c>
      <c r="K76" s="385">
        <v>1250</v>
      </c>
      <c r="L76" s="230"/>
      <c r="M76" s="230"/>
      <c r="N76" s="230"/>
      <c r="O76" s="456">
        <f t="shared" si="3"/>
        <v>12500</v>
      </c>
      <c r="P76" s="230"/>
    </row>
    <row r="77" spans="1:16">
      <c r="A77" s="322"/>
      <c r="B77" s="230"/>
      <c r="C77" s="230"/>
      <c r="D77" s="230"/>
      <c r="E77" s="230"/>
      <c r="F77" s="240"/>
      <c r="G77" s="229"/>
      <c r="H77" s="434"/>
      <c r="I77" s="434"/>
      <c r="J77" s="434"/>
      <c r="K77" s="467"/>
      <c r="L77" s="230"/>
      <c r="M77" s="230"/>
      <c r="N77" s="230"/>
      <c r="O77" s="230"/>
      <c r="P77" s="230"/>
    </row>
    <row r="78" spans="1:16">
      <c r="A78" s="322"/>
      <c r="B78" s="230"/>
      <c r="C78" s="230"/>
      <c r="D78" s="230"/>
      <c r="E78" s="230"/>
      <c r="F78" s="480"/>
      <c r="G78" s="229"/>
      <c r="H78" s="434"/>
      <c r="I78" s="434"/>
      <c r="J78" s="434"/>
      <c r="K78" s="467"/>
      <c r="L78" s="230"/>
      <c r="M78" s="230"/>
      <c r="N78" s="230"/>
      <c r="O78" s="230"/>
      <c r="P78" s="230"/>
    </row>
    <row r="79" spans="1:16">
      <c r="A79" s="322">
        <v>5.4</v>
      </c>
      <c r="B79" s="230"/>
      <c r="C79" s="230"/>
      <c r="D79" s="230" t="s">
        <v>83</v>
      </c>
      <c r="E79" s="230" t="s">
        <v>84</v>
      </c>
      <c r="F79" s="228" t="s">
        <v>217</v>
      </c>
      <c r="G79" s="229"/>
      <c r="H79" s="434"/>
      <c r="I79" s="434"/>
      <c r="J79" s="434"/>
      <c r="K79" s="467"/>
      <c r="L79" s="230"/>
      <c r="M79" s="230"/>
      <c r="N79" s="230"/>
      <c r="O79" s="230"/>
      <c r="P79" s="230"/>
    </row>
    <row r="80" ht="60" customHeight="1" spans="1:16">
      <c r="A80" s="322"/>
      <c r="B80" s="230"/>
      <c r="C80" s="230"/>
      <c r="D80" s="230"/>
      <c r="E80" s="230"/>
      <c r="F80" s="231" t="s">
        <v>218</v>
      </c>
      <c r="G80" s="229"/>
      <c r="H80" s="434"/>
      <c r="I80" s="434"/>
      <c r="J80" s="434"/>
      <c r="K80" s="467"/>
      <c r="L80" s="230"/>
      <c r="M80" s="230"/>
      <c r="N80" s="230"/>
      <c r="O80" s="230"/>
      <c r="P80" s="230"/>
    </row>
    <row r="81" ht="15" spans="1:16">
      <c r="A81" s="322"/>
      <c r="B81" s="230"/>
      <c r="C81" s="230"/>
      <c r="D81" s="230"/>
      <c r="E81" s="230"/>
      <c r="F81" s="480" t="s">
        <v>219</v>
      </c>
      <c r="G81" s="229" t="s">
        <v>51</v>
      </c>
      <c r="H81" s="434">
        <v>49.8</v>
      </c>
      <c r="I81" s="434">
        <f>20</f>
        <v>20</v>
      </c>
      <c r="J81" s="130">
        <f t="shared" ref="J81:J82" si="4">SUM(H81:I81)</f>
        <v>69.8</v>
      </c>
      <c r="K81" s="385">
        <v>1890</v>
      </c>
      <c r="L81" s="230"/>
      <c r="M81" s="230"/>
      <c r="N81" s="230"/>
      <c r="O81" s="456">
        <f t="shared" ref="O81:O82" si="5">SUM(J81*K81)</f>
        <v>131922</v>
      </c>
      <c r="P81" s="230"/>
    </row>
    <row r="82" ht="15" spans="1:16">
      <c r="A82" s="322"/>
      <c r="B82" s="230"/>
      <c r="C82" s="230"/>
      <c r="D82" s="230"/>
      <c r="E82" s="230"/>
      <c r="F82" s="480" t="s">
        <v>220</v>
      </c>
      <c r="G82" s="229" t="s">
        <v>51</v>
      </c>
      <c r="H82" s="434">
        <v>5</v>
      </c>
      <c r="I82" s="434">
        <v>5</v>
      </c>
      <c r="J82" s="130">
        <f t="shared" si="4"/>
        <v>10</v>
      </c>
      <c r="K82" s="385">
        <v>1250</v>
      </c>
      <c r="L82" s="230"/>
      <c r="M82" s="230"/>
      <c r="N82" s="230"/>
      <c r="O82" s="456">
        <f t="shared" si="5"/>
        <v>12500</v>
      </c>
      <c r="P82" s="230"/>
    </row>
    <row r="83" spans="1:16">
      <c r="A83" s="322"/>
      <c r="B83" s="230"/>
      <c r="C83" s="230"/>
      <c r="D83" s="230"/>
      <c r="E83" s="230"/>
      <c r="F83" s="240"/>
      <c r="G83" s="229"/>
      <c r="H83" s="434"/>
      <c r="I83" s="434"/>
      <c r="J83" s="434"/>
      <c r="K83" s="467"/>
      <c r="L83" s="230"/>
      <c r="M83" s="230"/>
      <c r="N83" s="230"/>
      <c r="O83" s="230"/>
      <c r="P83" s="230"/>
    </row>
    <row r="84" spans="1:16">
      <c r="A84" s="322"/>
      <c r="B84" s="230"/>
      <c r="C84" s="230"/>
      <c r="D84" s="230"/>
      <c r="E84" s="230"/>
      <c r="F84" s="240"/>
      <c r="G84" s="229"/>
      <c r="H84" s="434"/>
      <c r="I84" s="434"/>
      <c r="J84" s="434"/>
      <c r="K84" s="467"/>
      <c r="L84" s="230"/>
      <c r="M84" s="230"/>
      <c r="N84" s="230"/>
      <c r="O84" s="230"/>
      <c r="P84" s="230"/>
    </row>
    <row r="85" ht="25.5" spans="1:16">
      <c r="A85" s="322">
        <v>5.5</v>
      </c>
      <c r="B85" s="230"/>
      <c r="C85" s="230"/>
      <c r="D85" s="230" t="s">
        <v>103</v>
      </c>
      <c r="E85" s="230" t="s">
        <v>221</v>
      </c>
      <c r="F85" s="235" t="s">
        <v>222</v>
      </c>
      <c r="G85" s="229" t="s">
        <v>130</v>
      </c>
      <c r="H85" s="434">
        <v>49.8</v>
      </c>
      <c r="I85" s="434">
        <v>20</v>
      </c>
      <c r="J85" s="130">
        <f>SUM(H85:I85)</f>
        <v>69.8</v>
      </c>
      <c r="K85" s="385">
        <v>7150</v>
      </c>
      <c r="L85" s="230"/>
      <c r="M85" s="230"/>
      <c r="N85" s="230"/>
      <c r="O85" s="456">
        <f>SUM(J85*K85)</f>
        <v>499070</v>
      </c>
      <c r="P85" s="230"/>
    </row>
    <row r="86" ht="84.75" customHeight="1" spans="1:16">
      <c r="A86" s="322"/>
      <c r="B86" s="230"/>
      <c r="C86" s="230"/>
      <c r="D86" s="230"/>
      <c r="E86" s="229"/>
      <c r="F86" s="236" t="s">
        <v>223</v>
      </c>
      <c r="G86" s="229"/>
      <c r="H86" s="434"/>
      <c r="I86" s="434"/>
      <c r="J86" s="434"/>
      <c r="K86" s="467"/>
      <c r="L86" s="230"/>
      <c r="M86" s="230"/>
      <c r="N86" s="230"/>
      <c r="O86" s="230"/>
      <c r="P86" s="230"/>
    </row>
    <row r="87" spans="1:16">
      <c r="A87" s="322"/>
      <c r="B87" s="230"/>
      <c r="C87" s="230"/>
      <c r="D87" s="230"/>
      <c r="E87" s="229"/>
      <c r="F87" s="240"/>
      <c r="G87" s="229"/>
      <c r="H87" s="434"/>
      <c r="I87" s="434"/>
      <c r="J87" s="434"/>
      <c r="K87" s="467"/>
      <c r="L87" s="230"/>
      <c r="M87" s="230"/>
      <c r="N87" s="230"/>
      <c r="O87" s="230"/>
      <c r="P87" s="230"/>
    </row>
    <row r="88" spans="1:16">
      <c r="A88" s="322"/>
      <c r="B88" s="230"/>
      <c r="C88" s="230"/>
      <c r="D88" s="230"/>
      <c r="E88" s="230"/>
      <c r="F88" s="231"/>
      <c r="G88" s="229"/>
      <c r="H88" s="434"/>
      <c r="I88" s="434"/>
      <c r="J88" s="434"/>
      <c r="K88" s="467"/>
      <c r="L88" s="230"/>
      <c r="M88" s="230"/>
      <c r="N88" s="230"/>
      <c r="O88" s="230"/>
      <c r="P88" s="230"/>
    </row>
    <row r="89" ht="25.5" spans="1:16">
      <c r="A89" s="322">
        <v>5.6</v>
      </c>
      <c r="B89" s="230"/>
      <c r="C89" s="230"/>
      <c r="D89" s="230" t="s">
        <v>103</v>
      </c>
      <c r="E89" s="230" t="s">
        <v>221</v>
      </c>
      <c r="F89" s="235" t="s">
        <v>224</v>
      </c>
      <c r="G89" s="229" t="s">
        <v>130</v>
      </c>
      <c r="H89" s="434">
        <v>13</v>
      </c>
      <c r="I89" s="434">
        <v>0</v>
      </c>
      <c r="J89" s="130">
        <f>SUM(H89:I89)</f>
        <v>13</v>
      </c>
      <c r="K89" s="385">
        <v>19800</v>
      </c>
      <c r="L89" s="230"/>
      <c r="M89" s="230"/>
      <c r="N89" s="230"/>
      <c r="O89" s="456">
        <f>SUM(J89*K89)</f>
        <v>257400</v>
      </c>
      <c r="P89" s="230"/>
    </row>
    <row r="90" ht="114.75" customHeight="1" spans="1:16">
      <c r="A90" s="322"/>
      <c r="B90" s="230"/>
      <c r="C90" s="230"/>
      <c r="D90" s="230"/>
      <c r="E90" s="230"/>
      <c r="F90" s="240" t="s">
        <v>225</v>
      </c>
      <c r="G90" s="229"/>
      <c r="H90" s="434"/>
      <c r="I90" s="434"/>
      <c r="J90" s="434"/>
      <c r="K90" s="467"/>
      <c r="L90" s="230"/>
      <c r="M90" s="230"/>
      <c r="N90" s="230"/>
      <c r="O90" s="230"/>
      <c r="P90" s="230"/>
    </row>
    <row r="91" spans="1:16">
      <c r="A91" s="322"/>
      <c r="B91" s="230"/>
      <c r="C91" s="230"/>
      <c r="D91" s="230"/>
      <c r="E91" s="230"/>
      <c r="F91" s="240"/>
      <c r="G91" s="229"/>
      <c r="H91" s="434"/>
      <c r="I91" s="434"/>
      <c r="J91" s="434"/>
      <c r="K91" s="467"/>
      <c r="L91" s="230"/>
      <c r="M91" s="230"/>
      <c r="N91" s="230"/>
      <c r="O91" s="230"/>
      <c r="P91" s="230"/>
    </row>
    <row r="92" spans="1:16">
      <c r="A92" s="322"/>
      <c r="B92" s="230"/>
      <c r="C92" s="230"/>
      <c r="D92" s="230"/>
      <c r="E92" s="230"/>
      <c r="F92" s="240"/>
      <c r="G92" s="229"/>
      <c r="H92" s="434"/>
      <c r="I92" s="434"/>
      <c r="J92" s="434"/>
      <c r="K92" s="467"/>
      <c r="L92" s="230"/>
      <c r="M92" s="230"/>
      <c r="N92" s="230"/>
      <c r="O92" s="230"/>
      <c r="P92" s="230"/>
    </row>
    <row r="93" ht="15" spans="1:16">
      <c r="A93" s="322">
        <v>5.7</v>
      </c>
      <c r="B93" s="230"/>
      <c r="C93" s="230"/>
      <c r="D93" s="230" t="s">
        <v>226</v>
      </c>
      <c r="E93" s="230" t="s">
        <v>227</v>
      </c>
      <c r="F93" s="235" t="s">
        <v>228</v>
      </c>
      <c r="G93" s="229" t="s">
        <v>229</v>
      </c>
      <c r="H93" s="434">
        <f>(1.2*3.5)*6</f>
        <v>25.2</v>
      </c>
      <c r="I93" s="434">
        <v>0</v>
      </c>
      <c r="J93" s="130">
        <f>SUM(H93:I93)</f>
        <v>25.2</v>
      </c>
      <c r="K93" s="243">
        <v>11650</v>
      </c>
      <c r="L93" s="230"/>
      <c r="M93" s="230"/>
      <c r="N93" s="230"/>
      <c r="O93" s="456">
        <f>SUM(J93*K93)</f>
        <v>293580</v>
      </c>
      <c r="P93" s="230"/>
    </row>
    <row r="94" ht="89.25" spans="1:16">
      <c r="A94" s="388"/>
      <c r="B94" s="230"/>
      <c r="C94" s="230"/>
      <c r="D94" s="231"/>
      <c r="E94" s="226"/>
      <c r="F94" s="240" t="s">
        <v>230</v>
      </c>
      <c r="G94" s="229"/>
      <c r="H94" s="434"/>
      <c r="I94" s="434"/>
      <c r="J94" s="434"/>
      <c r="K94" s="467"/>
      <c r="L94" s="230"/>
      <c r="M94" s="230"/>
      <c r="N94" s="230"/>
      <c r="O94" s="230"/>
      <c r="P94" s="230"/>
    </row>
    <row r="95" spans="1:16">
      <c r="A95" s="388"/>
      <c r="B95" s="230"/>
      <c r="C95" s="230"/>
      <c r="D95" s="231"/>
      <c r="E95" s="226"/>
      <c r="F95" s="240"/>
      <c r="G95" s="229"/>
      <c r="H95" s="434"/>
      <c r="I95" s="434"/>
      <c r="J95" s="434"/>
      <c r="K95" s="467"/>
      <c r="L95" s="230"/>
      <c r="M95" s="230"/>
      <c r="N95" s="230"/>
      <c r="O95" s="230"/>
      <c r="P95" s="230"/>
    </row>
    <row r="96" spans="1:16">
      <c r="A96" s="388"/>
      <c r="B96" s="230"/>
      <c r="C96" s="230"/>
      <c r="D96" s="231"/>
      <c r="E96" s="226"/>
      <c r="F96" s="240"/>
      <c r="G96" s="229"/>
      <c r="H96" s="434"/>
      <c r="I96" s="434"/>
      <c r="J96" s="434"/>
      <c r="K96" s="467"/>
      <c r="L96" s="230"/>
      <c r="M96" s="230"/>
      <c r="N96" s="230"/>
      <c r="O96" s="230"/>
      <c r="P96" s="230"/>
    </row>
    <row r="97" ht="15" spans="1:16">
      <c r="A97" s="322">
        <v>5.8</v>
      </c>
      <c r="B97" s="230"/>
      <c r="C97" s="230"/>
      <c r="D97" s="230" t="s">
        <v>95</v>
      </c>
      <c r="E97" s="230" t="s">
        <v>100</v>
      </c>
      <c r="F97" s="235" t="s">
        <v>101</v>
      </c>
      <c r="G97" s="229" t="s">
        <v>98</v>
      </c>
      <c r="H97" s="434">
        <f>12+7.2</f>
        <v>19.2</v>
      </c>
      <c r="I97" s="434">
        <v>5</v>
      </c>
      <c r="J97" s="130">
        <f>SUM(H97:I97)</f>
        <v>24.2</v>
      </c>
      <c r="K97" s="243">
        <v>1350</v>
      </c>
      <c r="L97" s="230"/>
      <c r="M97" s="230"/>
      <c r="N97" s="230"/>
      <c r="O97" s="456">
        <f>SUM(J97*K97)</f>
        <v>32670</v>
      </c>
      <c r="P97" s="230"/>
    </row>
    <row r="98" spans="1:16">
      <c r="A98" s="322"/>
      <c r="B98" s="230"/>
      <c r="C98" s="230"/>
      <c r="D98" s="230"/>
      <c r="E98" s="229"/>
      <c r="F98" s="236" t="s">
        <v>102</v>
      </c>
      <c r="G98" s="229"/>
      <c r="H98" s="434"/>
      <c r="I98" s="434"/>
      <c r="J98" s="434"/>
      <c r="K98" s="467"/>
      <c r="L98" s="230"/>
      <c r="M98" s="230"/>
      <c r="N98" s="230"/>
      <c r="O98" s="230"/>
      <c r="P98" s="230"/>
    </row>
    <row r="99" spans="1:16">
      <c r="A99" s="322"/>
      <c r="B99" s="230"/>
      <c r="C99" s="230"/>
      <c r="D99" s="230"/>
      <c r="E99" s="229"/>
      <c r="F99" s="240"/>
      <c r="G99" s="229"/>
      <c r="H99" s="434"/>
      <c r="I99" s="434"/>
      <c r="J99" s="434"/>
      <c r="K99" s="467"/>
      <c r="L99" s="230"/>
      <c r="M99" s="230"/>
      <c r="N99" s="230"/>
      <c r="O99" s="230"/>
      <c r="P99" s="230"/>
    </row>
    <row r="100" spans="1:16">
      <c r="A100" s="322"/>
      <c r="B100" s="230"/>
      <c r="C100" s="230"/>
      <c r="D100" s="230"/>
      <c r="E100" s="229"/>
      <c r="F100" s="240"/>
      <c r="G100" s="229"/>
      <c r="H100" s="434"/>
      <c r="I100" s="434"/>
      <c r="J100" s="434"/>
      <c r="K100" s="467"/>
      <c r="L100" s="230"/>
      <c r="M100" s="230"/>
      <c r="N100" s="230"/>
      <c r="O100" s="230"/>
      <c r="P100" s="230"/>
    </row>
    <row r="101" ht="15" spans="1:16">
      <c r="A101" s="322">
        <v>5.9</v>
      </c>
      <c r="B101" s="230"/>
      <c r="C101" s="230"/>
      <c r="D101" s="230" t="s">
        <v>231</v>
      </c>
      <c r="E101" s="230" t="s">
        <v>232</v>
      </c>
      <c r="F101" s="228" t="s">
        <v>233</v>
      </c>
      <c r="G101" s="229" t="s">
        <v>51</v>
      </c>
      <c r="H101" s="434">
        <f>2.6*3.5</f>
        <v>9.1</v>
      </c>
      <c r="I101" s="434">
        <f>0.5*10</f>
        <v>5</v>
      </c>
      <c r="J101" s="130">
        <f>SUM(H101:I101)</f>
        <v>14.1</v>
      </c>
      <c r="K101" s="467">
        <v>4000</v>
      </c>
      <c r="L101" s="230"/>
      <c r="M101" s="230"/>
      <c r="N101" s="230"/>
      <c r="O101" s="456">
        <f>SUM(J101*K101)</f>
        <v>56400</v>
      </c>
      <c r="P101" s="230"/>
    </row>
    <row r="102" ht="25.5" spans="1:16">
      <c r="A102" s="322"/>
      <c r="B102" s="230"/>
      <c r="C102" s="230"/>
      <c r="D102" s="230"/>
      <c r="E102" s="229"/>
      <c r="F102" s="240" t="s">
        <v>234</v>
      </c>
      <c r="G102" s="229"/>
      <c r="H102" s="434"/>
      <c r="I102" s="434"/>
      <c r="J102" s="434"/>
      <c r="K102" s="467"/>
      <c r="L102" s="230"/>
      <c r="M102" s="230"/>
      <c r="N102" s="230"/>
      <c r="O102" s="230"/>
      <c r="P102" s="230"/>
    </row>
    <row r="103" spans="1:16">
      <c r="A103" s="322"/>
      <c r="B103" s="230"/>
      <c r="C103" s="230"/>
      <c r="D103" s="230"/>
      <c r="E103" s="229"/>
      <c r="F103" s="240"/>
      <c r="G103" s="229"/>
      <c r="H103" s="434"/>
      <c r="I103" s="434"/>
      <c r="J103" s="434"/>
      <c r="K103" s="467"/>
      <c r="L103" s="230"/>
      <c r="M103" s="230"/>
      <c r="N103" s="230"/>
      <c r="O103" s="230"/>
      <c r="P103" s="230"/>
    </row>
    <row r="104" ht="25.5" spans="1:16">
      <c r="A104" s="388">
        <v>5.1</v>
      </c>
      <c r="B104" s="230"/>
      <c r="C104" s="230"/>
      <c r="D104" s="230" t="s">
        <v>235</v>
      </c>
      <c r="E104" s="230" t="s">
        <v>236</v>
      </c>
      <c r="F104" s="228" t="s">
        <v>237</v>
      </c>
      <c r="G104" s="229" t="s">
        <v>51</v>
      </c>
      <c r="H104" s="434">
        <f>10*3.5</f>
        <v>35</v>
      </c>
      <c r="I104" s="434">
        <f>2*3.6</f>
        <v>7.2</v>
      </c>
      <c r="J104" s="130">
        <f>SUM(H104:I104)</f>
        <v>42.2</v>
      </c>
      <c r="K104" s="467">
        <v>3900</v>
      </c>
      <c r="L104" s="230"/>
      <c r="M104" s="230"/>
      <c r="N104" s="230"/>
      <c r="O104" s="456">
        <f>SUM(J104*K104)</f>
        <v>164580</v>
      </c>
      <c r="P104" s="230"/>
    </row>
    <row r="105" ht="25.5" spans="1:16">
      <c r="A105" s="322"/>
      <c r="B105" s="230"/>
      <c r="C105" s="230"/>
      <c r="D105" s="230"/>
      <c r="E105" s="229"/>
      <c r="F105" s="240" t="s">
        <v>238</v>
      </c>
      <c r="G105" s="229"/>
      <c r="H105" s="434"/>
      <c r="I105" s="434"/>
      <c r="J105" s="434"/>
      <c r="K105" s="467"/>
      <c r="L105" s="230"/>
      <c r="M105" s="230"/>
      <c r="N105" s="230"/>
      <c r="O105" s="230"/>
      <c r="P105" s="230"/>
    </row>
    <row r="106" spans="1:16">
      <c r="A106" s="322"/>
      <c r="B106" s="230"/>
      <c r="C106" s="230"/>
      <c r="D106" s="230"/>
      <c r="E106" s="229"/>
      <c r="F106" s="240"/>
      <c r="G106" s="229"/>
      <c r="H106" s="434"/>
      <c r="I106" s="434"/>
      <c r="J106" s="434"/>
      <c r="K106" s="467"/>
      <c r="L106" s="230"/>
      <c r="M106" s="230"/>
      <c r="N106" s="230"/>
      <c r="O106" s="230"/>
      <c r="P106" s="230"/>
    </row>
    <row r="107" ht="15" spans="1:16">
      <c r="A107" s="388">
        <v>5.11</v>
      </c>
      <c r="B107" s="230"/>
      <c r="C107" s="230"/>
      <c r="D107" s="230" t="s">
        <v>239</v>
      </c>
      <c r="E107" s="230" t="s">
        <v>240</v>
      </c>
      <c r="F107" s="228" t="s">
        <v>241</v>
      </c>
      <c r="G107" s="229" t="s">
        <v>242</v>
      </c>
      <c r="H107" s="434">
        <v>1</v>
      </c>
      <c r="I107" s="434"/>
      <c r="J107" s="130">
        <f>SUM(H107:I107)</f>
        <v>1</v>
      </c>
      <c r="K107" s="467">
        <v>45000</v>
      </c>
      <c r="L107" s="230"/>
      <c r="M107" s="230"/>
      <c r="N107" s="230"/>
      <c r="O107" s="456">
        <f>SUM(J107*K107)</f>
        <v>45000</v>
      </c>
      <c r="P107" s="230"/>
    </row>
    <row r="108" ht="25.5" spans="1:16">
      <c r="A108" s="322"/>
      <c r="B108" s="230"/>
      <c r="C108" s="230"/>
      <c r="D108" s="230"/>
      <c r="E108" s="229"/>
      <c r="F108" s="240" t="s">
        <v>243</v>
      </c>
      <c r="G108" s="229"/>
      <c r="H108" s="434"/>
      <c r="I108" s="434"/>
      <c r="J108" s="434"/>
      <c r="K108" s="467"/>
      <c r="L108" s="230"/>
      <c r="M108" s="230"/>
      <c r="N108" s="230"/>
      <c r="O108" s="230"/>
      <c r="P108" s="230"/>
    </row>
    <row r="109" spans="1:16">
      <c r="A109" s="322"/>
      <c r="B109" s="230"/>
      <c r="C109" s="230"/>
      <c r="D109" s="230"/>
      <c r="E109" s="229"/>
      <c r="F109" s="240"/>
      <c r="G109" s="229"/>
      <c r="H109" s="434"/>
      <c r="I109" s="434"/>
      <c r="J109" s="434"/>
      <c r="K109" s="467"/>
      <c r="L109" s="230"/>
      <c r="M109" s="230"/>
      <c r="N109" s="230"/>
      <c r="O109" s="230"/>
      <c r="P109" s="230"/>
    </row>
    <row r="110" ht="15" spans="1:16">
      <c r="A110" s="388">
        <v>5.12</v>
      </c>
      <c r="B110" s="230"/>
      <c r="C110" s="230"/>
      <c r="D110" s="230" t="s">
        <v>239</v>
      </c>
      <c r="E110" s="230" t="s">
        <v>240</v>
      </c>
      <c r="F110" s="228" t="s">
        <v>244</v>
      </c>
      <c r="G110" s="229" t="s">
        <v>242</v>
      </c>
      <c r="H110" s="434"/>
      <c r="I110" s="434">
        <v>1</v>
      </c>
      <c r="J110" s="130">
        <f>SUM(H110:I110)</f>
        <v>1</v>
      </c>
      <c r="K110" s="467">
        <v>35000</v>
      </c>
      <c r="L110" s="230"/>
      <c r="M110" s="230"/>
      <c r="N110" s="230"/>
      <c r="O110" s="456">
        <f>SUM(J110*K110)</f>
        <v>35000</v>
      </c>
      <c r="P110" s="230"/>
    </row>
    <row r="111" ht="25.5" spans="1:16">
      <c r="A111" s="322"/>
      <c r="B111" s="230"/>
      <c r="C111" s="230"/>
      <c r="D111" s="230"/>
      <c r="E111" s="229"/>
      <c r="F111" s="240" t="s">
        <v>245</v>
      </c>
      <c r="G111" s="229"/>
      <c r="H111" s="434"/>
      <c r="I111" s="434"/>
      <c r="J111" s="434"/>
      <c r="K111" s="467"/>
      <c r="L111" s="230"/>
      <c r="M111" s="230"/>
      <c r="N111" s="230"/>
      <c r="O111" s="230"/>
      <c r="P111" s="230"/>
    </row>
    <row r="112" spans="1:16">
      <c r="A112" s="322"/>
      <c r="B112" s="230"/>
      <c r="C112" s="230"/>
      <c r="D112" s="230"/>
      <c r="E112" s="229"/>
      <c r="F112" s="240"/>
      <c r="G112" s="229"/>
      <c r="H112" s="434"/>
      <c r="I112" s="434"/>
      <c r="J112" s="434"/>
      <c r="K112" s="467"/>
      <c r="L112" s="230"/>
      <c r="M112" s="230"/>
      <c r="N112" s="230"/>
      <c r="O112" s="230"/>
      <c r="P112" s="230"/>
    </row>
    <row r="113" ht="25.5" spans="1:16">
      <c r="A113" s="388">
        <v>5.13</v>
      </c>
      <c r="B113" s="230"/>
      <c r="C113" s="230"/>
      <c r="D113" s="230" t="s">
        <v>246</v>
      </c>
      <c r="E113" s="230" t="s">
        <v>247</v>
      </c>
      <c r="F113" s="228" t="s">
        <v>248</v>
      </c>
      <c r="G113" s="229" t="s">
        <v>249</v>
      </c>
      <c r="H113" s="434">
        <v>2</v>
      </c>
      <c r="I113" s="434">
        <v>0</v>
      </c>
      <c r="J113" s="130">
        <f>SUM(H113:I113)</f>
        <v>2</v>
      </c>
      <c r="K113" s="385">
        <v>78000</v>
      </c>
      <c r="L113" s="230"/>
      <c r="M113" s="230"/>
      <c r="N113" s="230"/>
      <c r="O113" s="456">
        <f>SUM(J113*K113)</f>
        <v>156000</v>
      </c>
      <c r="P113" s="230"/>
    </row>
    <row r="114" spans="1:16">
      <c r="A114" s="322"/>
      <c r="B114" s="230"/>
      <c r="C114" s="230"/>
      <c r="D114" s="230"/>
      <c r="E114" s="229"/>
      <c r="F114" s="236" t="s">
        <v>250</v>
      </c>
      <c r="G114" s="229"/>
      <c r="H114" s="434"/>
      <c r="I114" s="434"/>
      <c r="J114" s="434"/>
      <c r="K114" s="467"/>
      <c r="L114" s="230"/>
      <c r="M114" s="230"/>
      <c r="N114" s="230"/>
      <c r="O114" s="230"/>
      <c r="P114" s="230"/>
    </row>
    <row r="115" spans="1:16">
      <c r="A115" s="322"/>
      <c r="B115" s="230"/>
      <c r="C115" s="230"/>
      <c r="D115" s="230"/>
      <c r="E115" s="229"/>
      <c r="F115" s="235" t="s">
        <v>251</v>
      </c>
      <c r="G115" s="229"/>
      <c r="H115" s="434"/>
      <c r="I115" s="434"/>
      <c r="J115" s="434"/>
      <c r="K115" s="467"/>
      <c r="L115" s="230"/>
      <c r="M115" s="230"/>
      <c r="N115" s="230"/>
      <c r="O115" s="230"/>
      <c r="P115" s="230"/>
    </row>
    <row r="116" ht="76.5" spans="1:16">
      <c r="A116" s="322"/>
      <c r="B116" s="230"/>
      <c r="C116" s="230"/>
      <c r="D116" s="230"/>
      <c r="E116" s="229"/>
      <c r="F116" s="236" t="s">
        <v>252</v>
      </c>
      <c r="G116" s="229"/>
      <c r="H116" s="434"/>
      <c r="I116" s="434"/>
      <c r="J116" s="434"/>
      <c r="K116" s="467"/>
      <c r="L116" s="230"/>
      <c r="M116" s="230"/>
      <c r="N116" s="230"/>
      <c r="O116" s="230"/>
      <c r="P116" s="230"/>
    </row>
    <row r="117" spans="1:16">
      <c r="A117" s="322"/>
      <c r="B117" s="230"/>
      <c r="C117" s="230"/>
      <c r="D117" s="230"/>
      <c r="E117" s="230"/>
      <c r="F117" s="235" t="s">
        <v>253</v>
      </c>
      <c r="G117" s="229"/>
      <c r="H117" s="434"/>
      <c r="I117" s="434"/>
      <c r="J117" s="434"/>
      <c r="K117" s="467"/>
      <c r="L117" s="230"/>
      <c r="M117" s="230"/>
      <c r="N117" s="230"/>
      <c r="O117" s="230"/>
      <c r="P117" s="230"/>
    </row>
    <row r="118" ht="76.5" spans="1:16">
      <c r="A118" s="322"/>
      <c r="B118" s="230"/>
      <c r="C118" s="230"/>
      <c r="D118" s="230"/>
      <c r="E118" s="229"/>
      <c r="F118" s="231" t="s">
        <v>254</v>
      </c>
      <c r="G118" s="229"/>
      <c r="H118" s="434"/>
      <c r="I118" s="434"/>
      <c r="J118" s="434"/>
      <c r="K118" s="467"/>
      <c r="L118" s="230"/>
      <c r="M118" s="230"/>
      <c r="N118" s="230"/>
      <c r="O118" s="230"/>
      <c r="P118" s="230"/>
    </row>
    <row r="119" spans="1:16">
      <c r="A119" s="322"/>
      <c r="B119" s="230"/>
      <c r="C119" s="230"/>
      <c r="D119" s="230"/>
      <c r="E119" s="230"/>
      <c r="F119" s="235" t="s">
        <v>255</v>
      </c>
      <c r="G119" s="229"/>
      <c r="H119" s="434"/>
      <c r="I119" s="434"/>
      <c r="J119" s="434"/>
      <c r="K119" s="467"/>
      <c r="L119" s="230"/>
      <c r="M119" s="230"/>
      <c r="N119" s="230"/>
      <c r="O119" s="230"/>
      <c r="P119" s="230"/>
    </row>
    <row r="120" ht="51" spans="1:16">
      <c r="A120" s="322"/>
      <c r="B120" s="230"/>
      <c r="C120" s="230"/>
      <c r="D120" s="230"/>
      <c r="E120" s="229"/>
      <c r="F120" s="236" t="s">
        <v>256</v>
      </c>
      <c r="G120" s="229"/>
      <c r="H120" s="434"/>
      <c r="I120" s="434"/>
      <c r="J120" s="434"/>
      <c r="K120" s="467"/>
      <c r="L120" s="230"/>
      <c r="M120" s="230"/>
      <c r="N120" s="230"/>
      <c r="O120" s="230"/>
      <c r="P120" s="230"/>
    </row>
    <row r="121" spans="1:16">
      <c r="A121" s="322"/>
      <c r="B121" s="230"/>
      <c r="C121" s="230"/>
      <c r="D121" s="230"/>
      <c r="E121" s="230"/>
      <c r="F121" s="481"/>
      <c r="G121" s="229"/>
      <c r="H121" s="434"/>
      <c r="I121" s="434"/>
      <c r="J121" s="434"/>
      <c r="K121" s="467"/>
      <c r="L121" s="230"/>
      <c r="M121" s="230"/>
      <c r="N121" s="230"/>
      <c r="O121" s="230"/>
      <c r="P121" s="230"/>
    </row>
    <row r="122" spans="1:16">
      <c r="A122" s="322"/>
      <c r="B122" s="230"/>
      <c r="C122" s="230"/>
      <c r="D122" s="230"/>
      <c r="E122" s="230"/>
      <c r="F122" s="481"/>
      <c r="G122" s="229"/>
      <c r="H122" s="434"/>
      <c r="I122" s="434"/>
      <c r="J122" s="434"/>
      <c r="K122" s="467"/>
      <c r="L122" s="230"/>
      <c r="M122" s="230"/>
      <c r="N122" s="230"/>
      <c r="O122" s="230"/>
      <c r="P122" s="230"/>
    </row>
    <row r="123" ht="25.5" customHeight="1" spans="1:16">
      <c r="A123" s="388">
        <v>5.14</v>
      </c>
      <c r="B123" s="230"/>
      <c r="C123" s="230"/>
      <c r="D123" s="230" t="s">
        <v>246</v>
      </c>
      <c r="E123" s="226" t="s">
        <v>257</v>
      </c>
      <c r="F123" s="303" t="s">
        <v>258</v>
      </c>
      <c r="G123" s="229" t="s">
        <v>187</v>
      </c>
      <c r="H123" s="434">
        <v>1</v>
      </c>
      <c r="I123" s="434"/>
      <c r="J123" s="130">
        <f>SUM(H123:I123)</f>
        <v>1</v>
      </c>
      <c r="K123" s="229">
        <v>32000</v>
      </c>
      <c r="L123" s="230"/>
      <c r="M123" s="230"/>
      <c r="N123" s="230"/>
      <c r="O123" s="456">
        <f>SUM(J123*K123)</f>
        <v>32000</v>
      </c>
      <c r="P123" s="230"/>
    </row>
    <row r="124" spans="1:16">
      <c r="A124" s="388"/>
      <c r="B124" s="230"/>
      <c r="C124" s="230"/>
      <c r="D124" s="230"/>
      <c r="E124" s="226"/>
      <c r="F124" s="226" t="s">
        <v>259</v>
      </c>
      <c r="G124" s="229"/>
      <c r="H124" s="434"/>
      <c r="I124" s="434"/>
      <c r="J124" s="434"/>
      <c r="K124" s="467"/>
      <c r="L124" s="230"/>
      <c r="M124" s="230"/>
      <c r="N124" s="230"/>
      <c r="O124" s="230"/>
      <c r="P124" s="230"/>
    </row>
    <row r="125" ht="25.5" spans="1:16">
      <c r="A125" s="388"/>
      <c r="B125" s="230"/>
      <c r="C125" s="230"/>
      <c r="D125" s="230"/>
      <c r="E125" s="482"/>
      <c r="F125" s="226" t="s">
        <v>260</v>
      </c>
      <c r="G125" s="229"/>
      <c r="H125" s="434"/>
      <c r="I125" s="434"/>
      <c r="J125" s="434"/>
      <c r="K125" s="467"/>
      <c r="L125" s="230"/>
      <c r="M125" s="230"/>
      <c r="N125" s="230"/>
      <c r="O125" s="230"/>
      <c r="P125" s="230"/>
    </row>
    <row r="126" spans="1:16">
      <c r="A126" s="388"/>
      <c r="B126" s="230"/>
      <c r="C126" s="230"/>
      <c r="D126" s="230"/>
      <c r="E126" s="482"/>
      <c r="F126" s="226" t="s">
        <v>255</v>
      </c>
      <c r="G126" s="229"/>
      <c r="H126" s="434"/>
      <c r="I126" s="434"/>
      <c r="J126" s="434"/>
      <c r="K126" s="467"/>
      <c r="L126" s="230"/>
      <c r="M126" s="230"/>
      <c r="N126" s="230"/>
      <c r="O126" s="230"/>
      <c r="P126" s="230"/>
    </row>
    <row r="127" ht="73.5" customHeight="1" spans="1:16">
      <c r="A127" s="388"/>
      <c r="B127" s="230"/>
      <c r="C127" s="230"/>
      <c r="D127" s="230"/>
      <c r="E127" s="482"/>
      <c r="F127" s="226" t="s">
        <v>261</v>
      </c>
      <c r="G127" s="229"/>
      <c r="H127" s="434"/>
      <c r="I127" s="434"/>
      <c r="J127" s="434"/>
      <c r="K127" s="467"/>
      <c r="L127" s="230"/>
      <c r="M127" s="230"/>
      <c r="N127" s="230"/>
      <c r="O127" s="230"/>
      <c r="P127" s="230"/>
    </row>
    <row r="128" spans="1:16">
      <c r="A128" s="388"/>
      <c r="B128" s="230"/>
      <c r="C128" s="230"/>
      <c r="D128" s="230"/>
      <c r="E128" s="482"/>
      <c r="F128" s="482"/>
      <c r="G128" s="229"/>
      <c r="H128" s="434"/>
      <c r="I128" s="434"/>
      <c r="J128" s="434"/>
      <c r="K128" s="467"/>
      <c r="L128" s="230"/>
      <c r="M128" s="230"/>
      <c r="N128" s="230"/>
      <c r="O128" s="230"/>
      <c r="P128" s="230"/>
    </row>
    <row r="129" spans="1:16">
      <c r="A129" s="392"/>
      <c r="B129" s="381"/>
      <c r="C129" s="381"/>
      <c r="D129" s="381"/>
      <c r="E129" s="486"/>
      <c r="F129" s="486"/>
      <c r="G129" s="391"/>
      <c r="H129" s="436"/>
      <c r="I129" s="436"/>
      <c r="J129" s="436"/>
      <c r="K129" s="468"/>
      <c r="L129" s="381"/>
      <c r="M129" s="381"/>
      <c r="N129" s="381"/>
      <c r="O129" s="230"/>
      <c r="P129" s="381"/>
    </row>
    <row r="130" ht="15" spans="1:16">
      <c r="A130" s="388">
        <v>5.15</v>
      </c>
      <c r="B130" s="381"/>
      <c r="C130" s="381"/>
      <c r="D130" s="248" t="s">
        <v>246</v>
      </c>
      <c r="E130" s="248" t="s">
        <v>247</v>
      </c>
      <c r="F130" s="393" t="s">
        <v>262</v>
      </c>
      <c r="G130" s="334" t="s">
        <v>249</v>
      </c>
      <c r="H130" s="434">
        <v>0</v>
      </c>
      <c r="I130" s="434">
        <v>1</v>
      </c>
      <c r="J130" s="131">
        <f>SUM(H130:I130)</f>
        <v>1</v>
      </c>
      <c r="K130" s="229">
        <v>110000</v>
      </c>
      <c r="L130" s="230"/>
      <c r="M130" s="230"/>
      <c r="N130" s="230"/>
      <c r="O130" s="457">
        <f>SUM(J130*K130)</f>
        <v>110000</v>
      </c>
      <c r="P130" s="381"/>
    </row>
    <row r="131" spans="1:16">
      <c r="A131" s="392"/>
      <c r="B131" s="381"/>
      <c r="C131" s="381"/>
      <c r="D131" s="248"/>
      <c r="E131" s="334"/>
      <c r="F131" s="394" t="s">
        <v>263</v>
      </c>
      <c r="G131" s="334"/>
      <c r="H131" s="436"/>
      <c r="I131" s="436"/>
      <c r="J131" s="436"/>
      <c r="K131" s="468"/>
      <c r="L131" s="381"/>
      <c r="M131" s="381"/>
      <c r="N131" s="381"/>
      <c r="O131" s="381"/>
      <c r="P131" s="381"/>
    </row>
    <row r="132" spans="1:16">
      <c r="A132" s="392"/>
      <c r="B132" s="381"/>
      <c r="C132" s="381"/>
      <c r="D132" s="248"/>
      <c r="E132" s="334"/>
      <c r="F132" s="394" t="s">
        <v>251</v>
      </c>
      <c r="G132" s="334"/>
      <c r="H132" s="436"/>
      <c r="I132" s="436"/>
      <c r="J132" s="436"/>
      <c r="K132" s="468"/>
      <c r="L132" s="381"/>
      <c r="M132" s="381"/>
      <c r="N132" s="381"/>
      <c r="O132" s="381"/>
      <c r="P132" s="381"/>
    </row>
    <row r="133" ht="76.5" spans="1:16">
      <c r="A133" s="392"/>
      <c r="B133" s="381"/>
      <c r="C133" s="381"/>
      <c r="D133" s="248"/>
      <c r="E133" s="334"/>
      <c r="F133" s="394" t="s">
        <v>264</v>
      </c>
      <c r="G133" s="334"/>
      <c r="H133" s="436"/>
      <c r="I133" s="436"/>
      <c r="J133" s="436"/>
      <c r="K133" s="468"/>
      <c r="L133" s="381"/>
      <c r="M133" s="381"/>
      <c r="N133" s="381"/>
      <c r="O133" s="381"/>
      <c r="P133" s="381"/>
    </row>
    <row r="134" spans="1:16">
      <c r="A134" s="392"/>
      <c r="B134" s="381"/>
      <c r="C134" s="381"/>
      <c r="D134" s="248"/>
      <c r="E134" s="248"/>
      <c r="F134" s="395" t="s">
        <v>253</v>
      </c>
      <c r="G134" s="334"/>
      <c r="H134" s="436"/>
      <c r="I134" s="436"/>
      <c r="J134" s="436"/>
      <c r="K134" s="468"/>
      <c r="L134" s="381"/>
      <c r="M134" s="381"/>
      <c r="N134" s="381"/>
      <c r="O134" s="381"/>
      <c r="P134" s="381"/>
    </row>
    <row r="135" ht="102" customHeight="1" spans="1:16">
      <c r="A135" s="392"/>
      <c r="B135" s="381"/>
      <c r="C135" s="381"/>
      <c r="D135" s="248"/>
      <c r="E135" s="334"/>
      <c r="F135" s="231" t="s">
        <v>265</v>
      </c>
      <c r="G135" s="334"/>
      <c r="H135" s="436"/>
      <c r="I135" s="436"/>
      <c r="J135" s="436"/>
      <c r="K135" s="468"/>
      <c r="L135" s="381"/>
      <c r="M135" s="381"/>
      <c r="N135" s="381"/>
      <c r="O135" s="381"/>
      <c r="P135" s="381"/>
    </row>
    <row r="136" spans="1:16">
      <c r="A136" s="392"/>
      <c r="B136" s="381"/>
      <c r="C136" s="381"/>
      <c r="D136" s="248"/>
      <c r="E136" s="248"/>
      <c r="F136" s="395" t="s">
        <v>255</v>
      </c>
      <c r="G136" s="334"/>
      <c r="H136" s="436"/>
      <c r="I136" s="436"/>
      <c r="J136" s="436"/>
      <c r="K136" s="468"/>
      <c r="L136" s="381"/>
      <c r="M136" s="381"/>
      <c r="N136" s="381"/>
      <c r="O136" s="381"/>
      <c r="P136" s="381"/>
    </row>
    <row r="137" ht="38.25" spans="1:16">
      <c r="A137" s="392"/>
      <c r="B137" s="381"/>
      <c r="C137" s="381"/>
      <c r="D137" s="248"/>
      <c r="E137" s="334"/>
      <c r="F137" s="394" t="s">
        <v>266</v>
      </c>
      <c r="G137" s="334"/>
      <c r="H137" s="436"/>
      <c r="I137" s="436"/>
      <c r="J137" s="436"/>
      <c r="K137" s="468"/>
      <c r="L137" s="381"/>
      <c r="M137" s="381"/>
      <c r="N137" s="381"/>
      <c r="O137" s="381"/>
      <c r="P137" s="381"/>
    </row>
    <row r="138" ht="13.5" spans="1:16">
      <c r="A138" s="392"/>
      <c r="B138" s="381"/>
      <c r="C138" s="381"/>
      <c r="D138" s="248"/>
      <c r="E138" s="248"/>
      <c r="F138" s="487"/>
      <c r="G138" s="334"/>
      <c r="H138" s="436"/>
      <c r="I138" s="436"/>
      <c r="J138" s="436"/>
      <c r="K138" s="468"/>
      <c r="L138" s="381"/>
      <c r="M138" s="381"/>
      <c r="N138" s="381"/>
      <c r="O138" s="381"/>
      <c r="P138" s="381"/>
    </row>
    <row r="139" ht="13.5" spans="1:16">
      <c r="A139" s="488" t="s">
        <v>267</v>
      </c>
      <c r="B139" s="437"/>
      <c r="C139" s="437"/>
      <c r="D139" s="437"/>
      <c r="E139" s="437"/>
      <c r="F139" s="429" t="s">
        <v>126</v>
      </c>
      <c r="G139" s="312"/>
      <c r="H139" s="438"/>
      <c r="I139" s="438"/>
      <c r="J139" s="438"/>
      <c r="K139" s="452"/>
      <c r="L139" s="437"/>
      <c r="M139" s="437"/>
      <c r="N139" s="408"/>
      <c r="O139" s="408"/>
      <c r="P139" s="469"/>
    </row>
    <row r="140" spans="1:16">
      <c r="A140" s="318"/>
      <c r="B140" s="375"/>
      <c r="C140" s="375"/>
      <c r="D140" s="375"/>
      <c r="E140" s="375"/>
      <c r="F140" s="489"/>
      <c r="G140" s="319"/>
      <c r="H140" s="432"/>
      <c r="I140" s="432"/>
      <c r="J140" s="432"/>
      <c r="K140" s="465"/>
      <c r="L140" s="375"/>
      <c r="M140" s="375"/>
      <c r="N140" s="375"/>
      <c r="O140" s="375"/>
      <c r="P140" s="375"/>
    </row>
    <row r="141" ht="15" spans="1:16">
      <c r="A141" s="322">
        <v>6.1</v>
      </c>
      <c r="B141" s="230"/>
      <c r="C141" s="230"/>
      <c r="D141" s="230" t="s">
        <v>127</v>
      </c>
      <c r="E141" s="230" t="s">
        <v>128</v>
      </c>
      <c r="F141" s="249" t="s">
        <v>132</v>
      </c>
      <c r="G141" s="229" t="s">
        <v>130</v>
      </c>
      <c r="H141" s="434">
        <v>10</v>
      </c>
      <c r="I141" s="434">
        <v>10</v>
      </c>
      <c r="J141" s="130">
        <f>SUM(H141:I141)</f>
        <v>20</v>
      </c>
      <c r="K141" s="494">
        <v>2100</v>
      </c>
      <c r="L141" s="230"/>
      <c r="M141" s="230"/>
      <c r="N141" s="230"/>
      <c r="O141" s="456">
        <f>SUM(J141*K141)</f>
        <v>42000</v>
      </c>
      <c r="P141" s="230"/>
    </row>
    <row r="142" ht="41.25" customHeight="1" spans="1:16">
      <c r="A142" s="322"/>
      <c r="B142" s="230"/>
      <c r="C142" s="230"/>
      <c r="D142" s="230"/>
      <c r="E142" s="230"/>
      <c r="F142" s="231" t="s">
        <v>268</v>
      </c>
      <c r="G142" s="229"/>
      <c r="H142" s="434"/>
      <c r="I142" s="434"/>
      <c r="J142" s="434"/>
      <c r="K142" s="467"/>
      <c r="L142" s="230"/>
      <c r="M142" s="230"/>
      <c r="N142" s="230"/>
      <c r="O142" s="230"/>
      <c r="P142" s="230"/>
    </row>
    <row r="143" spans="1:16">
      <c r="A143" s="322"/>
      <c r="B143" s="230"/>
      <c r="C143" s="230"/>
      <c r="D143" s="230"/>
      <c r="E143" s="230"/>
      <c r="F143" s="231"/>
      <c r="G143" s="229"/>
      <c r="H143" s="434"/>
      <c r="I143" s="434"/>
      <c r="J143" s="434"/>
      <c r="K143" s="467"/>
      <c r="L143" s="230"/>
      <c r="M143" s="230"/>
      <c r="N143" s="230"/>
      <c r="O143" s="230"/>
      <c r="P143" s="230"/>
    </row>
    <row r="144" ht="26.25" customHeight="1" spans="1:16">
      <c r="A144" s="322">
        <v>6.2</v>
      </c>
      <c r="B144" s="230"/>
      <c r="C144" s="230"/>
      <c r="D144" s="230" t="s">
        <v>127</v>
      </c>
      <c r="E144" s="230" t="s">
        <v>137</v>
      </c>
      <c r="F144" s="249" t="s">
        <v>269</v>
      </c>
      <c r="G144" s="229" t="s">
        <v>130</v>
      </c>
      <c r="H144" s="434">
        <v>10</v>
      </c>
      <c r="I144" s="434">
        <v>5</v>
      </c>
      <c r="J144" s="130">
        <f>SUM(H144:I144)</f>
        <v>15</v>
      </c>
      <c r="K144" s="494">
        <v>3500</v>
      </c>
      <c r="L144" s="230"/>
      <c r="M144" s="230"/>
      <c r="N144" s="230"/>
      <c r="O144" s="456">
        <f>SUM(J144*K144)</f>
        <v>52500</v>
      </c>
      <c r="P144" s="230"/>
    </row>
    <row r="145" spans="1:16">
      <c r="A145" s="322"/>
      <c r="B145" s="230"/>
      <c r="C145" s="230"/>
      <c r="D145" s="230"/>
      <c r="E145" s="230"/>
      <c r="F145" s="231" t="s">
        <v>139</v>
      </c>
      <c r="G145" s="229"/>
      <c r="H145" s="434"/>
      <c r="I145" s="434"/>
      <c r="J145" s="434"/>
      <c r="K145" s="467"/>
      <c r="L145" s="230"/>
      <c r="M145" s="230"/>
      <c r="N145" s="230"/>
      <c r="O145" s="230"/>
      <c r="P145" s="230"/>
    </row>
    <row r="146" spans="1:16">
      <c r="A146" s="322"/>
      <c r="B146" s="230"/>
      <c r="C146" s="230"/>
      <c r="D146" s="230"/>
      <c r="E146" s="230"/>
      <c r="F146" s="231"/>
      <c r="G146" s="229"/>
      <c r="H146" s="434"/>
      <c r="I146" s="434"/>
      <c r="J146" s="434"/>
      <c r="K146" s="467"/>
      <c r="L146" s="230"/>
      <c r="M146" s="230"/>
      <c r="N146" s="230"/>
      <c r="O146" s="230"/>
      <c r="P146" s="230"/>
    </row>
    <row r="147" ht="25.5" spans="1:16">
      <c r="A147" s="322">
        <v>6.3</v>
      </c>
      <c r="B147" s="230"/>
      <c r="C147" s="230"/>
      <c r="D147" s="230" t="s">
        <v>127</v>
      </c>
      <c r="E147" s="230" t="s">
        <v>270</v>
      </c>
      <c r="F147" s="249" t="s">
        <v>271</v>
      </c>
      <c r="G147" s="229" t="s">
        <v>130</v>
      </c>
      <c r="H147" s="434">
        <f>25</f>
        <v>25</v>
      </c>
      <c r="I147" s="434">
        <v>11</v>
      </c>
      <c r="J147" s="130">
        <f>SUM(H147:I147)</f>
        <v>36</v>
      </c>
      <c r="K147" s="412">
        <v>12000</v>
      </c>
      <c r="L147" s="230"/>
      <c r="M147" s="230"/>
      <c r="N147" s="230"/>
      <c r="O147" s="456">
        <f>SUM(J147*K147)</f>
        <v>432000</v>
      </c>
      <c r="P147" s="230"/>
    </row>
    <row r="148" ht="51" spans="1:16">
      <c r="A148" s="322"/>
      <c r="B148" s="230"/>
      <c r="C148" s="230"/>
      <c r="D148" s="230"/>
      <c r="E148" s="230"/>
      <c r="F148" s="231" t="s">
        <v>272</v>
      </c>
      <c r="G148" s="229"/>
      <c r="H148" s="434"/>
      <c r="I148" s="434"/>
      <c r="J148" s="434"/>
      <c r="K148" s="467"/>
      <c r="L148" s="230"/>
      <c r="M148" s="230"/>
      <c r="N148" s="230"/>
      <c r="O148" s="230"/>
      <c r="P148" s="230"/>
    </row>
    <row r="149" spans="1:16">
      <c r="A149" s="390"/>
      <c r="B149" s="381"/>
      <c r="C149" s="381"/>
      <c r="D149" s="381"/>
      <c r="E149" s="381"/>
      <c r="F149" s="398"/>
      <c r="G149" s="391"/>
      <c r="H149" s="436"/>
      <c r="I149" s="436"/>
      <c r="J149" s="434"/>
      <c r="K149" s="468"/>
      <c r="L149" s="381"/>
      <c r="M149" s="381"/>
      <c r="N149" s="381"/>
      <c r="O149" s="381"/>
      <c r="P149" s="381"/>
    </row>
    <row r="150" ht="15" spans="1:16">
      <c r="A150" s="322">
        <v>6.4</v>
      </c>
      <c r="B150" s="381"/>
      <c r="C150" s="381"/>
      <c r="D150" s="225" t="s">
        <v>127</v>
      </c>
      <c r="E150" s="225" t="s">
        <v>128</v>
      </c>
      <c r="F150" s="245" t="s">
        <v>273</v>
      </c>
      <c r="G150" s="174" t="s">
        <v>130</v>
      </c>
      <c r="H150" s="223">
        <f>35*3+45</f>
        <v>150</v>
      </c>
      <c r="I150" s="436">
        <v>10</v>
      </c>
      <c r="J150" s="131">
        <f>SUM(H150:I150)</f>
        <v>160</v>
      </c>
      <c r="K150" s="468">
        <v>485</v>
      </c>
      <c r="L150" s="381"/>
      <c r="M150" s="381"/>
      <c r="N150" s="381"/>
      <c r="O150" s="457">
        <f>SUM(J150*K150)</f>
        <v>77600</v>
      </c>
      <c r="P150" s="381"/>
    </row>
    <row r="151" ht="60" spans="1:16">
      <c r="A151" s="390"/>
      <c r="B151" s="381"/>
      <c r="C151" s="381"/>
      <c r="D151" s="225"/>
      <c r="E151" s="225"/>
      <c r="F151" s="232" t="s">
        <v>131</v>
      </c>
      <c r="G151" s="174"/>
      <c r="H151" s="223"/>
      <c r="I151" s="436"/>
      <c r="J151" s="434"/>
      <c r="K151" s="467"/>
      <c r="L151" s="230"/>
      <c r="M151" s="230"/>
      <c r="N151" s="230"/>
      <c r="O151" s="230"/>
      <c r="P151" s="381"/>
    </row>
    <row r="152" ht="15" spans="1:16">
      <c r="A152" s="390"/>
      <c r="B152" s="381"/>
      <c r="C152" s="381"/>
      <c r="D152" s="225"/>
      <c r="E152" s="225"/>
      <c r="F152" s="232"/>
      <c r="G152" s="174"/>
      <c r="H152" s="223"/>
      <c r="I152" s="436"/>
      <c r="J152" s="434"/>
      <c r="K152" s="467"/>
      <c r="L152" s="230"/>
      <c r="M152" s="230"/>
      <c r="N152" s="230"/>
      <c r="O152" s="230"/>
      <c r="P152" s="381"/>
    </row>
    <row r="153" ht="15" spans="1:16">
      <c r="A153" s="322">
        <v>6.5</v>
      </c>
      <c r="B153" s="381"/>
      <c r="C153" s="381"/>
      <c r="D153" s="225" t="s">
        <v>127</v>
      </c>
      <c r="E153" s="225" t="s">
        <v>134</v>
      </c>
      <c r="F153" s="245" t="s">
        <v>135</v>
      </c>
      <c r="G153" s="174" t="s">
        <v>130</v>
      </c>
      <c r="H153" s="223">
        <f>108+42</f>
        <v>150</v>
      </c>
      <c r="I153" s="436">
        <v>30</v>
      </c>
      <c r="J153" s="131">
        <f>SUM(H153:I153)</f>
        <v>180</v>
      </c>
      <c r="K153" s="467">
        <v>375</v>
      </c>
      <c r="L153" s="230"/>
      <c r="M153" s="230"/>
      <c r="N153" s="230"/>
      <c r="O153" s="457">
        <f>SUM(J153*K153)</f>
        <v>67500</v>
      </c>
      <c r="P153" s="381"/>
    </row>
    <row r="154" ht="45" spans="1:16">
      <c r="A154" s="390"/>
      <c r="B154" s="381"/>
      <c r="C154" s="381"/>
      <c r="D154" s="225"/>
      <c r="E154" s="225"/>
      <c r="F154" s="232" t="s">
        <v>136</v>
      </c>
      <c r="G154" s="174"/>
      <c r="H154" s="223"/>
      <c r="I154" s="436"/>
      <c r="J154" s="434"/>
      <c r="K154" s="467"/>
      <c r="L154" s="230"/>
      <c r="M154" s="230"/>
      <c r="N154" s="230"/>
      <c r="O154" s="230"/>
      <c r="P154" s="381"/>
    </row>
    <row r="155" ht="15" spans="1:16">
      <c r="A155" s="390"/>
      <c r="B155" s="381"/>
      <c r="C155" s="381"/>
      <c r="D155" s="225"/>
      <c r="E155" s="225"/>
      <c r="F155" s="232"/>
      <c r="G155" s="174"/>
      <c r="H155" s="357"/>
      <c r="I155" s="436"/>
      <c r="J155" s="434"/>
      <c r="K155" s="467"/>
      <c r="L155" s="230"/>
      <c r="M155" s="230"/>
      <c r="N155" s="230"/>
      <c r="O155" s="230"/>
      <c r="P155" s="381"/>
    </row>
    <row r="156" ht="30" spans="1:16">
      <c r="A156" s="322">
        <v>6.6</v>
      </c>
      <c r="B156" s="381"/>
      <c r="C156" s="381"/>
      <c r="D156" s="225" t="s">
        <v>127</v>
      </c>
      <c r="E156" s="225" t="s">
        <v>274</v>
      </c>
      <c r="F156" s="245" t="s">
        <v>275</v>
      </c>
      <c r="G156" s="174" t="s">
        <v>130</v>
      </c>
      <c r="H156" s="223">
        <v>50</v>
      </c>
      <c r="I156" s="436">
        <v>10</v>
      </c>
      <c r="J156" s="131">
        <f>SUM(H156:I156)</f>
        <v>60</v>
      </c>
      <c r="K156" s="467">
        <v>300</v>
      </c>
      <c r="L156" s="230"/>
      <c r="M156" s="230"/>
      <c r="N156" s="230"/>
      <c r="O156" s="457">
        <f>SUM(J156*K156)</f>
        <v>18000</v>
      </c>
      <c r="P156" s="381"/>
    </row>
    <row r="157" ht="30" spans="1:16">
      <c r="A157" s="390"/>
      <c r="B157" s="381"/>
      <c r="C157" s="381"/>
      <c r="D157" s="225"/>
      <c r="E157" s="225"/>
      <c r="F157" s="232" t="s">
        <v>276</v>
      </c>
      <c r="G157" s="174"/>
      <c r="H157" s="357"/>
      <c r="I157" s="436"/>
      <c r="J157" s="436"/>
      <c r="K157" s="468"/>
      <c r="L157" s="381"/>
      <c r="M157" s="381"/>
      <c r="N157" s="381"/>
      <c r="O157" s="381"/>
      <c r="P157" s="381"/>
    </row>
    <row r="158" ht="13.5" spans="1:16">
      <c r="A158" s="390"/>
      <c r="B158" s="381"/>
      <c r="C158" s="381"/>
      <c r="D158" s="381"/>
      <c r="E158" s="381"/>
      <c r="F158" s="490"/>
      <c r="G158" s="391"/>
      <c r="H158" s="436"/>
      <c r="I158" s="436"/>
      <c r="J158" s="436"/>
      <c r="K158" s="468"/>
      <c r="L158" s="468"/>
      <c r="M158" s="468"/>
      <c r="N158" s="468"/>
      <c r="O158" s="468"/>
      <c r="P158" s="468"/>
    </row>
    <row r="159" ht="13.5" spans="1:16">
      <c r="A159" s="491"/>
      <c r="B159" s="492"/>
      <c r="C159" s="492"/>
      <c r="D159" s="492"/>
      <c r="E159" s="492"/>
      <c r="F159" s="429" t="s">
        <v>277</v>
      </c>
      <c r="G159" s="492"/>
      <c r="H159" s="493"/>
      <c r="I159" s="493"/>
      <c r="J159" s="493"/>
      <c r="K159" s="492"/>
      <c r="L159" s="492"/>
      <c r="M159" s="492"/>
      <c r="N159" s="492"/>
      <c r="O159" s="495">
        <f>SUM(O5:O157)</f>
        <v>6816555</v>
      </c>
      <c r="P159" s="496"/>
    </row>
  </sheetData>
  <mergeCells count="3">
    <mergeCell ref="A1:O1"/>
    <mergeCell ref="A2:K2"/>
    <mergeCell ref="L3:O3"/>
  </mergeCells>
  <pageMargins left="0.7" right="0.7" top="0.75" bottom="0.75" header="0.3" footer="0.3"/>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9"/>
  <sheetViews>
    <sheetView topLeftCell="A134" workbookViewId="0">
      <selection activeCell="J139" sqref="J139"/>
    </sheetView>
  </sheetViews>
  <sheetFormatPr defaultColWidth="6.125" defaultRowHeight="12.75"/>
  <cols>
    <col min="1" max="1" width="4.375" style="305" customWidth="1"/>
    <col min="2" max="2" width="6.25" style="305" customWidth="1"/>
    <col min="3" max="3" width="3.125" style="305" customWidth="1"/>
    <col min="4" max="4" width="7" style="305" customWidth="1"/>
    <col min="5" max="5" width="10.5" style="305" customWidth="1"/>
    <col min="6" max="6" width="36.25" style="305" customWidth="1"/>
    <col min="7" max="7" width="4.25" style="305" customWidth="1"/>
    <col min="8" max="8" width="5.25" style="305" customWidth="1"/>
    <col min="9" max="9" width="9.5" style="305" customWidth="1"/>
    <col min="10" max="10" width="10.875" style="306" customWidth="1"/>
    <col min="11" max="11" width="20.25" style="305" customWidth="1"/>
    <col min="12" max="13" width="6.125" style="305"/>
    <col min="14" max="14" width="7.125" style="305" customWidth="1"/>
    <col min="15" max="17" width="6.125" style="305"/>
    <col min="18" max="18" width="7.125" style="305" customWidth="1"/>
    <col min="19" max="249" width="6.125" style="305"/>
    <col min="250" max="250" width="5" style="305" customWidth="1"/>
    <col min="251" max="251" width="8.875" style="305" customWidth="1"/>
    <col min="252" max="252" width="5" style="305" customWidth="1"/>
    <col min="253" max="253" width="8.25" style="305" customWidth="1"/>
    <col min="254" max="254" width="16.125" style="305" customWidth="1"/>
    <col min="255" max="255" width="86" style="305" customWidth="1"/>
    <col min="256" max="256" width="5" style="305" customWidth="1"/>
    <col min="257" max="257" width="11.125" style="305" customWidth="1"/>
    <col min="258" max="258" width="10.375" style="305" customWidth="1"/>
    <col min="259" max="259" width="10.875" style="305" customWidth="1"/>
    <col min="260" max="260" width="7.75" style="305" customWidth="1"/>
    <col min="261" max="261" width="9.875" style="305" customWidth="1"/>
    <col min="262" max="262" width="10.625" style="305" customWidth="1"/>
    <col min="263" max="505" width="6.125" style="305"/>
    <col min="506" max="506" width="5" style="305" customWidth="1"/>
    <col min="507" max="507" width="8.875" style="305" customWidth="1"/>
    <col min="508" max="508" width="5" style="305" customWidth="1"/>
    <col min="509" max="509" width="8.25" style="305" customWidth="1"/>
    <col min="510" max="510" width="16.125" style="305" customWidth="1"/>
    <col min="511" max="511" width="86" style="305" customWidth="1"/>
    <col min="512" max="512" width="5" style="305" customWidth="1"/>
    <col min="513" max="513" width="11.125" style="305" customWidth="1"/>
    <col min="514" max="514" width="10.375" style="305" customWidth="1"/>
    <col min="515" max="515" width="10.875" style="305" customWidth="1"/>
    <col min="516" max="516" width="7.75" style="305" customWidth="1"/>
    <col min="517" max="517" width="9.875" style="305" customWidth="1"/>
    <col min="518" max="518" width="10.625" style="305" customWidth="1"/>
    <col min="519" max="761" width="6.125" style="305"/>
    <col min="762" max="762" width="5" style="305" customWidth="1"/>
    <col min="763" max="763" width="8.875" style="305" customWidth="1"/>
    <col min="764" max="764" width="5" style="305" customWidth="1"/>
    <col min="765" max="765" width="8.25" style="305" customWidth="1"/>
    <col min="766" max="766" width="16.125" style="305" customWidth="1"/>
    <col min="767" max="767" width="86" style="305" customWidth="1"/>
    <col min="768" max="768" width="5" style="305" customWidth="1"/>
    <col min="769" max="769" width="11.125" style="305" customWidth="1"/>
    <col min="770" max="770" width="10.375" style="305" customWidth="1"/>
    <col min="771" max="771" width="10.875" style="305" customWidth="1"/>
    <col min="772" max="772" width="7.75" style="305" customWidth="1"/>
    <col min="773" max="773" width="9.875" style="305" customWidth="1"/>
    <col min="774" max="774" width="10.625" style="305" customWidth="1"/>
    <col min="775" max="1017" width="6.125" style="305"/>
    <col min="1018" max="1018" width="5" style="305" customWidth="1"/>
    <col min="1019" max="1019" width="8.875" style="305" customWidth="1"/>
    <col min="1020" max="1020" width="5" style="305" customWidth="1"/>
    <col min="1021" max="1021" width="8.25" style="305" customWidth="1"/>
    <col min="1022" max="1022" width="16.125" style="305" customWidth="1"/>
    <col min="1023" max="1023" width="86" style="305" customWidth="1"/>
    <col min="1024" max="1024" width="5" style="305" customWidth="1"/>
    <col min="1025" max="1025" width="11.125" style="305" customWidth="1"/>
    <col min="1026" max="1026" width="10.375" style="305" customWidth="1"/>
    <col min="1027" max="1027" width="10.875" style="305" customWidth="1"/>
    <col min="1028" max="1028" width="7.75" style="305" customWidth="1"/>
    <col min="1029" max="1029" width="9.875" style="305" customWidth="1"/>
    <col min="1030" max="1030" width="10.625" style="305" customWidth="1"/>
    <col min="1031" max="1273" width="6.125" style="305"/>
    <col min="1274" max="1274" width="5" style="305" customWidth="1"/>
    <col min="1275" max="1275" width="8.875" style="305" customWidth="1"/>
    <col min="1276" max="1276" width="5" style="305" customWidth="1"/>
    <col min="1277" max="1277" width="8.25" style="305" customWidth="1"/>
    <col min="1278" max="1278" width="16.125" style="305" customWidth="1"/>
    <col min="1279" max="1279" width="86" style="305" customWidth="1"/>
    <col min="1280" max="1280" width="5" style="305" customWidth="1"/>
    <col min="1281" max="1281" width="11.125" style="305" customWidth="1"/>
    <col min="1282" max="1282" width="10.375" style="305" customWidth="1"/>
    <col min="1283" max="1283" width="10.875" style="305" customWidth="1"/>
    <col min="1284" max="1284" width="7.75" style="305" customWidth="1"/>
    <col min="1285" max="1285" width="9.875" style="305" customWidth="1"/>
    <col min="1286" max="1286" width="10.625" style="305" customWidth="1"/>
    <col min="1287" max="1529" width="6.125" style="305"/>
    <col min="1530" max="1530" width="5" style="305" customWidth="1"/>
    <col min="1531" max="1531" width="8.875" style="305" customWidth="1"/>
    <col min="1532" max="1532" width="5" style="305" customWidth="1"/>
    <col min="1533" max="1533" width="8.25" style="305" customWidth="1"/>
    <col min="1534" max="1534" width="16.125" style="305" customWidth="1"/>
    <col min="1535" max="1535" width="86" style="305" customWidth="1"/>
    <col min="1536" max="1536" width="5" style="305" customWidth="1"/>
    <col min="1537" max="1537" width="11.125" style="305" customWidth="1"/>
    <col min="1538" max="1538" width="10.375" style="305" customWidth="1"/>
    <col min="1539" max="1539" width="10.875" style="305" customWidth="1"/>
    <col min="1540" max="1540" width="7.75" style="305" customWidth="1"/>
    <col min="1541" max="1541" width="9.875" style="305" customWidth="1"/>
    <col min="1542" max="1542" width="10.625" style="305" customWidth="1"/>
    <col min="1543" max="1785" width="6.125" style="305"/>
    <col min="1786" max="1786" width="5" style="305" customWidth="1"/>
    <col min="1787" max="1787" width="8.875" style="305" customWidth="1"/>
    <col min="1788" max="1788" width="5" style="305" customWidth="1"/>
    <col min="1789" max="1789" width="8.25" style="305" customWidth="1"/>
    <col min="1790" max="1790" width="16.125" style="305" customWidth="1"/>
    <col min="1791" max="1791" width="86" style="305" customWidth="1"/>
    <col min="1792" max="1792" width="5" style="305" customWidth="1"/>
    <col min="1793" max="1793" width="11.125" style="305" customWidth="1"/>
    <col min="1794" max="1794" width="10.375" style="305" customWidth="1"/>
    <col min="1795" max="1795" width="10.875" style="305" customWidth="1"/>
    <col min="1796" max="1796" width="7.75" style="305" customWidth="1"/>
    <col min="1797" max="1797" width="9.875" style="305" customWidth="1"/>
    <col min="1798" max="1798" width="10.625" style="305" customWidth="1"/>
    <col min="1799" max="2041" width="6.125" style="305"/>
    <col min="2042" max="2042" width="5" style="305" customWidth="1"/>
    <col min="2043" max="2043" width="8.875" style="305" customWidth="1"/>
    <col min="2044" max="2044" width="5" style="305" customWidth="1"/>
    <col min="2045" max="2045" width="8.25" style="305" customWidth="1"/>
    <col min="2046" max="2046" width="16.125" style="305" customWidth="1"/>
    <col min="2047" max="2047" width="86" style="305" customWidth="1"/>
    <col min="2048" max="2048" width="5" style="305" customWidth="1"/>
    <col min="2049" max="2049" width="11.125" style="305" customWidth="1"/>
    <col min="2050" max="2050" width="10.375" style="305" customWidth="1"/>
    <col min="2051" max="2051" width="10.875" style="305" customWidth="1"/>
    <col min="2052" max="2052" width="7.75" style="305" customWidth="1"/>
    <col min="2053" max="2053" width="9.875" style="305" customWidth="1"/>
    <col min="2054" max="2054" width="10.625" style="305" customWidth="1"/>
    <col min="2055" max="2297" width="6.125" style="305"/>
    <col min="2298" max="2298" width="5" style="305" customWidth="1"/>
    <col min="2299" max="2299" width="8.875" style="305" customWidth="1"/>
    <col min="2300" max="2300" width="5" style="305" customWidth="1"/>
    <col min="2301" max="2301" width="8.25" style="305" customWidth="1"/>
    <col min="2302" max="2302" width="16.125" style="305" customWidth="1"/>
    <col min="2303" max="2303" width="86" style="305" customWidth="1"/>
    <col min="2304" max="2304" width="5" style="305" customWidth="1"/>
    <col min="2305" max="2305" width="11.125" style="305" customWidth="1"/>
    <col min="2306" max="2306" width="10.375" style="305" customWidth="1"/>
    <col min="2307" max="2307" width="10.875" style="305" customWidth="1"/>
    <col min="2308" max="2308" width="7.75" style="305" customWidth="1"/>
    <col min="2309" max="2309" width="9.875" style="305" customWidth="1"/>
    <col min="2310" max="2310" width="10.625" style="305" customWidth="1"/>
    <col min="2311" max="2553" width="6.125" style="305"/>
    <col min="2554" max="2554" width="5" style="305" customWidth="1"/>
    <col min="2555" max="2555" width="8.875" style="305" customWidth="1"/>
    <col min="2556" max="2556" width="5" style="305" customWidth="1"/>
    <col min="2557" max="2557" width="8.25" style="305" customWidth="1"/>
    <col min="2558" max="2558" width="16.125" style="305" customWidth="1"/>
    <col min="2559" max="2559" width="86" style="305" customWidth="1"/>
    <col min="2560" max="2560" width="5" style="305" customWidth="1"/>
    <col min="2561" max="2561" width="11.125" style="305" customWidth="1"/>
    <col min="2562" max="2562" width="10.375" style="305" customWidth="1"/>
    <col min="2563" max="2563" width="10.875" style="305" customWidth="1"/>
    <col min="2564" max="2564" width="7.75" style="305" customWidth="1"/>
    <col min="2565" max="2565" width="9.875" style="305" customWidth="1"/>
    <col min="2566" max="2566" width="10.625" style="305" customWidth="1"/>
    <col min="2567" max="2809" width="6.125" style="305"/>
    <col min="2810" max="2810" width="5" style="305" customWidth="1"/>
    <col min="2811" max="2811" width="8.875" style="305" customWidth="1"/>
    <col min="2812" max="2812" width="5" style="305" customWidth="1"/>
    <col min="2813" max="2813" width="8.25" style="305" customWidth="1"/>
    <col min="2814" max="2814" width="16.125" style="305" customWidth="1"/>
    <col min="2815" max="2815" width="86" style="305" customWidth="1"/>
    <col min="2816" max="2816" width="5" style="305" customWidth="1"/>
    <col min="2817" max="2817" width="11.125" style="305" customWidth="1"/>
    <col min="2818" max="2818" width="10.375" style="305" customWidth="1"/>
    <col min="2819" max="2819" width="10.875" style="305" customWidth="1"/>
    <col min="2820" max="2820" width="7.75" style="305" customWidth="1"/>
    <col min="2821" max="2821" width="9.875" style="305" customWidth="1"/>
    <col min="2822" max="2822" width="10.625" style="305" customWidth="1"/>
    <col min="2823" max="3065" width="6.125" style="305"/>
    <col min="3066" max="3066" width="5" style="305" customWidth="1"/>
    <col min="3067" max="3067" width="8.875" style="305" customWidth="1"/>
    <col min="3068" max="3068" width="5" style="305" customWidth="1"/>
    <col min="3069" max="3069" width="8.25" style="305" customWidth="1"/>
    <col min="3070" max="3070" width="16.125" style="305" customWidth="1"/>
    <col min="3071" max="3071" width="86" style="305" customWidth="1"/>
    <col min="3072" max="3072" width="5" style="305" customWidth="1"/>
    <col min="3073" max="3073" width="11.125" style="305" customWidth="1"/>
    <col min="3074" max="3074" width="10.375" style="305" customWidth="1"/>
    <col min="3075" max="3075" width="10.875" style="305" customWidth="1"/>
    <col min="3076" max="3076" width="7.75" style="305" customWidth="1"/>
    <col min="3077" max="3077" width="9.875" style="305" customWidth="1"/>
    <col min="3078" max="3078" width="10.625" style="305" customWidth="1"/>
    <col min="3079" max="3321" width="6.125" style="305"/>
    <col min="3322" max="3322" width="5" style="305" customWidth="1"/>
    <col min="3323" max="3323" width="8.875" style="305" customWidth="1"/>
    <col min="3324" max="3324" width="5" style="305" customWidth="1"/>
    <col min="3325" max="3325" width="8.25" style="305" customWidth="1"/>
    <col min="3326" max="3326" width="16.125" style="305" customWidth="1"/>
    <col min="3327" max="3327" width="86" style="305" customWidth="1"/>
    <col min="3328" max="3328" width="5" style="305" customWidth="1"/>
    <col min="3329" max="3329" width="11.125" style="305" customWidth="1"/>
    <col min="3330" max="3330" width="10.375" style="305" customWidth="1"/>
    <col min="3331" max="3331" width="10.875" style="305" customWidth="1"/>
    <col min="3332" max="3332" width="7.75" style="305" customWidth="1"/>
    <col min="3333" max="3333" width="9.875" style="305" customWidth="1"/>
    <col min="3334" max="3334" width="10.625" style="305" customWidth="1"/>
    <col min="3335" max="3577" width="6.125" style="305"/>
    <col min="3578" max="3578" width="5" style="305" customWidth="1"/>
    <col min="3579" max="3579" width="8.875" style="305" customWidth="1"/>
    <col min="3580" max="3580" width="5" style="305" customWidth="1"/>
    <col min="3581" max="3581" width="8.25" style="305" customWidth="1"/>
    <col min="3582" max="3582" width="16.125" style="305" customWidth="1"/>
    <col min="3583" max="3583" width="86" style="305" customWidth="1"/>
    <col min="3584" max="3584" width="5" style="305" customWidth="1"/>
    <col min="3585" max="3585" width="11.125" style="305" customWidth="1"/>
    <col min="3586" max="3586" width="10.375" style="305" customWidth="1"/>
    <col min="3587" max="3587" width="10.875" style="305" customWidth="1"/>
    <col min="3588" max="3588" width="7.75" style="305" customWidth="1"/>
    <col min="3589" max="3589" width="9.875" style="305" customWidth="1"/>
    <col min="3590" max="3590" width="10.625" style="305" customWidth="1"/>
    <col min="3591" max="3833" width="6.125" style="305"/>
    <col min="3834" max="3834" width="5" style="305" customWidth="1"/>
    <col min="3835" max="3835" width="8.875" style="305" customWidth="1"/>
    <col min="3836" max="3836" width="5" style="305" customWidth="1"/>
    <col min="3837" max="3837" width="8.25" style="305" customWidth="1"/>
    <col min="3838" max="3838" width="16.125" style="305" customWidth="1"/>
    <col min="3839" max="3839" width="86" style="305" customWidth="1"/>
    <col min="3840" max="3840" width="5" style="305" customWidth="1"/>
    <col min="3841" max="3841" width="11.125" style="305" customWidth="1"/>
    <col min="3842" max="3842" width="10.375" style="305" customWidth="1"/>
    <col min="3843" max="3843" width="10.875" style="305" customWidth="1"/>
    <col min="3844" max="3844" width="7.75" style="305" customWidth="1"/>
    <col min="3845" max="3845" width="9.875" style="305" customWidth="1"/>
    <col min="3846" max="3846" width="10.625" style="305" customWidth="1"/>
    <col min="3847" max="4089" width="6.125" style="305"/>
    <col min="4090" max="4090" width="5" style="305" customWidth="1"/>
    <col min="4091" max="4091" width="8.875" style="305" customWidth="1"/>
    <col min="4092" max="4092" width="5" style="305" customWidth="1"/>
    <col min="4093" max="4093" width="8.25" style="305" customWidth="1"/>
    <col min="4094" max="4094" width="16.125" style="305" customWidth="1"/>
    <col min="4095" max="4095" width="86" style="305" customWidth="1"/>
    <col min="4096" max="4096" width="5" style="305" customWidth="1"/>
    <col min="4097" max="4097" width="11.125" style="305" customWidth="1"/>
    <col min="4098" max="4098" width="10.375" style="305" customWidth="1"/>
    <col min="4099" max="4099" width="10.875" style="305" customWidth="1"/>
    <col min="4100" max="4100" width="7.75" style="305" customWidth="1"/>
    <col min="4101" max="4101" width="9.875" style="305" customWidth="1"/>
    <col min="4102" max="4102" width="10.625" style="305" customWidth="1"/>
    <col min="4103" max="4345" width="6.125" style="305"/>
    <col min="4346" max="4346" width="5" style="305" customWidth="1"/>
    <col min="4347" max="4347" width="8.875" style="305" customWidth="1"/>
    <col min="4348" max="4348" width="5" style="305" customWidth="1"/>
    <col min="4349" max="4349" width="8.25" style="305" customWidth="1"/>
    <col min="4350" max="4350" width="16.125" style="305" customWidth="1"/>
    <col min="4351" max="4351" width="86" style="305" customWidth="1"/>
    <col min="4352" max="4352" width="5" style="305" customWidth="1"/>
    <col min="4353" max="4353" width="11.125" style="305" customWidth="1"/>
    <col min="4354" max="4354" width="10.375" style="305" customWidth="1"/>
    <col min="4355" max="4355" width="10.875" style="305" customWidth="1"/>
    <col min="4356" max="4356" width="7.75" style="305" customWidth="1"/>
    <col min="4357" max="4357" width="9.875" style="305" customWidth="1"/>
    <col min="4358" max="4358" width="10.625" style="305" customWidth="1"/>
    <col min="4359" max="4601" width="6.125" style="305"/>
    <col min="4602" max="4602" width="5" style="305" customWidth="1"/>
    <col min="4603" max="4603" width="8.875" style="305" customWidth="1"/>
    <col min="4604" max="4604" width="5" style="305" customWidth="1"/>
    <col min="4605" max="4605" width="8.25" style="305" customWidth="1"/>
    <col min="4606" max="4606" width="16.125" style="305" customWidth="1"/>
    <col min="4607" max="4607" width="86" style="305" customWidth="1"/>
    <col min="4608" max="4608" width="5" style="305" customWidth="1"/>
    <col min="4609" max="4609" width="11.125" style="305" customWidth="1"/>
    <col min="4610" max="4610" width="10.375" style="305" customWidth="1"/>
    <col min="4611" max="4611" width="10.875" style="305" customWidth="1"/>
    <col min="4612" max="4612" width="7.75" style="305" customWidth="1"/>
    <col min="4613" max="4613" width="9.875" style="305" customWidth="1"/>
    <col min="4614" max="4614" width="10.625" style="305" customWidth="1"/>
    <col min="4615" max="4857" width="6.125" style="305"/>
    <col min="4858" max="4858" width="5" style="305" customWidth="1"/>
    <col min="4859" max="4859" width="8.875" style="305" customWidth="1"/>
    <col min="4860" max="4860" width="5" style="305" customWidth="1"/>
    <col min="4861" max="4861" width="8.25" style="305" customWidth="1"/>
    <col min="4862" max="4862" width="16.125" style="305" customWidth="1"/>
    <col min="4863" max="4863" width="86" style="305" customWidth="1"/>
    <col min="4864" max="4864" width="5" style="305" customWidth="1"/>
    <col min="4865" max="4865" width="11.125" style="305" customWidth="1"/>
    <col min="4866" max="4866" width="10.375" style="305" customWidth="1"/>
    <col min="4867" max="4867" width="10.875" style="305" customWidth="1"/>
    <col min="4868" max="4868" width="7.75" style="305" customWidth="1"/>
    <col min="4869" max="4869" width="9.875" style="305" customWidth="1"/>
    <col min="4870" max="4870" width="10.625" style="305" customWidth="1"/>
    <col min="4871" max="5113" width="6.125" style="305"/>
    <col min="5114" max="5114" width="5" style="305" customWidth="1"/>
    <col min="5115" max="5115" width="8.875" style="305" customWidth="1"/>
    <col min="5116" max="5116" width="5" style="305" customWidth="1"/>
    <col min="5117" max="5117" width="8.25" style="305" customWidth="1"/>
    <col min="5118" max="5118" width="16.125" style="305" customWidth="1"/>
    <col min="5119" max="5119" width="86" style="305" customWidth="1"/>
    <col min="5120" max="5120" width="5" style="305" customWidth="1"/>
    <col min="5121" max="5121" width="11.125" style="305" customWidth="1"/>
    <col min="5122" max="5122" width="10.375" style="305" customWidth="1"/>
    <col min="5123" max="5123" width="10.875" style="305" customWidth="1"/>
    <col min="5124" max="5124" width="7.75" style="305" customWidth="1"/>
    <col min="5125" max="5125" width="9.875" style="305" customWidth="1"/>
    <col min="5126" max="5126" width="10.625" style="305" customWidth="1"/>
    <col min="5127" max="5369" width="6.125" style="305"/>
    <col min="5370" max="5370" width="5" style="305" customWidth="1"/>
    <col min="5371" max="5371" width="8.875" style="305" customWidth="1"/>
    <col min="5372" max="5372" width="5" style="305" customWidth="1"/>
    <col min="5373" max="5373" width="8.25" style="305" customWidth="1"/>
    <col min="5374" max="5374" width="16.125" style="305" customWidth="1"/>
    <col min="5375" max="5375" width="86" style="305" customWidth="1"/>
    <col min="5376" max="5376" width="5" style="305" customWidth="1"/>
    <col min="5377" max="5377" width="11.125" style="305" customWidth="1"/>
    <col min="5378" max="5378" width="10.375" style="305" customWidth="1"/>
    <col min="5379" max="5379" width="10.875" style="305" customWidth="1"/>
    <col min="5380" max="5380" width="7.75" style="305" customWidth="1"/>
    <col min="5381" max="5381" width="9.875" style="305" customWidth="1"/>
    <col min="5382" max="5382" width="10.625" style="305" customWidth="1"/>
    <col min="5383" max="5625" width="6.125" style="305"/>
    <col min="5626" max="5626" width="5" style="305" customWidth="1"/>
    <col min="5627" max="5627" width="8.875" style="305" customWidth="1"/>
    <col min="5628" max="5628" width="5" style="305" customWidth="1"/>
    <col min="5629" max="5629" width="8.25" style="305" customWidth="1"/>
    <col min="5630" max="5630" width="16.125" style="305" customWidth="1"/>
    <col min="5631" max="5631" width="86" style="305" customWidth="1"/>
    <col min="5632" max="5632" width="5" style="305" customWidth="1"/>
    <col min="5633" max="5633" width="11.125" style="305" customWidth="1"/>
    <col min="5634" max="5634" width="10.375" style="305" customWidth="1"/>
    <col min="5635" max="5635" width="10.875" style="305" customWidth="1"/>
    <col min="5636" max="5636" width="7.75" style="305" customWidth="1"/>
    <col min="5637" max="5637" width="9.875" style="305" customWidth="1"/>
    <col min="5638" max="5638" width="10.625" style="305" customWidth="1"/>
    <col min="5639" max="5881" width="6.125" style="305"/>
    <col min="5882" max="5882" width="5" style="305" customWidth="1"/>
    <col min="5883" max="5883" width="8.875" style="305" customWidth="1"/>
    <col min="5884" max="5884" width="5" style="305" customWidth="1"/>
    <col min="5885" max="5885" width="8.25" style="305" customWidth="1"/>
    <col min="5886" max="5886" width="16.125" style="305" customWidth="1"/>
    <col min="5887" max="5887" width="86" style="305" customWidth="1"/>
    <col min="5888" max="5888" width="5" style="305" customWidth="1"/>
    <col min="5889" max="5889" width="11.125" style="305" customWidth="1"/>
    <col min="5890" max="5890" width="10.375" style="305" customWidth="1"/>
    <col min="5891" max="5891" width="10.875" style="305" customWidth="1"/>
    <col min="5892" max="5892" width="7.75" style="305" customWidth="1"/>
    <col min="5893" max="5893" width="9.875" style="305" customWidth="1"/>
    <col min="5894" max="5894" width="10.625" style="305" customWidth="1"/>
    <col min="5895" max="6137" width="6.125" style="305"/>
    <col min="6138" max="6138" width="5" style="305" customWidth="1"/>
    <col min="6139" max="6139" width="8.875" style="305" customWidth="1"/>
    <col min="6140" max="6140" width="5" style="305" customWidth="1"/>
    <col min="6141" max="6141" width="8.25" style="305" customWidth="1"/>
    <col min="6142" max="6142" width="16.125" style="305" customWidth="1"/>
    <col min="6143" max="6143" width="86" style="305" customWidth="1"/>
    <col min="6144" max="6144" width="5" style="305" customWidth="1"/>
    <col min="6145" max="6145" width="11.125" style="305" customWidth="1"/>
    <col min="6146" max="6146" width="10.375" style="305" customWidth="1"/>
    <col min="6147" max="6147" width="10.875" style="305" customWidth="1"/>
    <col min="6148" max="6148" width="7.75" style="305" customWidth="1"/>
    <col min="6149" max="6149" width="9.875" style="305" customWidth="1"/>
    <col min="6150" max="6150" width="10.625" style="305" customWidth="1"/>
    <col min="6151" max="6393" width="6.125" style="305"/>
    <col min="6394" max="6394" width="5" style="305" customWidth="1"/>
    <col min="6395" max="6395" width="8.875" style="305" customWidth="1"/>
    <col min="6396" max="6396" width="5" style="305" customWidth="1"/>
    <col min="6397" max="6397" width="8.25" style="305" customWidth="1"/>
    <col min="6398" max="6398" width="16.125" style="305" customWidth="1"/>
    <col min="6399" max="6399" width="86" style="305" customWidth="1"/>
    <col min="6400" max="6400" width="5" style="305" customWidth="1"/>
    <col min="6401" max="6401" width="11.125" style="305" customWidth="1"/>
    <col min="6402" max="6402" width="10.375" style="305" customWidth="1"/>
    <col min="6403" max="6403" width="10.875" style="305" customWidth="1"/>
    <col min="6404" max="6404" width="7.75" style="305" customWidth="1"/>
    <col min="6405" max="6405" width="9.875" style="305" customWidth="1"/>
    <col min="6406" max="6406" width="10.625" style="305" customWidth="1"/>
    <col min="6407" max="6649" width="6.125" style="305"/>
    <col min="6650" max="6650" width="5" style="305" customWidth="1"/>
    <col min="6651" max="6651" width="8.875" style="305" customWidth="1"/>
    <col min="6652" max="6652" width="5" style="305" customWidth="1"/>
    <col min="6653" max="6653" width="8.25" style="305" customWidth="1"/>
    <col min="6654" max="6654" width="16.125" style="305" customWidth="1"/>
    <col min="6655" max="6655" width="86" style="305" customWidth="1"/>
    <col min="6656" max="6656" width="5" style="305" customWidth="1"/>
    <col min="6657" max="6657" width="11.125" style="305" customWidth="1"/>
    <col min="6658" max="6658" width="10.375" style="305" customWidth="1"/>
    <col min="6659" max="6659" width="10.875" style="305" customWidth="1"/>
    <col min="6660" max="6660" width="7.75" style="305" customWidth="1"/>
    <col min="6661" max="6661" width="9.875" style="305" customWidth="1"/>
    <col min="6662" max="6662" width="10.625" style="305" customWidth="1"/>
    <col min="6663" max="6905" width="6.125" style="305"/>
    <col min="6906" max="6906" width="5" style="305" customWidth="1"/>
    <col min="6907" max="6907" width="8.875" style="305" customWidth="1"/>
    <col min="6908" max="6908" width="5" style="305" customWidth="1"/>
    <col min="6909" max="6909" width="8.25" style="305" customWidth="1"/>
    <col min="6910" max="6910" width="16.125" style="305" customWidth="1"/>
    <col min="6911" max="6911" width="86" style="305" customWidth="1"/>
    <col min="6912" max="6912" width="5" style="305" customWidth="1"/>
    <col min="6913" max="6913" width="11.125" style="305" customWidth="1"/>
    <col min="6914" max="6914" width="10.375" style="305" customWidth="1"/>
    <col min="6915" max="6915" width="10.875" style="305" customWidth="1"/>
    <col min="6916" max="6916" width="7.75" style="305" customWidth="1"/>
    <col min="6917" max="6917" width="9.875" style="305" customWidth="1"/>
    <col min="6918" max="6918" width="10.625" style="305" customWidth="1"/>
    <col min="6919" max="7161" width="6.125" style="305"/>
    <col min="7162" max="7162" width="5" style="305" customWidth="1"/>
    <col min="7163" max="7163" width="8.875" style="305" customWidth="1"/>
    <col min="7164" max="7164" width="5" style="305" customWidth="1"/>
    <col min="7165" max="7165" width="8.25" style="305" customWidth="1"/>
    <col min="7166" max="7166" width="16.125" style="305" customWidth="1"/>
    <col min="7167" max="7167" width="86" style="305" customWidth="1"/>
    <col min="7168" max="7168" width="5" style="305" customWidth="1"/>
    <col min="7169" max="7169" width="11.125" style="305" customWidth="1"/>
    <col min="7170" max="7170" width="10.375" style="305" customWidth="1"/>
    <col min="7171" max="7171" width="10.875" style="305" customWidth="1"/>
    <col min="7172" max="7172" width="7.75" style="305" customWidth="1"/>
    <col min="7173" max="7173" width="9.875" style="305" customWidth="1"/>
    <col min="7174" max="7174" width="10.625" style="305" customWidth="1"/>
    <col min="7175" max="7417" width="6.125" style="305"/>
    <col min="7418" max="7418" width="5" style="305" customWidth="1"/>
    <col min="7419" max="7419" width="8.875" style="305" customWidth="1"/>
    <col min="7420" max="7420" width="5" style="305" customWidth="1"/>
    <col min="7421" max="7421" width="8.25" style="305" customWidth="1"/>
    <col min="7422" max="7422" width="16.125" style="305" customWidth="1"/>
    <col min="7423" max="7423" width="86" style="305" customWidth="1"/>
    <col min="7424" max="7424" width="5" style="305" customWidth="1"/>
    <col min="7425" max="7425" width="11.125" style="305" customWidth="1"/>
    <col min="7426" max="7426" width="10.375" style="305" customWidth="1"/>
    <col min="7427" max="7427" width="10.875" style="305" customWidth="1"/>
    <col min="7428" max="7428" width="7.75" style="305" customWidth="1"/>
    <col min="7429" max="7429" width="9.875" style="305" customWidth="1"/>
    <col min="7430" max="7430" width="10.625" style="305" customWidth="1"/>
    <col min="7431" max="7673" width="6.125" style="305"/>
    <col min="7674" max="7674" width="5" style="305" customWidth="1"/>
    <col min="7675" max="7675" width="8.875" style="305" customWidth="1"/>
    <col min="7676" max="7676" width="5" style="305" customWidth="1"/>
    <col min="7677" max="7677" width="8.25" style="305" customWidth="1"/>
    <col min="7678" max="7678" width="16.125" style="305" customWidth="1"/>
    <col min="7679" max="7679" width="86" style="305" customWidth="1"/>
    <col min="7680" max="7680" width="5" style="305" customWidth="1"/>
    <col min="7681" max="7681" width="11.125" style="305" customWidth="1"/>
    <col min="7682" max="7682" width="10.375" style="305" customWidth="1"/>
    <col min="7683" max="7683" width="10.875" style="305" customWidth="1"/>
    <col min="7684" max="7684" width="7.75" style="305" customWidth="1"/>
    <col min="7685" max="7685" width="9.875" style="305" customWidth="1"/>
    <col min="7686" max="7686" width="10.625" style="305" customWidth="1"/>
    <col min="7687" max="7929" width="6.125" style="305"/>
    <col min="7930" max="7930" width="5" style="305" customWidth="1"/>
    <col min="7931" max="7931" width="8.875" style="305" customWidth="1"/>
    <col min="7932" max="7932" width="5" style="305" customWidth="1"/>
    <col min="7933" max="7933" width="8.25" style="305" customWidth="1"/>
    <col min="7934" max="7934" width="16.125" style="305" customWidth="1"/>
    <col min="7935" max="7935" width="86" style="305" customWidth="1"/>
    <col min="7936" max="7936" width="5" style="305" customWidth="1"/>
    <col min="7937" max="7937" width="11.125" style="305" customWidth="1"/>
    <col min="7938" max="7938" width="10.375" style="305" customWidth="1"/>
    <col min="7939" max="7939" width="10.875" style="305" customWidth="1"/>
    <col min="7940" max="7940" width="7.75" style="305" customWidth="1"/>
    <col min="7941" max="7941" width="9.875" style="305" customWidth="1"/>
    <col min="7942" max="7942" width="10.625" style="305" customWidth="1"/>
    <col min="7943" max="8185" width="6.125" style="305"/>
    <col min="8186" max="8186" width="5" style="305" customWidth="1"/>
    <col min="8187" max="8187" width="8.875" style="305" customWidth="1"/>
    <col min="8188" max="8188" width="5" style="305" customWidth="1"/>
    <col min="8189" max="8189" width="8.25" style="305" customWidth="1"/>
    <col min="8190" max="8190" width="16.125" style="305" customWidth="1"/>
    <col min="8191" max="8191" width="86" style="305" customWidth="1"/>
    <col min="8192" max="8192" width="5" style="305" customWidth="1"/>
    <col min="8193" max="8193" width="11.125" style="305" customWidth="1"/>
    <col min="8194" max="8194" width="10.375" style="305" customWidth="1"/>
    <col min="8195" max="8195" width="10.875" style="305" customWidth="1"/>
    <col min="8196" max="8196" width="7.75" style="305" customWidth="1"/>
    <col min="8197" max="8197" width="9.875" style="305" customWidth="1"/>
    <col min="8198" max="8198" width="10.625" style="305" customWidth="1"/>
    <col min="8199" max="8441" width="6.125" style="305"/>
    <col min="8442" max="8442" width="5" style="305" customWidth="1"/>
    <col min="8443" max="8443" width="8.875" style="305" customWidth="1"/>
    <col min="8444" max="8444" width="5" style="305" customWidth="1"/>
    <col min="8445" max="8445" width="8.25" style="305" customWidth="1"/>
    <col min="8446" max="8446" width="16.125" style="305" customWidth="1"/>
    <col min="8447" max="8447" width="86" style="305" customWidth="1"/>
    <col min="8448" max="8448" width="5" style="305" customWidth="1"/>
    <col min="8449" max="8449" width="11.125" style="305" customWidth="1"/>
    <col min="8450" max="8450" width="10.375" style="305" customWidth="1"/>
    <col min="8451" max="8451" width="10.875" style="305" customWidth="1"/>
    <col min="8452" max="8452" width="7.75" style="305" customWidth="1"/>
    <col min="8453" max="8453" width="9.875" style="305" customWidth="1"/>
    <col min="8454" max="8454" width="10.625" style="305" customWidth="1"/>
    <col min="8455" max="8697" width="6.125" style="305"/>
    <col min="8698" max="8698" width="5" style="305" customWidth="1"/>
    <col min="8699" max="8699" width="8.875" style="305" customWidth="1"/>
    <col min="8700" max="8700" width="5" style="305" customWidth="1"/>
    <col min="8701" max="8701" width="8.25" style="305" customWidth="1"/>
    <col min="8702" max="8702" width="16.125" style="305" customWidth="1"/>
    <col min="8703" max="8703" width="86" style="305" customWidth="1"/>
    <col min="8704" max="8704" width="5" style="305" customWidth="1"/>
    <col min="8705" max="8705" width="11.125" style="305" customWidth="1"/>
    <col min="8706" max="8706" width="10.375" style="305" customWidth="1"/>
    <col min="8707" max="8707" width="10.875" style="305" customWidth="1"/>
    <col min="8708" max="8708" width="7.75" style="305" customWidth="1"/>
    <col min="8709" max="8709" width="9.875" style="305" customWidth="1"/>
    <col min="8710" max="8710" width="10.625" style="305" customWidth="1"/>
    <col min="8711" max="8953" width="6.125" style="305"/>
    <col min="8954" max="8954" width="5" style="305" customWidth="1"/>
    <col min="8955" max="8955" width="8.875" style="305" customWidth="1"/>
    <col min="8956" max="8956" width="5" style="305" customWidth="1"/>
    <col min="8957" max="8957" width="8.25" style="305" customWidth="1"/>
    <col min="8958" max="8958" width="16.125" style="305" customWidth="1"/>
    <col min="8959" max="8959" width="86" style="305" customWidth="1"/>
    <col min="8960" max="8960" width="5" style="305" customWidth="1"/>
    <col min="8961" max="8961" width="11.125" style="305" customWidth="1"/>
    <col min="8962" max="8962" width="10.375" style="305" customWidth="1"/>
    <col min="8963" max="8963" width="10.875" style="305" customWidth="1"/>
    <col min="8964" max="8964" width="7.75" style="305" customWidth="1"/>
    <col min="8965" max="8965" width="9.875" style="305" customWidth="1"/>
    <col min="8966" max="8966" width="10.625" style="305" customWidth="1"/>
    <col min="8967" max="9209" width="6.125" style="305"/>
    <col min="9210" max="9210" width="5" style="305" customWidth="1"/>
    <col min="9211" max="9211" width="8.875" style="305" customWidth="1"/>
    <col min="9212" max="9212" width="5" style="305" customWidth="1"/>
    <col min="9213" max="9213" width="8.25" style="305" customWidth="1"/>
    <col min="9214" max="9214" width="16.125" style="305" customWidth="1"/>
    <col min="9215" max="9215" width="86" style="305" customWidth="1"/>
    <col min="9216" max="9216" width="5" style="305" customWidth="1"/>
    <col min="9217" max="9217" width="11.125" style="305" customWidth="1"/>
    <col min="9218" max="9218" width="10.375" style="305" customWidth="1"/>
    <col min="9219" max="9219" width="10.875" style="305" customWidth="1"/>
    <col min="9220" max="9220" width="7.75" style="305" customWidth="1"/>
    <col min="9221" max="9221" width="9.875" style="305" customWidth="1"/>
    <col min="9222" max="9222" width="10.625" style="305" customWidth="1"/>
    <col min="9223" max="9465" width="6.125" style="305"/>
    <col min="9466" max="9466" width="5" style="305" customWidth="1"/>
    <col min="9467" max="9467" width="8.875" style="305" customWidth="1"/>
    <col min="9468" max="9468" width="5" style="305" customWidth="1"/>
    <col min="9469" max="9469" width="8.25" style="305" customWidth="1"/>
    <col min="9470" max="9470" width="16.125" style="305" customWidth="1"/>
    <col min="9471" max="9471" width="86" style="305" customWidth="1"/>
    <col min="9472" max="9472" width="5" style="305" customWidth="1"/>
    <col min="9473" max="9473" width="11.125" style="305" customWidth="1"/>
    <col min="9474" max="9474" width="10.375" style="305" customWidth="1"/>
    <col min="9475" max="9475" width="10.875" style="305" customWidth="1"/>
    <col min="9476" max="9476" width="7.75" style="305" customWidth="1"/>
    <col min="9477" max="9477" width="9.875" style="305" customWidth="1"/>
    <col min="9478" max="9478" width="10.625" style="305" customWidth="1"/>
    <col min="9479" max="9721" width="6.125" style="305"/>
    <col min="9722" max="9722" width="5" style="305" customWidth="1"/>
    <col min="9723" max="9723" width="8.875" style="305" customWidth="1"/>
    <col min="9724" max="9724" width="5" style="305" customWidth="1"/>
    <col min="9725" max="9725" width="8.25" style="305" customWidth="1"/>
    <col min="9726" max="9726" width="16.125" style="305" customWidth="1"/>
    <col min="9727" max="9727" width="86" style="305" customWidth="1"/>
    <col min="9728" max="9728" width="5" style="305" customWidth="1"/>
    <col min="9729" max="9729" width="11.125" style="305" customWidth="1"/>
    <col min="9730" max="9730" width="10.375" style="305" customWidth="1"/>
    <col min="9731" max="9731" width="10.875" style="305" customWidth="1"/>
    <col min="9732" max="9732" width="7.75" style="305" customWidth="1"/>
    <col min="9733" max="9733" width="9.875" style="305" customWidth="1"/>
    <col min="9734" max="9734" width="10.625" style="305" customWidth="1"/>
    <col min="9735" max="9977" width="6.125" style="305"/>
    <col min="9978" max="9978" width="5" style="305" customWidth="1"/>
    <col min="9979" max="9979" width="8.875" style="305" customWidth="1"/>
    <col min="9980" max="9980" width="5" style="305" customWidth="1"/>
    <col min="9981" max="9981" width="8.25" style="305" customWidth="1"/>
    <col min="9982" max="9982" width="16.125" style="305" customWidth="1"/>
    <col min="9983" max="9983" width="86" style="305" customWidth="1"/>
    <col min="9984" max="9984" width="5" style="305" customWidth="1"/>
    <col min="9985" max="9985" width="11.125" style="305" customWidth="1"/>
    <col min="9986" max="9986" width="10.375" style="305" customWidth="1"/>
    <col min="9987" max="9987" width="10.875" style="305" customWidth="1"/>
    <col min="9988" max="9988" width="7.75" style="305" customWidth="1"/>
    <col min="9989" max="9989" width="9.875" style="305" customWidth="1"/>
    <col min="9990" max="9990" width="10.625" style="305" customWidth="1"/>
    <col min="9991" max="10233" width="6.125" style="305"/>
    <col min="10234" max="10234" width="5" style="305" customWidth="1"/>
    <col min="10235" max="10235" width="8.875" style="305" customWidth="1"/>
    <col min="10236" max="10236" width="5" style="305" customWidth="1"/>
    <col min="10237" max="10237" width="8.25" style="305" customWidth="1"/>
    <col min="10238" max="10238" width="16.125" style="305" customWidth="1"/>
    <col min="10239" max="10239" width="86" style="305" customWidth="1"/>
    <col min="10240" max="10240" width="5" style="305" customWidth="1"/>
    <col min="10241" max="10241" width="11.125" style="305" customWidth="1"/>
    <col min="10242" max="10242" width="10.375" style="305" customWidth="1"/>
    <col min="10243" max="10243" width="10.875" style="305" customWidth="1"/>
    <col min="10244" max="10244" width="7.75" style="305" customWidth="1"/>
    <col min="10245" max="10245" width="9.875" style="305" customWidth="1"/>
    <col min="10246" max="10246" width="10.625" style="305" customWidth="1"/>
    <col min="10247" max="10489" width="6.125" style="305"/>
    <col min="10490" max="10490" width="5" style="305" customWidth="1"/>
    <col min="10491" max="10491" width="8.875" style="305" customWidth="1"/>
    <col min="10492" max="10492" width="5" style="305" customWidth="1"/>
    <col min="10493" max="10493" width="8.25" style="305" customWidth="1"/>
    <col min="10494" max="10494" width="16.125" style="305" customWidth="1"/>
    <col min="10495" max="10495" width="86" style="305" customWidth="1"/>
    <col min="10496" max="10496" width="5" style="305" customWidth="1"/>
    <col min="10497" max="10497" width="11.125" style="305" customWidth="1"/>
    <col min="10498" max="10498" width="10.375" style="305" customWidth="1"/>
    <col min="10499" max="10499" width="10.875" style="305" customWidth="1"/>
    <col min="10500" max="10500" width="7.75" style="305" customWidth="1"/>
    <col min="10501" max="10501" width="9.875" style="305" customWidth="1"/>
    <col min="10502" max="10502" width="10.625" style="305" customWidth="1"/>
    <col min="10503" max="10745" width="6.125" style="305"/>
    <col min="10746" max="10746" width="5" style="305" customWidth="1"/>
    <col min="10747" max="10747" width="8.875" style="305" customWidth="1"/>
    <col min="10748" max="10748" width="5" style="305" customWidth="1"/>
    <col min="10749" max="10749" width="8.25" style="305" customWidth="1"/>
    <col min="10750" max="10750" width="16.125" style="305" customWidth="1"/>
    <col min="10751" max="10751" width="86" style="305" customWidth="1"/>
    <col min="10752" max="10752" width="5" style="305" customWidth="1"/>
    <col min="10753" max="10753" width="11.125" style="305" customWidth="1"/>
    <col min="10754" max="10754" width="10.375" style="305" customWidth="1"/>
    <col min="10755" max="10755" width="10.875" style="305" customWidth="1"/>
    <col min="10756" max="10756" width="7.75" style="305" customWidth="1"/>
    <col min="10757" max="10757" width="9.875" style="305" customWidth="1"/>
    <col min="10758" max="10758" width="10.625" style="305" customWidth="1"/>
    <col min="10759" max="11001" width="6.125" style="305"/>
    <col min="11002" max="11002" width="5" style="305" customWidth="1"/>
    <col min="11003" max="11003" width="8.875" style="305" customWidth="1"/>
    <col min="11004" max="11004" width="5" style="305" customWidth="1"/>
    <col min="11005" max="11005" width="8.25" style="305" customWidth="1"/>
    <col min="11006" max="11006" width="16.125" style="305" customWidth="1"/>
    <col min="11007" max="11007" width="86" style="305" customWidth="1"/>
    <col min="11008" max="11008" width="5" style="305" customWidth="1"/>
    <col min="11009" max="11009" width="11.125" style="305" customWidth="1"/>
    <col min="11010" max="11010" width="10.375" style="305" customWidth="1"/>
    <col min="11011" max="11011" width="10.875" style="305" customWidth="1"/>
    <col min="11012" max="11012" width="7.75" style="305" customWidth="1"/>
    <col min="11013" max="11013" width="9.875" style="305" customWidth="1"/>
    <col min="11014" max="11014" width="10.625" style="305" customWidth="1"/>
    <col min="11015" max="11257" width="6.125" style="305"/>
    <col min="11258" max="11258" width="5" style="305" customWidth="1"/>
    <col min="11259" max="11259" width="8.875" style="305" customWidth="1"/>
    <col min="11260" max="11260" width="5" style="305" customWidth="1"/>
    <col min="11261" max="11261" width="8.25" style="305" customWidth="1"/>
    <col min="11262" max="11262" width="16.125" style="305" customWidth="1"/>
    <col min="11263" max="11263" width="86" style="305" customWidth="1"/>
    <col min="11264" max="11264" width="5" style="305" customWidth="1"/>
    <col min="11265" max="11265" width="11.125" style="305" customWidth="1"/>
    <col min="11266" max="11266" width="10.375" style="305" customWidth="1"/>
    <col min="11267" max="11267" width="10.875" style="305" customWidth="1"/>
    <col min="11268" max="11268" width="7.75" style="305" customWidth="1"/>
    <col min="11269" max="11269" width="9.875" style="305" customWidth="1"/>
    <col min="11270" max="11270" width="10.625" style="305" customWidth="1"/>
    <col min="11271" max="11513" width="6.125" style="305"/>
    <col min="11514" max="11514" width="5" style="305" customWidth="1"/>
    <col min="11515" max="11515" width="8.875" style="305" customWidth="1"/>
    <col min="11516" max="11516" width="5" style="305" customWidth="1"/>
    <col min="11517" max="11517" width="8.25" style="305" customWidth="1"/>
    <col min="11518" max="11518" width="16.125" style="305" customWidth="1"/>
    <col min="11519" max="11519" width="86" style="305" customWidth="1"/>
    <col min="11520" max="11520" width="5" style="305" customWidth="1"/>
    <col min="11521" max="11521" width="11.125" style="305" customWidth="1"/>
    <col min="11522" max="11522" width="10.375" style="305" customWidth="1"/>
    <col min="11523" max="11523" width="10.875" style="305" customWidth="1"/>
    <col min="11524" max="11524" width="7.75" style="305" customWidth="1"/>
    <col min="11525" max="11525" width="9.875" style="305" customWidth="1"/>
    <col min="11526" max="11526" width="10.625" style="305" customWidth="1"/>
    <col min="11527" max="11769" width="6.125" style="305"/>
    <col min="11770" max="11770" width="5" style="305" customWidth="1"/>
    <col min="11771" max="11771" width="8.875" style="305" customWidth="1"/>
    <col min="11772" max="11772" width="5" style="305" customWidth="1"/>
    <col min="11773" max="11773" width="8.25" style="305" customWidth="1"/>
    <col min="11774" max="11774" width="16.125" style="305" customWidth="1"/>
    <col min="11775" max="11775" width="86" style="305" customWidth="1"/>
    <col min="11776" max="11776" width="5" style="305" customWidth="1"/>
    <col min="11777" max="11777" width="11.125" style="305" customWidth="1"/>
    <col min="11778" max="11778" width="10.375" style="305" customWidth="1"/>
    <col min="11779" max="11779" width="10.875" style="305" customWidth="1"/>
    <col min="11780" max="11780" width="7.75" style="305" customWidth="1"/>
    <col min="11781" max="11781" width="9.875" style="305" customWidth="1"/>
    <col min="11782" max="11782" width="10.625" style="305" customWidth="1"/>
    <col min="11783" max="12025" width="6.125" style="305"/>
    <col min="12026" max="12026" width="5" style="305" customWidth="1"/>
    <col min="12027" max="12027" width="8.875" style="305" customWidth="1"/>
    <col min="12028" max="12028" width="5" style="305" customWidth="1"/>
    <col min="12029" max="12029" width="8.25" style="305" customWidth="1"/>
    <col min="12030" max="12030" width="16.125" style="305" customWidth="1"/>
    <col min="12031" max="12031" width="86" style="305" customWidth="1"/>
    <col min="12032" max="12032" width="5" style="305" customWidth="1"/>
    <col min="12033" max="12033" width="11.125" style="305" customWidth="1"/>
    <col min="12034" max="12034" width="10.375" style="305" customWidth="1"/>
    <col min="12035" max="12035" width="10.875" style="305" customWidth="1"/>
    <col min="12036" max="12036" width="7.75" style="305" customWidth="1"/>
    <col min="12037" max="12037" width="9.875" style="305" customWidth="1"/>
    <col min="12038" max="12038" width="10.625" style="305" customWidth="1"/>
    <col min="12039" max="12281" width="6.125" style="305"/>
    <col min="12282" max="12282" width="5" style="305" customWidth="1"/>
    <col min="12283" max="12283" width="8.875" style="305" customWidth="1"/>
    <col min="12284" max="12284" width="5" style="305" customWidth="1"/>
    <col min="12285" max="12285" width="8.25" style="305" customWidth="1"/>
    <col min="12286" max="12286" width="16.125" style="305" customWidth="1"/>
    <col min="12287" max="12287" width="86" style="305" customWidth="1"/>
    <col min="12288" max="12288" width="5" style="305" customWidth="1"/>
    <col min="12289" max="12289" width="11.125" style="305" customWidth="1"/>
    <col min="12290" max="12290" width="10.375" style="305" customWidth="1"/>
    <col min="12291" max="12291" width="10.875" style="305" customWidth="1"/>
    <col min="12292" max="12292" width="7.75" style="305" customWidth="1"/>
    <col min="12293" max="12293" width="9.875" style="305" customWidth="1"/>
    <col min="12294" max="12294" width="10.625" style="305" customWidth="1"/>
    <col min="12295" max="12537" width="6.125" style="305"/>
    <col min="12538" max="12538" width="5" style="305" customWidth="1"/>
    <col min="12539" max="12539" width="8.875" style="305" customWidth="1"/>
    <col min="12540" max="12540" width="5" style="305" customWidth="1"/>
    <col min="12541" max="12541" width="8.25" style="305" customWidth="1"/>
    <col min="12542" max="12542" width="16.125" style="305" customWidth="1"/>
    <col min="12543" max="12543" width="86" style="305" customWidth="1"/>
    <col min="12544" max="12544" width="5" style="305" customWidth="1"/>
    <col min="12545" max="12545" width="11.125" style="305" customWidth="1"/>
    <col min="12546" max="12546" width="10.375" style="305" customWidth="1"/>
    <col min="12547" max="12547" width="10.875" style="305" customWidth="1"/>
    <col min="12548" max="12548" width="7.75" style="305" customWidth="1"/>
    <col min="12549" max="12549" width="9.875" style="305" customWidth="1"/>
    <col min="12550" max="12550" width="10.625" style="305" customWidth="1"/>
    <col min="12551" max="12793" width="6.125" style="305"/>
    <col min="12794" max="12794" width="5" style="305" customWidth="1"/>
    <col min="12795" max="12795" width="8.875" style="305" customWidth="1"/>
    <col min="12796" max="12796" width="5" style="305" customWidth="1"/>
    <col min="12797" max="12797" width="8.25" style="305" customWidth="1"/>
    <col min="12798" max="12798" width="16.125" style="305" customWidth="1"/>
    <col min="12799" max="12799" width="86" style="305" customWidth="1"/>
    <col min="12800" max="12800" width="5" style="305" customWidth="1"/>
    <col min="12801" max="12801" width="11.125" style="305" customWidth="1"/>
    <col min="12802" max="12802" width="10.375" style="305" customWidth="1"/>
    <col min="12803" max="12803" width="10.875" style="305" customWidth="1"/>
    <col min="12804" max="12804" width="7.75" style="305" customWidth="1"/>
    <col min="12805" max="12805" width="9.875" style="305" customWidth="1"/>
    <col min="12806" max="12806" width="10.625" style="305" customWidth="1"/>
    <col min="12807" max="13049" width="6.125" style="305"/>
    <col min="13050" max="13050" width="5" style="305" customWidth="1"/>
    <col min="13051" max="13051" width="8.875" style="305" customWidth="1"/>
    <col min="13052" max="13052" width="5" style="305" customWidth="1"/>
    <col min="13053" max="13053" width="8.25" style="305" customWidth="1"/>
    <col min="13054" max="13054" width="16.125" style="305" customWidth="1"/>
    <col min="13055" max="13055" width="86" style="305" customWidth="1"/>
    <col min="13056" max="13056" width="5" style="305" customWidth="1"/>
    <col min="13057" max="13057" width="11.125" style="305" customWidth="1"/>
    <col min="13058" max="13058" width="10.375" style="305" customWidth="1"/>
    <col min="13059" max="13059" width="10.875" style="305" customWidth="1"/>
    <col min="13060" max="13060" width="7.75" style="305" customWidth="1"/>
    <col min="13061" max="13061" width="9.875" style="305" customWidth="1"/>
    <col min="13062" max="13062" width="10.625" style="305" customWidth="1"/>
    <col min="13063" max="13305" width="6.125" style="305"/>
    <col min="13306" max="13306" width="5" style="305" customWidth="1"/>
    <col min="13307" max="13307" width="8.875" style="305" customWidth="1"/>
    <col min="13308" max="13308" width="5" style="305" customWidth="1"/>
    <col min="13309" max="13309" width="8.25" style="305" customWidth="1"/>
    <col min="13310" max="13310" width="16.125" style="305" customWidth="1"/>
    <col min="13311" max="13311" width="86" style="305" customWidth="1"/>
    <col min="13312" max="13312" width="5" style="305" customWidth="1"/>
    <col min="13313" max="13313" width="11.125" style="305" customWidth="1"/>
    <col min="13314" max="13314" width="10.375" style="305" customWidth="1"/>
    <col min="13315" max="13315" width="10.875" style="305" customWidth="1"/>
    <col min="13316" max="13316" width="7.75" style="305" customWidth="1"/>
    <col min="13317" max="13317" width="9.875" style="305" customWidth="1"/>
    <col min="13318" max="13318" width="10.625" style="305" customWidth="1"/>
    <col min="13319" max="13561" width="6.125" style="305"/>
    <col min="13562" max="13562" width="5" style="305" customWidth="1"/>
    <col min="13563" max="13563" width="8.875" style="305" customWidth="1"/>
    <col min="13564" max="13564" width="5" style="305" customWidth="1"/>
    <col min="13565" max="13565" width="8.25" style="305" customWidth="1"/>
    <col min="13566" max="13566" width="16.125" style="305" customWidth="1"/>
    <col min="13567" max="13567" width="86" style="305" customWidth="1"/>
    <col min="13568" max="13568" width="5" style="305" customWidth="1"/>
    <col min="13569" max="13569" width="11.125" style="305" customWidth="1"/>
    <col min="13570" max="13570" width="10.375" style="305" customWidth="1"/>
    <col min="13571" max="13571" width="10.875" style="305" customWidth="1"/>
    <col min="13572" max="13572" width="7.75" style="305" customWidth="1"/>
    <col min="13573" max="13573" width="9.875" style="305" customWidth="1"/>
    <col min="13574" max="13574" width="10.625" style="305" customWidth="1"/>
    <col min="13575" max="13817" width="6.125" style="305"/>
    <col min="13818" max="13818" width="5" style="305" customWidth="1"/>
    <col min="13819" max="13819" width="8.875" style="305" customWidth="1"/>
    <col min="13820" max="13820" width="5" style="305" customWidth="1"/>
    <col min="13821" max="13821" width="8.25" style="305" customWidth="1"/>
    <col min="13822" max="13822" width="16.125" style="305" customWidth="1"/>
    <col min="13823" max="13823" width="86" style="305" customWidth="1"/>
    <col min="13824" max="13824" width="5" style="305" customWidth="1"/>
    <col min="13825" max="13825" width="11.125" style="305" customWidth="1"/>
    <col min="13826" max="13826" width="10.375" style="305" customWidth="1"/>
    <col min="13827" max="13827" width="10.875" style="305" customWidth="1"/>
    <col min="13828" max="13828" width="7.75" style="305" customWidth="1"/>
    <col min="13829" max="13829" width="9.875" style="305" customWidth="1"/>
    <col min="13830" max="13830" width="10.625" style="305" customWidth="1"/>
    <col min="13831" max="14073" width="6.125" style="305"/>
    <col min="14074" max="14074" width="5" style="305" customWidth="1"/>
    <col min="14075" max="14075" width="8.875" style="305" customWidth="1"/>
    <col min="14076" max="14076" width="5" style="305" customWidth="1"/>
    <col min="14077" max="14077" width="8.25" style="305" customWidth="1"/>
    <col min="14078" max="14078" width="16.125" style="305" customWidth="1"/>
    <col min="14079" max="14079" width="86" style="305" customWidth="1"/>
    <col min="14080" max="14080" width="5" style="305" customWidth="1"/>
    <col min="14081" max="14081" width="11.125" style="305" customWidth="1"/>
    <col min="14082" max="14082" width="10.375" style="305" customWidth="1"/>
    <col min="14083" max="14083" width="10.875" style="305" customWidth="1"/>
    <col min="14084" max="14084" width="7.75" style="305" customWidth="1"/>
    <col min="14085" max="14085" width="9.875" style="305" customWidth="1"/>
    <col min="14086" max="14086" width="10.625" style="305" customWidth="1"/>
    <col min="14087" max="14329" width="6.125" style="305"/>
    <col min="14330" max="14330" width="5" style="305" customWidth="1"/>
    <col min="14331" max="14331" width="8.875" style="305" customWidth="1"/>
    <col min="14332" max="14332" width="5" style="305" customWidth="1"/>
    <col min="14333" max="14333" width="8.25" style="305" customWidth="1"/>
    <col min="14334" max="14334" width="16.125" style="305" customWidth="1"/>
    <col min="14335" max="14335" width="86" style="305" customWidth="1"/>
    <col min="14336" max="14336" width="5" style="305" customWidth="1"/>
    <col min="14337" max="14337" width="11.125" style="305" customWidth="1"/>
    <col min="14338" max="14338" width="10.375" style="305" customWidth="1"/>
    <col min="14339" max="14339" width="10.875" style="305" customWidth="1"/>
    <col min="14340" max="14340" width="7.75" style="305" customWidth="1"/>
    <col min="14341" max="14341" width="9.875" style="305" customWidth="1"/>
    <col min="14342" max="14342" width="10.625" style="305" customWidth="1"/>
    <col min="14343" max="14585" width="6.125" style="305"/>
    <col min="14586" max="14586" width="5" style="305" customWidth="1"/>
    <col min="14587" max="14587" width="8.875" style="305" customWidth="1"/>
    <col min="14588" max="14588" width="5" style="305" customWidth="1"/>
    <col min="14589" max="14589" width="8.25" style="305" customWidth="1"/>
    <col min="14590" max="14590" width="16.125" style="305" customWidth="1"/>
    <col min="14591" max="14591" width="86" style="305" customWidth="1"/>
    <col min="14592" max="14592" width="5" style="305" customWidth="1"/>
    <col min="14593" max="14593" width="11.125" style="305" customWidth="1"/>
    <col min="14594" max="14594" width="10.375" style="305" customWidth="1"/>
    <col min="14595" max="14595" width="10.875" style="305" customWidth="1"/>
    <col min="14596" max="14596" width="7.75" style="305" customWidth="1"/>
    <col min="14597" max="14597" width="9.875" style="305" customWidth="1"/>
    <col min="14598" max="14598" width="10.625" style="305" customWidth="1"/>
    <col min="14599" max="14841" width="6.125" style="305"/>
    <col min="14842" max="14842" width="5" style="305" customWidth="1"/>
    <col min="14843" max="14843" width="8.875" style="305" customWidth="1"/>
    <col min="14844" max="14844" width="5" style="305" customWidth="1"/>
    <col min="14845" max="14845" width="8.25" style="305" customWidth="1"/>
    <col min="14846" max="14846" width="16.125" style="305" customWidth="1"/>
    <col min="14847" max="14847" width="86" style="305" customWidth="1"/>
    <col min="14848" max="14848" width="5" style="305" customWidth="1"/>
    <col min="14849" max="14849" width="11.125" style="305" customWidth="1"/>
    <col min="14850" max="14850" width="10.375" style="305" customWidth="1"/>
    <col min="14851" max="14851" width="10.875" style="305" customWidth="1"/>
    <col min="14852" max="14852" width="7.75" style="305" customWidth="1"/>
    <col min="14853" max="14853" width="9.875" style="305" customWidth="1"/>
    <col min="14854" max="14854" width="10.625" style="305" customWidth="1"/>
    <col min="14855" max="15097" width="6.125" style="305"/>
    <col min="15098" max="15098" width="5" style="305" customWidth="1"/>
    <col min="15099" max="15099" width="8.875" style="305" customWidth="1"/>
    <col min="15100" max="15100" width="5" style="305" customWidth="1"/>
    <col min="15101" max="15101" width="8.25" style="305" customWidth="1"/>
    <col min="15102" max="15102" width="16.125" style="305" customWidth="1"/>
    <col min="15103" max="15103" width="86" style="305" customWidth="1"/>
    <col min="15104" max="15104" width="5" style="305" customWidth="1"/>
    <col min="15105" max="15105" width="11.125" style="305" customWidth="1"/>
    <col min="15106" max="15106" width="10.375" style="305" customWidth="1"/>
    <col min="15107" max="15107" width="10.875" style="305" customWidth="1"/>
    <col min="15108" max="15108" width="7.75" style="305" customWidth="1"/>
    <col min="15109" max="15109" width="9.875" style="305" customWidth="1"/>
    <col min="15110" max="15110" width="10.625" style="305" customWidth="1"/>
    <col min="15111" max="15353" width="6.125" style="305"/>
    <col min="15354" max="15354" width="5" style="305" customWidth="1"/>
    <col min="15355" max="15355" width="8.875" style="305" customWidth="1"/>
    <col min="15356" max="15356" width="5" style="305" customWidth="1"/>
    <col min="15357" max="15357" width="8.25" style="305" customWidth="1"/>
    <col min="15358" max="15358" width="16.125" style="305" customWidth="1"/>
    <col min="15359" max="15359" width="86" style="305" customWidth="1"/>
    <col min="15360" max="15360" width="5" style="305" customWidth="1"/>
    <col min="15361" max="15361" width="11.125" style="305" customWidth="1"/>
    <col min="15362" max="15362" width="10.375" style="305" customWidth="1"/>
    <col min="15363" max="15363" width="10.875" style="305" customWidth="1"/>
    <col min="15364" max="15364" width="7.75" style="305" customWidth="1"/>
    <col min="15365" max="15365" width="9.875" style="305" customWidth="1"/>
    <col min="15366" max="15366" width="10.625" style="305" customWidth="1"/>
    <col min="15367" max="15609" width="6.125" style="305"/>
    <col min="15610" max="15610" width="5" style="305" customWidth="1"/>
    <col min="15611" max="15611" width="8.875" style="305" customWidth="1"/>
    <col min="15612" max="15612" width="5" style="305" customWidth="1"/>
    <col min="15613" max="15613" width="8.25" style="305" customWidth="1"/>
    <col min="15614" max="15614" width="16.125" style="305" customWidth="1"/>
    <col min="15615" max="15615" width="86" style="305" customWidth="1"/>
    <col min="15616" max="15616" width="5" style="305" customWidth="1"/>
    <col min="15617" max="15617" width="11.125" style="305" customWidth="1"/>
    <col min="15618" max="15618" width="10.375" style="305" customWidth="1"/>
    <col min="15619" max="15619" width="10.875" style="305" customWidth="1"/>
    <col min="15620" max="15620" width="7.75" style="305" customWidth="1"/>
    <col min="15621" max="15621" width="9.875" style="305" customWidth="1"/>
    <col min="15622" max="15622" width="10.625" style="305" customWidth="1"/>
    <col min="15623" max="15865" width="6.125" style="305"/>
    <col min="15866" max="15866" width="5" style="305" customWidth="1"/>
    <col min="15867" max="15867" width="8.875" style="305" customWidth="1"/>
    <col min="15868" max="15868" width="5" style="305" customWidth="1"/>
    <col min="15869" max="15869" width="8.25" style="305" customWidth="1"/>
    <col min="15870" max="15870" width="16.125" style="305" customWidth="1"/>
    <col min="15871" max="15871" width="86" style="305" customWidth="1"/>
    <col min="15872" max="15872" width="5" style="305" customWidth="1"/>
    <col min="15873" max="15873" width="11.125" style="305" customWidth="1"/>
    <col min="15874" max="15874" width="10.375" style="305" customWidth="1"/>
    <col min="15875" max="15875" width="10.875" style="305" customWidth="1"/>
    <col min="15876" max="15876" width="7.75" style="305" customWidth="1"/>
    <col min="15877" max="15877" width="9.875" style="305" customWidth="1"/>
    <col min="15878" max="15878" width="10.625" style="305" customWidth="1"/>
    <col min="15879" max="16121" width="6.125" style="305"/>
    <col min="16122" max="16122" width="5" style="305" customWidth="1"/>
    <col min="16123" max="16123" width="8.875" style="305" customWidth="1"/>
    <col min="16124" max="16124" width="5" style="305" customWidth="1"/>
    <col min="16125" max="16125" width="8.25" style="305" customWidth="1"/>
    <col min="16126" max="16126" width="16.125" style="305" customWidth="1"/>
    <col min="16127" max="16127" width="86" style="305" customWidth="1"/>
    <col min="16128" max="16128" width="5" style="305" customWidth="1"/>
    <col min="16129" max="16129" width="11.125" style="305" customWidth="1"/>
    <col min="16130" max="16130" width="10.375" style="305" customWidth="1"/>
    <col min="16131" max="16131" width="10.875" style="305" customWidth="1"/>
    <col min="16132" max="16132" width="7.75" style="305" customWidth="1"/>
    <col min="16133" max="16133" width="9.875" style="305" customWidth="1"/>
    <col min="16134" max="16134" width="10.625" style="305" customWidth="1"/>
    <col min="16135" max="16384" width="6.125" style="305"/>
  </cols>
  <sheetData>
    <row r="1" spans="1:8">
      <c r="A1" s="307" t="s">
        <v>278</v>
      </c>
      <c r="B1" s="307"/>
      <c r="C1" s="307"/>
      <c r="D1" s="307"/>
      <c r="E1" s="307"/>
      <c r="F1" s="307"/>
      <c r="G1" s="307"/>
      <c r="H1" s="307"/>
    </row>
    <row r="2" customHeight="1" spans="1:9">
      <c r="A2" s="308"/>
      <c r="B2" s="308"/>
      <c r="C2" s="308"/>
      <c r="D2" s="308"/>
      <c r="E2" s="308"/>
      <c r="F2" s="308"/>
      <c r="G2" s="308"/>
      <c r="H2" s="308"/>
      <c r="I2" s="308"/>
    </row>
    <row r="3" ht="22.5" customHeight="1" spans="1:10">
      <c r="A3" s="309"/>
      <c r="B3" s="309"/>
      <c r="C3" s="309"/>
      <c r="D3" s="309"/>
      <c r="E3" s="309"/>
      <c r="F3" s="309"/>
      <c r="G3" s="309"/>
      <c r="H3" s="309"/>
      <c r="I3" s="368" t="s">
        <v>35</v>
      </c>
      <c r="J3" s="368"/>
    </row>
    <row r="4" s="304" customFormat="1" ht="52.5" customHeight="1" spans="1:10">
      <c r="A4" s="310" t="s">
        <v>36</v>
      </c>
      <c r="B4" s="311" t="s">
        <v>37</v>
      </c>
      <c r="C4" s="311" t="s">
        <v>38</v>
      </c>
      <c r="D4" s="311" t="s">
        <v>39</v>
      </c>
      <c r="E4" s="311" t="s">
        <v>40</v>
      </c>
      <c r="F4" s="312" t="s">
        <v>41</v>
      </c>
      <c r="G4" s="312" t="s">
        <v>42</v>
      </c>
      <c r="H4" s="311" t="s">
        <v>43</v>
      </c>
      <c r="I4" s="311" t="s">
        <v>44</v>
      </c>
      <c r="J4" s="369" t="s">
        <v>45</v>
      </c>
    </row>
    <row r="5" ht="13.5" spans="1:10">
      <c r="A5" s="313"/>
      <c r="B5" s="314"/>
      <c r="C5" s="314"/>
      <c r="D5" s="314"/>
      <c r="E5" s="314"/>
      <c r="F5" s="315"/>
      <c r="G5" s="315"/>
      <c r="H5" s="316"/>
      <c r="I5" s="370"/>
      <c r="J5" s="371"/>
    </row>
    <row r="6" ht="13.5" spans="1:10">
      <c r="A6" s="310" t="s">
        <v>46</v>
      </c>
      <c r="B6" s="312"/>
      <c r="C6" s="312"/>
      <c r="D6" s="312"/>
      <c r="E6" s="312"/>
      <c r="F6" s="312" t="s">
        <v>47</v>
      </c>
      <c r="G6" s="312"/>
      <c r="H6" s="317"/>
      <c r="I6" s="372"/>
      <c r="J6" s="373"/>
    </row>
    <row r="7" spans="1:10">
      <c r="A7" s="318"/>
      <c r="B7" s="319"/>
      <c r="C7" s="319"/>
      <c r="D7" s="319"/>
      <c r="E7" s="319"/>
      <c r="F7" s="320"/>
      <c r="G7" s="319"/>
      <c r="H7" s="321"/>
      <c r="I7" s="374"/>
      <c r="J7" s="375"/>
    </row>
    <row r="8" spans="1:10">
      <c r="A8" s="322"/>
      <c r="B8" s="229"/>
      <c r="C8" s="229"/>
      <c r="D8" s="229"/>
      <c r="E8" s="229"/>
      <c r="F8" s="229"/>
      <c r="G8" s="229"/>
      <c r="H8" s="243"/>
      <c r="I8" s="243"/>
      <c r="J8" s="230"/>
    </row>
    <row r="9" ht="25.5" spans="1:10">
      <c r="A9" s="322" t="s">
        <v>279</v>
      </c>
      <c r="B9" s="229"/>
      <c r="C9" s="229"/>
      <c r="D9" s="226" t="s">
        <v>48</v>
      </c>
      <c r="E9" s="229" t="s">
        <v>49</v>
      </c>
      <c r="F9" s="237" t="s">
        <v>280</v>
      </c>
      <c r="G9" s="229" t="s">
        <v>51</v>
      </c>
      <c r="H9" s="243">
        <f>110*1.1</f>
        <v>121</v>
      </c>
      <c r="I9" s="171">
        <v>8950</v>
      </c>
      <c r="J9" s="230">
        <f t="shared" ref="J9:J78" si="0">SUM(H9*I9)</f>
        <v>1082950</v>
      </c>
    </row>
    <row r="10" ht="188.25" customHeight="1" spans="1:10">
      <c r="A10" s="322"/>
      <c r="B10" s="229"/>
      <c r="C10" s="229"/>
      <c r="D10" s="229"/>
      <c r="E10" s="229"/>
      <c r="F10" s="226" t="s">
        <v>281</v>
      </c>
      <c r="G10" s="229"/>
      <c r="H10" s="243"/>
      <c r="I10" s="376"/>
      <c r="J10" s="230"/>
    </row>
    <row r="11" spans="1:10">
      <c r="A11" s="322"/>
      <c r="B11" s="229"/>
      <c r="C11" s="229"/>
      <c r="D11" s="229"/>
      <c r="E11" s="229"/>
      <c r="F11" s="226"/>
      <c r="G11" s="229"/>
      <c r="H11" s="243"/>
      <c r="I11" s="376"/>
      <c r="J11" s="230"/>
    </row>
    <row r="12" ht="25.5" spans="1:10">
      <c r="A12" s="322" t="s">
        <v>282</v>
      </c>
      <c r="B12" s="229"/>
      <c r="C12" s="229"/>
      <c r="D12" s="226" t="s">
        <v>48</v>
      </c>
      <c r="E12" s="229" t="s">
        <v>283</v>
      </c>
      <c r="F12" s="249" t="s">
        <v>284</v>
      </c>
      <c r="G12" s="323" t="s">
        <v>130</v>
      </c>
      <c r="H12" s="243">
        <v>20</v>
      </c>
      <c r="I12" s="376">
        <v>1695</v>
      </c>
      <c r="J12" s="230">
        <f t="shared" ref="J12" si="1">SUM(H12*I12)</f>
        <v>33900</v>
      </c>
    </row>
    <row r="13" ht="270.75" spans="1:10">
      <c r="A13" s="322"/>
      <c r="B13" s="229"/>
      <c r="C13" s="229"/>
      <c r="D13" s="229"/>
      <c r="E13" s="229"/>
      <c r="F13" s="32" t="s">
        <v>285</v>
      </c>
      <c r="G13" s="323"/>
      <c r="H13" s="243"/>
      <c r="I13" s="376"/>
      <c r="J13" s="230"/>
    </row>
    <row r="14" ht="14.25" spans="1:10">
      <c r="A14" s="322"/>
      <c r="B14" s="229"/>
      <c r="C14" s="229"/>
      <c r="D14" s="229"/>
      <c r="E14" s="229"/>
      <c r="F14" s="32"/>
      <c r="G14" s="323"/>
      <c r="H14" s="243"/>
      <c r="I14" s="376"/>
      <c r="J14" s="230"/>
    </row>
    <row r="15" ht="25.5" spans="1:10">
      <c r="A15" s="322" t="s">
        <v>286</v>
      </c>
      <c r="B15" s="229"/>
      <c r="C15" s="229"/>
      <c r="D15" s="226" t="s">
        <v>48</v>
      </c>
      <c r="E15" s="229" t="s">
        <v>49</v>
      </c>
      <c r="F15" s="237" t="s">
        <v>287</v>
      </c>
      <c r="G15" s="229" t="s">
        <v>51</v>
      </c>
      <c r="H15" s="243">
        <v>60</v>
      </c>
      <c r="I15" s="376">
        <v>10400</v>
      </c>
      <c r="J15" s="230">
        <f t="shared" ref="J15" si="2">SUM(H15*I15)</f>
        <v>624000</v>
      </c>
    </row>
    <row r="16" ht="178.5" spans="1:10">
      <c r="A16" s="322"/>
      <c r="B16" s="229"/>
      <c r="C16" s="229"/>
      <c r="D16" s="229"/>
      <c r="E16" s="229"/>
      <c r="F16" s="226" t="s">
        <v>288</v>
      </c>
      <c r="G16" s="323"/>
      <c r="H16" s="243"/>
      <c r="I16" s="376"/>
      <c r="J16" s="230"/>
    </row>
    <row r="17" spans="1:10">
      <c r="A17" s="322"/>
      <c r="B17" s="229"/>
      <c r="C17" s="229"/>
      <c r="D17" s="229"/>
      <c r="E17" s="229"/>
      <c r="F17" s="229"/>
      <c r="G17" s="229"/>
      <c r="H17" s="243"/>
      <c r="I17" s="376"/>
      <c r="J17" s="230"/>
    </row>
    <row r="18" ht="25.5" spans="1:10">
      <c r="A18" s="324">
        <v>1.2</v>
      </c>
      <c r="B18" s="303"/>
      <c r="C18" s="226" t="s">
        <v>158</v>
      </c>
      <c r="D18" s="226" t="s">
        <v>289</v>
      </c>
      <c r="E18" s="226" t="s">
        <v>290</v>
      </c>
      <c r="F18" s="303" t="s">
        <v>291</v>
      </c>
      <c r="G18" s="226" t="s">
        <v>130</v>
      </c>
      <c r="H18" s="243">
        <v>10</v>
      </c>
      <c r="I18" s="376">
        <v>1175</v>
      </c>
      <c r="J18" s="230">
        <f t="shared" si="0"/>
        <v>11750</v>
      </c>
    </row>
    <row r="19" ht="101.25" customHeight="1" spans="1:10">
      <c r="A19" s="303"/>
      <c r="B19" s="303"/>
      <c r="C19" s="303"/>
      <c r="D19" s="303"/>
      <c r="E19" s="303"/>
      <c r="F19" s="226" t="s">
        <v>292</v>
      </c>
      <c r="G19" s="226"/>
      <c r="H19" s="243"/>
      <c r="I19" s="376"/>
      <c r="J19" s="230"/>
    </row>
    <row r="20" spans="1:10">
      <c r="A20" s="303"/>
      <c r="B20" s="303"/>
      <c r="C20" s="303"/>
      <c r="D20" s="303"/>
      <c r="E20" s="303"/>
      <c r="F20" s="226"/>
      <c r="G20" s="226"/>
      <c r="H20" s="243"/>
      <c r="I20" s="376"/>
      <c r="J20" s="230"/>
    </row>
    <row r="21" spans="1:10">
      <c r="A21" s="325">
        <v>1.3</v>
      </c>
      <c r="B21" s="303"/>
      <c r="C21" s="303"/>
      <c r="D21" s="323" t="s">
        <v>289</v>
      </c>
      <c r="E21" s="323" t="s">
        <v>290</v>
      </c>
      <c r="F21" s="249" t="s">
        <v>293</v>
      </c>
      <c r="G21" s="323" t="s">
        <v>130</v>
      </c>
      <c r="H21" s="243">
        <f>(14*3.4)</f>
        <v>47.6</v>
      </c>
      <c r="I21" s="376">
        <v>2900</v>
      </c>
      <c r="J21" s="230">
        <f t="shared" si="0"/>
        <v>138040</v>
      </c>
    </row>
    <row r="22" ht="117" customHeight="1" spans="1:10">
      <c r="A22" s="303"/>
      <c r="B22" s="303"/>
      <c r="C22" s="303"/>
      <c r="D22" s="326"/>
      <c r="E22" s="326"/>
      <c r="F22" s="231" t="s">
        <v>294</v>
      </c>
      <c r="G22" s="323"/>
      <c r="H22" s="243"/>
      <c r="I22" s="376"/>
      <c r="J22" s="230"/>
    </row>
    <row r="23" spans="1:10">
      <c r="A23" s="303"/>
      <c r="B23" s="303"/>
      <c r="C23" s="303"/>
      <c r="D23" s="326"/>
      <c r="E23" s="326"/>
      <c r="F23" s="231"/>
      <c r="G23" s="323"/>
      <c r="H23" s="243"/>
      <c r="I23" s="376"/>
      <c r="J23" s="230"/>
    </row>
    <row r="24" ht="25.5" spans="1:10">
      <c r="A24" s="303">
        <v>1.4</v>
      </c>
      <c r="B24" s="303"/>
      <c r="C24" s="303"/>
      <c r="D24" s="327" t="s">
        <v>295</v>
      </c>
      <c r="E24" s="327" t="s">
        <v>296</v>
      </c>
      <c r="F24" s="327" t="s">
        <v>297</v>
      </c>
      <c r="G24" s="327" t="s">
        <v>130</v>
      </c>
      <c r="H24" s="328">
        <f>3.4*1.7+13</f>
        <v>18.78</v>
      </c>
      <c r="I24" s="376">
        <v>8950</v>
      </c>
      <c r="J24" s="230">
        <f t="shared" si="0"/>
        <v>168081</v>
      </c>
    </row>
    <row r="25" ht="164.25" customHeight="1" spans="1:10">
      <c r="A25" s="303"/>
      <c r="B25" s="303"/>
      <c r="C25" s="303"/>
      <c r="D25" s="329"/>
      <c r="E25" s="329"/>
      <c r="F25" s="327" t="s">
        <v>298</v>
      </c>
      <c r="G25" s="329"/>
      <c r="H25" s="328"/>
      <c r="I25" s="376"/>
      <c r="J25" s="230"/>
    </row>
    <row r="26" spans="1:10">
      <c r="A26" s="303"/>
      <c r="B26" s="303"/>
      <c r="C26" s="303"/>
      <c r="D26" s="326"/>
      <c r="E26" s="326"/>
      <c r="F26" s="231"/>
      <c r="G26" s="323"/>
      <c r="H26" s="243"/>
      <c r="I26" s="376"/>
      <c r="J26" s="230"/>
    </row>
    <row r="27" ht="25.5" spans="1:10">
      <c r="A27" s="303">
        <v>1.5</v>
      </c>
      <c r="B27" s="303"/>
      <c r="C27" s="303"/>
      <c r="D27" s="327" t="s">
        <v>295</v>
      </c>
      <c r="E27" s="327" t="s">
        <v>296</v>
      </c>
      <c r="F27" s="327" t="s">
        <v>299</v>
      </c>
      <c r="G27" s="327" t="s">
        <v>63</v>
      </c>
      <c r="H27" s="328">
        <v>7</v>
      </c>
      <c r="I27" s="376">
        <v>8950</v>
      </c>
      <c r="J27" s="230">
        <f t="shared" ref="J27:J30" si="3">SUM(H27*I27)</f>
        <v>62650</v>
      </c>
    </row>
    <row r="28" ht="176.25" customHeight="1" spans="1:10">
      <c r="A28" s="303"/>
      <c r="B28" s="303"/>
      <c r="C28" s="303"/>
      <c r="D28" s="329"/>
      <c r="E28" s="329"/>
      <c r="F28" s="327" t="s">
        <v>300</v>
      </c>
      <c r="G28" s="329"/>
      <c r="H28" s="328"/>
      <c r="I28" s="376"/>
      <c r="J28" s="230"/>
    </row>
    <row r="29" spans="1:10">
      <c r="A29" s="303"/>
      <c r="B29" s="303"/>
      <c r="C29" s="303"/>
      <c r="D29" s="326"/>
      <c r="E29" s="326"/>
      <c r="F29" s="231"/>
      <c r="G29" s="323"/>
      <c r="H29" s="243"/>
      <c r="I29" s="376"/>
      <c r="J29" s="230"/>
    </row>
    <row r="30" ht="25.5" spans="1:10">
      <c r="A30" s="303">
        <v>1.6</v>
      </c>
      <c r="B30" s="303"/>
      <c r="C30" s="303"/>
      <c r="D30" s="330" t="s">
        <v>53</v>
      </c>
      <c r="E30" s="229" t="s">
        <v>301</v>
      </c>
      <c r="F30" s="331" t="s">
        <v>302</v>
      </c>
      <c r="G30" s="229" t="s">
        <v>63</v>
      </c>
      <c r="H30" s="332">
        <f>10*1.2</f>
        <v>12</v>
      </c>
      <c r="I30" s="376">
        <v>4460</v>
      </c>
      <c r="J30" s="230">
        <f t="shared" si="3"/>
        <v>53520</v>
      </c>
    </row>
    <row r="31" ht="177" customHeight="1" spans="1:10">
      <c r="A31" s="303"/>
      <c r="B31" s="303"/>
      <c r="C31" s="303"/>
      <c r="D31" s="229"/>
      <c r="E31" s="229"/>
      <c r="F31" s="239" t="s">
        <v>303</v>
      </c>
      <c r="G31" s="229"/>
      <c r="H31" s="332"/>
      <c r="I31" s="377"/>
      <c r="J31" s="230"/>
    </row>
    <row r="32" spans="1:10">
      <c r="A32" s="303"/>
      <c r="B32" s="303"/>
      <c r="C32" s="303"/>
      <c r="D32" s="229"/>
      <c r="E32" s="229"/>
      <c r="F32" s="239"/>
      <c r="G32" s="229"/>
      <c r="H32" s="332"/>
      <c r="I32" s="377"/>
      <c r="J32" s="230"/>
    </row>
    <row r="33" ht="25.5" spans="1:10">
      <c r="A33" s="303">
        <v>1.7</v>
      </c>
      <c r="B33" s="303"/>
      <c r="C33" s="303"/>
      <c r="D33" s="323" t="s">
        <v>65</v>
      </c>
      <c r="E33" s="229" t="s">
        <v>66</v>
      </c>
      <c r="F33" s="333" t="s">
        <v>66</v>
      </c>
      <c r="G33" s="334" t="s">
        <v>63</v>
      </c>
      <c r="H33" s="335">
        <v>10</v>
      </c>
      <c r="I33" s="376">
        <v>2750</v>
      </c>
      <c r="J33" s="378">
        <f>SUM(H33*I33)</f>
        <v>27500</v>
      </c>
    </row>
    <row r="34" ht="89.25" spans="1:10">
      <c r="A34" s="303"/>
      <c r="B34" s="303"/>
      <c r="C34" s="303"/>
      <c r="D34" s="334"/>
      <c r="E34" s="334"/>
      <c r="F34" s="336" t="s">
        <v>304</v>
      </c>
      <c r="G34" s="334"/>
      <c r="H34" s="335"/>
      <c r="I34" s="379"/>
      <c r="J34" s="248"/>
    </row>
    <row r="35" ht="13.5" spans="1:10">
      <c r="A35" s="337"/>
      <c r="B35" s="337"/>
      <c r="C35" s="337"/>
      <c r="D35" s="337"/>
      <c r="E35" s="337"/>
      <c r="F35" s="338"/>
      <c r="G35" s="338"/>
      <c r="H35" s="339"/>
      <c r="I35" s="380"/>
      <c r="J35" s="381"/>
    </row>
    <row r="36" ht="15.75" spans="1:10">
      <c r="A36" s="340" t="s">
        <v>69</v>
      </c>
      <c r="B36" s="341"/>
      <c r="C36" s="341"/>
      <c r="D36" s="341"/>
      <c r="E36" s="341"/>
      <c r="F36" s="342" t="s">
        <v>70</v>
      </c>
      <c r="G36" s="342"/>
      <c r="H36" s="343"/>
      <c r="I36" s="382"/>
      <c r="J36" s="383"/>
    </row>
    <row r="37" ht="15" spans="1:10">
      <c r="A37" s="344"/>
      <c r="B37" s="345"/>
      <c r="C37" s="345"/>
      <c r="D37" s="345"/>
      <c r="E37" s="345"/>
      <c r="F37" s="346"/>
      <c r="G37" s="347"/>
      <c r="H37" s="222"/>
      <c r="I37" s="199"/>
      <c r="J37" s="347"/>
    </row>
    <row r="38" ht="30" spans="1:10">
      <c r="A38" s="348">
        <v>2.1</v>
      </c>
      <c r="B38" s="225"/>
      <c r="C38" s="225"/>
      <c r="D38" s="232" t="s">
        <v>71</v>
      </c>
      <c r="E38" s="232" t="s">
        <v>305</v>
      </c>
      <c r="F38" s="184" t="s">
        <v>73</v>
      </c>
      <c r="G38" s="174" t="s">
        <v>51</v>
      </c>
      <c r="H38" s="223">
        <v>20</v>
      </c>
      <c r="I38" s="200">
        <v>2050</v>
      </c>
      <c r="J38" s="174">
        <f t="shared" ref="J38" si="4">SUM(H38*I38)</f>
        <v>41000</v>
      </c>
    </row>
    <row r="39" ht="178.5" spans="1:10">
      <c r="A39" s="348"/>
      <c r="B39" s="225"/>
      <c r="C39" s="225"/>
      <c r="D39" s="225"/>
      <c r="E39" s="174"/>
      <c r="F39" s="349" t="s">
        <v>306</v>
      </c>
      <c r="G39" s="174"/>
      <c r="H39" s="223"/>
      <c r="I39" s="200"/>
      <c r="J39" s="174"/>
    </row>
    <row r="40" ht="15" spans="1:10">
      <c r="A40" s="350"/>
      <c r="B40" s="351"/>
      <c r="C40" s="351"/>
      <c r="D40" s="351"/>
      <c r="E40" s="352"/>
      <c r="F40" s="353"/>
      <c r="G40" s="352"/>
      <c r="H40" s="354"/>
      <c r="I40" s="354"/>
      <c r="J40" s="384"/>
    </row>
    <row r="41" ht="15" spans="1:10">
      <c r="A41" s="348">
        <v>2.4</v>
      </c>
      <c r="B41" s="225"/>
      <c r="C41" s="225"/>
      <c r="D41" s="232" t="s">
        <v>71</v>
      </c>
      <c r="E41" s="232" t="s">
        <v>307</v>
      </c>
      <c r="F41" s="184" t="s">
        <v>79</v>
      </c>
      <c r="G41" s="174" t="s">
        <v>51</v>
      </c>
      <c r="H41" s="223">
        <v>39</v>
      </c>
      <c r="I41" s="223">
        <v>475</v>
      </c>
      <c r="J41" s="174">
        <f t="shared" ref="J41" si="5">SUM(H41*I41)</f>
        <v>18525</v>
      </c>
    </row>
    <row r="42" ht="89.25" spans="1:10">
      <c r="A42" s="348"/>
      <c r="B42" s="225"/>
      <c r="C42" s="225"/>
      <c r="D42" s="225"/>
      <c r="E42" s="225"/>
      <c r="F42" s="349" t="s">
        <v>202</v>
      </c>
      <c r="G42" s="174"/>
      <c r="H42" s="223"/>
      <c r="I42" s="223"/>
      <c r="J42" s="174"/>
    </row>
    <row r="43" ht="15.75" spans="1:10">
      <c r="A43" s="355"/>
      <c r="B43" s="246"/>
      <c r="C43" s="246"/>
      <c r="D43" s="246"/>
      <c r="E43" s="247"/>
      <c r="F43" s="356"/>
      <c r="G43" s="247"/>
      <c r="H43" s="357"/>
      <c r="I43" s="357"/>
      <c r="J43" s="247"/>
    </row>
    <row r="44" ht="15.75" spans="1:10">
      <c r="A44" s="340" t="s">
        <v>81</v>
      </c>
      <c r="B44" s="341"/>
      <c r="C44" s="341"/>
      <c r="D44" s="341"/>
      <c r="E44" s="341"/>
      <c r="F44" s="342" t="s">
        <v>82</v>
      </c>
      <c r="G44" s="342"/>
      <c r="H44" s="343"/>
      <c r="I44" s="343"/>
      <c r="J44" s="383"/>
    </row>
    <row r="45" spans="1:10">
      <c r="A45" s="358"/>
      <c r="B45" s="359"/>
      <c r="C45" s="359"/>
      <c r="D45" s="359"/>
      <c r="E45" s="359"/>
      <c r="F45" s="320"/>
      <c r="G45" s="320"/>
      <c r="H45" s="360"/>
      <c r="I45" s="360"/>
      <c r="J45" s="375"/>
    </row>
    <row r="46" ht="45" spans="1:10">
      <c r="A46" s="348">
        <v>3.1</v>
      </c>
      <c r="B46" s="225"/>
      <c r="C46" s="225"/>
      <c r="D46" s="232" t="s">
        <v>203</v>
      </c>
      <c r="E46" s="232" t="s">
        <v>204</v>
      </c>
      <c r="F46" s="361" t="s">
        <v>308</v>
      </c>
      <c r="G46" s="174" t="s">
        <v>51</v>
      </c>
      <c r="H46" s="223">
        <f>(10*3.6)+39</f>
        <v>75</v>
      </c>
      <c r="I46" s="385">
        <v>4050</v>
      </c>
      <c r="J46" s="174">
        <f t="shared" ref="J46" si="6">SUM(H46*I46)</f>
        <v>303750</v>
      </c>
    </row>
    <row r="47" ht="128.25" spans="1:10">
      <c r="A47" s="348"/>
      <c r="B47" s="225"/>
      <c r="C47" s="225"/>
      <c r="D47" s="225"/>
      <c r="E47" s="225"/>
      <c r="F47" s="362" t="s">
        <v>309</v>
      </c>
      <c r="G47" s="174"/>
      <c r="H47" s="223"/>
      <c r="I47" s="223"/>
      <c r="J47" s="174"/>
    </row>
    <row r="48" spans="1:10">
      <c r="A48" s="358"/>
      <c r="B48" s="359"/>
      <c r="C48" s="359"/>
      <c r="D48" s="359"/>
      <c r="E48" s="359"/>
      <c r="F48" s="320"/>
      <c r="G48" s="320"/>
      <c r="H48" s="360"/>
      <c r="I48" s="360"/>
      <c r="J48" s="375"/>
    </row>
    <row r="49" ht="25.5" spans="1:10">
      <c r="A49" s="363">
        <v>3.2</v>
      </c>
      <c r="B49" s="364"/>
      <c r="C49" s="364"/>
      <c r="D49" s="230" t="s">
        <v>83</v>
      </c>
      <c r="E49" s="230" t="s">
        <v>310</v>
      </c>
      <c r="F49" s="237" t="s">
        <v>311</v>
      </c>
      <c r="G49" s="229" t="s">
        <v>51</v>
      </c>
      <c r="H49" s="243">
        <f>(7*2.1+2+3)+(1.35*3.6*4)</f>
        <v>39.14</v>
      </c>
      <c r="I49" s="243">
        <v>7000</v>
      </c>
      <c r="J49" s="378">
        <f>SUM(H49*I49)</f>
        <v>273980</v>
      </c>
    </row>
    <row r="50" ht="134.25" customHeight="1" spans="1:10">
      <c r="A50" s="363"/>
      <c r="B50" s="364"/>
      <c r="C50" s="364"/>
      <c r="D50" s="364"/>
      <c r="E50" s="364"/>
      <c r="F50" s="229" t="s">
        <v>312</v>
      </c>
      <c r="G50" s="237"/>
      <c r="H50" s="365"/>
      <c r="I50" s="365"/>
      <c r="J50" s="230"/>
    </row>
    <row r="51" spans="1:10">
      <c r="A51" s="363"/>
      <c r="B51" s="364"/>
      <c r="C51" s="364"/>
      <c r="D51" s="364"/>
      <c r="E51" s="364"/>
      <c r="F51" s="237"/>
      <c r="G51" s="237"/>
      <c r="H51" s="365"/>
      <c r="I51" s="365"/>
      <c r="J51" s="230"/>
    </row>
    <row r="52" ht="25.5" spans="1:10">
      <c r="A52" s="322">
        <v>3.3</v>
      </c>
      <c r="B52" s="230"/>
      <c r="C52" s="230"/>
      <c r="D52" s="230" t="s">
        <v>313</v>
      </c>
      <c r="E52" s="230" t="s">
        <v>314</v>
      </c>
      <c r="F52" s="331" t="s">
        <v>315</v>
      </c>
      <c r="G52" s="229" t="s">
        <v>51</v>
      </c>
      <c r="H52" s="243">
        <f>2*1.35+5.2*1.35</f>
        <v>9.72</v>
      </c>
      <c r="I52" s="243">
        <v>14600</v>
      </c>
      <c r="J52" s="230">
        <f t="shared" si="0"/>
        <v>141912</v>
      </c>
    </row>
    <row r="53" ht="264" customHeight="1" spans="1:10">
      <c r="A53" s="322"/>
      <c r="B53" s="230"/>
      <c r="C53" s="230"/>
      <c r="D53" s="230"/>
      <c r="E53" s="230"/>
      <c r="F53" s="239" t="s">
        <v>316</v>
      </c>
      <c r="G53" s="229"/>
      <c r="H53" s="243"/>
      <c r="I53" s="243"/>
      <c r="J53" s="230"/>
    </row>
    <row r="54" spans="1:10">
      <c r="A54" s="322"/>
      <c r="B54" s="230"/>
      <c r="C54" s="230"/>
      <c r="D54" s="230"/>
      <c r="E54" s="230"/>
      <c r="F54" s="239"/>
      <c r="G54" s="229"/>
      <c r="H54" s="243"/>
      <c r="I54" s="243"/>
      <c r="J54" s="230"/>
    </row>
    <row r="55" ht="25.5" spans="1:10">
      <c r="A55" s="322">
        <v>3.4</v>
      </c>
      <c r="B55" s="230"/>
      <c r="C55" s="230"/>
      <c r="D55" s="230" t="s">
        <v>313</v>
      </c>
      <c r="E55" s="230" t="s">
        <v>314</v>
      </c>
      <c r="F55" s="331" t="s">
        <v>317</v>
      </c>
      <c r="G55" s="229" t="s">
        <v>51</v>
      </c>
      <c r="H55" s="243">
        <f>7*1.35+2+1</f>
        <v>12.45</v>
      </c>
      <c r="I55" s="243">
        <v>16360</v>
      </c>
      <c r="J55" s="230">
        <f t="shared" ref="J55" si="7">SUM(H55*I55)</f>
        <v>203682</v>
      </c>
    </row>
    <row r="56" ht="249" customHeight="1" spans="1:10">
      <c r="A56" s="322"/>
      <c r="B56" s="230"/>
      <c r="C56" s="230"/>
      <c r="D56" s="230"/>
      <c r="E56" s="230"/>
      <c r="F56" s="239" t="s">
        <v>318</v>
      </c>
      <c r="G56" s="229"/>
      <c r="H56" s="243"/>
      <c r="I56" s="243"/>
      <c r="J56" s="230"/>
    </row>
    <row r="57" spans="1:10">
      <c r="A57" s="322"/>
      <c r="B57" s="230"/>
      <c r="C57" s="230"/>
      <c r="D57" s="230"/>
      <c r="E57" s="230"/>
      <c r="F57" s="239"/>
      <c r="G57" s="229"/>
      <c r="H57" s="243"/>
      <c r="I57" s="243"/>
      <c r="J57" s="230"/>
    </row>
    <row r="58" spans="1:10">
      <c r="A58" s="322">
        <v>3.5</v>
      </c>
      <c r="B58" s="230"/>
      <c r="C58" s="230"/>
      <c r="D58" s="230" t="s">
        <v>313</v>
      </c>
      <c r="E58" s="230" t="s">
        <v>319</v>
      </c>
      <c r="F58" s="331" t="s">
        <v>320</v>
      </c>
      <c r="G58" s="229" t="s">
        <v>98</v>
      </c>
      <c r="H58" s="243">
        <v>3</v>
      </c>
      <c r="I58" s="243">
        <v>19750</v>
      </c>
      <c r="J58" s="230">
        <f t="shared" ref="J58" si="8">SUM(H58*I58)</f>
        <v>59250</v>
      </c>
    </row>
    <row r="59" ht="51" spans="1:10">
      <c r="A59" s="322"/>
      <c r="B59" s="230"/>
      <c r="C59" s="230"/>
      <c r="D59" s="230"/>
      <c r="E59" s="230"/>
      <c r="F59" s="231" t="s">
        <v>321</v>
      </c>
      <c r="G59" s="229"/>
      <c r="H59" s="243"/>
      <c r="I59" s="243"/>
      <c r="J59" s="230"/>
    </row>
    <row r="60" spans="1:10">
      <c r="A60" s="322"/>
      <c r="B60" s="230"/>
      <c r="C60" s="230"/>
      <c r="D60" s="230"/>
      <c r="E60" s="230"/>
      <c r="F60" s="239"/>
      <c r="G60" s="229"/>
      <c r="H60" s="243"/>
      <c r="I60" s="243"/>
      <c r="J60" s="230"/>
    </row>
    <row r="61" spans="1:10">
      <c r="A61" s="322"/>
      <c r="B61" s="230"/>
      <c r="C61" s="230"/>
      <c r="D61" s="230"/>
      <c r="E61" s="230"/>
      <c r="F61" s="237"/>
      <c r="G61" s="229"/>
      <c r="H61" s="243"/>
      <c r="I61" s="243"/>
      <c r="J61" s="230"/>
    </row>
    <row r="62" ht="25.5" spans="1:11">
      <c r="A62" s="322">
        <v>3.6</v>
      </c>
      <c r="B62" s="366"/>
      <c r="C62" s="230"/>
      <c r="D62" s="230" t="s">
        <v>239</v>
      </c>
      <c r="E62" s="230" t="s">
        <v>322</v>
      </c>
      <c r="F62" s="303" t="s">
        <v>323</v>
      </c>
      <c r="G62" s="229" t="s">
        <v>242</v>
      </c>
      <c r="H62" s="243">
        <v>1</v>
      </c>
      <c r="I62" s="386">
        <v>676000</v>
      </c>
      <c r="J62" s="230">
        <f t="shared" si="0"/>
        <v>676000</v>
      </c>
      <c r="K62" s="387"/>
    </row>
    <row r="63" ht="25.5" spans="1:10">
      <c r="A63" s="322"/>
      <c r="B63" s="366"/>
      <c r="C63" s="230"/>
      <c r="D63" s="230"/>
      <c r="E63" s="229"/>
      <c r="F63" s="303" t="s">
        <v>324</v>
      </c>
      <c r="G63" s="229"/>
      <c r="H63" s="243"/>
      <c r="I63" s="243"/>
      <c r="J63" s="230"/>
    </row>
    <row r="64" ht="290.25" customHeight="1" spans="1:10">
      <c r="A64" s="322"/>
      <c r="B64" s="366"/>
      <c r="C64" s="230"/>
      <c r="D64" s="230"/>
      <c r="E64" s="229"/>
      <c r="F64" s="367" t="s">
        <v>325</v>
      </c>
      <c r="G64" s="229"/>
      <c r="H64" s="243"/>
      <c r="I64" s="243"/>
      <c r="J64" s="230"/>
    </row>
    <row r="65" spans="1:10">
      <c r="A65" s="322"/>
      <c r="B65" s="366"/>
      <c r="C65" s="230"/>
      <c r="D65" s="230"/>
      <c r="E65" s="229"/>
      <c r="F65" s="229"/>
      <c r="G65" s="229"/>
      <c r="H65" s="243"/>
      <c r="I65" s="243"/>
      <c r="J65" s="230"/>
    </row>
    <row r="66" spans="1:10">
      <c r="A66" s="322">
        <v>3.7</v>
      </c>
      <c r="B66" s="230"/>
      <c r="C66" s="230"/>
      <c r="D66" s="230" t="s">
        <v>239</v>
      </c>
      <c r="E66" s="230" t="s">
        <v>326</v>
      </c>
      <c r="F66" s="303" t="s">
        <v>327</v>
      </c>
      <c r="G66" s="229"/>
      <c r="H66" s="243"/>
      <c r="I66" s="243"/>
      <c r="J66" s="230"/>
    </row>
    <row r="67" spans="1:10">
      <c r="A67" s="388"/>
      <c r="B67" s="230"/>
      <c r="C67" s="230"/>
      <c r="D67" s="230"/>
      <c r="E67" s="230"/>
      <c r="F67" s="303" t="s">
        <v>328</v>
      </c>
      <c r="G67" s="229" t="s">
        <v>187</v>
      </c>
      <c r="H67" s="243">
        <v>1</v>
      </c>
      <c r="I67" s="243">
        <v>127500</v>
      </c>
      <c r="J67" s="230">
        <f t="shared" si="0"/>
        <v>127500</v>
      </c>
    </row>
    <row r="68" ht="242.25" spans="1:11">
      <c r="A68" s="322"/>
      <c r="B68" s="230"/>
      <c r="C68" s="230"/>
      <c r="D68" s="230"/>
      <c r="E68" s="229"/>
      <c r="F68" s="226" t="s">
        <v>329</v>
      </c>
      <c r="G68" s="229"/>
      <c r="H68" s="243"/>
      <c r="I68" s="243"/>
      <c r="J68" s="230"/>
      <c r="K68" s="402"/>
    </row>
    <row r="69" spans="1:10">
      <c r="A69" s="322"/>
      <c r="B69" s="230"/>
      <c r="C69" s="230"/>
      <c r="D69" s="230"/>
      <c r="E69" s="229"/>
      <c r="F69" s="229"/>
      <c r="G69" s="229"/>
      <c r="H69" s="243"/>
      <c r="I69" s="243"/>
      <c r="J69" s="230"/>
    </row>
    <row r="70" spans="1:10">
      <c r="A70" s="322"/>
      <c r="B70" s="230"/>
      <c r="C70" s="230"/>
      <c r="D70" s="230"/>
      <c r="E70" s="229"/>
      <c r="F70" s="229"/>
      <c r="G70" s="229"/>
      <c r="H70" s="243"/>
      <c r="I70" s="243"/>
      <c r="J70" s="230"/>
    </row>
    <row r="71" ht="15" spans="1:10">
      <c r="A71" s="322">
        <v>3.8</v>
      </c>
      <c r="B71" s="230"/>
      <c r="C71" s="230"/>
      <c r="D71" s="230" t="s">
        <v>330</v>
      </c>
      <c r="E71" s="230" t="s">
        <v>331</v>
      </c>
      <c r="F71" s="303" t="s">
        <v>332</v>
      </c>
      <c r="G71" s="229" t="s">
        <v>130</v>
      </c>
      <c r="H71" s="243">
        <f>(5*1)</f>
        <v>5</v>
      </c>
      <c r="I71" s="223">
        <v>17600</v>
      </c>
      <c r="J71" s="230">
        <f t="shared" si="0"/>
        <v>88000</v>
      </c>
    </row>
    <row r="72" ht="63.75" spans="1:10">
      <c r="A72" s="322"/>
      <c r="B72" s="230"/>
      <c r="C72" s="230"/>
      <c r="D72" s="230"/>
      <c r="E72" s="229"/>
      <c r="F72" s="389" t="s">
        <v>333</v>
      </c>
      <c r="G72" s="229"/>
      <c r="H72" s="243"/>
      <c r="I72" s="243"/>
      <c r="J72" s="230"/>
    </row>
    <row r="73" spans="1:11">
      <c r="A73" s="322"/>
      <c r="B73" s="230"/>
      <c r="C73" s="230"/>
      <c r="D73" s="230"/>
      <c r="E73" s="229"/>
      <c r="F73" s="229"/>
      <c r="G73" s="229"/>
      <c r="H73" s="243"/>
      <c r="I73" s="243"/>
      <c r="J73" s="230"/>
      <c r="K73" s="402"/>
    </row>
    <row r="74" spans="1:10">
      <c r="A74" s="322"/>
      <c r="B74" s="230"/>
      <c r="C74" s="230"/>
      <c r="D74" s="230"/>
      <c r="E74" s="229"/>
      <c r="F74" s="229"/>
      <c r="G74" s="229"/>
      <c r="H74" s="243"/>
      <c r="I74" s="243"/>
      <c r="J74" s="230"/>
    </row>
    <row r="75" spans="1:10">
      <c r="A75" s="322">
        <v>3.9</v>
      </c>
      <c r="B75" s="230"/>
      <c r="C75" s="230"/>
      <c r="D75" s="230" t="s">
        <v>239</v>
      </c>
      <c r="E75" s="230" t="s">
        <v>334</v>
      </c>
      <c r="F75" s="331" t="s">
        <v>335</v>
      </c>
      <c r="G75" s="229" t="s">
        <v>187</v>
      </c>
      <c r="H75" s="243">
        <v>3</v>
      </c>
      <c r="I75" s="243">
        <v>13500</v>
      </c>
      <c r="J75" s="230">
        <f t="shared" si="0"/>
        <v>40500</v>
      </c>
    </row>
    <row r="76" ht="89.25" spans="1:10">
      <c r="A76" s="322"/>
      <c r="B76" s="230"/>
      <c r="C76" s="230"/>
      <c r="D76" s="230"/>
      <c r="E76" s="229"/>
      <c r="F76" s="239" t="s">
        <v>336</v>
      </c>
      <c r="G76" s="229"/>
      <c r="H76" s="243"/>
      <c r="I76" s="243"/>
      <c r="J76" s="230"/>
    </row>
    <row r="77" spans="1:10">
      <c r="A77" s="322"/>
      <c r="B77" s="230"/>
      <c r="C77" s="230"/>
      <c r="D77" s="230"/>
      <c r="E77" s="229"/>
      <c r="F77" s="229"/>
      <c r="G77" s="229"/>
      <c r="H77" s="243"/>
      <c r="I77" s="243"/>
      <c r="J77" s="230"/>
    </row>
    <row r="78" spans="1:10">
      <c r="A78" s="388">
        <v>3.1</v>
      </c>
      <c r="B78" s="230"/>
      <c r="C78" s="230"/>
      <c r="D78" s="230" t="s">
        <v>330</v>
      </c>
      <c r="E78" s="230" t="s">
        <v>337</v>
      </c>
      <c r="F78" s="303" t="s">
        <v>338</v>
      </c>
      <c r="G78" s="229" t="s">
        <v>187</v>
      </c>
      <c r="H78" s="243">
        <v>4</v>
      </c>
      <c r="I78" s="243">
        <v>9800</v>
      </c>
      <c r="J78" s="230">
        <f t="shared" si="0"/>
        <v>39200</v>
      </c>
    </row>
    <row r="79" ht="38.25" spans="1:10">
      <c r="A79" s="322"/>
      <c r="B79" s="230"/>
      <c r="C79" s="230"/>
      <c r="D79" s="230"/>
      <c r="E79" s="229"/>
      <c r="F79" s="226" t="s">
        <v>339</v>
      </c>
      <c r="G79" s="229"/>
      <c r="H79" s="243"/>
      <c r="I79" s="243"/>
      <c r="J79" s="230"/>
    </row>
    <row r="80" spans="1:10">
      <c r="A80" s="390"/>
      <c r="B80" s="381"/>
      <c r="C80" s="381"/>
      <c r="D80" s="381"/>
      <c r="E80" s="391"/>
      <c r="F80" s="391"/>
      <c r="G80" s="391"/>
      <c r="H80" s="339"/>
      <c r="I80" s="339"/>
      <c r="J80" s="381"/>
    </row>
    <row r="81" ht="25.5" spans="1:10">
      <c r="A81" s="388">
        <v>3.11</v>
      </c>
      <c r="B81" s="230"/>
      <c r="C81" s="230"/>
      <c r="D81" s="230" t="s">
        <v>330</v>
      </c>
      <c r="E81" s="230" t="s">
        <v>340</v>
      </c>
      <c r="F81" s="303" t="s">
        <v>341</v>
      </c>
      <c r="G81" s="229" t="s">
        <v>342</v>
      </c>
      <c r="H81" s="243">
        <v>1</v>
      </c>
      <c r="I81" s="243">
        <v>45400</v>
      </c>
      <c r="J81" s="230">
        <f t="shared" ref="J81" si="9">SUM(H81*I81)</f>
        <v>45400</v>
      </c>
    </row>
    <row r="82" ht="51" spans="1:10">
      <c r="A82" s="322"/>
      <c r="B82" s="230"/>
      <c r="C82" s="230"/>
      <c r="D82" s="230"/>
      <c r="E82" s="229"/>
      <c r="F82" s="226" t="s">
        <v>343</v>
      </c>
      <c r="G82" s="229"/>
      <c r="H82" s="243"/>
      <c r="I82" s="243"/>
      <c r="J82" s="230"/>
    </row>
    <row r="83" spans="1:10">
      <c r="A83" s="322"/>
      <c r="B83" s="230"/>
      <c r="C83" s="230"/>
      <c r="D83" s="230"/>
      <c r="E83" s="229"/>
      <c r="F83" s="229"/>
      <c r="G83" s="229"/>
      <c r="H83" s="243"/>
      <c r="I83" s="243"/>
      <c r="J83" s="230"/>
    </row>
    <row r="84" ht="25.5" spans="1:10">
      <c r="A84" s="388">
        <v>3.12</v>
      </c>
      <c r="B84" s="230"/>
      <c r="C84" s="230"/>
      <c r="D84" s="230" t="s">
        <v>330</v>
      </c>
      <c r="E84" s="230" t="s">
        <v>340</v>
      </c>
      <c r="F84" s="303" t="s">
        <v>344</v>
      </c>
      <c r="G84" s="229" t="s">
        <v>342</v>
      </c>
      <c r="H84" s="243">
        <v>1</v>
      </c>
      <c r="I84" s="243">
        <v>40000</v>
      </c>
      <c r="J84" s="230">
        <f t="shared" ref="J84" si="10">SUM(H84*I84)</f>
        <v>40000</v>
      </c>
    </row>
    <row r="85" ht="51" spans="1:10">
      <c r="A85" s="322"/>
      <c r="B85" s="230"/>
      <c r="C85" s="230"/>
      <c r="D85" s="230"/>
      <c r="E85" s="229"/>
      <c r="F85" s="226" t="s">
        <v>345</v>
      </c>
      <c r="G85" s="229"/>
      <c r="H85" s="243"/>
      <c r="I85" s="243"/>
      <c r="J85" s="230"/>
    </row>
    <row r="86" spans="1:10">
      <c r="A86" s="390"/>
      <c r="B86" s="381"/>
      <c r="C86" s="381"/>
      <c r="D86" s="381"/>
      <c r="E86" s="391"/>
      <c r="F86" s="391"/>
      <c r="G86" s="391"/>
      <c r="H86" s="339"/>
      <c r="I86" s="339"/>
      <c r="J86" s="381"/>
    </row>
    <row r="87" spans="1:10">
      <c r="A87" s="390"/>
      <c r="B87" s="381"/>
      <c r="C87" s="381"/>
      <c r="D87" s="381"/>
      <c r="E87" s="391"/>
      <c r="F87" s="391"/>
      <c r="G87" s="391"/>
      <c r="H87" s="339"/>
      <c r="I87" s="339"/>
      <c r="J87" s="381"/>
    </row>
    <row r="88" ht="25.5" spans="1:10">
      <c r="A88" s="392">
        <v>3.13</v>
      </c>
      <c r="B88" s="381"/>
      <c r="C88" s="381"/>
      <c r="D88" s="248" t="s">
        <v>246</v>
      </c>
      <c r="E88" s="248" t="s">
        <v>346</v>
      </c>
      <c r="F88" s="393" t="s">
        <v>347</v>
      </c>
      <c r="G88" s="334" t="s">
        <v>249</v>
      </c>
      <c r="H88" s="335">
        <v>1</v>
      </c>
      <c r="I88" s="335">
        <v>52000</v>
      </c>
      <c r="J88" s="230">
        <f t="shared" ref="J88" si="11">SUM(H88*I88)</f>
        <v>52000</v>
      </c>
    </row>
    <row r="89" spans="1:10">
      <c r="A89" s="390"/>
      <c r="B89" s="381"/>
      <c r="C89" s="381"/>
      <c r="D89" s="248"/>
      <c r="E89" s="334"/>
      <c r="F89" s="394" t="s">
        <v>348</v>
      </c>
      <c r="G89" s="334"/>
      <c r="H89" s="335"/>
      <c r="I89" s="335"/>
      <c r="J89" s="381"/>
    </row>
    <row r="90" spans="1:10">
      <c r="A90" s="390"/>
      <c r="B90" s="381"/>
      <c r="C90" s="381"/>
      <c r="D90" s="248"/>
      <c r="E90" s="334"/>
      <c r="F90" s="394" t="s">
        <v>251</v>
      </c>
      <c r="G90" s="334"/>
      <c r="H90" s="335"/>
      <c r="I90" s="335"/>
      <c r="J90" s="381"/>
    </row>
    <row r="91" ht="127.5" spans="1:10">
      <c r="A91" s="390"/>
      <c r="B91" s="381"/>
      <c r="C91" s="381"/>
      <c r="D91" s="248"/>
      <c r="E91" s="334"/>
      <c r="F91" s="394" t="s">
        <v>349</v>
      </c>
      <c r="G91" s="334"/>
      <c r="H91" s="335"/>
      <c r="I91" s="335"/>
      <c r="J91" s="381"/>
    </row>
    <row r="92" spans="1:10">
      <c r="A92" s="390"/>
      <c r="B92" s="381"/>
      <c r="C92" s="381"/>
      <c r="D92" s="248"/>
      <c r="E92" s="248"/>
      <c r="F92" s="395" t="s">
        <v>253</v>
      </c>
      <c r="G92" s="334"/>
      <c r="H92" s="335"/>
      <c r="I92" s="335"/>
      <c r="J92" s="381"/>
    </row>
    <row r="93" ht="89.25" spans="1:10">
      <c r="A93" s="390"/>
      <c r="B93" s="381"/>
      <c r="C93" s="381"/>
      <c r="D93" s="248"/>
      <c r="E93" s="334"/>
      <c r="F93" s="231" t="s">
        <v>350</v>
      </c>
      <c r="G93" s="334"/>
      <c r="H93" s="335"/>
      <c r="I93" s="335"/>
      <c r="J93" s="381"/>
    </row>
    <row r="94" spans="1:10">
      <c r="A94" s="390"/>
      <c r="B94" s="381"/>
      <c r="C94" s="381"/>
      <c r="D94" s="248"/>
      <c r="E94" s="334"/>
      <c r="F94" s="249" t="s">
        <v>351</v>
      </c>
      <c r="G94" s="334"/>
      <c r="H94" s="335"/>
      <c r="I94" s="335"/>
      <c r="J94" s="381"/>
    </row>
    <row r="95" ht="25.5" spans="1:10">
      <c r="A95" s="390"/>
      <c r="B95" s="381"/>
      <c r="C95" s="381"/>
      <c r="D95" s="248"/>
      <c r="E95" s="334"/>
      <c r="F95" s="231" t="s">
        <v>352</v>
      </c>
      <c r="G95" s="334"/>
      <c r="H95" s="335"/>
      <c r="I95" s="335"/>
      <c r="J95" s="381"/>
    </row>
    <row r="96" spans="1:10">
      <c r="A96" s="390"/>
      <c r="B96" s="381"/>
      <c r="C96" s="381"/>
      <c r="D96" s="248"/>
      <c r="E96" s="248"/>
      <c r="F96" s="395" t="s">
        <v>255</v>
      </c>
      <c r="G96" s="334"/>
      <c r="H96" s="335"/>
      <c r="I96" s="335"/>
      <c r="J96" s="381"/>
    </row>
    <row r="97" ht="63.75" spans="1:10">
      <c r="A97" s="390"/>
      <c r="B97" s="381"/>
      <c r="C97" s="381"/>
      <c r="D97" s="248"/>
      <c r="E97" s="334"/>
      <c r="F97" s="394" t="s">
        <v>353</v>
      </c>
      <c r="G97" s="334"/>
      <c r="H97" s="335"/>
      <c r="I97" s="335"/>
      <c r="J97" s="381"/>
    </row>
    <row r="98" spans="1:10">
      <c r="A98" s="390"/>
      <c r="B98" s="381"/>
      <c r="C98" s="381"/>
      <c r="D98" s="381"/>
      <c r="E98" s="391"/>
      <c r="F98" s="391"/>
      <c r="G98" s="391"/>
      <c r="H98" s="339"/>
      <c r="I98" s="339"/>
      <c r="J98" s="381"/>
    </row>
    <row r="99" ht="25.5" spans="1:10">
      <c r="A99" s="396">
        <v>3.14</v>
      </c>
      <c r="B99" s="364"/>
      <c r="C99" s="364"/>
      <c r="D99" s="230" t="s">
        <v>83</v>
      </c>
      <c r="E99" s="230" t="s">
        <v>354</v>
      </c>
      <c r="F99" s="237" t="s">
        <v>355</v>
      </c>
      <c r="G99" s="229" t="s">
        <v>98</v>
      </c>
      <c r="H99" s="243">
        <v>10</v>
      </c>
      <c r="I99" s="243">
        <v>6500</v>
      </c>
      <c r="J99" s="378">
        <f>SUM(H99*I99)</f>
        <v>65000</v>
      </c>
    </row>
    <row r="100" ht="114.75" spans="1:10">
      <c r="A100" s="363"/>
      <c r="B100" s="364"/>
      <c r="C100" s="364"/>
      <c r="D100" s="364"/>
      <c r="E100" s="364"/>
      <c r="F100" s="229" t="s">
        <v>356</v>
      </c>
      <c r="G100" s="237"/>
      <c r="H100" s="365"/>
      <c r="I100" s="365"/>
      <c r="J100" s="230"/>
    </row>
    <row r="101" spans="1:10">
      <c r="A101" s="390"/>
      <c r="B101" s="381"/>
      <c r="C101" s="381"/>
      <c r="D101" s="381"/>
      <c r="E101" s="391"/>
      <c r="F101" s="391"/>
      <c r="G101" s="391"/>
      <c r="H101" s="339"/>
      <c r="I101" s="339"/>
      <c r="J101" s="381"/>
    </row>
    <row r="102" spans="1:10">
      <c r="A102" s="396">
        <v>3.15</v>
      </c>
      <c r="B102" s="364"/>
      <c r="C102" s="364"/>
      <c r="D102" s="230"/>
      <c r="E102" s="230"/>
      <c r="F102" s="393" t="s">
        <v>75</v>
      </c>
      <c r="G102" s="334" t="s">
        <v>63</v>
      </c>
      <c r="H102" s="335">
        <v>22</v>
      </c>
      <c r="I102" s="335">
        <v>10600</v>
      </c>
      <c r="J102" s="240">
        <f>SUM(H102*I102)</f>
        <v>233200</v>
      </c>
    </row>
    <row r="103" ht="216.75" spans="1:10">
      <c r="A103" s="363"/>
      <c r="B103" s="364"/>
      <c r="C103" s="364"/>
      <c r="D103" s="230"/>
      <c r="E103" s="230"/>
      <c r="F103" s="231" t="s">
        <v>357</v>
      </c>
      <c r="G103" s="229"/>
      <c r="H103" s="243"/>
      <c r="I103" s="243"/>
      <c r="J103" s="378"/>
    </row>
    <row r="104" spans="1:10">
      <c r="A104" s="363"/>
      <c r="B104" s="364"/>
      <c r="C104" s="364"/>
      <c r="D104" s="230"/>
      <c r="E104" s="230"/>
      <c r="F104" s="231"/>
      <c r="G104" s="229"/>
      <c r="H104" s="243"/>
      <c r="I104" s="243"/>
      <c r="J104" s="378"/>
    </row>
    <row r="105" spans="1:10">
      <c r="A105" s="396">
        <v>3.16</v>
      </c>
      <c r="B105" s="364"/>
      <c r="C105" s="364"/>
      <c r="D105" s="230"/>
      <c r="E105" s="230"/>
      <c r="F105" s="393" t="s">
        <v>358</v>
      </c>
      <c r="G105" s="334" t="s">
        <v>359</v>
      </c>
      <c r="H105" s="335">
        <v>10</v>
      </c>
      <c r="I105" s="335">
        <v>11850</v>
      </c>
      <c r="J105" s="240">
        <f>SUM(H105*I105)</f>
        <v>118500</v>
      </c>
    </row>
    <row r="106" ht="89.25" spans="1:10">
      <c r="A106" s="363"/>
      <c r="B106" s="364"/>
      <c r="C106" s="364"/>
      <c r="D106" s="230"/>
      <c r="E106" s="230"/>
      <c r="F106" s="231" t="s">
        <v>360</v>
      </c>
      <c r="G106" s="229"/>
      <c r="H106" s="243"/>
      <c r="I106" s="243"/>
      <c r="J106" s="378"/>
    </row>
    <row r="107" spans="1:10">
      <c r="A107" s="363"/>
      <c r="B107" s="364"/>
      <c r="C107" s="364"/>
      <c r="D107" s="230"/>
      <c r="E107" s="230"/>
      <c r="F107" s="237"/>
      <c r="G107" s="229"/>
      <c r="H107" s="243"/>
      <c r="I107" s="243"/>
      <c r="J107" s="378"/>
    </row>
    <row r="108" spans="1:10">
      <c r="A108" s="396">
        <v>3.17</v>
      </c>
      <c r="B108" s="364"/>
      <c r="C108" s="364"/>
      <c r="D108" s="230"/>
      <c r="E108" s="230"/>
      <c r="F108" s="237" t="s">
        <v>361</v>
      </c>
      <c r="G108" s="334" t="s">
        <v>63</v>
      </c>
      <c r="H108" s="335">
        <v>6</v>
      </c>
      <c r="I108" s="335">
        <v>8600</v>
      </c>
      <c r="J108" s="240">
        <f>SUM(H108*I108)</f>
        <v>51600</v>
      </c>
    </row>
    <row r="109" ht="89.25" spans="1:10">
      <c r="A109" s="363"/>
      <c r="B109" s="364"/>
      <c r="C109" s="364"/>
      <c r="D109" s="230"/>
      <c r="E109" s="230"/>
      <c r="F109" s="229" t="s">
        <v>362</v>
      </c>
      <c r="G109" s="229"/>
      <c r="H109" s="243"/>
      <c r="I109" s="243"/>
      <c r="J109" s="378"/>
    </row>
    <row r="110" spans="1:10">
      <c r="A110" s="363"/>
      <c r="B110" s="364"/>
      <c r="C110" s="364"/>
      <c r="D110" s="230"/>
      <c r="E110" s="230"/>
      <c r="F110" s="237"/>
      <c r="G110" s="229"/>
      <c r="H110" s="243"/>
      <c r="I110" s="243"/>
      <c r="J110" s="378"/>
    </row>
    <row r="111" spans="1:10">
      <c r="A111" s="396">
        <v>3.18</v>
      </c>
      <c r="B111" s="364"/>
      <c r="C111" s="364"/>
      <c r="D111" s="230"/>
      <c r="E111" s="230"/>
      <c r="F111" s="237" t="s">
        <v>363</v>
      </c>
      <c r="G111" s="334" t="s">
        <v>130</v>
      </c>
      <c r="H111" s="335">
        <f>5*3.6</f>
        <v>18</v>
      </c>
      <c r="I111" s="335">
        <v>2850</v>
      </c>
      <c r="J111" s="240">
        <f>SUM(H111*I111)</f>
        <v>51300</v>
      </c>
    </row>
    <row r="112" ht="89.25" spans="1:10">
      <c r="A112" s="397"/>
      <c r="B112" s="309"/>
      <c r="C112" s="309"/>
      <c r="D112" s="381"/>
      <c r="E112" s="381"/>
      <c r="F112" s="231" t="s">
        <v>364</v>
      </c>
      <c r="G112" s="391"/>
      <c r="H112" s="339"/>
      <c r="I112" s="339"/>
      <c r="J112" s="403"/>
    </row>
    <row r="113" spans="1:10">
      <c r="A113" s="397"/>
      <c r="B113" s="309"/>
      <c r="C113" s="309"/>
      <c r="D113" s="381"/>
      <c r="E113" s="381"/>
      <c r="F113" s="398"/>
      <c r="G113" s="391"/>
      <c r="H113" s="339"/>
      <c r="I113" s="339"/>
      <c r="J113" s="403"/>
    </row>
    <row r="114" ht="25.5" spans="1:10">
      <c r="A114" s="396">
        <v>3.19</v>
      </c>
      <c r="B114" s="309"/>
      <c r="C114" s="309"/>
      <c r="D114" s="230" t="s">
        <v>365</v>
      </c>
      <c r="E114" s="230" t="s">
        <v>366</v>
      </c>
      <c r="F114" s="331" t="s">
        <v>367</v>
      </c>
      <c r="G114" s="391"/>
      <c r="H114" s="339"/>
      <c r="I114" s="339"/>
      <c r="J114" s="403"/>
    </row>
    <row r="115" spans="1:10">
      <c r="A115" s="397"/>
      <c r="B115" s="309"/>
      <c r="C115" s="309"/>
      <c r="D115" s="381"/>
      <c r="E115" s="381"/>
      <c r="F115" s="331" t="s">
        <v>368</v>
      </c>
      <c r="G115" s="229"/>
      <c r="H115" s="339"/>
      <c r="I115" s="339"/>
      <c r="J115" s="403"/>
    </row>
    <row r="116" ht="242.25" spans="1:10">
      <c r="A116" s="397"/>
      <c r="B116" s="309"/>
      <c r="C116" s="309"/>
      <c r="D116" s="381"/>
      <c r="E116" s="381"/>
      <c r="F116" s="239" t="s">
        <v>369</v>
      </c>
      <c r="G116" s="229"/>
      <c r="H116" s="339"/>
      <c r="I116" s="339"/>
      <c r="J116" s="403"/>
    </row>
    <row r="117" spans="1:10">
      <c r="A117" s="397"/>
      <c r="B117" s="309"/>
      <c r="C117" s="309"/>
      <c r="D117" s="381"/>
      <c r="E117" s="381"/>
      <c r="F117" s="331" t="s">
        <v>370</v>
      </c>
      <c r="G117" s="229"/>
      <c r="H117" s="339"/>
      <c r="I117" s="339"/>
      <c r="J117" s="403"/>
    </row>
    <row r="118" ht="76.5" spans="1:10">
      <c r="A118" s="397"/>
      <c r="B118" s="309"/>
      <c r="C118" s="309"/>
      <c r="D118" s="381"/>
      <c r="E118" s="381"/>
      <c r="F118" s="239" t="s">
        <v>371</v>
      </c>
      <c r="G118" s="229"/>
      <c r="H118" s="339"/>
      <c r="I118" s="339"/>
      <c r="J118" s="403"/>
    </row>
    <row r="119" spans="1:10">
      <c r="A119" s="397"/>
      <c r="B119" s="309"/>
      <c r="C119" s="309"/>
      <c r="D119" s="381"/>
      <c r="E119" s="381"/>
      <c r="F119" s="331" t="s">
        <v>372</v>
      </c>
      <c r="G119" s="229"/>
      <c r="H119" s="339"/>
      <c r="I119" s="339"/>
      <c r="J119" s="403"/>
    </row>
    <row r="120" ht="89.25" spans="1:10">
      <c r="A120" s="397"/>
      <c r="B120" s="309"/>
      <c r="C120" s="309"/>
      <c r="D120" s="381"/>
      <c r="E120" s="381"/>
      <c r="F120" s="239" t="s">
        <v>373</v>
      </c>
      <c r="G120" s="229"/>
      <c r="H120" s="339"/>
      <c r="I120" s="339"/>
      <c r="J120" s="403"/>
    </row>
    <row r="121" ht="25.5" spans="1:11">
      <c r="A121" s="397" t="s">
        <v>209</v>
      </c>
      <c r="B121" s="309"/>
      <c r="C121" s="309"/>
      <c r="D121" s="381"/>
      <c r="E121" s="381"/>
      <c r="F121" s="239" t="s">
        <v>374</v>
      </c>
      <c r="G121" s="229" t="s">
        <v>187</v>
      </c>
      <c r="H121" s="339">
        <v>1</v>
      </c>
      <c r="I121" s="339">
        <v>280000</v>
      </c>
      <c r="J121" s="240">
        <f t="shared" ref="J121:J124" si="12">SUM(H121*I121)</f>
        <v>280000</v>
      </c>
      <c r="K121" s="387"/>
    </row>
    <row r="122" ht="25.5" spans="1:10">
      <c r="A122" s="397" t="s">
        <v>211</v>
      </c>
      <c r="B122" s="309"/>
      <c r="C122" s="309"/>
      <c r="D122" s="381"/>
      <c r="E122" s="381"/>
      <c r="F122" s="239" t="s">
        <v>375</v>
      </c>
      <c r="G122" s="229" t="s">
        <v>187</v>
      </c>
      <c r="H122" s="339">
        <v>2</v>
      </c>
      <c r="I122" s="339">
        <v>230000</v>
      </c>
      <c r="J122" s="240">
        <f t="shared" si="12"/>
        <v>460000</v>
      </c>
    </row>
    <row r="123" spans="1:10">
      <c r="A123" s="397"/>
      <c r="B123" s="309"/>
      <c r="C123" s="309"/>
      <c r="D123" s="381"/>
      <c r="E123" s="381"/>
      <c r="F123" s="399"/>
      <c r="G123" s="391"/>
      <c r="H123" s="339"/>
      <c r="I123" s="339"/>
      <c r="J123" s="404"/>
    </row>
    <row r="124" spans="1:10">
      <c r="A124" s="400">
        <v>3.2</v>
      </c>
      <c r="B124" s="309"/>
      <c r="C124" s="309"/>
      <c r="D124" s="230" t="s">
        <v>376</v>
      </c>
      <c r="E124" s="230" t="s">
        <v>377</v>
      </c>
      <c r="F124" s="331" t="s">
        <v>378</v>
      </c>
      <c r="G124" s="229" t="s">
        <v>242</v>
      </c>
      <c r="H124" s="339">
        <v>12</v>
      </c>
      <c r="I124" s="339">
        <v>42000</v>
      </c>
      <c r="J124" s="240">
        <f t="shared" si="12"/>
        <v>504000</v>
      </c>
    </row>
    <row r="125" ht="25.5" spans="1:10">
      <c r="A125" s="397"/>
      <c r="B125" s="309"/>
      <c r="C125" s="309"/>
      <c r="D125" s="230"/>
      <c r="E125" s="229"/>
      <c r="F125" s="303" t="s">
        <v>379</v>
      </c>
      <c r="G125" s="229"/>
      <c r="H125" s="339"/>
      <c r="I125" s="339"/>
      <c r="J125" s="404"/>
    </row>
    <row r="126" ht="178.5" spans="1:10">
      <c r="A126" s="397"/>
      <c r="B126" s="309"/>
      <c r="C126" s="309"/>
      <c r="D126" s="230"/>
      <c r="E126" s="229"/>
      <c r="F126" s="226" t="s">
        <v>380</v>
      </c>
      <c r="G126" s="229"/>
      <c r="H126" s="339"/>
      <c r="I126" s="339"/>
      <c r="J126" s="404"/>
    </row>
    <row r="127" ht="13.5" spans="1:10">
      <c r="A127" s="390"/>
      <c r="B127" s="381"/>
      <c r="C127" s="381"/>
      <c r="D127" s="381"/>
      <c r="E127" s="391"/>
      <c r="F127" s="391"/>
      <c r="G127" s="391"/>
      <c r="H127" s="339"/>
      <c r="I127" s="339"/>
      <c r="J127" s="381"/>
    </row>
    <row r="128" ht="15.75" spans="1:10">
      <c r="A128" s="401" t="s">
        <v>108</v>
      </c>
      <c r="B128" s="341"/>
      <c r="C128" s="341"/>
      <c r="D128" s="341"/>
      <c r="E128" s="341"/>
      <c r="F128" s="342" t="s">
        <v>126</v>
      </c>
      <c r="G128" s="342"/>
      <c r="H128" s="343"/>
      <c r="I128" s="405"/>
      <c r="J128" s="383"/>
    </row>
    <row r="129" ht="15.75" customHeight="1" spans="1:10">
      <c r="A129" s="406"/>
      <c r="B129" s="345"/>
      <c r="C129" s="345"/>
      <c r="D129" s="345"/>
      <c r="E129" s="345"/>
      <c r="F129" s="346"/>
      <c r="G129" s="347"/>
      <c r="H129" s="222"/>
      <c r="I129" s="411"/>
      <c r="J129" s="347"/>
    </row>
    <row r="130" ht="15" spans="1:10">
      <c r="A130" s="348">
        <v>4.1</v>
      </c>
      <c r="B130" s="225"/>
      <c r="C130" s="225"/>
      <c r="D130" s="225" t="s">
        <v>127</v>
      </c>
      <c r="E130" s="225" t="s">
        <v>128</v>
      </c>
      <c r="F130" s="245" t="s">
        <v>273</v>
      </c>
      <c r="G130" s="174" t="s">
        <v>130</v>
      </c>
      <c r="H130" s="223">
        <v>10</v>
      </c>
      <c r="I130" s="412">
        <v>485</v>
      </c>
      <c r="J130" s="174">
        <f t="shared" ref="J130:J136" si="13">SUM(H130*I130)</f>
        <v>4850</v>
      </c>
    </row>
    <row r="131" ht="75" spans="1:10">
      <c r="A131" s="348"/>
      <c r="B131" s="225"/>
      <c r="C131" s="225"/>
      <c r="D131" s="225"/>
      <c r="E131" s="225"/>
      <c r="F131" s="232" t="s">
        <v>131</v>
      </c>
      <c r="G131" s="174"/>
      <c r="H131" s="223"/>
      <c r="I131" s="412"/>
      <c r="J131" s="174"/>
    </row>
    <row r="132" ht="15" spans="1:10">
      <c r="A132" s="348"/>
      <c r="B132" s="225"/>
      <c r="C132" s="225"/>
      <c r="D132" s="225"/>
      <c r="E132" s="225"/>
      <c r="F132" s="232"/>
      <c r="G132" s="174"/>
      <c r="H132" s="223"/>
      <c r="I132" s="412"/>
      <c r="J132" s="174"/>
    </row>
    <row r="133" ht="15" spans="1:10">
      <c r="A133" s="348">
        <v>4.2</v>
      </c>
      <c r="B133" s="225"/>
      <c r="C133" s="225"/>
      <c r="D133" s="225" t="s">
        <v>127</v>
      </c>
      <c r="E133" s="225" t="s">
        <v>134</v>
      </c>
      <c r="F133" s="245" t="s">
        <v>135</v>
      </c>
      <c r="G133" s="174" t="s">
        <v>130</v>
      </c>
      <c r="H133" s="223">
        <v>20</v>
      </c>
      <c r="I133" s="412">
        <v>375</v>
      </c>
      <c r="J133" s="174">
        <f t="shared" si="13"/>
        <v>7500</v>
      </c>
    </row>
    <row r="134" ht="75" spans="1:10">
      <c r="A134" s="348"/>
      <c r="B134" s="225"/>
      <c r="C134" s="225"/>
      <c r="D134" s="225"/>
      <c r="E134" s="225"/>
      <c r="F134" s="232" t="s">
        <v>136</v>
      </c>
      <c r="G134" s="174"/>
      <c r="H134" s="223"/>
      <c r="I134" s="412"/>
      <c r="J134" s="174"/>
    </row>
    <row r="135" ht="15" spans="1:10">
      <c r="A135" s="348"/>
      <c r="B135" s="225"/>
      <c r="C135" s="225"/>
      <c r="D135" s="225"/>
      <c r="E135" s="225"/>
      <c r="F135" s="232"/>
      <c r="G135" s="174"/>
      <c r="H135" s="223"/>
      <c r="I135" s="412"/>
      <c r="J135" s="174"/>
    </row>
    <row r="136" ht="30" spans="1:10">
      <c r="A136" s="348">
        <v>4.3</v>
      </c>
      <c r="B136" s="225"/>
      <c r="C136" s="225"/>
      <c r="D136" s="225" t="s">
        <v>127</v>
      </c>
      <c r="E136" s="225" t="s">
        <v>274</v>
      </c>
      <c r="F136" s="245" t="s">
        <v>275</v>
      </c>
      <c r="G136" s="174" t="s">
        <v>130</v>
      </c>
      <c r="H136" s="223">
        <v>10</v>
      </c>
      <c r="I136" s="412">
        <v>300</v>
      </c>
      <c r="J136" s="174">
        <f t="shared" si="13"/>
        <v>3000</v>
      </c>
    </row>
    <row r="137" ht="60" spans="1:10">
      <c r="A137" s="348"/>
      <c r="B137" s="225"/>
      <c r="C137" s="225"/>
      <c r="D137" s="225"/>
      <c r="E137" s="225"/>
      <c r="F137" s="232" t="s">
        <v>276</v>
      </c>
      <c r="G137" s="174"/>
      <c r="H137" s="223"/>
      <c r="I137" s="412"/>
      <c r="J137" s="174"/>
    </row>
    <row r="138" ht="15.75" spans="1:10">
      <c r="A138" s="348"/>
      <c r="B138" s="225"/>
      <c r="C138" s="225"/>
      <c r="D138" s="225"/>
      <c r="E138" s="225"/>
      <c r="F138" s="232"/>
      <c r="G138" s="174"/>
      <c r="H138" s="223"/>
      <c r="I138" s="412"/>
      <c r="J138" s="174"/>
    </row>
    <row r="139" ht="13.5" spans="1:10">
      <c r="A139" s="407"/>
      <c r="B139" s="408"/>
      <c r="C139" s="408"/>
      <c r="D139" s="408"/>
      <c r="E139" s="409"/>
      <c r="F139" s="312" t="s">
        <v>381</v>
      </c>
      <c r="G139" s="409"/>
      <c r="H139" s="410"/>
      <c r="I139" s="410"/>
      <c r="J139" s="373">
        <f>SUM(J7:J138)</f>
        <v>6132040</v>
      </c>
    </row>
  </sheetData>
  <mergeCells count="3">
    <mergeCell ref="A1:H1"/>
    <mergeCell ref="A2:H2"/>
    <mergeCell ref="I3:J3"/>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zoomScale="85" zoomScaleNormal="85" workbookViewId="0">
      <selection activeCell="V7" sqref="T7:V7"/>
    </sheetView>
  </sheetViews>
  <sheetFormatPr defaultColWidth="6.125" defaultRowHeight="12.75"/>
  <cols>
    <col min="1" max="1" width="6.75" style="253" customWidth="1"/>
    <col min="2" max="2" width="3.875" style="253" customWidth="1"/>
    <col min="3" max="3" width="3.375" style="253" customWidth="1"/>
    <col min="4" max="4" width="5.25" style="253" customWidth="1"/>
    <col min="5" max="5" width="8.625" style="253" customWidth="1"/>
    <col min="6" max="6" width="50.125" style="254" customWidth="1"/>
    <col min="7" max="7" width="4.375" style="253" customWidth="1"/>
    <col min="8" max="8" width="7" style="253" customWidth="1"/>
    <col min="9" max="9" width="8.625" style="253" customWidth="1"/>
    <col min="10" max="10" width="9.5" style="253" customWidth="1"/>
    <col min="11" max="11" width="10.875" style="255" customWidth="1"/>
    <col min="12" max="12" width="10.625" style="253" customWidth="1"/>
    <col min="13" max="248" width="6.125" style="253"/>
    <col min="249" max="249" width="5" style="253" customWidth="1"/>
    <col min="250" max="250" width="8.875" style="253" customWidth="1"/>
    <col min="251" max="251" width="5" style="253" customWidth="1"/>
    <col min="252" max="252" width="8.25" style="253" customWidth="1"/>
    <col min="253" max="253" width="16.125" style="253" customWidth="1"/>
    <col min="254" max="254" width="86" style="253" customWidth="1"/>
    <col min="255" max="255" width="5" style="253" customWidth="1"/>
    <col min="256" max="256" width="11.125" style="253" customWidth="1"/>
    <col min="257" max="257" width="10.375" style="253" customWidth="1"/>
    <col min="258" max="258" width="10.875" style="253" customWidth="1"/>
    <col min="259" max="259" width="7.75" style="253" customWidth="1"/>
    <col min="260" max="260" width="9.875" style="253" customWidth="1"/>
    <col min="261" max="261" width="10.625" style="253" customWidth="1"/>
    <col min="262" max="504" width="6.125" style="253"/>
    <col min="505" max="505" width="5" style="253" customWidth="1"/>
    <col min="506" max="506" width="8.875" style="253" customWidth="1"/>
    <col min="507" max="507" width="5" style="253" customWidth="1"/>
    <col min="508" max="508" width="8.25" style="253" customWidth="1"/>
    <col min="509" max="509" width="16.125" style="253" customWidth="1"/>
    <col min="510" max="510" width="86" style="253" customWidth="1"/>
    <col min="511" max="511" width="5" style="253" customWidth="1"/>
    <col min="512" max="512" width="11.125" style="253" customWidth="1"/>
    <col min="513" max="513" width="10.375" style="253" customWidth="1"/>
    <col min="514" max="514" width="10.875" style="253" customWidth="1"/>
    <col min="515" max="515" width="7.75" style="253" customWidth="1"/>
    <col min="516" max="516" width="9.875" style="253" customWidth="1"/>
    <col min="517" max="517" width="10.625" style="253" customWidth="1"/>
    <col min="518" max="760" width="6.125" style="253"/>
    <col min="761" max="761" width="5" style="253" customWidth="1"/>
    <col min="762" max="762" width="8.875" style="253" customWidth="1"/>
    <col min="763" max="763" width="5" style="253" customWidth="1"/>
    <col min="764" max="764" width="8.25" style="253" customWidth="1"/>
    <col min="765" max="765" width="16.125" style="253" customWidth="1"/>
    <col min="766" max="766" width="86" style="253" customWidth="1"/>
    <col min="767" max="767" width="5" style="253" customWidth="1"/>
    <col min="768" max="768" width="11.125" style="253" customWidth="1"/>
    <col min="769" max="769" width="10.375" style="253" customWidth="1"/>
    <col min="770" max="770" width="10.875" style="253" customWidth="1"/>
    <col min="771" max="771" width="7.75" style="253" customWidth="1"/>
    <col min="772" max="772" width="9.875" style="253" customWidth="1"/>
    <col min="773" max="773" width="10.625" style="253" customWidth="1"/>
    <col min="774" max="1016" width="6.125" style="253"/>
    <col min="1017" max="1017" width="5" style="253" customWidth="1"/>
    <col min="1018" max="1018" width="8.875" style="253" customWidth="1"/>
    <col min="1019" max="1019" width="5" style="253" customWidth="1"/>
    <col min="1020" max="1020" width="8.25" style="253" customWidth="1"/>
    <col min="1021" max="1021" width="16.125" style="253" customWidth="1"/>
    <col min="1022" max="1022" width="86" style="253" customWidth="1"/>
    <col min="1023" max="1023" width="5" style="253" customWidth="1"/>
    <col min="1024" max="1024" width="11.125" style="253" customWidth="1"/>
    <col min="1025" max="1025" width="10.375" style="253" customWidth="1"/>
    <col min="1026" max="1026" width="10.875" style="253" customWidth="1"/>
    <col min="1027" max="1027" width="7.75" style="253" customWidth="1"/>
    <col min="1028" max="1028" width="9.875" style="253" customWidth="1"/>
    <col min="1029" max="1029" width="10.625" style="253" customWidth="1"/>
    <col min="1030" max="1272" width="6.125" style="253"/>
    <col min="1273" max="1273" width="5" style="253" customWidth="1"/>
    <col min="1274" max="1274" width="8.875" style="253" customWidth="1"/>
    <col min="1275" max="1275" width="5" style="253" customWidth="1"/>
    <col min="1276" max="1276" width="8.25" style="253" customWidth="1"/>
    <col min="1277" max="1277" width="16.125" style="253" customWidth="1"/>
    <col min="1278" max="1278" width="86" style="253" customWidth="1"/>
    <col min="1279" max="1279" width="5" style="253" customWidth="1"/>
    <col min="1280" max="1280" width="11.125" style="253" customWidth="1"/>
    <col min="1281" max="1281" width="10.375" style="253" customWidth="1"/>
    <col min="1282" max="1282" width="10.875" style="253" customWidth="1"/>
    <col min="1283" max="1283" width="7.75" style="253" customWidth="1"/>
    <col min="1284" max="1284" width="9.875" style="253" customWidth="1"/>
    <col min="1285" max="1285" width="10.625" style="253" customWidth="1"/>
    <col min="1286" max="1528" width="6.125" style="253"/>
    <col min="1529" max="1529" width="5" style="253" customWidth="1"/>
    <col min="1530" max="1530" width="8.875" style="253" customWidth="1"/>
    <col min="1531" max="1531" width="5" style="253" customWidth="1"/>
    <col min="1532" max="1532" width="8.25" style="253" customWidth="1"/>
    <col min="1533" max="1533" width="16.125" style="253" customWidth="1"/>
    <col min="1534" max="1534" width="86" style="253" customWidth="1"/>
    <col min="1535" max="1535" width="5" style="253" customWidth="1"/>
    <col min="1536" max="1536" width="11.125" style="253" customWidth="1"/>
    <col min="1537" max="1537" width="10.375" style="253" customWidth="1"/>
    <col min="1538" max="1538" width="10.875" style="253" customWidth="1"/>
    <col min="1539" max="1539" width="7.75" style="253" customWidth="1"/>
    <col min="1540" max="1540" width="9.875" style="253" customWidth="1"/>
    <col min="1541" max="1541" width="10.625" style="253" customWidth="1"/>
    <col min="1542" max="1784" width="6.125" style="253"/>
    <col min="1785" max="1785" width="5" style="253" customWidth="1"/>
    <col min="1786" max="1786" width="8.875" style="253" customWidth="1"/>
    <col min="1787" max="1787" width="5" style="253" customWidth="1"/>
    <col min="1788" max="1788" width="8.25" style="253" customWidth="1"/>
    <col min="1789" max="1789" width="16.125" style="253" customWidth="1"/>
    <col min="1790" max="1790" width="86" style="253" customWidth="1"/>
    <col min="1791" max="1791" width="5" style="253" customWidth="1"/>
    <col min="1792" max="1792" width="11.125" style="253" customWidth="1"/>
    <col min="1793" max="1793" width="10.375" style="253" customWidth="1"/>
    <col min="1794" max="1794" width="10.875" style="253" customWidth="1"/>
    <col min="1795" max="1795" width="7.75" style="253" customWidth="1"/>
    <col min="1796" max="1796" width="9.875" style="253" customWidth="1"/>
    <col min="1797" max="1797" width="10.625" style="253" customWidth="1"/>
    <col min="1798" max="2040" width="6.125" style="253"/>
    <col min="2041" max="2041" width="5" style="253" customWidth="1"/>
    <col min="2042" max="2042" width="8.875" style="253" customWidth="1"/>
    <col min="2043" max="2043" width="5" style="253" customWidth="1"/>
    <col min="2044" max="2044" width="8.25" style="253" customWidth="1"/>
    <col min="2045" max="2045" width="16.125" style="253" customWidth="1"/>
    <col min="2046" max="2046" width="86" style="253" customWidth="1"/>
    <col min="2047" max="2047" width="5" style="253" customWidth="1"/>
    <col min="2048" max="2048" width="11.125" style="253" customWidth="1"/>
    <col min="2049" max="2049" width="10.375" style="253" customWidth="1"/>
    <col min="2050" max="2050" width="10.875" style="253" customWidth="1"/>
    <col min="2051" max="2051" width="7.75" style="253" customWidth="1"/>
    <col min="2052" max="2052" width="9.875" style="253" customWidth="1"/>
    <col min="2053" max="2053" width="10.625" style="253" customWidth="1"/>
    <col min="2054" max="2296" width="6.125" style="253"/>
    <col min="2297" max="2297" width="5" style="253" customWidth="1"/>
    <col min="2298" max="2298" width="8.875" style="253" customWidth="1"/>
    <col min="2299" max="2299" width="5" style="253" customWidth="1"/>
    <col min="2300" max="2300" width="8.25" style="253" customWidth="1"/>
    <col min="2301" max="2301" width="16.125" style="253" customWidth="1"/>
    <col min="2302" max="2302" width="86" style="253" customWidth="1"/>
    <col min="2303" max="2303" width="5" style="253" customWidth="1"/>
    <col min="2304" max="2304" width="11.125" style="253" customWidth="1"/>
    <col min="2305" max="2305" width="10.375" style="253" customWidth="1"/>
    <col min="2306" max="2306" width="10.875" style="253" customWidth="1"/>
    <col min="2307" max="2307" width="7.75" style="253" customWidth="1"/>
    <col min="2308" max="2308" width="9.875" style="253" customWidth="1"/>
    <col min="2309" max="2309" width="10.625" style="253" customWidth="1"/>
    <col min="2310" max="2552" width="6.125" style="253"/>
    <col min="2553" max="2553" width="5" style="253" customWidth="1"/>
    <col min="2554" max="2554" width="8.875" style="253" customWidth="1"/>
    <col min="2555" max="2555" width="5" style="253" customWidth="1"/>
    <col min="2556" max="2556" width="8.25" style="253" customWidth="1"/>
    <col min="2557" max="2557" width="16.125" style="253" customWidth="1"/>
    <col min="2558" max="2558" width="86" style="253" customWidth="1"/>
    <col min="2559" max="2559" width="5" style="253" customWidth="1"/>
    <col min="2560" max="2560" width="11.125" style="253" customWidth="1"/>
    <col min="2561" max="2561" width="10.375" style="253" customWidth="1"/>
    <col min="2562" max="2562" width="10.875" style="253" customWidth="1"/>
    <col min="2563" max="2563" width="7.75" style="253" customWidth="1"/>
    <col min="2564" max="2564" width="9.875" style="253" customWidth="1"/>
    <col min="2565" max="2565" width="10.625" style="253" customWidth="1"/>
    <col min="2566" max="2808" width="6.125" style="253"/>
    <col min="2809" max="2809" width="5" style="253" customWidth="1"/>
    <col min="2810" max="2810" width="8.875" style="253" customWidth="1"/>
    <col min="2811" max="2811" width="5" style="253" customWidth="1"/>
    <col min="2812" max="2812" width="8.25" style="253" customWidth="1"/>
    <col min="2813" max="2813" width="16.125" style="253" customWidth="1"/>
    <col min="2814" max="2814" width="86" style="253" customWidth="1"/>
    <col min="2815" max="2815" width="5" style="253" customWidth="1"/>
    <col min="2816" max="2816" width="11.125" style="253" customWidth="1"/>
    <col min="2817" max="2817" width="10.375" style="253" customWidth="1"/>
    <col min="2818" max="2818" width="10.875" style="253" customWidth="1"/>
    <col min="2819" max="2819" width="7.75" style="253" customWidth="1"/>
    <col min="2820" max="2820" width="9.875" style="253" customWidth="1"/>
    <col min="2821" max="2821" width="10.625" style="253" customWidth="1"/>
    <col min="2822" max="3064" width="6.125" style="253"/>
    <col min="3065" max="3065" width="5" style="253" customWidth="1"/>
    <col min="3066" max="3066" width="8.875" style="253" customWidth="1"/>
    <col min="3067" max="3067" width="5" style="253" customWidth="1"/>
    <col min="3068" max="3068" width="8.25" style="253" customWidth="1"/>
    <col min="3069" max="3069" width="16.125" style="253" customWidth="1"/>
    <col min="3070" max="3070" width="86" style="253" customWidth="1"/>
    <col min="3071" max="3071" width="5" style="253" customWidth="1"/>
    <col min="3072" max="3072" width="11.125" style="253" customWidth="1"/>
    <col min="3073" max="3073" width="10.375" style="253" customWidth="1"/>
    <col min="3074" max="3074" width="10.875" style="253" customWidth="1"/>
    <col min="3075" max="3075" width="7.75" style="253" customWidth="1"/>
    <col min="3076" max="3076" width="9.875" style="253" customWidth="1"/>
    <col min="3077" max="3077" width="10.625" style="253" customWidth="1"/>
    <col min="3078" max="3320" width="6.125" style="253"/>
    <col min="3321" max="3321" width="5" style="253" customWidth="1"/>
    <col min="3322" max="3322" width="8.875" style="253" customWidth="1"/>
    <col min="3323" max="3323" width="5" style="253" customWidth="1"/>
    <col min="3324" max="3324" width="8.25" style="253" customWidth="1"/>
    <col min="3325" max="3325" width="16.125" style="253" customWidth="1"/>
    <col min="3326" max="3326" width="86" style="253" customWidth="1"/>
    <col min="3327" max="3327" width="5" style="253" customWidth="1"/>
    <col min="3328" max="3328" width="11.125" style="253" customWidth="1"/>
    <col min="3329" max="3329" width="10.375" style="253" customWidth="1"/>
    <col min="3330" max="3330" width="10.875" style="253" customWidth="1"/>
    <col min="3331" max="3331" width="7.75" style="253" customWidth="1"/>
    <col min="3332" max="3332" width="9.875" style="253" customWidth="1"/>
    <col min="3333" max="3333" width="10.625" style="253" customWidth="1"/>
    <col min="3334" max="3576" width="6.125" style="253"/>
    <col min="3577" max="3577" width="5" style="253" customWidth="1"/>
    <col min="3578" max="3578" width="8.875" style="253" customWidth="1"/>
    <col min="3579" max="3579" width="5" style="253" customWidth="1"/>
    <col min="3580" max="3580" width="8.25" style="253" customWidth="1"/>
    <col min="3581" max="3581" width="16.125" style="253" customWidth="1"/>
    <col min="3582" max="3582" width="86" style="253" customWidth="1"/>
    <col min="3583" max="3583" width="5" style="253" customWidth="1"/>
    <col min="3584" max="3584" width="11.125" style="253" customWidth="1"/>
    <col min="3585" max="3585" width="10.375" style="253" customWidth="1"/>
    <col min="3586" max="3586" width="10.875" style="253" customWidth="1"/>
    <col min="3587" max="3587" width="7.75" style="253" customWidth="1"/>
    <col min="3588" max="3588" width="9.875" style="253" customWidth="1"/>
    <col min="3589" max="3589" width="10.625" style="253" customWidth="1"/>
    <col min="3590" max="3832" width="6.125" style="253"/>
    <col min="3833" max="3833" width="5" style="253" customWidth="1"/>
    <col min="3834" max="3834" width="8.875" style="253" customWidth="1"/>
    <col min="3835" max="3835" width="5" style="253" customWidth="1"/>
    <col min="3836" max="3836" width="8.25" style="253" customWidth="1"/>
    <col min="3837" max="3837" width="16.125" style="253" customWidth="1"/>
    <col min="3838" max="3838" width="86" style="253" customWidth="1"/>
    <col min="3839" max="3839" width="5" style="253" customWidth="1"/>
    <col min="3840" max="3840" width="11.125" style="253" customWidth="1"/>
    <col min="3841" max="3841" width="10.375" style="253" customWidth="1"/>
    <col min="3842" max="3842" width="10.875" style="253" customWidth="1"/>
    <col min="3843" max="3843" width="7.75" style="253" customWidth="1"/>
    <col min="3844" max="3844" width="9.875" style="253" customWidth="1"/>
    <col min="3845" max="3845" width="10.625" style="253" customWidth="1"/>
    <col min="3846" max="4088" width="6.125" style="253"/>
    <col min="4089" max="4089" width="5" style="253" customWidth="1"/>
    <col min="4090" max="4090" width="8.875" style="253" customWidth="1"/>
    <col min="4091" max="4091" width="5" style="253" customWidth="1"/>
    <col min="4092" max="4092" width="8.25" style="253" customWidth="1"/>
    <col min="4093" max="4093" width="16.125" style="253" customWidth="1"/>
    <col min="4094" max="4094" width="86" style="253" customWidth="1"/>
    <col min="4095" max="4095" width="5" style="253" customWidth="1"/>
    <col min="4096" max="4096" width="11.125" style="253" customWidth="1"/>
    <col min="4097" max="4097" width="10.375" style="253" customWidth="1"/>
    <col min="4098" max="4098" width="10.875" style="253" customWidth="1"/>
    <col min="4099" max="4099" width="7.75" style="253" customWidth="1"/>
    <col min="4100" max="4100" width="9.875" style="253" customWidth="1"/>
    <col min="4101" max="4101" width="10.625" style="253" customWidth="1"/>
    <col min="4102" max="4344" width="6.125" style="253"/>
    <col min="4345" max="4345" width="5" style="253" customWidth="1"/>
    <col min="4346" max="4346" width="8.875" style="253" customWidth="1"/>
    <col min="4347" max="4347" width="5" style="253" customWidth="1"/>
    <col min="4348" max="4348" width="8.25" style="253" customWidth="1"/>
    <col min="4349" max="4349" width="16.125" style="253" customWidth="1"/>
    <col min="4350" max="4350" width="86" style="253" customWidth="1"/>
    <col min="4351" max="4351" width="5" style="253" customWidth="1"/>
    <col min="4352" max="4352" width="11.125" style="253" customWidth="1"/>
    <col min="4353" max="4353" width="10.375" style="253" customWidth="1"/>
    <col min="4354" max="4354" width="10.875" style="253" customWidth="1"/>
    <col min="4355" max="4355" width="7.75" style="253" customWidth="1"/>
    <col min="4356" max="4356" width="9.875" style="253" customWidth="1"/>
    <col min="4357" max="4357" width="10.625" style="253" customWidth="1"/>
    <col min="4358" max="4600" width="6.125" style="253"/>
    <col min="4601" max="4601" width="5" style="253" customWidth="1"/>
    <col min="4602" max="4602" width="8.875" style="253" customWidth="1"/>
    <col min="4603" max="4603" width="5" style="253" customWidth="1"/>
    <col min="4604" max="4604" width="8.25" style="253" customWidth="1"/>
    <col min="4605" max="4605" width="16.125" style="253" customWidth="1"/>
    <col min="4606" max="4606" width="86" style="253" customWidth="1"/>
    <col min="4607" max="4607" width="5" style="253" customWidth="1"/>
    <col min="4608" max="4608" width="11.125" style="253" customWidth="1"/>
    <col min="4609" max="4609" width="10.375" style="253" customWidth="1"/>
    <col min="4610" max="4610" width="10.875" style="253" customWidth="1"/>
    <col min="4611" max="4611" width="7.75" style="253" customWidth="1"/>
    <col min="4612" max="4612" width="9.875" style="253" customWidth="1"/>
    <col min="4613" max="4613" width="10.625" style="253" customWidth="1"/>
    <col min="4614" max="4856" width="6.125" style="253"/>
    <col min="4857" max="4857" width="5" style="253" customWidth="1"/>
    <col min="4858" max="4858" width="8.875" style="253" customWidth="1"/>
    <col min="4859" max="4859" width="5" style="253" customWidth="1"/>
    <col min="4860" max="4860" width="8.25" style="253" customWidth="1"/>
    <col min="4861" max="4861" width="16.125" style="253" customWidth="1"/>
    <col min="4862" max="4862" width="86" style="253" customWidth="1"/>
    <col min="4863" max="4863" width="5" style="253" customWidth="1"/>
    <col min="4864" max="4864" width="11.125" style="253" customWidth="1"/>
    <col min="4865" max="4865" width="10.375" style="253" customWidth="1"/>
    <col min="4866" max="4866" width="10.875" style="253" customWidth="1"/>
    <col min="4867" max="4867" width="7.75" style="253" customWidth="1"/>
    <col min="4868" max="4868" width="9.875" style="253" customWidth="1"/>
    <col min="4869" max="4869" width="10.625" style="253" customWidth="1"/>
    <col min="4870" max="5112" width="6.125" style="253"/>
    <col min="5113" max="5113" width="5" style="253" customWidth="1"/>
    <col min="5114" max="5114" width="8.875" style="253" customWidth="1"/>
    <col min="5115" max="5115" width="5" style="253" customWidth="1"/>
    <col min="5116" max="5116" width="8.25" style="253" customWidth="1"/>
    <col min="5117" max="5117" width="16.125" style="253" customWidth="1"/>
    <col min="5118" max="5118" width="86" style="253" customWidth="1"/>
    <col min="5119" max="5119" width="5" style="253" customWidth="1"/>
    <col min="5120" max="5120" width="11.125" style="253" customWidth="1"/>
    <col min="5121" max="5121" width="10.375" style="253" customWidth="1"/>
    <col min="5122" max="5122" width="10.875" style="253" customWidth="1"/>
    <col min="5123" max="5123" width="7.75" style="253" customWidth="1"/>
    <col min="5124" max="5124" width="9.875" style="253" customWidth="1"/>
    <col min="5125" max="5125" width="10.625" style="253" customWidth="1"/>
    <col min="5126" max="5368" width="6.125" style="253"/>
    <col min="5369" max="5369" width="5" style="253" customWidth="1"/>
    <col min="5370" max="5370" width="8.875" style="253" customWidth="1"/>
    <col min="5371" max="5371" width="5" style="253" customWidth="1"/>
    <col min="5372" max="5372" width="8.25" style="253" customWidth="1"/>
    <col min="5373" max="5373" width="16.125" style="253" customWidth="1"/>
    <col min="5374" max="5374" width="86" style="253" customWidth="1"/>
    <col min="5375" max="5375" width="5" style="253" customWidth="1"/>
    <col min="5376" max="5376" width="11.125" style="253" customWidth="1"/>
    <col min="5377" max="5377" width="10.375" style="253" customWidth="1"/>
    <col min="5378" max="5378" width="10.875" style="253" customWidth="1"/>
    <col min="5379" max="5379" width="7.75" style="253" customWidth="1"/>
    <col min="5380" max="5380" width="9.875" style="253" customWidth="1"/>
    <col min="5381" max="5381" width="10.625" style="253" customWidth="1"/>
    <col min="5382" max="5624" width="6.125" style="253"/>
    <col min="5625" max="5625" width="5" style="253" customWidth="1"/>
    <col min="5626" max="5626" width="8.875" style="253" customWidth="1"/>
    <col min="5627" max="5627" width="5" style="253" customWidth="1"/>
    <col min="5628" max="5628" width="8.25" style="253" customWidth="1"/>
    <col min="5629" max="5629" width="16.125" style="253" customWidth="1"/>
    <col min="5630" max="5630" width="86" style="253" customWidth="1"/>
    <col min="5631" max="5631" width="5" style="253" customWidth="1"/>
    <col min="5632" max="5632" width="11.125" style="253" customWidth="1"/>
    <col min="5633" max="5633" width="10.375" style="253" customWidth="1"/>
    <col min="5634" max="5634" width="10.875" style="253" customWidth="1"/>
    <col min="5635" max="5635" width="7.75" style="253" customWidth="1"/>
    <col min="5636" max="5636" width="9.875" style="253" customWidth="1"/>
    <col min="5637" max="5637" width="10.625" style="253" customWidth="1"/>
    <col min="5638" max="5880" width="6.125" style="253"/>
    <col min="5881" max="5881" width="5" style="253" customWidth="1"/>
    <col min="5882" max="5882" width="8.875" style="253" customWidth="1"/>
    <col min="5883" max="5883" width="5" style="253" customWidth="1"/>
    <col min="5884" max="5884" width="8.25" style="253" customWidth="1"/>
    <col min="5885" max="5885" width="16.125" style="253" customWidth="1"/>
    <col min="5886" max="5886" width="86" style="253" customWidth="1"/>
    <col min="5887" max="5887" width="5" style="253" customWidth="1"/>
    <col min="5888" max="5888" width="11.125" style="253" customWidth="1"/>
    <col min="5889" max="5889" width="10.375" style="253" customWidth="1"/>
    <col min="5890" max="5890" width="10.875" style="253" customWidth="1"/>
    <col min="5891" max="5891" width="7.75" style="253" customWidth="1"/>
    <col min="5892" max="5892" width="9.875" style="253" customWidth="1"/>
    <col min="5893" max="5893" width="10.625" style="253" customWidth="1"/>
    <col min="5894" max="6136" width="6.125" style="253"/>
    <col min="6137" max="6137" width="5" style="253" customWidth="1"/>
    <col min="6138" max="6138" width="8.875" style="253" customWidth="1"/>
    <col min="6139" max="6139" width="5" style="253" customWidth="1"/>
    <col min="6140" max="6140" width="8.25" style="253" customWidth="1"/>
    <col min="6141" max="6141" width="16.125" style="253" customWidth="1"/>
    <col min="6142" max="6142" width="86" style="253" customWidth="1"/>
    <col min="6143" max="6143" width="5" style="253" customWidth="1"/>
    <col min="6144" max="6144" width="11.125" style="253" customWidth="1"/>
    <col min="6145" max="6145" width="10.375" style="253" customWidth="1"/>
    <col min="6146" max="6146" width="10.875" style="253" customWidth="1"/>
    <col min="6147" max="6147" width="7.75" style="253" customWidth="1"/>
    <col min="6148" max="6148" width="9.875" style="253" customWidth="1"/>
    <col min="6149" max="6149" width="10.625" style="253" customWidth="1"/>
    <col min="6150" max="6392" width="6.125" style="253"/>
    <col min="6393" max="6393" width="5" style="253" customWidth="1"/>
    <col min="6394" max="6394" width="8.875" style="253" customWidth="1"/>
    <col min="6395" max="6395" width="5" style="253" customWidth="1"/>
    <col min="6396" max="6396" width="8.25" style="253" customWidth="1"/>
    <col min="6397" max="6397" width="16.125" style="253" customWidth="1"/>
    <col min="6398" max="6398" width="86" style="253" customWidth="1"/>
    <col min="6399" max="6399" width="5" style="253" customWidth="1"/>
    <col min="6400" max="6400" width="11.125" style="253" customWidth="1"/>
    <col min="6401" max="6401" width="10.375" style="253" customWidth="1"/>
    <col min="6402" max="6402" width="10.875" style="253" customWidth="1"/>
    <col min="6403" max="6403" width="7.75" style="253" customWidth="1"/>
    <col min="6404" max="6404" width="9.875" style="253" customWidth="1"/>
    <col min="6405" max="6405" width="10.625" style="253" customWidth="1"/>
    <col min="6406" max="6648" width="6.125" style="253"/>
    <col min="6649" max="6649" width="5" style="253" customWidth="1"/>
    <col min="6650" max="6650" width="8.875" style="253" customWidth="1"/>
    <col min="6651" max="6651" width="5" style="253" customWidth="1"/>
    <col min="6652" max="6652" width="8.25" style="253" customWidth="1"/>
    <col min="6653" max="6653" width="16.125" style="253" customWidth="1"/>
    <col min="6654" max="6654" width="86" style="253" customWidth="1"/>
    <col min="6655" max="6655" width="5" style="253" customWidth="1"/>
    <col min="6656" max="6656" width="11.125" style="253" customWidth="1"/>
    <col min="6657" max="6657" width="10.375" style="253" customWidth="1"/>
    <col min="6658" max="6658" width="10.875" style="253" customWidth="1"/>
    <col min="6659" max="6659" width="7.75" style="253" customWidth="1"/>
    <col min="6660" max="6660" width="9.875" style="253" customWidth="1"/>
    <col min="6661" max="6661" width="10.625" style="253" customWidth="1"/>
    <col min="6662" max="6904" width="6.125" style="253"/>
    <col min="6905" max="6905" width="5" style="253" customWidth="1"/>
    <col min="6906" max="6906" width="8.875" style="253" customWidth="1"/>
    <col min="6907" max="6907" width="5" style="253" customWidth="1"/>
    <col min="6908" max="6908" width="8.25" style="253" customWidth="1"/>
    <col min="6909" max="6909" width="16.125" style="253" customWidth="1"/>
    <col min="6910" max="6910" width="86" style="253" customWidth="1"/>
    <col min="6911" max="6911" width="5" style="253" customWidth="1"/>
    <col min="6912" max="6912" width="11.125" style="253" customWidth="1"/>
    <col min="6913" max="6913" width="10.375" style="253" customWidth="1"/>
    <col min="6914" max="6914" width="10.875" style="253" customWidth="1"/>
    <col min="6915" max="6915" width="7.75" style="253" customWidth="1"/>
    <col min="6916" max="6916" width="9.875" style="253" customWidth="1"/>
    <col min="6917" max="6917" width="10.625" style="253" customWidth="1"/>
    <col min="6918" max="7160" width="6.125" style="253"/>
    <col min="7161" max="7161" width="5" style="253" customWidth="1"/>
    <col min="7162" max="7162" width="8.875" style="253" customWidth="1"/>
    <col min="7163" max="7163" width="5" style="253" customWidth="1"/>
    <col min="7164" max="7164" width="8.25" style="253" customWidth="1"/>
    <col min="7165" max="7165" width="16.125" style="253" customWidth="1"/>
    <col min="7166" max="7166" width="86" style="253" customWidth="1"/>
    <col min="7167" max="7167" width="5" style="253" customWidth="1"/>
    <col min="7168" max="7168" width="11.125" style="253" customWidth="1"/>
    <col min="7169" max="7169" width="10.375" style="253" customWidth="1"/>
    <col min="7170" max="7170" width="10.875" style="253" customWidth="1"/>
    <col min="7171" max="7171" width="7.75" style="253" customWidth="1"/>
    <col min="7172" max="7172" width="9.875" style="253" customWidth="1"/>
    <col min="7173" max="7173" width="10.625" style="253" customWidth="1"/>
    <col min="7174" max="7416" width="6.125" style="253"/>
    <col min="7417" max="7417" width="5" style="253" customWidth="1"/>
    <col min="7418" max="7418" width="8.875" style="253" customWidth="1"/>
    <col min="7419" max="7419" width="5" style="253" customWidth="1"/>
    <col min="7420" max="7420" width="8.25" style="253" customWidth="1"/>
    <col min="7421" max="7421" width="16.125" style="253" customWidth="1"/>
    <col min="7422" max="7422" width="86" style="253" customWidth="1"/>
    <col min="7423" max="7423" width="5" style="253" customWidth="1"/>
    <col min="7424" max="7424" width="11.125" style="253" customWidth="1"/>
    <col min="7425" max="7425" width="10.375" style="253" customWidth="1"/>
    <col min="7426" max="7426" width="10.875" style="253" customWidth="1"/>
    <col min="7427" max="7427" width="7.75" style="253" customWidth="1"/>
    <col min="7428" max="7428" width="9.875" style="253" customWidth="1"/>
    <col min="7429" max="7429" width="10.625" style="253" customWidth="1"/>
    <col min="7430" max="7672" width="6.125" style="253"/>
    <col min="7673" max="7673" width="5" style="253" customWidth="1"/>
    <col min="7674" max="7674" width="8.875" style="253" customWidth="1"/>
    <col min="7675" max="7675" width="5" style="253" customWidth="1"/>
    <col min="7676" max="7676" width="8.25" style="253" customWidth="1"/>
    <col min="7677" max="7677" width="16.125" style="253" customWidth="1"/>
    <col min="7678" max="7678" width="86" style="253" customWidth="1"/>
    <col min="7679" max="7679" width="5" style="253" customWidth="1"/>
    <col min="7680" max="7680" width="11.125" style="253" customWidth="1"/>
    <col min="7681" max="7681" width="10.375" style="253" customWidth="1"/>
    <col min="7682" max="7682" width="10.875" style="253" customWidth="1"/>
    <col min="7683" max="7683" width="7.75" style="253" customWidth="1"/>
    <col min="7684" max="7684" width="9.875" style="253" customWidth="1"/>
    <col min="7685" max="7685" width="10.625" style="253" customWidth="1"/>
    <col min="7686" max="7928" width="6.125" style="253"/>
    <col min="7929" max="7929" width="5" style="253" customWidth="1"/>
    <col min="7930" max="7930" width="8.875" style="253" customWidth="1"/>
    <col min="7931" max="7931" width="5" style="253" customWidth="1"/>
    <col min="7932" max="7932" width="8.25" style="253" customWidth="1"/>
    <col min="7933" max="7933" width="16.125" style="253" customWidth="1"/>
    <col min="7934" max="7934" width="86" style="253" customWidth="1"/>
    <col min="7935" max="7935" width="5" style="253" customWidth="1"/>
    <col min="7936" max="7936" width="11.125" style="253" customWidth="1"/>
    <col min="7937" max="7937" width="10.375" style="253" customWidth="1"/>
    <col min="7938" max="7938" width="10.875" style="253" customWidth="1"/>
    <col min="7939" max="7939" width="7.75" style="253" customWidth="1"/>
    <col min="7940" max="7940" width="9.875" style="253" customWidth="1"/>
    <col min="7941" max="7941" width="10.625" style="253" customWidth="1"/>
    <col min="7942" max="8184" width="6.125" style="253"/>
    <col min="8185" max="8185" width="5" style="253" customWidth="1"/>
    <col min="8186" max="8186" width="8.875" style="253" customWidth="1"/>
    <col min="8187" max="8187" width="5" style="253" customWidth="1"/>
    <col min="8188" max="8188" width="8.25" style="253" customWidth="1"/>
    <col min="8189" max="8189" width="16.125" style="253" customWidth="1"/>
    <col min="8190" max="8190" width="86" style="253" customWidth="1"/>
    <col min="8191" max="8191" width="5" style="253" customWidth="1"/>
    <col min="8192" max="8192" width="11.125" style="253" customWidth="1"/>
    <col min="8193" max="8193" width="10.375" style="253" customWidth="1"/>
    <col min="8194" max="8194" width="10.875" style="253" customWidth="1"/>
    <col min="8195" max="8195" width="7.75" style="253" customWidth="1"/>
    <col min="8196" max="8196" width="9.875" style="253" customWidth="1"/>
    <col min="8197" max="8197" width="10.625" style="253" customWidth="1"/>
    <col min="8198" max="8440" width="6.125" style="253"/>
    <col min="8441" max="8441" width="5" style="253" customWidth="1"/>
    <col min="8442" max="8442" width="8.875" style="253" customWidth="1"/>
    <col min="8443" max="8443" width="5" style="253" customWidth="1"/>
    <col min="8444" max="8444" width="8.25" style="253" customWidth="1"/>
    <col min="8445" max="8445" width="16.125" style="253" customWidth="1"/>
    <col min="8446" max="8446" width="86" style="253" customWidth="1"/>
    <col min="8447" max="8447" width="5" style="253" customWidth="1"/>
    <col min="8448" max="8448" width="11.125" style="253" customWidth="1"/>
    <col min="8449" max="8449" width="10.375" style="253" customWidth="1"/>
    <col min="8450" max="8450" width="10.875" style="253" customWidth="1"/>
    <col min="8451" max="8451" width="7.75" style="253" customWidth="1"/>
    <col min="8452" max="8452" width="9.875" style="253" customWidth="1"/>
    <col min="8453" max="8453" width="10.625" style="253" customWidth="1"/>
    <col min="8454" max="8696" width="6.125" style="253"/>
    <col min="8697" max="8697" width="5" style="253" customWidth="1"/>
    <col min="8698" max="8698" width="8.875" style="253" customWidth="1"/>
    <col min="8699" max="8699" width="5" style="253" customWidth="1"/>
    <col min="8700" max="8700" width="8.25" style="253" customWidth="1"/>
    <col min="8701" max="8701" width="16.125" style="253" customWidth="1"/>
    <col min="8702" max="8702" width="86" style="253" customWidth="1"/>
    <col min="8703" max="8703" width="5" style="253" customWidth="1"/>
    <col min="8704" max="8704" width="11.125" style="253" customWidth="1"/>
    <col min="8705" max="8705" width="10.375" style="253" customWidth="1"/>
    <col min="8706" max="8706" width="10.875" style="253" customWidth="1"/>
    <col min="8707" max="8707" width="7.75" style="253" customWidth="1"/>
    <col min="8708" max="8708" width="9.875" style="253" customWidth="1"/>
    <col min="8709" max="8709" width="10.625" style="253" customWidth="1"/>
    <col min="8710" max="8952" width="6.125" style="253"/>
    <col min="8953" max="8953" width="5" style="253" customWidth="1"/>
    <col min="8954" max="8954" width="8.875" style="253" customWidth="1"/>
    <col min="8955" max="8955" width="5" style="253" customWidth="1"/>
    <col min="8956" max="8956" width="8.25" style="253" customWidth="1"/>
    <col min="8957" max="8957" width="16.125" style="253" customWidth="1"/>
    <col min="8958" max="8958" width="86" style="253" customWidth="1"/>
    <col min="8959" max="8959" width="5" style="253" customWidth="1"/>
    <col min="8960" max="8960" width="11.125" style="253" customWidth="1"/>
    <col min="8961" max="8961" width="10.375" style="253" customWidth="1"/>
    <col min="8962" max="8962" width="10.875" style="253" customWidth="1"/>
    <col min="8963" max="8963" width="7.75" style="253" customWidth="1"/>
    <col min="8964" max="8964" width="9.875" style="253" customWidth="1"/>
    <col min="8965" max="8965" width="10.625" style="253" customWidth="1"/>
    <col min="8966" max="9208" width="6.125" style="253"/>
    <col min="9209" max="9209" width="5" style="253" customWidth="1"/>
    <col min="9210" max="9210" width="8.875" style="253" customWidth="1"/>
    <col min="9211" max="9211" width="5" style="253" customWidth="1"/>
    <col min="9212" max="9212" width="8.25" style="253" customWidth="1"/>
    <col min="9213" max="9213" width="16.125" style="253" customWidth="1"/>
    <col min="9214" max="9214" width="86" style="253" customWidth="1"/>
    <col min="9215" max="9215" width="5" style="253" customWidth="1"/>
    <col min="9216" max="9216" width="11.125" style="253" customWidth="1"/>
    <col min="9217" max="9217" width="10.375" style="253" customWidth="1"/>
    <col min="9218" max="9218" width="10.875" style="253" customWidth="1"/>
    <col min="9219" max="9219" width="7.75" style="253" customWidth="1"/>
    <col min="9220" max="9220" width="9.875" style="253" customWidth="1"/>
    <col min="9221" max="9221" width="10.625" style="253" customWidth="1"/>
    <col min="9222" max="9464" width="6.125" style="253"/>
    <col min="9465" max="9465" width="5" style="253" customWidth="1"/>
    <col min="9466" max="9466" width="8.875" style="253" customWidth="1"/>
    <col min="9467" max="9467" width="5" style="253" customWidth="1"/>
    <col min="9468" max="9468" width="8.25" style="253" customWidth="1"/>
    <col min="9469" max="9469" width="16.125" style="253" customWidth="1"/>
    <col min="9470" max="9470" width="86" style="253" customWidth="1"/>
    <col min="9471" max="9471" width="5" style="253" customWidth="1"/>
    <col min="9472" max="9472" width="11.125" style="253" customWidth="1"/>
    <col min="9473" max="9473" width="10.375" style="253" customWidth="1"/>
    <col min="9474" max="9474" width="10.875" style="253" customWidth="1"/>
    <col min="9475" max="9475" width="7.75" style="253" customWidth="1"/>
    <col min="9476" max="9476" width="9.875" style="253" customWidth="1"/>
    <col min="9477" max="9477" width="10.625" style="253" customWidth="1"/>
    <col min="9478" max="9720" width="6.125" style="253"/>
    <col min="9721" max="9721" width="5" style="253" customWidth="1"/>
    <col min="9722" max="9722" width="8.875" style="253" customWidth="1"/>
    <col min="9723" max="9723" width="5" style="253" customWidth="1"/>
    <col min="9724" max="9724" width="8.25" style="253" customWidth="1"/>
    <col min="9725" max="9725" width="16.125" style="253" customWidth="1"/>
    <col min="9726" max="9726" width="86" style="253" customWidth="1"/>
    <col min="9727" max="9727" width="5" style="253" customWidth="1"/>
    <col min="9728" max="9728" width="11.125" style="253" customWidth="1"/>
    <col min="9729" max="9729" width="10.375" style="253" customWidth="1"/>
    <col min="9730" max="9730" width="10.875" style="253" customWidth="1"/>
    <col min="9731" max="9731" width="7.75" style="253" customWidth="1"/>
    <col min="9732" max="9732" width="9.875" style="253" customWidth="1"/>
    <col min="9733" max="9733" width="10.625" style="253" customWidth="1"/>
    <col min="9734" max="9976" width="6.125" style="253"/>
    <col min="9977" max="9977" width="5" style="253" customWidth="1"/>
    <col min="9978" max="9978" width="8.875" style="253" customWidth="1"/>
    <col min="9979" max="9979" width="5" style="253" customWidth="1"/>
    <col min="9980" max="9980" width="8.25" style="253" customWidth="1"/>
    <col min="9981" max="9981" width="16.125" style="253" customWidth="1"/>
    <col min="9982" max="9982" width="86" style="253" customWidth="1"/>
    <col min="9983" max="9983" width="5" style="253" customWidth="1"/>
    <col min="9984" max="9984" width="11.125" style="253" customWidth="1"/>
    <col min="9985" max="9985" width="10.375" style="253" customWidth="1"/>
    <col min="9986" max="9986" width="10.875" style="253" customWidth="1"/>
    <col min="9987" max="9987" width="7.75" style="253" customWidth="1"/>
    <col min="9988" max="9988" width="9.875" style="253" customWidth="1"/>
    <col min="9989" max="9989" width="10.625" style="253" customWidth="1"/>
    <col min="9990" max="10232" width="6.125" style="253"/>
    <col min="10233" max="10233" width="5" style="253" customWidth="1"/>
    <col min="10234" max="10234" width="8.875" style="253" customWidth="1"/>
    <col min="10235" max="10235" width="5" style="253" customWidth="1"/>
    <col min="10236" max="10236" width="8.25" style="253" customWidth="1"/>
    <col min="10237" max="10237" width="16.125" style="253" customWidth="1"/>
    <col min="10238" max="10238" width="86" style="253" customWidth="1"/>
    <col min="10239" max="10239" width="5" style="253" customWidth="1"/>
    <col min="10240" max="10240" width="11.125" style="253" customWidth="1"/>
    <col min="10241" max="10241" width="10.375" style="253" customWidth="1"/>
    <col min="10242" max="10242" width="10.875" style="253" customWidth="1"/>
    <col min="10243" max="10243" width="7.75" style="253" customWidth="1"/>
    <col min="10244" max="10244" width="9.875" style="253" customWidth="1"/>
    <col min="10245" max="10245" width="10.625" style="253" customWidth="1"/>
    <col min="10246" max="10488" width="6.125" style="253"/>
    <col min="10489" max="10489" width="5" style="253" customWidth="1"/>
    <col min="10490" max="10490" width="8.875" style="253" customWidth="1"/>
    <col min="10491" max="10491" width="5" style="253" customWidth="1"/>
    <col min="10492" max="10492" width="8.25" style="253" customWidth="1"/>
    <col min="10493" max="10493" width="16.125" style="253" customWidth="1"/>
    <col min="10494" max="10494" width="86" style="253" customWidth="1"/>
    <col min="10495" max="10495" width="5" style="253" customWidth="1"/>
    <col min="10496" max="10496" width="11.125" style="253" customWidth="1"/>
    <col min="10497" max="10497" width="10.375" style="253" customWidth="1"/>
    <col min="10498" max="10498" width="10.875" style="253" customWidth="1"/>
    <col min="10499" max="10499" width="7.75" style="253" customWidth="1"/>
    <col min="10500" max="10500" width="9.875" style="253" customWidth="1"/>
    <col min="10501" max="10501" width="10.625" style="253" customWidth="1"/>
    <col min="10502" max="10744" width="6.125" style="253"/>
    <col min="10745" max="10745" width="5" style="253" customWidth="1"/>
    <col min="10746" max="10746" width="8.875" style="253" customWidth="1"/>
    <col min="10747" max="10747" width="5" style="253" customWidth="1"/>
    <col min="10748" max="10748" width="8.25" style="253" customWidth="1"/>
    <col min="10749" max="10749" width="16.125" style="253" customWidth="1"/>
    <col min="10750" max="10750" width="86" style="253" customWidth="1"/>
    <col min="10751" max="10751" width="5" style="253" customWidth="1"/>
    <col min="10752" max="10752" width="11.125" style="253" customWidth="1"/>
    <col min="10753" max="10753" width="10.375" style="253" customWidth="1"/>
    <col min="10754" max="10754" width="10.875" style="253" customWidth="1"/>
    <col min="10755" max="10755" width="7.75" style="253" customWidth="1"/>
    <col min="10756" max="10756" width="9.875" style="253" customWidth="1"/>
    <col min="10757" max="10757" width="10.625" style="253" customWidth="1"/>
    <col min="10758" max="11000" width="6.125" style="253"/>
    <col min="11001" max="11001" width="5" style="253" customWidth="1"/>
    <col min="11002" max="11002" width="8.875" style="253" customWidth="1"/>
    <col min="11003" max="11003" width="5" style="253" customWidth="1"/>
    <col min="11004" max="11004" width="8.25" style="253" customWidth="1"/>
    <col min="11005" max="11005" width="16.125" style="253" customWidth="1"/>
    <col min="11006" max="11006" width="86" style="253" customWidth="1"/>
    <col min="11007" max="11007" width="5" style="253" customWidth="1"/>
    <col min="11008" max="11008" width="11.125" style="253" customWidth="1"/>
    <col min="11009" max="11009" width="10.375" style="253" customWidth="1"/>
    <col min="11010" max="11010" width="10.875" style="253" customWidth="1"/>
    <col min="11011" max="11011" width="7.75" style="253" customWidth="1"/>
    <col min="11012" max="11012" width="9.875" style="253" customWidth="1"/>
    <col min="11013" max="11013" width="10.625" style="253" customWidth="1"/>
    <col min="11014" max="11256" width="6.125" style="253"/>
    <col min="11257" max="11257" width="5" style="253" customWidth="1"/>
    <col min="11258" max="11258" width="8.875" style="253" customWidth="1"/>
    <col min="11259" max="11259" width="5" style="253" customWidth="1"/>
    <col min="11260" max="11260" width="8.25" style="253" customWidth="1"/>
    <col min="11261" max="11261" width="16.125" style="253" customWidth="1"/>
    <col min="11262" max="11262" width="86" style="253" customWidth="1"/>
    <col min="11263" max="11263" width="5" style="253" customWidth="1"/>
    <col min="11264" max="11264" width="11.125" style="253" customWidth="1"/>
    <col min="11265" max="11265" width="10.375" style="253" customWidth="1"/>
    <col min="11266" max="11266" width="10.875" style="253" customWidth="1"/>
    <col min="11267" max="11267" width="7.75" style="253" customWidth="1"/>
    <col min="11268" max="11268" width="9.875" style="253" customWidth="1"/>
    <col min="11269" max="11269" width="10.625" style="253" customWidth="1"/>
    <col min="11270" max="11512" width="6.125" style="253"/>
    <col min="11513" max="11513" width="5" style="253" customWidth="1"/>
    <col min="11514" max="11514" width="8.875" style="253" customWidth="1"/>
    <col min="11515" max="11515" width="5" style="253" customWidth="1"/>
    <col min="11516" max="11516" width="8.25" style="253" customWidth="1"/>
    <col min="11517" max="11517" width="16.125" style="253" customWidth="1"/>
    <col min="11518" max="11518" width="86" style="253" customWidth="1"/>
    <col min="11519" max="11519" width="5" style="253" customWidth="1"/>
    <col min="11520" max="11520" width="11.125" style="253" customWidth="1"/>
    <col min="11521" max="11521" width="10.375" style="253" customWidth="1"/>
    <col min="11522" max="11522" width="10.875" style="253" customWidth="1"/>
    <col min="11523" max="11523" width="7.75" style="253" customWidth="1"/>
    <col min="11524" max="11524" width="9.875" style="253" customWidth="1"/>
    <col min="11525" max="11525" width="10.625" style="253" customWidth="1"/>
    <col min="11526" max="11768" width="6.125" style="253"/>
    <col min="11769" max="11769" width="5" style="253" customWidth="1"/>
    <col min="11770" max="11770" width="8.875" style="253" customWidth="1"/>
    <col min="11771" max="11771" width="5" style="253" customWidth="1"/>
    <col min="11772" max="11772" width="8.25" style="253" customWidth="1"/>
    <col min="11773" max="11773" width="16.125" style="253" customWidth="1"/>
    <col min="11774" max="11774" width="86" style="253" customWidth="1"/>
    <col min="11775" max="11775" width="5" style="253" customWidth="1"/>
    <col min="11776" max="11776" width="11.125" style="253" customWidth="1"/>
    <col min="11777" max="11777" width="10.375" style="253" customWidth="1"/>
    <col min="11778" max="11778" width="10.875" style="253" customWidth="1"/>
    <col min="11779" max="11779" width="7.75" style="253" customWidth="1"/>
    <col min="11780" max="11780" width="9.875" style="253" customWidth="1"/>
    <col min="11781" max="11781" width="10.625" style="253" customWidth="1"/>
    <col min="11782" max="12024" width="6.125" style="253"/>
    <col min="12025" max="12025" width="5" style="253" customWidth="1"/>
    <col min="12026" max="12026" width="8.875" style="253" customWidth="1"/>
    <col min="12027" max="12027" width="5" style="253" customWidth="1"/>
    <col min="12028" max="12028" width="8.25" style="253" customWidth="1"/>
    <col min="12029" max="12029" width="16.125" style="253" customWidth="1"/>
    <col min="12030" max="12030" width="86" style="253" customWidth="1"/>
    <col min="12031" max="12031" width="5" style="253" customWidth="1"/>
    <col min="12032" max="12032" width="11.125" style="253" customWidth="1"/>
    <col min="12033" max="12033" width="10.375" style="253" customWidth="1"/>
    <col min="12034" max="12034" width="10.875" style="253" customWidth="1"/>
    <col min="12035" max="12035" width="7.75" style="253" customWidth="1"/>
    <col min="12036" max="12036" width="9.875" style="253" customWidth="1"/>
    <col min="12037" max="12037" width="10.625" style="253" customWidth="1"/>
    <col min="12038" max="12280" width="6.125" style="253"/>
    <col min="12281" max="12281" width="5" style="253" customWidth="1"/>
    <col min="12282" max="12282" width="8.875" style="253" customWidth="1"/>
    <col min="12283" max="12283" width="5" style="253" customWidth="1"/>
    <col min="12284" max="12284" width="8.25" style="253" customWidth="1"/>
    <col min="12285" max="12285" width="16.125" style="253" customWidth="1"/>
    <col min="12286" max="12286" width="86" style="253" customWidth="1"/>
    <col min="12287" max="12287" width="5" style="253" customWidth="1"/>
    <col min="12288" max="12288" width="11.125" style="253" customWidth="1"/>
    <col min="12289" max="12289" width="10.375" style="253" customWidth="1"/>
    <col min="12290" max="12290" width="10.875" style="253" customWidth="1"/>
    <col min="12291" max="12291" width="7.75" style="253" customWidth="1"/>
    <col min="12292" max="12292" width="9.875" style="253" customWidth="1"/>
    <col min="12293" max="12293" width="10.625" style="253" customWidth="1"/>
    <col min="12294" max="12536" width="6.125" style="253"/>
    <col min="12537" max="12537" width="5" style="253" customWidth="1"/>
    <col min="12538" max="12538" width="8.875" style="253" customWidth="1"/>
    <col min="12539" max="12539" width="5" style="253" customWidth="1"/>
    <col min="12540" max="12540" width="8.25" style="253" customWidth="1"/>
    <col min="12541" max="12541" width="16.125" style="253" customWidth="1"/>
    <col min="12542" max="12542" width="86" style="253" customWidth="1"/>
    <col min="12543" max="12543" width="5" style="253" customWidth="1"/>
    <col min="12544" max="12544" width="11.125" style="253" customWidth="1"/>
    <col min="12545" max="12545" width="10.375" style="253" customWidth="1"/>
    <col min="12546" max="12546" width="10.875" style="253" customWidth="1"/>
    <col min="12547" max="12547" width="7.75" style="253" customWidth="1"/>
    <col min="12548" max="12548" width="9.875" style="253" customWidth="1"/>
    <col min="12549" max="12549" width="10.625" style="253" customWidth="1"/>
    <col min="12550" max="12792" width="6.125" style="253"/>
    <col min="12793" max="12793" width="5" style="253" customWidth="1"/>
    <col min="12794" max="12794" width="8.875" style="253" customWidth="1"/>
    <col min="12795" max="12795" width="5" style="253" customWidth="1"/>
    <col min="12796" max="12796" width="8.25" style="253" customWidth="1"/>
    <col min="12797" max="12797" width="16.125" style="253" customWidth="1"/>
    <col min="12798" max="12798" width="86" style="253" customWidth="1"/>
    <col min="12799" max="12799" width="5" style="253" customWidth="1"/>
    <col min="12800" max="12800" width="11.125" style="253" customWidth="1"/>
    <col min="12801" max="12801" width="10.375" style="253" customWidth="1"/>
    <col min="12802" max="12802" width="10.875" style="253" customWidth="1"/>
    <col min="12803" max="12803" width="7.75" style="253" customWidth="1"/>
    <col min="12804" max="12804" width="9.875" style="253" customWidth="1"/>
    <col min="12805" max="12805" width="10.625" style="253" customWidth="1"/>
    <col min="12806" max="13048" width="6.125" style="253"/>
    <col min="13049" max="13049" width="5" style="253" customWidth="1"/>
    <col min="13050" max="13050" width="8.875" style="253" customWidth="1"/>
    <col min="13051" max="13051" width="5" style="253" customWidth="1"/>
    <col min="13052" max="13052" width="8.25" style="253" customWidth="1"/>
    <col min="13053" max="13053" width="16.125" style="253" customWidth="1"/>
    <col min="13054" max="13054" width="86" style="253" customWidth="1"/>
    <col min="13055" max="13055" width="5" style="253" customWidth="1"/>
    <col min="13056" max="13056" width="11.125" style="253" customWidth="1"/>
    <col min="13057" max="13057" width="10.375" style="253" customWidth="1"/>
    <col min="13058" max="13058" width="10.875" style="253" customWidth="1"/>
    <col min="13059" max="13059" width="7.75" style="253" customWidth="1"/>
    <col min="13060" max="13060" width="9.875" style="253" customWidth="1"/>
    <col min="13061" max="13061" width="10.625" style="253" customWidth="1"/>
    <col min="13062" max="13304" width="6.125" style="253"/>
    <col min="13305" max="13305" width="5" style="253" customWidth="1"/>
    <col min="13306" max="13306" width="8.875" style="253" customWidth="1"/>
    <col min="13307" max="13307" width="5" style="253" customWidth="1"/>
    <col min="13308" max="13308" width="8.25" style="253" customWidth="1"/>
    <col min="13309" max="13309" width="16.125" style="253" customWidth="1"/>
    <col min="13310" max="13310" width="86" style="253" customWidth="1"/>
    <col min="13311" max="13311" width="5" style="253" customWidth="1"/>
    <col min="13312" max="13312" width="11.125" style="253" customWidth="1"/>
    <col min="13313" max="13313" width="10.375" style="253" customWidth="1"/>
    <col min="13314" max="13314" width="10.875" style="253" customWidth="1"/>
    <col min="13315" max="13315" width="7.75" style="253" customWidth="1"/>
    <col min="13316" max="13316" width="9.875" style="253" customWidth="1"/>
    <col min="13317" max="13317" width="10.625" style="253" customWidth="1"/>
    <col min="13318" max="13560" width="6.125" style="253"/>
    <col min="13561" max="13561" width="5" style="253" customWidth="1"/>
    <col min="13562" max="13562" width="8.875" style="253" customWidth="1"/>
    <col min="13563" max="13563" width="5" style="253" customWidth="1"/>
    <col min="13564" max="13564" width="8.25" style="253" customWidth="1"/>
    <col min="13565" max="13565" width="16.125" style="253" customWidth="1"/>
    <col min="13566" max="13566" width="86" style="253" customWidth="1"/>
    <col min="13567" max="13567" width="5" style="253" customWidth="1"/>
    <col min="13568" max="13568" width="11.125" style="253" customWidth="1"/>
    <col min="13569" max="13569" width="10.375" style="253" customWidth="1"/>
    <col min="13570" max="13570" width="10.875" style="253" customWidth="1"/>
    <col min="13571" max="13571" width="7.75" style="253" customWidth="1"/>
    <col min="13572" max="13572" width="9.875" style="253" customWidth="1"/>
    <col min="13573" max="13573" width="10.625" style="253" customWidth="1"/>
    <col min="13574" max="13816" width="6.125" style="253"/>
    <col min="13817" max="13817" width="5" style="253" customWidth="1"/>
    <col min="13818" max="13818" width="8.875" style="253" customWidth="1"/>
    <col min="13819" max="13819" width="5" style="253" customWidth="1"/>
    <col min="13820" max="13820" width="8.25" style="253" customWidth="1"/>
    <col min="13821" max="13821" width="16.125" style="253" customWidth="1"/>
    <col min="13822" max="13822" width="86" style="253" customWidth="1"/>
    <col min="13823" max="13823" width="5" style="253" customWidth="1"/>
    <col min="13824" max="13824" width="11.125" style="253" customWidth="1"/>
    <col min="13825" max="13825" width="10.375" style="253" customWidth="1"/>
    <col min="13826" max="13826" width="10.875" style="253" customWidth="1"/>
    <col min="13827" max="13827" width="7.75" style="253" customWidth="1"/>
    <col min="13828" max="13828" width="9.875" style="253" customWidth="1"/>
    <col min="13829" max="13829" width="10.625" style="253" customWidth="1"/>
    <col min="13830" max="14072" width="6.125" style="253"/>
    <col min="14073" max="14073" width="5" style="253" customWidth="1"/>
    <col min="14074" max="14074" width="8.875" style="253" customWidth="1"/>
    <col min="14075" max="14075" width="5" style="253" customWidth="1"/>
    <col min="14076" max="14076" width="8.25" style="253" customWidth="1"/>
    <col min="14077" max="14077" width="16.125" style="253" customWidth="1"/>
    <col min="14078" max="14078" width="86" style="253" customWidth="1"/>
    <col min="14079" max="14079" width="5" style="253" customWidth="1"/>
    <col min="14080" max="14080" width="11.125" style="253" customWidth="1"/>
    <col min="14081" max="14081" width="10.375" style="253" customWidth="1"/>
    <col min="14082" max="14082" width="10.875" style="253" customWidth="1"/>
    <col min="14083" max="14083" width="7.75" style="253" customWidth="1"/>
    <col min="14084" max="14084" width="9.875" style="253" customWidth="1"/>
    <col min="14085" max="14085" width="10.625" style="253" customWidth="1"/>
    <col min="14086" max="14328" width="6.125" style="253"/>
    <col min="14329" max="14329" width="5" style="253" customWidth="1"/>
    <col min="14330" max="14330" width="8.875" style="253" customWidth="1"/>
    <col min="14331" max="14331" width="5" style="253" customWidth="1"/>
    <col min="14332" max="14332" width="8.25" style="253" customWidth="1"/>
    <col min="14333" max="14333" width="16.125" style="253" customWidth="1"/>
    <col min="14334" max="14334" width="86" style="253" customWidth="1"/>
    <col min="14335" max="14335" width="5" style="253" customWidth="1"/>
    <col min="14336" max="14336" width="11.125" style="253" customWidth="1"/>
    <col min="14337" max="14337" width="10.375" style="253" customWidth="1"/>
    <col min="14338" max="14338" width="10.875" style="253" customWidth="1"/>
    <col min="14339" max="14339" width="7.75" style="253" customWidth="1"/>
    <col min="14340" max="14340" width="9.875" style="253" customWidth="1"/>
    <col min="14341" max="14341" width="10.625" style="253" customWidth="1"/>
    <col min="14342" max="14584" width="6.125" style="253"/>
    <col min="14585" max="14585" width="5" style="253" customWidth="1"/>
    <col min="14586" max="14586" width="8.875" style="253" customWidth="1"/>
    <col min="14587" max="14587" width="5" style="253" customWidth="1"/>
    <col min="14588" max="14588" width="8.25" style="253" customWidth="1"/>
    <col min="14589" max="14589" width="16.125" style="253" customWidth="1"/>
    <col min="14590" max="14590" width="86" style="253" customWidth="1"/>
    <col min="14591" max="14591" width="5" style="253" customWidth="1"/>
    <col min="14592" max="14592" width="11.125" style="253" customWidth="1"/>
    <col min="14593" max="14593" width="10.375" style="253" customWidth="1"/>
    <col min="14594" max="14594" width="10.875" style="253" customWidth="1"/>
    <col min="14595" max="14595" width="7.75" style="253" customWidth="1"/>
    <col min="14596" max="14596" width="9.875" style="253" customWidth="1"/>
    <col min="14597" max="14597" width="10.625" style="253" customWidth="1"/>
    <col min="14598" max="14840" width="6.125" style="253"/>
    <col min="14841" max="14841" width="5" style="253" customWidth="1"/>
    <col min="14842" max="14842" width="8.875" style="253" customWidth="1"/>
    <col min="14843" max="14843" width="5" style="253" customWidth="1"/>
    <col min="14844" max="14844" width="8.25" style="253" customWidth="1"/>
    <col min="14845" max="14845" width="16.125" style="253" customWidth="1"/>
    <col min="14846" max="14846" width="86" style="253" customWidth="1"/>
    <col min="14847" max="14847" width="5" style="253" customWidth="1"/>
    <col min="14848" max="14848" width="11.125" style="253" customWidth="1"/>
    <col min="14849" max="14849" width="10.375" style="253" customWidth="1"/>
    <col min="14850" max="14850" width="10.875" style="253" customWidth="1"/>
    <col min="14851" max="14851" width="7.75" style="253" customWidth="1"/>
    <col min="14852" max="14852" width="9.875" style="253" customWidth="1"/>
    <col min="14853" max="14853" width="10.625" style="253" customWidth="1"/>
    <col min="14854" max="15096" width="6.125" style="253"/>
    <col min="15097" max="15097" width="5" style="253" customWidth="1"/>
    <col min="15098" max="15098" width="8.875" style="253" customWidth="1"/>
    <col min="15099" max="15099" width="5" style="253" customWidth="1"/>
    <col min="15100" max="15100" width="8.25" style="253" customWidth="1"/>
    <col min="15101" max="15101" width="16.125" style="253" customWidth="1"/>
    <col min="15102" max="15102" width="86" style="253" customWidth="1"/>
    <col min="15103" max="15103" width="5" style="253" customWidth="1"/>
    <col min="15104" max="15104" width="11.125" style="253" customWidth="1"/>
    <col min="15105" max="15105" width="10.375" style="253" customWidth="1"/>
    <col min="15106" max="15106" width="10.875" style="253" customWidth="1"/>
    <col min="15107" max="15107" width="7.75" style="253" customWidth="1"/>
    <col min="15108" max="15108" width="9.875" style="253" customWidth="1"/>
    <col min="15109" max="15109" width="10.625" style="253" customWidth="1"/>
    <col min="15110" max="15352" width="6.125" style="253"/>
    <col min="15353" max="15353" width="5" style="253" customWidth="1"/>
    <col min="15354" max="15354" width="8.875" style="253" customWidth="1"/>
    <col min="15355" max="15355" width="5" style="253" customWidth="1"/>
    <col min="15356" max="15356" width="8.25" style="253" customWidth="1"/>
    <col min="15357" max="15357" width="16.125" style="253" customWidth="1"/>
    <col min="15358" max="15358" width="86" style="253" customWidth="1"/>
    <col min="15359" max="15359" width="5" style="253" customWidth="1"/>
    <col min="15360" max="15360" width="11.125" style="253" customWidth="1"/>
    <col min="15361" max="15361" width="10.375" style="253" customWidth="1"/>
    <col min="15362" max="15362" width="10.875" style="253" customWidth="1"/>
    <col min="15363" max="15363" width="7.75" style="253" customWidth="1"/>
    <col min="15364" max="15364" width="9.875" style="253" customWidth="1"/>
    <col min="15365" max="15365" width="10.625" style="253" customWidth="1"/>
    <col min="15366" max="15608" width="6.125" style="253"/>
    <col min="15609" max="15609" width="5" style="253" customWidth="1"/>
    <col min="15610" max="15610" width="8.875" style="253" customWidth="1"/>
    <col min="15611" max="15611" width="5" style="253" customWidth="1"/>
    <col min="15612" max="15612" width="8.25" style="253" customWidth="1"/>
    <col min="15613" max="15613" width="16.125" style="253" customWidth="1"/>
    <col min="15614" max="15614" width="86" style="253" customWidth="1"/>
    <col min="15615" max="15615" width="5" style="253" customWidth="1"/>
    <col min="15616" max="15616" width="11.125" style="253" customWidth="1"/>
    <col min="15617" max="15617" width="10.375" style="253" customWidth="1"/>
    <col min="15618" max="15618" width="10.875" style="253" customWidth="1"/>
    <col min="15619" max="15619" width="7.75" style="253" customWidth="1"/>
    <col min="15620" max="15620" width="9.875" style="253" customWidth="1"/>
    <col min="15621" max="15621" width="10.625" style="253" customWidth="1"/>
    <col min="15622" max="15864" width="6.125" style="253"/>
    <col min="15865" max="15865" width="5" style="253" customWidth="1"/>
    <col min="15866" max="15866" width="8.875" style="253" customWidth="1"/>
    <col min="15867" max="15867" width="5" style="253" customWidth="1"/>
    <col min="15868" max="15868" width="8.25" style="253" customWidth="1"/>
    <col min="15869" max="15869" width="16.125" style="253" customWidth="1"/>
    <col min="15870" max="15870" width="86" style="253" customWidth="1"/>
    <col min="15871" max="15871" width="5" style="253" customWidth="1"/>
    <col min="15872" max="15872" width="11.125" style="253" customWidth="1"/>
    <col min="15873" max="15873" width="10.375" style="253" customWidth="1"/>
    <col min="15874" max="15874" width="10.875" style="253" customWidth="1"/>
    <col min="15875" max="15875" width="7.75" style="253" customWidth="1"/>
    <col min="15876" max="15876" width="9.875" style="253" customWidth="1"/>
    <col min="15877" max="15877" width="10.625" style="253" customWidth="1"/>
    <col min="15878" max="16120" width="6.125" style="253"/>
    <col min="16121" max="16121" width="5" style="253" customWidth="1"/>
    <col min="16122" max="16122" width="8.875" style="253" customWidth="1"/>
    <col min="16123" max="16123" width="5" style="253" customWidth="1"/>
    <col min="16124" max="16124" width="8.25" style="253" customWidth="1"/>
    <col min="16125" max="16125" width="16.125" style="253" customWidth="1"/>
    <col min="16126" max="16126" width="86" style="253" customWidth="1"/>
    <col min="16127" max="16127" width="5" style="253" customWidth="1"/>
    <col min="16128" max="16128" width="11.125" style="253" customWidth="1"/>
    <col min="16129" max="16129" width="10.375" style="253" customWidth="1"/>
    <col min="16130" max="16130" width="10.875" style="253" customWidth="1"/>
    <col min="16131" max="16131" width="7.75" style="253" customWidth="1"/>
    <col min="16132" max="16132" width="9.875" style="253" customWidth="1"/>
    <col min="16133" max="16133" width="10.625" style="253" customWidth="1"/>
    <col min="16134" max="16384" width="6.125" style="253"/>
  </cols>
  <sheetData>
    <row r="1" spans="1:11">
      <c r="A1" s="213"/>
      <c r="B1" s="256"/>
      <c r="C1" s="256"/>
      <c r="D1" s="256"/>
      <c r="E1" s="256"/>
      <c r="F1" s="257" t="s">
        <v>9</v>
      </c>
      <c r="G1" s="256"/>
      <c r="H1" s="256"/>
      <c r="I1" s="256"/>
      <c r="J1" s="256"/>
      <c r="K1" s="285"/>
    </row>
    <row r="2" spans="1:11">
      <c r="A2" s="213"/>
      <c r="B2" s="213"/>
      <c r="C2" s="213"/>
      <c r="D2" s="213"/>
      <c r="E2" s="213"/>
      <c r="F2" s="258"/>
      <c r="G2" s="213"/>
      <c r="H2" s="213"/>
      <c r="I2" s="213"/>
      <c r="J2" s="213"/>
      <c r="K2" s="285"/>
    </row>
    <row r="3" ht="26.25" customHeight="1" spans="1:11">
      <c r="A3" s="213"/>
      <c r="B3" s="213"/>
      <c r="C3" s="213"/>
      <c r="D3" s="213"/>
      <c r="E3" s="213"/>
      <c r="F3" s="258"/>
      <c r="G3" s="213"/>
      <c r="H3" s="213"/>
      <c r="I3" s="213"/>
      <c r="J3" s="286" t="s">
        <v>35</v>
      </c>
      <c r="K3" s="286"/>
    </row>
    <row r="4" s="251" customFormat="1" ht="102" spans="1:11">
      <c r="A4" s="259" t="s">
        <v>36</v>
      </c>
      <c r="B4" s="260" t="s">
        <v>37</v>
      </c>
      <c r="C4" s="260" t="s">
        <v>38</v>
      </c>
      <c r="D4" s="260" t="s">
        <v>39</v>
      </c>
      <c r="E4" s="260" t="s">
        <v>40</v>
      </c>
      <c r="F4" s="261" t="s">
        <v>382</v>
      </c>
      <c r="G4" s="262" t="s">
        <v>42</v>
      </c>
      <c r="H4" s="260" t="s">
        <v>383</v>
      </c>
      <c r="I4" s="260" t="s">
        <v>384</v>
      </c>
      <c r="J4" s="260" t="s">
        <v>44</v>
      </c>
      <c r="K4" s="287" t="s">
        <v>45</v>
      </c>
    </row>
    <row r="5" spans="1:11">
      <c r="A5" s="263"/>
      <c r="B5" s="213"/>
      <c r="C5" s="213"/>
      <c r="D5" s="213"/>
      <c r="E5" s="213"/>
      <c r="F5" s="261"/>
      <c r="G5" s="262"/>
      <c r="H5" s="264"/>
      <c r="I5" s="264"/>
      <c r="J5" s="288"/>
      <c r="K5" s="285"/>
    </row>
    <row r="6" ht="25.5" spans="1:11">
      <c r="A6" s="263">
        <v>1.1</v>
      </c>
      <c r="B6" s="213"/>
      <c r="C6" s="213"/>
      <c r="D6" s="256" t="s">
        <v>48</v>
      </c>
      <c r="E6" s="213" t="s">
        <v>385</v>
      </c>
      <c r="F6" s="261" t="s">
        <v>386</v>
      </c>
      <c r="G6" s="213" t="s">
        <v>51</v>
      </c>
      <c r="H6" s="215">
        <v>110</v>
      </c>
      <c r="I6" s="215">
        <f>SUM(H6:H6)</f>
        <v>110</v>
      </c>
      <c r="J6" s="220">
        <v>14450</v>
      </c>
      <c r="K6" s="285">
        <f>SUM(I6*J6)</f>
        <v>1589500</v>
      </c>
    </row>
    <row r="7" ht="409.5" customHeight="1" spans="1:11">
      <c r="A7" s="263"/>
      <c r="B7" s="213"/>
      <c r="C7" s="213"/>
      <c r="D7" s="213"/>
      <c r="E7" s="213"/>
      <c r="F7" s="301" t="s">
        <v>387</v>
      </c>
      <c r="G7" s="213"/>
      <c r="H7" s="215"/>
      <c r="I7" s="215"/>
      <c r="J7" s="215"/>
      <c r="K7" s="285"/>
    </row>
    <row r="8" spans="1:11">
      <c r="A8" s="263"/>
      <c r="B8" s="213"/>
      <c r="C8" s="213"/>
      <c r="D8" s="213"/>
      <c r="E8" s="213"/>
      <c r="F8" s="258"/>
      <c r="G8" s="213"/>
      <c r="H8" s="215"/>
      <c r="I8" s="215"/>
      <c r="J8" s="215"/>
      <c r="K8" s="285"/>
    </row>
    <row r="9" spans="1:11">
      <c r="A9" s="259"/>
      <c r="B9" s="262"/>
      <c r="C9" s="262"/>
      <c r="D9" s="262"/>
      <c r="E9" s="262"/>
      <c r="F9" s="261" t="s">
        <v>388</v>
      </c>
      <c r="G9" s="262"/>
      <c r="H9" s="264"/>
      <c r="I9" s="264"/>
      <c r="J9" s="264"/>
      <c r="K9" s="287"/>
    </row>
    <row r="10" spans="1:11">
      <c r="A10" s="263"/>
      <c r="B10" s="213"/>
      <c r="C10" s="213"/>
      <c r="D10" s="213"/>
      <c r="E10" s="213"/>
      <c r="F10" s="261"/>
      <c r="G10" s="213"/>
      <c r="H10" s="215"/>
      <c r="I10" s="215"/>
      <c r="J10" s="215"/>
      <c r="K10" s="285"/>
    </row>
    <row r="11" ht="25.5" spans="1:11">
      <c r="A11" s="263">
        <v>1.2</v>
      </c>
      <c r="B11" s="213"/>
      <c r="C11" s="213"/>
      <c r="D11" s="256" t="s">
        <v>389</v>
      </c>
      <c r="E11" s="213" t="s">
        <v>390</v>
      </c>
      <c r="F11" s="261" t="s">
        <v>391</v>
      </c>
      <c r="G11" s="213" t="s">
        <v>187</v>
      </c>
      <c r="H11" s="215">
        <v>1</v>
      </c>
      <c r="I11" s="215">
        <f>SUM(H11:H11)</f>
        <v>1</v>
      </c>
      <c r="J11" s="299">
        <v>750000</v>
      </c>
      <c r="K11" s="285">
        <f t="shared" ref="K11:K21" si="0">SUM(I11*J11)</f>
        <v>750000</v>
      </c>
    </row>
    <row r="12" spans="1:11">
      <c r="A12" s="263"/>
      <c r="B12" s="275"/>
      <c r="C12" s="275"/>
      <c r="D12" s="275"/>
      <c r="E12" s="213"/>
      <c r="F12" s="257" t="s">
        <v>392</v>
      </c>
      <c r="G12" s="213"/>
      <c r="H12" s="215"/>
      <c r="I12" s="215"/>
      <c r="J12" s="215"/>
      <c r="K12" s="285"/>
    </row>
    <row r="13" spans="1:11">
      <c r="A13" s="263"/>
      <c r="B13" s="275"/>
      <c r="C13" s="275"/>
      <c r="D13" s="275"/>
      <c r="E13" s="213"/>
      <c r="F13" s="257" t="s">
        <v>393</v>
      </c>
      <c r="G13" s="213"/>
      <c r="H13" s="215"/>
      <c r="I13" s="215"/>
      <c r="J13" s="215"/>
      <c r="K13" s="285"/>
    </row>
    <row r="14" ht="114.75" spans="1:11">
      <c r="A14" s="263"/>
      <c r="B14" s="275"/>
      <c r="C14" s="275"/>
      <c r="D14" s="275"/>
      <c r="E14" s="213"/>
      <c r="F14" s="265" t="s">
        <v>394</v>
      </c>
      <c r="G14" s="213"/>
      <c r="H14" s="215"/>
      <c r="I14" s="215"/>
      <c r="J14" s="215"/>
      <c r="K14" s="285"/>
    </row>
    <row r="15" spans="1:11">
      <c r="A15" s="263"/>
      <c r="B15" s="275"/>
      <c r="C15" s="275"/>
      <c r="D15" s="275"/>
      <c r="E15" s="213"/>
      <c r="F15" s="257" t="s">
        <v>395</v>
      </c>
      <c r="G15" s="213"/>
      <c r="H15" s="215"/>
      <c r="I15" s="215"/>
      <c r="J15" s="215"/>
      <c r="K15" s="285"/>
    </row>
    <row r="16" ht="89.25" spans="1:11">
      <c r="A16" s="263"/>
      <c r="B16" s="275"/>
      <c r="C16" s="275"/>
      <c r="D16" s="275"/>
      <c r="E16" s="213"/>
      <c r="F16" s="265" t="s">
        <v>396</v>
      </c>
      <c r="G16" s="213"/>
      <c r="H16" s="215"/>
      <c r="I16" s="215"/>
      <c r="J16" s="215"/>
      <c r="K16" s="285"/>
    </row>
    <row r="17" spans="1:11">
      <c r="A17" s="263"/>
      <c r="B17" s="275"/>
      <c r="C17" s="275"/>
      <c r="D17" s="275"/>
      <c r="E17" s="213"/>
      <c r="F17" s="257" t="s">
        <v>397</v>
      </c>
      <c r="G17" s="213"/>
      <c r="H17" s="215"/>
      <c r="I17" s="215"/>
      <c r="J17" s="215"/>
      <c r="K17" s="285"/>
    </row>
    <row r="18" ht="89.25" spans="1:12">
      <c r="A18" s="263"/>
      <c r="B18" s="275"/>
      <c r="C18" s="275"/>
      <c r="D18" s="275"/>
      <c r="E18" s="213"/>
      <c r="F18" s="265" t="s">
        <v>398</v>
      </c>
      <c r="G18" s="213"/>
      <c r="H18" s="215"/>
      <c r="I18" s="215"/>
      <c r="J18" s="215"/>
      <c r="K18" s="285"/>
      <c r="L18" s="252"/>
    </row>
    <row r="19" spans="1:11">
      <c r="A19" s="263"/>
      <c r="B19" s="275"/>
      <c r="C19" s="275"/>
      <c r="D19" s="275"/>
      <c r="E19" s="213"/>
      <c r="F19" s="258"/>
      <c r="G19" s="213"/>
      <c r="H19" s="215"/>
      <c r="I19" s="215"/>
      <c r="J19" s="215"/>
      <c r="K19" s="285"/>
    </row>
    <row r="20" ht="25.5" spans="1:11">
      <c r="A20" s="263">
        <v>1.3</v>
      </c>
      <c r="B20" s="213"/>
      <c r="C20" s="213"/>
      <c r="D20" s="256" t="s">
        <v>389</v>
      </c>
      <c r="E20" s="213" t="s">
        <v>399</v>
      </c>
      <c r="F20" s="257" t="s">
        <v>400</v>
      </c>
      <c r="G20" s="213"/>
      <c r="H20" s="215"/>
      <c r="I20" s="215"/>
      <c r="J20" s="215"/>
      <c r="K20" s="285"/>
    </row>
    <row r="21" spans="1:11">
      <c r="A21" s="263"/>
      <c r="B21" s="275"/>
      <c r="C21" s="275"/>
      <c r="D21" s="275"/>
      <c r="E21" s="213"/>
      <c r="F21" s="257" t="s">
        <v>401</v>
      </c>
      <c r="G21" s="213" t="s">
        <v>187</v>
      </c>
      <c r="H21" s="215">
        <v>1</v>
      </c>
      <c r="I21" s="215">
        <f>SUM(H21:H21)</f>
        <v>1</v>
      </c>
      <c r="J21" s="215">
        <v>178000</v>
      </c>
      <c r="K21" s="285">
        <f t="shared" si="0"/>
        <v>178000</v>
      </c>
    </row>
    <row r="22" s="252" customFormat="1" ht="91.5" customHeight="1" spans="1:11">
      <c r="A22" s="276"/>
      <c r="B22" s="277"/>
      <c r="C22" s="277"/>
      <c r="D22" s="277"/>
      <c r="E22" s="278"/>
      <c r="F22" s="265" t="s">
        <v>402</v>
      </c>
      <c r="G22" s="278"/>
      <c r="H22" s="279"/>
      <c r="I22" s="279"/>
      <c r="J22" s="279"/>
      <c r="K22" s="285"/>
    </row>
    <row r="23" spans="1:11">
      <c r="A23" s="263"/>
      <c r="B23" s="213"/>
      <c r="C23" s="213"/>
      <c r="D23" s="213"/>
      <c r="E23" s="213"/>
      <c r="F23" s="258"/>
      <c r="G23" s="213"/>
      <c r="H23" s="215"/>
      <c r="I23" s="215"/>
      <c r="J23" s="215"/>
      <c r="K23" s="285"/>
    </row>
    <row r="24" spans="1:11">
      <c r="A24" s="259" t="s">
        <v>69</v>
      </c>
      <c r="B24" s="280"/>
      <c r="C24" s="280"/>
      <c r="D24" s="280"/>
      <c r="E24" s="280"/>
      <c r="F24" s="261" t="s">
        <v>82</v>
      </c>
      <c r="G24" s="262"/>
      <c r="H24" s="264"/>
      <c r="I24" s="264"/>
      <c r="J24" s="264"/>
      <c r="K24" s="285"/>
    </row>
    <row r="25" spans="1:11">
      <c r="A25" s="263"/>
      <c r="B25" s="275"/>
      <c r="C25" s="275"/>
      <c r="D25" s="275"/>
      <c r="E25" s="275"/>
      <c r="F25" s="261"/>
      <c r="G25" s="213"/>
      <c r="H25" s="215"/>
      <c r="I25" s="215"/>
      <c r="J25" s="215"/>
      <c r="K25" s="285"/>
    </row>
    <row r="26" ht="25.5" spans="1:11">
      <c r="A26" s="263">
        <v>2.1</v>
      </c>
      <c r="B26" s="275"/>
      <c r="C26" s="275"/>
      <c r="D26" s="230" t="s">
        <v>313</v>
      </c>
      <c r="E26" s="275" t="s">
        <v>403</v>
      </c>
      <c r="F26" s="282" t="s">
        <v>404</v>
      </c>
      <c r="G26" s="213" t="s">
        <v>63</v>
      </c>
      <c r="H26" s="215">
        <v>15</v>
      </c>
      <c r="I26" s="215">
        <f>SUM(H26:H26)</f>
        <v>15</v>
      </c>
      <c r="J26" s="215">
        <v>20800</v>
      </c>
      <c r="K26" s="285">
        <f t="shared" ref="K26" si="1">SUM(I26*J26)</f>
        <v>312000</v>
      </c>
    </row>
    <row r="27" ht="153" customHeight="1" spans="1:11">
      <c r="A27" s="283"/>
      <c r="B27" s="275"/>
      <c r="C27" s="275"/>
      <c r="D27" s="275"/>
      <c r="E27" s="275"/>
      <c r="F27" s="284" t="s">
        <v>405</v>
      </c>
      <c r="G27" s="213"/>
      <c r="H27" s="215"/>
      <c r="I27" s="215"/>
      <c r="J27" s="215"/>
      <c r="K27" s="285"/>
    </row>
    <row r="28" spans="1:11">
      <c r="A28" s="263"/>
      <c r="B28" s="275"/>
      <c r="C28" s="275"/>
      <c r="D28" s="275"/>
      <c r="E28" s="275"/>
      <c r="F28" s="266"/>
      <c r="G28" s="213"/>
      <c r="H28" s="215"/>
      <c r="I28" s="215"/>
      <c r="J28" s="215"/>
      <c r="K28" s="285"/>
    </row>
    <row r="29" ht="25.5" spans="1:11">
      <c r="A29" s="263">
        <v>2.2</v>
      </c>
      <c r="B29" s="275"/>
      <c r="C29" s="275"/>
      <c r="D29" s="230" t="s">
        <v>313</v>
      </c>
      <c r="E29" s="275" t="s">
        <v>403</v>
      </c>
      <c r="F29" s="282" t="s">
        <v>406</v>
      </c>
      <c r="G29" s="213" t="s">
        <v>63</v>
      </c>
      <c r="H29" s="215">
        <v>10</v>
      </c>
      <c r="I29" s="215">
        <f>SUM(H29:H29)</f>
        <v>10</v>
      </c>
      <c r="J29" s="215">
        <v>20800</v>
      </c>
      <c r="K29" s="285">
        <f t="shared" ref="K29" si="2">SUM(I29*J29)</f>
        <v>208000</v>
      </c>
    </row>
    <row r="30" ht="140.25" spans="1:11">
      <c r="A30" s="283"/>
      <c r="B30" s="275"/>
      <c r="C30" s="275"/>
      <c r="D30" s="275"/>
      <c r="E30" s="275"/>
      <c r="F30" s="284" t="s">
        <v>407</v>
      </c>
      <c r="G30" s="213"/>
      <c r="H30" s="215"/>
      <c r="I30" s="215"/>
      <c r="J30" s="215"/>
      <c r="K30" s="285"/>
    </row>
    <row r="31" spans="1:11">
      <c r="A31" s="263"/>
      <c r="B31" s="275"/>
      <c r="C31" s="275"/>
      <c r="D31" s="275"/>
      <c r="E31" s="275"/>
      <c r="F31" s="266"/>
      <c r="G31" s="213"/>
      <c r="H31" s="215"/>
      <c r="I31" s="215"/>
      <c r="J31" s="215"/>
      <c r="K31" s="285"/>
    </row>
    <row r="32" ht="25.5" spans="1:11">
      <c r="A32" s="263">
        <v>2.3</v>
      </c>
      <c r="B32" s="275"/>
      <c r="C32" s="275"/>
      <c r="D32" s="230" t="s">
        <v>313</v>
      </c>
      <c r="E32" s="275" t="s">
        <v>403</v>
      </c>
      <c r="F32" s="282" t="s">
        <v>408</v>
      </c>
      <c r="G32" s="213" t="s">
        <v>63</v>
      </c>
      <c r="H32" s="215">
        <v>4</v>
      </c>
      <c r="I32" s="215">
        <f>SUM(H32:H32)</f>
        <v>4</v>
      </c>
      <c r="J32" s="215">
        <v>8350</v>
      </c>
      <c r="K32" s="285">
        <f t="shared" ref="K32" si="3">SUM(I32*J32)</f>
        <v>33400</v>
      </c>
    </row>
    <row r="33" ht="114.75" spans="1:11">
      <c r="A33" s="283"/>
      <c r="B33" s="275"/>
      <c r="C33" s="275"/>
      <c r="D33" s="275"/>
      <c r="E33" s="275"/>
      <c r="F33" s="284" t="s">
        <v>409</v>
      </c>
      <c r="G33" s="213"/>
      <c r="H33" s="215"/>
      <c r="I33" s="215"/>
      <c r="J33" s="215"/>
      <c r="K33" s="285"/>
    </row>
    <row r="34" spans="1:11">
      <c r="A34" s="263"/>
      <c r="B34" s="275"/>
      <c r="C34" s="275"/>
      <c r="D34" s="275"/>
      <c r="E34" s="275"/>
      <c r="F34" s="281"/>
      <c r="G34" s="213"/>
      <c r="H34" s="215"/>
      <c r="I34" s="215"/>
      <c r="J34" s="241"/>
      <c r="K34" s="285"/>
    </row>
    <row r="35" ht="25.5" spans="1:11">
      <c r="A35" s="263">
        <v>2.4</v>
      </c>
      <c r="B35" s="275"/>
      <c r="C35" s="275"/>
      <c r="D35" s="275" t="s">
        <v>410</v>
      </c>
      <c r="E35" s="275" t="s">
        <v>411</v>
      </c>
      <c r="F35" s="257" t="s">
        <v>412</v>
      </c>
      <c r="G35" s="213" t="s">
        <v>63</v>
      </c>
      <c r="H35" s="215">
        <v>12</v>
      </c>
      <c r="I35" s="215">
        <f>SUM(H35:H35)</f>
        <v>12</v>
      </c>
      <c r="J35" s="299">
        <v>3500</v>
      </c>
      <c r="K35" s="285">
        <f t="shared" ref="K35" si="4">SUM(I35*J35)</f>
        <v>42000</v>
      </c>
    </row>
    <row r="36" ht="51" spans="1:11">
      <c r="A36" s="263"/>
      <c r="B36" s="275"/>
      <c r="C36" s="275"/>
      <c r="D36" s="275"/>
      <c r="E36" s="213"/>
      <c r="F36" s="266" t="s">
        <v>413</v>
      </c>
      <c r="G36" s="213"/>
      <c r="H36" s="215"/>
      <c r="I36" s="215">
        <f>SUM(H36:H36)</f>
        <v>0</v>
      </c>
      <c r="J36" s="215"/>
      <c r="K36" s="285"/>
    </row>
    <row r="37" spans="1:11">
      <c r="A37" s="263"/>
      <c r="B37" s="275"/>
      <c r="C37" s="275"/>
      <c r="D37" s="275"/>
      <c r="E37" s="275"/>
      <c r="F37" s="281"/>
      <c r="G37" s="213"/>
      <c r="H37" s="215"/>
      <c r="I37" s="215"/>
      <c r="J37" s="215"/>
      <c r="K37" s="285"/>
    </row>
    <row r="38" ht="30" spans="1:11">
      <c r="A38" s="263">
        <v>2.5</v>
      </c>
      <c r="B38" s="275"/>
      <c r="C38" s="113"/>
      <c r="D38" s="113" t="s">
        <v>414</v>
      </c>
      <c r="E38" s="113" t="s">
        <v>415</v>
      </c>
      <c r="F38" s="244" t="s">
        <v>370</v>
      </c>
      <c r="G38" s="213" t="s">
        <v>63</v>
      </c>
      <c r="H38" s="215">
        <v>15</v>
      </c>
      <c r="I38" s="215">
        <f>SUM(H38:H38)</f>
        <v>15</v>
      </c>
      <c r="J38" s="299">
        <v>14760</v>
      </c>
      <c r="K38" s="285">
        <f t="shared" ref="K38" si="5">SUM(I38*J38)</f>
        <v>221400</v>
      </c>
    </row>
    <row r="39" ht="120" spans="1:11">
      <c r="A39" s="263"/>
      <c r="B39" s="275"/>
      <c r="C39" s="275"/>
      <c r="D39" s="275"/>
      <c r="E39" s="275"/>
      <c r="F39" s="302" t="s">
        <v>416</v>
      </c>
      <c r="G39" s="213"/>
      <c r="H39" s="215"/>
      <c r="I39" s="215"/>
      <c r="J39" s="215"/>
      <c r="K39" s="285"/>
    </row>
    <row r="40" spans="1:11">
      <c r="A40" s="263"/>
      <c r="B40" s="275"/>
      <c r="C40" s="275"/>
      <c r="D40" s="275"/>
      <c r="E40" s="275"/>
      <c r="F40" s="266"/>
      <c r="G40" s="213"/>
      <c r="H40" s="215"/>
      <c r="I40" s="215"/>
      <c r="J40" s="215"/>
      <c r="K40" s="285"/>
    </row>
    <row r="41" ht="25.5" spans="1:11">
      <c r="A41" s="263">
        <v>2.6</v>
      </c>
      <c r="B41" s="275"/>
      <c r="C41" s="275"/>
      <c r="D41" s="226" t="s">
        <v>389</v>
      </c>
      <c r="E41" s="229" t="s">
        <v>417</v>
      </c>
      <c r="F41" s="237" t="s">
        <v>418</v>
      </c>
      <c r="G41" s="213" t="s">
        <v>63</v>
      </c>
      <c r="H41" s="215">
        <v>1</v>
      </c>
      <c r="I41" s="215">
        <f>SUM(H41:H41)</f>
        <v>1</v>
      </c>
      <c r="J41" s="299">
        <v>770000</v>
      </c>
      <c r="K41" s="285">
        <f t="shared" ref="K41" si="6">SUM(I41*J41)</f>
        <v>770000</v>
      </c>
    </row>
    <row r="42" spans="1:11">
      <c r="A42" s="263"/>
      <c r="B42" s="280"/>
      <c r="C42" s="280"/>
      <c r="D42" s="275"/>
      <c r="E42" s="275"/>
      <c r="F42" s="303" t="s">
        <v>419</v>
      </c>
      <c r="G42" s="213"/>
      <c r="H42" s="215"/>
      <c r="I42" s="215"/>
      <c r="J42" s="215"/>
      <c r="K42" s="285"/>
    </row>
    <row r="43" spans="1:11">
      <c r="A43" s="259"/>
      <c r="B43" s="280"/>
      <c r="C43" s="280"/>
      <c r="D43" s="280"/>
      <c r="E43" s="280"/>
      <c r="F43" s="303" t="s">
        <v>420</v>
      </c>
      <c r="G43" s="262"/>
      <c r="H43" s="264"/>
      <c r="I43" s="264"/>
      <c r="J43" s="264"/>
      <c r="K43" s="285"/>
    </row>
    <row r="44" ht="89.25" spans="1:11">
      <c r="A44" s="263"/>
      <c r="B44" s="275"/>
      <c r="C44" s="275"/>
      <c r="D44" s="275"/>
      <c r="E44" s="275"/>
      <c r="F44" s="231" t="s">
        <v>421</v>
      </c>
      <c r="G44" s="213"/>
      <c r="H44" s="215"/>
      <c r="I44" s="215"/>
      <c r="J44" s="215"/>
      <c r="K44" s="285"/>
    </row>
    <row r="45" spans="1:11">
      <c r="A45" s="263"/>
      <c r="B45" s="280"/>
      <c r="C45" s="280"/>
      <c r="D45" s="275"/>
      <c r="E45" s="275"/>
      <c r="F45" s="303" t="s">
        <v>422</v>
      </c>
      <c r="G45" s="213"/>
      <c r="H45" s="215"/>
      <c r="I45" s="215"/>
      <c r="J45" s="215"/>
      <c r="K45" s="285"/>
    </row>
    <row r="46" ht="51" spans="1:11">
      <c r="A46" s="259"/>
      <c r="B46" s="280"/>
      <c r="C46" s="280"/>
      <c r="D46" s="280"/>
      <c r="E46" s="280"/>
      <c r="F46" s="231" t="s">
        <v>423</v>
      </c>
      <c r="G46" s="262"/>
      <c r="H46" s="264"/>
      <c r="I46" s="264"/>
      <c r="J46" s="264"/>
      <c r="K46" s="285"/>
    </row>
    <row r="47" spans="1:11">
      <c r="A47" s="263"/>
      <c r="B47" s="275"/>
      <c r="C47" s="275"/>
      <c r="D47" s="275"/>
      <c r="E47" s="275"/>
      <c r="F47" s="303" t="s">
        <v>424</v>
      </c>
      <c r="G47" s="213"/>
      <c r="H47" s="215"/>
      <c r="I47" s="215"/>
      <c r="J47" s="215"/>
      <c r="K47" s="285"/>
    </row>
    <row r="48" ht="38.25" spans="1:11">
      <c r="A48" s="263"/>
      <c r="B48" s="275"/>
      <c r="C48" s="275"/>
      <c r="D48" s="275"/>
      <c r="E48" s="275"/>
      <c r="F48" s="231" t="s">
        <v>425</v>
      </c>
      <c r="G48" s="213"/>
      <c r="H48" s="215"/>
      <c r="I48" s="215"/>
      <c r="J48" s="215"/>
      <c r="K48" s="285"/>
    </row>
    <row r="49" spans="1:11">
      <c r="A49" s="263"/>
      <c r="B49" s="275"/>
      <c r="C49" s="275"/>
      <c r="D49" s="275"/>
      <c r="E49" s="275"/>
      <c r="F49" s="266"/>
      <c r="G49" s="213"/>
      <c r="H49" s="215"/>
      <c r="I49" s="215"/>
      <c r="J49" s="300"/>
      <c r="K49" s="285"/>
    </row>
    <row r="50" spans="1:11">
      <c r="A50" s="263"/>
      <c r="B50" s="275"/>
      <c r="C50" s="275"/>
      <c r="D50" s="275"/>
      <c r="E50" s="275"/>
      <c r="F50" s="258"/>
      <c r="G50" s="213"/>
      <c r="H50" s="215"/>
      <c r="I50" s="215"/>
      <c r="J50" s="300"/>
      <c r="K50" s="285"/>
    </row>
    <row r="51" ht="24.75" customHeight="1" spans="1:11">
      <c r="A51" s="259"/>
      <c r="B51" s="280"/>
      <c r="C51" s="280"/>
      <c r="D51" s="280"/>
      <c r="E51" s="280"/>
      <c r="F51" s="261" t="s">
        <v>426</v>
      </c>
      <c r="G51" s="262"/>
      <c r="H51" s="264"/>
      <c r="I51" s="264"/>
      <c r="J51" s="264"/>
      <c r="K51" s="287">
        <f>SUM(K6:K50)</f>
        <v>4104300</v>
      </c>
    </row>
  </sheetData>
  <mergeCells count="1">
    <mergeCell ref="J3:K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3"/>
  <sheetViews>
    <sheetView zoomScale="85" zoomScaleNormal="85" workbookViewId="0">
      <selection activeCell="L103" sqref="L103"/>
    </sheetView>
  </sheetViews>
  <sheetFormatPr defaultColWidth="6.125" defaultRowHeight="12.75"/>
  <cols>
    <col min="1" max="1" width="6.75" style="253" customWidth="1"/>
    <col min="2" max="2" width="3.875" style="253" customWidth="1"/>
    <col min="3" max="3" width="3.375" style="253" hidden="1" customWidth="1"/>
    <col min="4" max="4" width="5.25" style="253" hidden="1" customWidth="1"/>
    <col min="5" max="5" width="9" style="253" customWidth="1"/>
    <col min="6" max="6" width="43.125" style="254" customWidth="1"/>
    <col min="7" max="7" width="4.375" style="253" customWidth="1"/>
    <col min="8" max="8" width="9.625" style="253" customWidth="1"/>
    <col min="9" max="9" width="11.125" style="253" customWidth="1"/>
    <col min="10" max="10" width="8.25" style="253" customWidth="1"/>
    <col min="11" max="11" width="13.5" style="253" customWidth="1"/>
    <col min="12" max="12" width="12.125" style="255" customWidth="1"/>
    <col min="13" max="13" width="9.375" style="253" customWidth="1"/>
    <col min="14" max="14" width="6.125" style="253"/>
    <col min="15" max="15" width="10.75" style="253" customWidth="1"/>
    <col min="16" max="17" width="9.25" style="253" customWidth="1"/>
    <col min="18" max="250" width="6.125" style="253"/>
    <col min="251" max="251" width="5" style="253" customWidth="1"/>
    <col min="252" max="252" width="8.875" style="253" customWidth="1"/>
    <col min="253" max="253" width="5" style="253" customWidth="1"/>
    <col min="254" max="254" width="8.25" style="253" customWidth="1"/>
    <col min="255" max="255" width="16.125" style="253" customWidth="1"/>
    <col min="256" max="256" width="86" style="253" customWidth="1"/>
    <col min="257" max="257" width="5" style="253" customWidth="1"/>
    <col min="258" max="258" width="11.125" style="253" customWidth="1"/>
    <col min="259" max="259" width="10.375" style="253" customWidth="1"/>
    <col min="260" max="260" width="10.875" style="253" customWidth="1"/>
    <col min="261" max="261" width="7.75" style="253" customWidth="1"/>
    <col min="262" max="262" width="9.875" style="253" customWidth="1"/>
    <col min="263" max="263" width="10.625" style="253" customWidth="1"/>
    <col min="264" max="506" width="6.125" style="253"/>
    <col min="507" max="507" width="5" style="253" customWidth="1"/>
    <col min="508" max="508" width="8.875" style="253" customWidth="1"/>
    <col min="509" max="509" width="5" style="253" customWidth="1"/>
    <col min="510" max="510" width="8.25" style="253" customWidth="1"/>
    <col min="511" max="511" width="16.125" style="253" customWidth="1"/>
    <col min="512" max="512" width="86" style="253" customWidth="1"/>
    <col min="513" max="513" width="5" style="253" customWidth="1"/>
    <col min="514" max="514" width="11.125" style="253" customWidth="1"/>
    <col min="515" max="515" width="10.375" style="253" customWidth="1"/>
    <col min="516" max="516" width="10.875" style="253" customWidth="1"/>
    <col min="517" max="517" width="7.75" style="253" customWidth="1"/>
    <col min="518" max="518" width="9.875" style="253" customWidth="1"/>
    <col min="519" max="519" width="10.625" style="253" customWidth="1"/>
    <col min="520" max="762" width="6.125" style="253"/>
    <col min="763" max="763" width="5" style="253" customWidth="1"/>
    <col min="764" max="764" width="8.875" style="253" customWidth="1"/>
    <col min="765" max="765" width="5" style="253" customWidth="1"/>
    <col min="766" max="766" width="8.25" style="253" customWidth="1"/>
    <col min="767" max="767" width="16.125" style="253" customWidth="1"/>
    <col min="768" max="768" width="86" style="253" customWidth="1"/>
    <col min="769" max="769" width="5" style="253" customWidth="1"/>
    <col min="770" max="770" width="11.125" style="253" customWidth="1"/>
    <col min="771" max="771" width="10.375" style="253" customWidth="1"/>
    <col min="772" max="772" width="10.875" style="253" customWidth="1"/>
    <col min="773" max="773" width="7.75" style="253" customWidth="1"/>
    <col min="774" max="774" width="9.875" style="253" customWidth="1"/>
    <col min="775" max="775" width="10.625" style="253" customWidth="1"/>
    <col min="776" max="1018" width="6.125" style="253"/>
    <col min="1019" max="1019" width="5" style="253" customWidth="1"/>
    <col min="1020" max="1020" width="8.875" style="253" customWidth="1"/>
    <col min="1021" max="1021" width="5" style="253" customWidth="1"/>
    <col min="1022" max="1022" width="8.25" style="253" customWidth="1"/>
    <col min="1023" max="1023" width="16.125" style="253" customWidth="1"/>
    <col min="1024" max="1024" width="86" style="253" customWidth="1"/>
    <col min="1025" max="1025" width="5" style="253" customWidth="1"/>
    <col min="1026" max="1026" width="11.125" style="253" customWidth="1"/>
    <col min="1027" max="1027" width="10.375" style="253" customWidth="1"/>
    <col min="1028" max="1028" width="10.875" style="253" customWidth="1"/>
    <col min="1029" max="1029" width="7.75" style="253" customWidth="1"/>
    <col min="1030" max="1030" width="9.875" style="253" customWidth="1"/>
    <col min="1031" max="1031" width="10.625" style="253" customWidth="1"/>
    <col min="1032" max="1274" width="6.125" style="253"/>
    <col min="1275" max="1275" width="5" style="253" customWidth="1"/>
    <col min="1276" max="1276" width="8.875" style="253" customWidth="1"/>
    <col min="1277" max="1277" width="5" style="253" customWidth="1"/>
    <col min="1278" max="1278" width="8.25" style="253" customWidth="1"/>
    <col min="1279" max="1279" width="16.125" style="253" customWidth="1"/>
    <col min="1280" max="1280" width="86" style="253" customWidth="1"/>
    <col min="1281" max="1281" width="5" style="253" customWidth="1"/>
    <col min="1282" max="1282" width="11.125" style="253" customWidth="1"/>
    <col min="1283" max="1283" width="10.375" style="253" customWidth="1"/>
    <col min="1284" max="1284" width="10.875" style="253" customWidth="1"/>
    <col min="1285" max="1285" width="7.75" style="253" customWidth="1"/>
    <col min="1286" max="1286" width="9.875" style="253" customWidth="1"/>
    <col min="1287" max="1287" width="10.625" style="253" customWidth="1"/>
    <col min="1288" max="1530" width="6.125" style="253"/>
    <col min="1531" max="1531" width="5" style="253" customWidth="1"/>
    <col min="1532" max="1532" width="8.875" style="253" customWidth="1"/>
    <col min="1533" max="1533" width="5" style="253" customWidth="1"/>
    <col min="1534" max="1534" width="8.25" style="253" customWidth="1"/>
    <col min="1535" max="1535" width="16.125" style="253" customWidth="1"/>
    <col min="1536" max="1536" width="86" style="253" customWidth="1"/>
    <col min="1537" max="1537" width="5" style="253" customWidth="1"/>
    <col min="1538" max="1538" width="11.125" style="253" customWidth="1"/>
    <col min="1539" max="1539" width="10.375" style="253" customWidth="1"/>
    <col min="1540" max="1540" width="10.875" style="253" customWidth="1"/>
    <col min="1541" max="1541" width="7.75" style="253" customWidth="1"/>
    <col min="1542" max="1542" width="9.875" style="253" customWidth="1"/>
    <col min="1543" max="1543" width="10.625" style="253" customWidth="1"/>
    <col min="1544" max="1786" width="6.125" style="253"/>
    <col min="1787" max="1787" width="5" style="253" customWidth="1"/>
    <col min="1788" max="1788" width="8.875" style="253" customWidth="1"/>
    <col min="1789" max="1789" width="5" style="253" customWidth="1"/>
    <col min="1790" max="1790" width="8.25" style="253" customWidth="1"/>
    <col min="1791" max="1791" width="16.125" style="253" customWidth="1"/>
    <col min="1792" max="1792" width="86" style="253" customWidth="1"/>
    <col min="1793" max="1793" width="5" style="253" customWidth="1"/>
    <col min="1794" max="1794" width="11.125" style="253" customWidth="1"/>
    <col min="1795" max="1795" width="10.375" style="253" customWidth="1"/>
    <col min="1796" max="1796" width="10.875" style="253" customWidth="1"/>
    <col min="1797" max="1797" width="7.75" style="253" customWidth="1"/>
    <col min="1798" max="1798" width="9.875" style="253" customWidth="1"/>
    <col min="1799" max="1799" width="10.625" style="253" customWidth="1"/>
    <col min="1800" max="2042" width="6.125" style="253"/>
    <col min="2043" max="2043" width="5" style="253" customWidth="1"/>
    <col min="2044" max="2044" width="8.875" style="253" customWidth="1"/>
    <col min="2045" max="2045" width="5" style="253" customWidth="1"/>
    <col min="2046" max="2046" width="8.25" style="253" customWidth="1"/>
    <col min="2047" max="2047" width="16.125" style="253" customWidth="1"/>
    <col min="2048" max="2048" width="86" style="253" customWidth="1"/>
    <col min="2049" max="2049" width="5" style="253" customWidth="1"/>
    <col min="2050" max="2050" width="11.125" style="253" customWidth="1"/>
    <col min="2051" max="2051" width="10.375" style="253" customWidth="1"/>
    <col min="2052" max="2052" width="10.875" style="253" customWidth="1"/>
    <col min="2053" max="2053" width="7.75" style="253" customWidth="1"/>
    <col min="2054" max="2054" width="9.875" style="253" customWidth="1"/>
    <col min="2055" max="2055" width="10.625" style="253" customWidth="1"/>
    <col min="2056" max="2298" width="6.125" style="253"/>
    <col min="2299" max="2299" width="5" style="253" customWidth="1"/>
    <col min="2300" max="2300" width="8.875" style="253" customWidth="1"/>
    <col min="2301" max="2301" width="5" style="253" customWidth="1"/>
    <col min="2302" max="2302" width="8.25" style="253" customWidth="1"/>
    <col min="2303" max="2303" width="16.125" style="253" customWidth="1"/>
    <col min="2304" max="2304" width="86" style="253" customWidth="1"/>
    <col min="2305" max="2305" width="5" style="253" customWidth="1"/>
    <col min="2306" max="2306" width="11.125" style="253" customWidth="1"/>
    <col min="2307" max="2307" width="10.375" style="253" customWidth="1"/>
    <col min="2308" max="2308" width="10.875" style="253" customWidth="1"/>
    <col min="2309" max="2309" width="7.75" style="253" customWidth="1"/>
    <col min="2310" max="2310" width="9.875" style="253" customWidth="1"/>
    <col min="2311" max="2311" width="10.625" style="253" customWidth="1"/>
    <col min="2312" max="2554" width="6.125" style="253"/>
    <col min="2555" max="2555" width="5" style="253" customWidth="1"/>
    <col min="2556" max="2556" width="8.875" style="253" customWidth="1"/>
    <col min="2557" max="2557" width="5" style="253" customWidth="1"/>
    <col min="2558" max="2558" width="8.25" style="253" customWidth="1"/>
    <col min="2559" max="2559" width="16.125" style="253" customWidth="1"/>
    <col min="2560" max="2560" width="86" style="253" customWidth="1"/>
    <col min="2561" max="2561" width="5" style="253" customWidth="1"/>
    <col min="2562" max="2562" width="11.125" style="253" customWidth="1"/>
    <col min="2563" max="2563" width="10.375" style="253" customWidth="1"/>
    <col min="2564" max="2564" width="10.875" style="253" customWidth="1"/>
    <col min="2565" max="2565" width="7.75" style="253" customWidth="1"/>
    <col min="2566" max="2566" width="9.875" style="253" customWidth="1"/>
    <col min="2567" max="2567" width="10.625" style="253" customWidth="1"/>
    <col min="2568" max="2810" width="6.125" style="253"/>
    <col min="2811" max="2811" width="5" style="253" customWidth="1"/>
    <col min="2812" max="2812" width="8.875" style="253" customWidth="1"/>
    <col min="2813" max="2813" width="5" style="253" customWidth="1"/>
    <col min="2814" max="2814" width="8.25" style="253" customWidth="1"/>
    <col min="2815" max="2815" width="16.125" style="253" customWidth="1"/>
    <col min="2816" max="2816" width="86" style="253" customWidth="1"/>
    <col min="2817" max="2817" width="5" style="253" customWidth="1"/>
    <col min="2818" max="2818" width="11.125" style="253" customWidth="1"/>
    <col min="2819" max="2819" width="10.375" style="253" customWidth="1"/>
    <col min="2820" max="2820" width="10.875" style="253" customWidth="1"/>
    <col min="2821" max="2821" width="7.75" style="253" customWidth="1"/>
    <col min="2822" max="2822" width="9.875" style="253" customWidth="1"/>
    <col min="2823" max="2823" width="10.625" style="253" customWidth="1"/>
    <col min="2824" max="3066" width="6.125" style="253"/>
    <col min="3067" max="3067" width="5" style="253" customWidth="1"/>
    <col min="3068" max="3068" width="8.875" style="253" customWidth="1"/>
    <col min="3069" max="3069" width="5" style="253" customWidth="1"/>
    <col min="3070" max="3070" width="8.25" style="253" customWidth="1"/>
    <col min="3071" max="3071" width="16.125" style="253" customWidth="1"/>
    <col min="3072" max="3072" width="86" style="253" customWidth="1"/>
    <col min="3073" max="3073" width="5" style="253" customWidth="1"/>
    <col min="3074" max="3074" width="11.125" style="253" customWidth="1"/>
    <col min="3075" max="3075" width="10.375" style="253" customWidth="1"/>
    <col min="3076" max="3076" width="10.875" style="253" customWidth="1"/>
    <col min="3077" max="3077" width="7.75" style="253" customWidth="1"/>
    <col min="3078" max="3078" width="9.875" style="253" customWidth="1"/>
    <col min="3079" max="3079" width="10.625" style="253" customWidth="1"/>
    <col min="3080" max="3322" width="6.125" style="253"/>
    <col min="3323" max="3323" width="5" style="253" customWidth="1"/>
    <col min="3324" max="3324" width="8.875" style="253" customWidth="1"/>
    <col min="3325" max="3325" width="5" style="253" customWidth="1"/>
    <col min="3326" max="3326" width="8.25" style="253" customWidth="1"/>
    <col min="3327" max="3327" width="16.125" style="253" customWidth="1"/>
    <col min="3328" max="3328" width="86" style="253" customWidth="1"/>
    <col min="3329" max="3329" width="5" style="253" customWidth="1"/>
    <col min="3330" max="3330" width="11.125" style="253" customWidth="1"/>
    <col min="3331" max="3331" width="10.375" style="253" customWidth="1"/>
    <col min="3332" max="3332" width="10.875" style="253" customWidth="1"/>
    <col min="3333" max="3333" width="7.75" style="253" customWidth="1"/>
    <col min="3334" max="3334" width="9.875" style="253" customWidth="1"/>
    <col min="3335" max="3335" width="10.625" style="253" customWidth="1"/>
    <col min="3336" max="3578" width="6.125" style="253"/>
    <col min="3579" max="3579" width="5" style="253" customWidth="1"/>
    <col min="3580" max="3580" width="8.875" style="253" customWidth="1"/>
    <col min="3581" max="3581" width="5" style="253" customWidth="1"/>
    <col min="3582" max="3582" width="8.25" style="253" customWidth="1"/>
    <col min="3583" max="3583" width="16.125" style="253" customWidth="1"/>
    <col min="3584" max="3584" width="86" style="253" customWidth="1"/>
    <col min="3585" max="3585" width="5" style="253" customWidth="1"/>
    <col min="3586" max="3586" width="11.125" style="253" customWidth="1"/>
    <col min="3587" max="3587" width="10.375" style="253" customWidth="1"/>
    <col min="3588" max="3588" width="10.875" style="253" customWidth="1"/>
    <col min="3589" max="3589" width="7.75" style="253" customWidth="1"/>
    <col min="3590" max="3590" width="9.875" style="253" customWidth="1"/>
    <col min="3591" max="3591" width="10.625" style="253" customWidth="1"/>
    <col min="3592" max="3834" width="6.125" style="253"/>
    <col min="3835" max="3835" width="5" style="253" customWidth="1"/>
    <col min="3836" max="3836" width="8.875" style="253" customWidth="1"/>
    <col min="3837" max="3837" width="5" style="253" customWidth="1"/>
    <col min="3838" max="3838" width="8.25" style="253" customWidth="1"/>
    <col min="3839" max="3839" width="16.125" style="253" customWidth="1"/>
    <col min="3840" max="3840" width="86" style="253" customWidth="1"/>
    <col min="3841" max="3841" width="5" style="253" customWidth="1"/>
    <col min="3842" max="3842" width="11.125" style="253" customWidth="1"/>
    <col min="3843" max="3843" width="10.375" style="253" customWidth="1"/>
    <col min="3844" max="3844" width="10.875" style="253" customWidth="1"/>
    <col min="3845" max="3845" width="7.75" style="253" customWidth="1"/>
    <col min="3846" max="3846" width="9.875" style="253" customWidth="1"/>
    <col min="3847" max="3847" width="10.625" style="253" customWidth="1"/>
    <col min="3848" max="4090" width="6.125" style="253"/>
    <col min="4091" max="4091" width="5" style="253" customWidth="1"/>
    <col min="4092" max="4092" width="8.875" style="253" customWidth="1"/>
    <col min="4093" max="4093" width="5" style="253" customWidth="1"/>
    <col min="4094" max="4094" width="8.25" style="253" customWidth="1"/>
    <col min="4095" max="4095" width="16.125" style="253" customWidth="1"/>
    <col min="4096" max="4096" width="86" style="253" customWidth="1"/>
    <col min="4097" max="4097" width="5" style="253" customWidth="1"/>
    <col min="4098" max="4098" width="11.125" style="253" customWidth="1"/>
    <col min="4099" max="4099" width="10.375" style="253" customWidth="1"/>
    <col min="4100" max="4100" width="10.875" style="253" customWidth="1"/>
    <col min="4101" max="4101" width="7.75" style="253" customWidth="1"/>
    <col min="4102" max="4102" width="9.875" style="253" customWidth="1"/>
    <col min="4103" max="4103" width="10.625" style="253" customWidth="1"/>
    <col min="4104" max="4346" width="6.125" style="253"/>
    <col min="4347" max="4347" width="5" style="253" customWidth="1"/>
    <col min="4348" max="4348" width="8.875" style="253" customWidth="1"/>
    <col min="4349" max="4349" width="5" style="253" customWidth="1"/>
    <col min="4350" max="4350" width="8.25" style="253" customWidth="1"/>
    <col min="4351" max="4351" width="16.125" style="253" customWidth="1"/>
    <col min="4352" max="4352" width="86" style="253" customWidth="1"/>
    <col min="4353" max="4353" width="5" style="253" customWidth="1"/>
    <col min="4354" max="4354" width="11.125" style="253" customWidth="1"/>
    <col min="4355" max="4355" width="10.375" style="253" customWidth="1"/>
    <col min="4356" max="4356" width="10.875" style="253" customWidth="1"/>
    <col min="4357" max="4357" width="7.75" style="253" customWidth="1"/>
    <col min="4358" max="4358" width="9.875" style="253" customWidth="1"/>
    <col min="4359" max="4359" width="10.625" style="253" customWidth="1"/>
    <col min="4360" max="4602" width="6.125" style="253"/>
    <col min="4603" max="4603" width="5" style="253" customWidth="1"/>
    <col min="4604" max="4604" width="8.875" style="253" customWidth="1"/>
    <col min="4605" max="4605" width="5" style="253" customWidth="1"/>
    <col min="4606" max="4606" width="8.25" style="253" customWidth="1"/>
    <col min="4607" max="4607" width="16.125" style="253" customWidth="1"/>
    <col min="4608" max="4608" width="86" style="253" customWidth="1"/>
    <col min="4609" max="4609" width="5" style="253" customWidth="1"/>
    <col min="4610" max="4610" width="11.125" style="253" customWidth="1"/>
    <col min="4611" max="4611" width="10.375" style="253" customWidth="1"/>
    <col min="4612" max="4612" width="10.875" style="253" customWidth="1"/>
    <col min="4613" max="4613" width="7.75" style="253" customWidth="1"/>
    <col min="4614" max="4614" width="9.875" style="253" customWidth="1"/>
    <col min="4615" max="4615" width="10.625" style="253" customWidth="1"/>
    <col min="4616" max="4858" width="6.125" style="253"/>
    <col min="4859" max="4859" width="5" style="253" customWidth="1"/>
    <col min="4860" max="4860" width="8.875" style="253" customWidth="1"/>
    <col min="4861" max="4861" width="5" style="253" customWidth="1"/>
    <col min="4862" max="4862" width="8.25" style="253" customWidth="1"/>
    <col min="4863" max="4863" width="16.125" style="253" customWidth="1"/>
    <col min="4864" max="4864" width="86" style="253" customWidth="1"/>
    <col min="4865" max="4865" width="5" style="253" customWidth="1"/>
    <col min="4866" max="4866" width="11.125" style="253" customWidth="1"/>
    <col min="4867" max="4867" width="10.375" style="253" customWidth="1"/>
    <col min="4868" max="4868" width="10.875" style="253" customWidth="1"/>
    <col min="4869" max="4869" width="7.75" style="253" customWidth="1"/>
    <col min="4870" max="4870" width="9.875" style="253" customWidth="1"/>
    <col min="4871" max="4871" width="10.625" style="253" customWidth="1"/>
    <col min="4872" max="5114" width="6.125" style="253"/>
    <col min="5115" max="5115" width="5" style="253" customWidth="1"/>
    <col min="5116" max="5116" width="8.875" style="253" customWidth="1"/>
    <col min="5117" max="5117" width="5" style="253" customWidth="1"/>
    <col min="5118" max="5118" width="8.25" style="253" customWidth="1"/>
    <col min="5119" max="5119" width="16.125" style="253" customWidth="1"/>
    <col min="5120" max="5120" width="86" style="253" customWidth="1"/>
    <col min="5121" max="5121" width="5" style="253" customWidth="1"/>
    <col min="5122" max="5122" width="11.125" style="253" customWidth="1"/>
    <col min="5123" max="5123" width="10.375" style="253" customWidth="1"/>
    <col min="5124" max="5124" width="10.875" style="253" customWidth="1"/>
    <col min="5125" max="5125" width="7.75" style="253" customWidth="1"/>
    <col min="5126" max="5126" width="9.875" style="253" customWidth="1"/>
    <col min="5127" max="5127" width="10.625" style="253" customWidth="1"/>
    <col min="5128" max="5370" width="6.125" style="253"/>
    <col min="5371" max="5371" width="5" style="253" customWidth="1"/>
    <col min="5372" max="5372" width="8.875" style="253" customWidth="1"/>
    <col min="5373" max="5373" width="5" style="253" customWidth="1"/>
    <col min="5374" max="5374" width="8.25" style="253" customWidth="1"/>
    <col min="5375" max="5375" width="16.125" style="253" customWidth="1"/>
    <col min="5376" max="5376" width="86" style="253" customWidth="1"/>
    <col min="5377" max="5377" width="5" style="253" customWidth="1"/>
    <col min="5378" max="5378" width="11.125" style="253" customWidth="1"/>
    <col min="5379" max="5379" width="10.375" style="253" customWidth="1"/>
    <col min="5380" max="5380" width="10.875" style="253" customWidth="1"/>
    <col min="5381" max="5381" width="7.75" style="253" customWidth="1"/>
    <col min="5382" max="5382" width="9.875" style="253" customWidth="1"/>
    <col min="5383" max="5383" width="10.625" style="253" customWidth="1"/>
    <col min="5384" max="5626" width="6.125" style="253"/>
    <col min="5627" max="5627" width="5" style="253" customWidth="1"/>
    <col min="5628" max="5628" width="8.875" style="253" customWidth="1"/>
    <col min="5629" max="5629" width="5" style="253" customWidth="1"/>
    <col min="5630" max="5630" width="8.25" style="253" customWidth="1"/>
    <col min="5631" max="5631" width="16.125" style="253" customWidth="1"/>
    <col min="5632" max="5632" width="86" style="253" customWidth="1"/>
    <col min="5633" max="5633" width="5" style="253" customWidth="1"/>
    <col min="5634" max="5634" width="11.125" style="253" customWidth="1"/>
    <col min="5635" max="5635" width="10.375" style="253" customWidth="1"/>
    <col min="5636" max="5636" width="10.875" style="253" customWidth="1"/>
    <col min="5637" max="5637" width="7.75" style="253" customWidth="1"/>
    <col min="5638" max="5638" width="9.875" style="253" customWidth="1"/>
    <col min="5639" max="5639" width="10.625" style="253" customWidth="1"/>
    <col min="5640" max="5882" width="6.125" style="253"/>
    <col min="5883" max="5883" width="5" style="253" customWidth="1"/>
    <col min="5884" max="5884" width="8.875" style="253" customWidth="1"/>
    <col min="5885" max="5885" width="5" style="253" customWidth="1"/>
    <col min="5886" max="5886" width="8.25" style="253" customWidth="1"/>
    <col min="5887" max="5887" width="16.125" style="253" customWidth="1"/>
    <col min="5888" max="5888" width="86" style="253" customWidth="1"/>
    <col min="5889" max="5889" width="5" style="253" customWidth="1"/>
    <col min="5890" max="5890" width="11.125" style="253" customWidth="1"/>
    <col min="5891" max="5891" width="10.375" style="253" customWidth="1"/>
    <col min="5892" max="5892" width="10.875" style="253" customWidth="1"/>
    <col min="5893" max="5893" width="7.75" style="253" customWidth="1"/>
    <col min="5894" max="5894" width="9.875" style="253" customWidth="1"/>
    <col min="5895" max="5895" width="10.625" style="253" customWidth="1"/>
    <col min="5896" max="6138" width="6.125" style="253"/>
    <col min="6139" max="6139" width="5" style="253" customWidth="1"/>
    <col min="6140" max="6140" width="8.875" style="253" customWidth="1"/>
    <col min="6141" max="6141" width="5" style="253" customWidth="1"/>
    <col min="6142" max="6142" width="8.25" style="253" customWidth="1"/>
    <col min="6143" max="6143" width="16.125" style="253" customWidth="1"/>
    <col min="6144" max="6144" width="86" style="253" customWidth="1"/>
    <col min="6145" max="6145" width="5" style="253" customWidth="1"/>
    <col min="6146" max="6146" width="11.125" style="253" customWidth="1"/>
    <col min="6147" max="6147" width="10.375" style="253" customWidth="1"/>
    <col min="6148" max="6148" width="10.875" style="253" customWidth="1"/>
    <col min="6149" max="6149" width="7.75" style="253" customWidth="1"/>
    <col min="6150" max="6150" width="9.875" style="253" customWidth="1"/>
    <col min="6151" max="6151" width="10.625" style="253" customWidth="1"/>
    <col min="6152" max="6394" width="6.125" style="253"/>
    <col min="6395" max="6395" width="5" style="253" customWidth="1"/>
    <col min="6396" max="6396" width="8.875" style="253" customWidth="1"/>
    <col min="6397" max="6397" width="5" style="253" customWidth="1"/>
    <col min="6398" max="6398" width="8.25" style="253" customWidth="1"/>
    <col min="6399" max="6399" width="16.125" style="253" customWidth="1"/>
    <col min="6400" max="6400" width="86" style="253" customWidth="1"/>
    <col min="6401" max="6401" width="5" style="253" customWidth="1"/>
    <col min="6402" max="6402" width="11.125" style="253" customWidth="1"/>
    <col min="6403" max="6403" width="10.375" style="253" customWidth="1"/>
    <col min="6404" max="6404" width="10.875" style="253" customWidth="1"/>
    <col min="6405" max="6405" width="7.75" style="253" customWidth="1"/>
    <col min="6406" max="6406" width="9.875" style="253" customWidth="1"/>
    <col min="6407" max="6407" width="10.625" style="253" customWidth="1"/>
    <col min="6408" max="6650" width="6.125" style="253"/>
    <col min="6651" max="6651" width="5" style="253" customWidth="1"/>
    <col min="6652" max="6652" width="8.875" style="253" customWidth="1"/>
    <col min="6653" max="6653" width="5" style="253" customWidth="1"/>
    <col min="6654" max="6654" width="8.25" style="253" customWidth="1"/>
    <col min="6655" max="6655" width="16.125" style="253" customWidth="1"/>
    <col min="6656" max="6656" width="86" style="253" customWidth="1"/>
    <col min="6657" max="6657" width="5" style="253" customWidth="1"/>
    <col min="6658" max="6658" width="11.125" style="253" customWidth="1"/>
    <col min="6659" max="6659" width="10.375" style="253" customWidth="1"/>
    <col min="6660" max="6660" width="10.875" style="253" customWidth="1"/>
    <col min="6661" max="6661" width="7.75" style="253" customWidth="1"/>
    <col min="6662" max="6662" width="9.875" style="253" customWidth="1"/>
    <col min="6663" max="6663" width="10.625" style="253" customWidth="1"/>
    <col min="6664" max="6906" width="6.125" style="253"/>
    <col min="6907" max="6907" width="5" style="253" customWidth="1"/>
    <col min="6908" max="6908" width="8.875" style="253" customWidth="1"/>
    <col min="6909" max="6909" width="5" style="253" customWidth="1"/>
    <col min="6910" max="6910" width="8.25" style="253" customWidth="1"/>
    <col min="6911" max="6911" width="16.125" style="253" customWidth="1"/>
    <col min="6912" max="6912" width="86" style="253" customWidth="1"/>
    <col min="6913" max="6913" width="5" style="253" customWidth="1"/>
    <col min="6914" max="6914" width="11.125" style="253" customWidth="1"/>
    <col min="6915" max="6915" width="10.375" style="253" customWidth="1"/>
    <col min="6916" max="6916" width="10.875" style="253" customWidth="1"/>
    <col min="6917" max="6917" width="7.75" style="253" customWidth="1"/>
    <col min="6918" max="6918" width="9.875" style="253" customWidth="1"/>
    <col min="6919" max="6919" width="10.625" style="253" customWidth="1"/>
    <col min="6920" max="7162" width="6.125" style="253"/>
    <col min="7163" max="7163" width="5" style="253" customWidth="1"/>
    <col min="7164" max="7164" width="8.875" style="253" customWidth="1"/>
    <col min="7165" max="7165" width="5" style="253" customWidth="1"/>
    <col min="7166" max="7166" width="8.25" style="253" customWidth="1"/>
    <col min="7167" max="7167" width="16.125" style="253" customWidth="1"/>
    <col min="7168" max="7168" width="86" style="253" customWidth="1"/>
    <col min="7169" max="7169" width="5" style="253" customWidth="1"/>
    <col min="7170" max="7170" width="11.125" style="253" customWidth="1"/>
    <col min="7171" max="7171" width="10.375" style="253" customWidth="1"/>
    <col min="7172" max="7172" width="10.875" style="253" customWidth="1"/>
    <col min="7173" max="7173" width="7.75" style="253" customWidth="1"/>
    <col min="7174" max="7174" width="9.875" style="253" customWidth="1"/>
    <col min="7175" max="7175" width="10.625" style="253" customWidth="1"/>
    <col min="7176" max="7418" width="6.125" style="253"/>
    <col min="7419" max="7419" width="5" style="253" customWidth="1"/>
    <col min="7420" max="7420" width="8.875" style="253" customWidth="1"/>
    <col min="7421" max="7421" width="5" style="253" customWidth="1"/>
    <col min="7422" max="7422" width="8.25" style="253" customWidth="1"/>
    <col min="7423" max="7423" width="16.125" style="253" customWidth="1"/>
    <col min="7424" max="7424" width="86" style="253" customWidth="1"/>
    <col min="7425" max="7425" width="5" style="253" customWidth="1"/>
    <col min="7426" max="7426" width="11.125" style="253" customWidth="1"/>
    <col min="7427" max="7427" width="10.375" style="253" customWidth="1"/>
    <col min="7428" max="7428" width="10.875" style="253" customWidth="1"/>
    <col min="7429" max="7429" width="7.75" style="253" customWidth="1"/>
    <col min="7430" max="7430" width="9.875" style="253" customWidth="1"/>
    <col min="7431" max="7431" width="10.625" style="253" customWidth="1"/>
    <col min="7432" max="7674" width="6.125" style="253"/>
    <col min="7675" max="7675" width="5" style="253" customWidth="1"/>
    <col min="7676" max="7676" width="8.875" style="253" customWidth="1"/>
    <col min="7677" max="7677" width="5" style="253" customWidth="1"/>
    <col min="7678" max="7678" width="8.25" style="253" customWidth="1"/>
    <col min="7679" max="7679" width="16.125" style="253" customWidth="1"/>
    <col min="7680" max="7680" width="86" style="253" customWidth="1"/>
    <col min="7681" max="7681" width="5" style="253" customWidth="1"/>
    <col min="7682" max="7682" width="11.125" style="253" customWidth="1"/>
    <col min="7683" max="7683" width="10.375" style="253" customWidth="1"/>
    <col min="7684" max="7684" width="10.875" style="253" customWidth="1"/>
    <col min="7685" max="7685" width="7.75" style="253" customWidth="1"/>
    <col min="7686" max="7686" width="9.875" style="253" customWidth="1"/>
    <col min="7687" max="7687" width="10.625" style="253" customWidth="1"/>
    <col min="7688" max="7930" width="6.125" style="253"/>
    <col min="7931" max="7931" width="5" style="253" customWidth="1"/>
    <col min="7932" max="7932" width="8.875" style="253" customWidth="1"/>
    <col min="7933" max="7933" width="5" style="253" customWidth="1"/>
    <col min="7934" max="7934" width="8.25" style="253" customWidth="1"/>
    <col min="7935" max="7935" width="16.125" style="253" customWidth="1"/>
    <col min="7936" max="7936" width="86" style="253" customWidth="1"/>
    <col min="7937" max="7937" width="5" style="253" customWidth="1"/>
    <col min="7938" max="7938" width="11.125" style="253" customWidth="1"/>
    <col min="7939" max="7939" width="10.375" style="253" customWidth="1"/>
    <col min="7940" max="7940" width="10.875" style="253" customWidth="1"/>
    <col min="7941" max="7941" width="7.75" style="253" customWidth="1"/>
    <col min="7942" max="7942" width="9.875" style="253" customWidth="1"/>
    <col min="7943" max="7943" width="10.625" style="253" customWidth="1"/>
    <col min="7944" max="8186" width="6.125" style="253"/>
    <col min="8187" max="8187" width="5" style="253" customWidth="1"/>
    <col min="8188" max="8188" width="8.875" style="253" customWidth="1"/>
    <col min="8189" max="8189" width="5" style="253" customWidth="1"/>
    <col min="8190" max="8190" width="8.25" style="253" customWidth="1"/>
    <col min="8191" max="8191" width="16.125" style="253" customWidth="1"/>
    <col min="8192" max="8192" width="86" style="253" customWidth="1"/>
    <col min="8193" max="8193" width="5" style="253" customWidth="1"/>
    <col min="8194" max="8194" width="11.125" style="253" customWidth="1"/>
    <col min="8195" max="8195" width="10.375" style="253" customWidth="1"/>
    <col min="8196" max="8196" width="10.875" style="253" customWidth="1"/>
    <col min="8197" max="8197" width="7.75" style="253" customWidth="1"/>
    <col min="8198" max="8198" width="9.875" style="253" customWidth="1"/>
    <col min="8199" max="8199" width="10.625" style="253" customWidth="1"/>
    <col min="8200" max="8442" width="6.125" style="253"/>
    <col min="8443" max="8443" width="5" style="253" customWidth="1"/>
    <col min="8444" max="8444" width="8.875" style="253" customWidth="1"/>
    <col min="8445" max="8445" width="5" style="253" customWidth="1"/>
    <col min="8446" max="8446" width="8.25" style="253" customWidth="1"/>
    <col min="8447" max="8447" width="16.125" style="253" customWidth="1"/>
    <col min="8448" max="8448" width="86" style="253" customWidth="1"/>
    <col min="8449" max="8449" width="5" style="253" customWidth="1"/>
    <col min="8450" max="8450" width="11.125" style="253" customWidth="1"/>
    <col min="8451" max="8451" width="10.375" style="253" customWidth="1"/>
    <col min="8452" max="8452" width="10.875" style="253" customWidth="1"/>
    <col min="8453" max="8453" width="7.75" style="253" customWidth="1"/>
    <col min="8454" max="8454" width="9.875" style="253" customWidth="1"/>
    <col min="8455" max="8455" width="10.625" style="253" customWidth="1"/>
    <col min="8456" max="8698" width="6.125" style="253"/>
    <col min="8699" max="8699" width="5" style="253" customWidth="1"/>
    <col min="8700" max="8700" width="8.875" style="253" customWidth="1"/>
    <col min="8701" max="8701" width="5" style="253" customWidth="1"/>
    <col min="8702" max="8702" width="8.25" style="253" customWidth="1"/>
    <col min="8703" max="8703" width="16.125" style="253" customWidth="1"/>
    <col min="8704" max="8704" width="86" style="253" customWidth="1"/>
    <col min="8705" max="8705" width="5" style="253" customWidth="1"/>
    <col min="8706" max="8706" width="11.125" style="253" customWidth="1"/>
    <col min="8707" max="8707" width="10.375" style="253" customWidth="1"/>
    <col min="8708" max="8708" width="10.875" style="253" customWidth="1"/>
    <col min="8709" max="8709" width="7.75" style="253" customWidth="1"/>
    <col min="8710" max="8710" width="9.875" style="253" customWidth="1"/>
    <col min="8711" max="8711" width="10.625" style="253" customWidth="1"/>
    <col min="8712" max="8954" width="6.125" style="253"/>
    <col min="8955" max="8955" width="5" style="253" customWidth="1"/>
    <col min="8956" max="8956" width="8.875" style="253" customWidth="1"/>
    <col min="8957" max="8957" width="5" style="253" customWidth="1"/>
    <col min="8958" max="8958" width="8.25" style="253" customWidth="1"/>
    <col min="8959" max="8959" width="16.125" style="253" customWidth="1"/>
    <col min="8960" max="8960" width="86" style="253" customWidth="1"/>
    <col min="8961" max="8961" width="5" style="253" customWidth="1"/>
    <col min="8962" max="8962" width="11.125" style="253" customWidth="1"/>
    <col min="8963" max="8963" width="10.375" style="253" customWidth="1"/>
    <col min="8964" max="8964" width="10.875" style="253" customWidth="1"/>
    <col min="8965" max="8965" width="7.75" style="253" customWidth="1"/>
    <col min="8966" max="8966" width="9.875" style="253" customWidth="1"/>
    <col min="8967" max="8967" width="10.625" style="253" customWidth="1"/>
    <col min="8968" max="9210" width="6.125" style="253"/>
    <col min="9211" max="9211" width="5" style="253" customWidth="1"/>
    <col min="9212" max="9212" width="8.875" style="253" customWidth="1"/>
    <col min="9213" max="9213" width="5" style="253" customWidth="1"/>
    <col min="9214" max="9214" width="8.25" style="253" customWidth="1"/>
    <col min="9215" max="9215" width="16.125" style="253" customWidth="1"/>
    <col min="9216" max="9216" width="86" style="253" customWidth="1"/>
    <col min="9217" max="9217" width="5" style="253" customWidth="1"/>
    <col min="9218" max="9218" width="11.125" style="253" customWidth="1"/>
    <col min="9219" max="9219" width="10.375" style="253" customWidth="1"/>
    <col min="9220" max="9220" width="10.875" style="253" customWidth="1"/>
    <col min="9221" max="9221" width="7.75" style="253" customWidth="1"/>
    <col min="9222" max="9222" width="9.875" style="253" customWidth="1"/>
    <col min="9223" max="9223" width="10.625" style="253" customWidth="1"/>
    <col min="9224" max="9466" width="6.125" style="253"/>
    <col min="9467" max="9467" width="5" style="253" customWidth="1"/>
    <col min="9468" max="9468" width="8.875" style="253" customWidth="1"/>
    <col min="9469" max="9469" width="5" style="253" customWidth="1"/>
    <col min="9470" max="9470" width="8.25" style="253" customWidth="1"/>
    <col min="9471" max="9471" width="16.125" style="253" customWidth="1"/>
    <col min="9472" max="9472" width="86" style="253" customWidth="1"/>
    <col min="9473" max="9473" width="5" style="253" customWidth="1"/>
    <col min="9474" max="9474" width="11.125" style="253" customWidth="1"/>
    <col min="9475" max="9475" width="10.375" style="253" customWidth="1"/>
    <col min="9476" max="9476" width="10.875" style="253" customWidth="1"/>
    <col min="9477" max="9477" width="7.75" style="253" customWidth="1"/>
    <col min="9478" max="9478" width="9.875" style="253" customWidth="1"/>
    <col min="9479" max="9479" width="10.625" style="253" customWidth="1"/>
    <col min="9480" max="9722" width="6.125" style="253"/>
    <col min="9723" max="9723" width="5" style="253" customWidth="1"/>
    <col min="9724" max="9724" width="8.875" style="253" customWidth="1"/>
    <col min="9725" max="9725" width="5" style="253" customWidth="1"/>
    <col min="9726" max="9726" width="8.25" style="253" customWidth="1"/>
    <col min="9727" max="9727" width="16.125" style="253" customWidth="1"/>
    <col min="9728" max="9728" width="86" style="253" customWidth="1"/>
    <col min="9729" max="9729" width="5" style="253" customWidth="1"/>
    <col min="9730" max="9730" width="11.125" style="253" customWidth="1"/>
    <col min="9731" max="9731" width="10.375" style="253" customWidth="1"/>
    <col min="9732" max="9732" width="10.875" style="253" customWidth="1"/>
    <col min="9733" max="9733" width="7.75" style="253" customWidth="1"/>
    <col min="9734" max="9734" width="9.875" style="253" customWidth="1"/>
    <col min="9735" max="9735" width="10.625" style="253" customWidth="1"/>
    <col min="9736" max="9978" width="6.125" style="253"/>
    <col min="9979" max="9979" width="5" style="253" customWidth="1"/>
    <col min="9980" max="9980" width="8.875" style="253" customWidth="1"/>
    <col min="9981" max="9981" width="5" style="253" customWidth="1"/>
    <col min="9982" max="9982" width="8.25" style="253" customWidth="1"/>
    <col min="9983" max="9983" width="16.125" style="253" customWidth="1"/>
    <col min="9984" max="9984" width="86" style="253" customWidth="1"/>
    <col min="9985" max="9985" width="5" style="253" customWidth="1"/>
    <col min="9986" max="9986" width="11.125" style="253" customWidth="1"/>
    <col min="9987" max="9987" width="10.375" style="253" customWidth="1"/>
    <col min="9988" max="9988" width="10.875" style="253" customWidth="1"/>
    <col min="9989" max="9989" width="7.75" style="253" customWidth="1"/>
    <col min="9990" max="9990" width="9.875" style="253" customWidth="1"/>
    <col min="9991" max="9991" width="10.625" style="253" customWidth="1"/>
    <col min="9992" max="10234" width="6.125" style="253"/>
    <col min="10235" max="10235" width="5" style="253" customWidth="1"/>
    <col min="10236" max="10236" width="8.875" style="253" customWidth="1"/>
    <col min="10237" max="10237" width="5" style="253" customWidth="1"/>
    <col min="10238" max="10238" width="8.25" style="253" customWidth="1"/>
    <col min="10239" max="10239" width="16.125" style="253" customWidth="1"/>
    <col min="10240" max="10240" width="86" style="253" customWidth="1"/>
    <col min="10241" max="10241" width="5" style="253" customWidth="1"/>
    <col min="10242" max="10242" width="11.125" style="253" customWidth="1"/>
    <col min="10243" max="10243" width="10.375" style="253" customWidth="1"/>
    <col min="10244" max="10244" width="10.875" style="253" customWidth="1"/>
    <col min="10245" max="10245" width="7.75" style="253" customWidth="1"/>
    <col min="10246" max="10246" width="9.875" style="253" customWidth="1"/>
    <col min="10247" max="10247" width="10.625" style="253" customWidth="1"/>
    <col min="10248" max="10490" width="6.125" style="253"/>
    <col min="10491" max="10491" width="5" style="253" customWidth="1"/>
    <col min="10492" max="10492" width="8.875" style="253" customWidth="1"/>
    <col min="10493" max="10493" width="5" style="253" customWidth="1"/>
    <col min="10494" max="10494" width="8.25" style="253" customWidth="1"/>
    <col min="10495" max="10495" width="16.125" style="253" customWidth="1"/>
    <col min="10496" max="10496" width="86" style="253" customWidth="1"/>
    <col min="10497" max="10497" width="5" style="253" customWidth="1"/>
    <col min="10498" max="10498" width="11.125" style="253" customWidth="1"/>
    <col min="10499" max="10499" width="10.375" style="253" customWidth="1"/>
    <col min="10500" max="10500" width="10.875" style="253" customWidth="1"/>
    <col min="10501" max="10501" width="7.75" style="253" customWidth="1"/>
    <col min="10502" max="10502" width="9.875" style="253" customWidth="1"/>
    <col min="10503" max="10503" width="10.625" style="253" customWidth="1"/>
    <col min="10504" max="10746" width="6.125" style="253"/>
    <col min="10747" max="10747" width="5" style="253" customWidth="1"/>
    <col min="10748" max="10748" width="8.875" style="253" customWidth="1"/>
    <col min="10749" max="10749" width="5" style="253" customWidth="1"/>
    <col min="10750" max="10750" width="8.25" style="253" customWidth="1"/>
    <col min="10751" max="10751" width="16.125" style="253" customWidth="1"/>
    <col min="10752" max="10752" width="86" style="253" customWidth="1"/>
    <col min="10753" max="10753" width="5" style="253" customWidth="1"/>
    <col min="10754" max="10754" width="11.125" style="253" customWidth="1"/>
    <col min="10755" max="10755" width="10.375" style="253" customWidth="1"/>
    <col min="10756" max="10756" width="10.875" style="253" customWidth="1"/>
    <col min="10757" max="10757" width="7.75" style="253" customWidth="1"/>
    <col min="10758" max="10758" width="9.875" style="253" customWidth="1"/>
    <col min="10759" max="10759" width="10.625" style="253" customWidth="1"/>
    <col min="10760" max="11002" width="6.125" style="253"/>
    <col min="11003" max="11003" width="5" style="253" customWidth="1"/>
    <col min="11004" max="11004" width="8.875" style="253" customWidth="1"/>
    <col min="11005" max="11005" width="5" style="253" customWidth="1"/>
    <col min="11006" max="11006" width="8.25" style="253" customWidth="1"/>
    <col min="11007" max="11007" width="16.125" style="253" customWidth="1"/>
    <col min="11008" max="11008" width="86" style="253" customWidth="1"/>
    <col min="11009" max="11009" width="5" style="253" customWidth="1"/>
    <col min="11010" max="11010" width="11.125" style="253" customWidth="1"/>
    <col min="11011" max="11011" width="10.375" style="253" customWidth="1"/>
    <col min="11012" max="11012" width="10.875" style="253" customWidth="1"/>
    <col min="11013" max="11013" width="7.75" style="253" customWidth="1"/>
    <col min="11014" max="11014" width="9.875" style="253" customWidth="1"/>
    <col min="11015" max="11015" width="10.625" style="253" customWidth="1"/>
    <col min="11016" max="11258" width="6.125" style="253"/>
    <col min="11259" max="11259" width="5" style="253" customWidth="1"/>
    <col min="11260" max="11260" width="8.875" style="253" customWidth="1"/>
    <col min="11261" max="11261" width="5" style="253" customWidth="1"/>
    <col min="11262" max="11262" width="8.25" style="253" customWidth="1"/>
    <col min="11263" max="11263" width="16.125" style="253" customWidth="1"/>
    <col min="11264" max="11264" width="86" style="253" customWidth="1"/>
    <col min="11265" max="11265" width="5" style="253" customWidth="1"/>
    <col min="11266" max="11266" width="11.125" style="253" customWidth="1"/>
    <col min="11267" max="11267" width="10.375" style="253" customWidth="1"/>
    <col min="11268" max="11268" width="10.875" style="253" customWidth="1"/>
    <col min="11269" max="11269" width="7.75" style="253" customWidth="1"/>
    <col min="11270" max="11270" width="9.875" style="253" customWidth="1"/>
    <col min="11271" max="11271" width="10.625" style="253" customWidth="1"/>
    <col min="11272" max="11514" width="6.125" style="253"/>
    <col min="11515" max="11515" width="5" style="253" customWidth="1"/>
    <col min="11516" max="11516" width="8.875" style="253" customWidth="1"/>
    <col min="11517" max="11517" width="5" style="253" customWidth="1"/>
    <col min="11518" max="11518" width="8.25" style="253" customWidth="1"/>
    <col min="11519" max="11519" width="16.125" style="253" customWidth="1"/>
    <col min="11520" max="11520" width="86" style="253" customWidth="1"/>
    <col min="11521" max="11521" width="5" style="253" customWidth="1"/>
    <col min="11522" max="11522" width="11.125" style="253" customWidth="1"/>
    <col min="11523" max="11523" width="10.375" style="253" customWidth="1"/>
    <col min="11524" max="11524" width="10.875" style="253" customWidth="1"/>
    <col min="11525" max="11525" width="7.75" style="253" customWidth="1"/>
    <col min="11526" max="11526" width="9.875" style="253" customWidth="1"/>
    <col min="11527" max="11527" width="10.625" style="253" customWidth="1"/>
    <col min="11528" max="11770" width="6.125" style="253"/>
    <col min="11771" max="11771" width="5" style="253" customWidth="1"/>
    <col min="11772" max="11772" width="8.875" style="253" customWidth="1"/>
    <col min="11773" max="11773" width="5" style="253" customWidth="1"/>
    <col min="11774" max="11774" width="8.25" style="253" customWidth="1"/>
    <col min="11775" max="11775" width="16.125" style="253" customWidth="1"/>
    <col min="11776" max="11776" width="86" style="253" customWidth="1"/>
    <col min="11777" max="11777" width="5" style="253" customWidth="1"/>
    <col min="11778" max="11778" width="11.125" style="253" customWidth="1"/>
    <col min="11779" max="11779" width="10.375" style="253" customWidth="1"/>
    <col min="11780" max="11780" width="10.875" style="253" customWidth="1"/>
    <col min="11781" max="11781" width="7.75" style="253" customWidth="1"/>
    <col min="11782" max="11782" width="9.875" style="253" customWidth="1"/>
    <col min="11783" max="11783" width="10.625" style="253" customWidth="1"/>
    <col min="11784" max="12026" width="6.125" style="253"/>
    <col min="12027" max="12027" width="5" style="253" customWidth="1"/>
    <col min="12028" max="12028" width="8.875" style="253" customWidth="1"/>
    <col min="12029" max="12029" width="5" style="253" customWidth="1"/>
    <col min="12030" max="12030" width="8.25" style="253" customWidth="1"/>
    <col min="12031" max="12031" width="16.125" style="253" customWidth="1"/>
    <col min="12032" max="12032" width="86" style="253" customWidth="1"/>
    <col min="12033" max="12033" width="5" style="253" customWidth="1"/>
    <col min="12034" max="12034" width="11.125" style="253" customWidth="1"/>
    <col min="12035" max="12035" width="10.375" style="253" customWidth="1"/>
    <col min="12036" max="12036" width="10.875" style="253" customWidth="1"/>
    <col min="12037" max="12037" width="7.75" style="253" customWidth="1"/>
    <col min="12038" max="12038" width="9.875" style="253" customWidth="1"/>
    <col min="12039" max="12039" width="10.625" style="253" customWidth="1"/>
    <col min="12040" max="12282" width="6.125" style="253"/>
    <col min="12283" max="12283" width="5" style="253" customWidth="1"/>
    <col min="12284" max="12284" width="8.875" style="253" customWidth="1"/>
    <col min="12285" max="12285" width="5" style="253" customWidth="1"/>
    <col min="12286" max="12286" width="8.25" style="253" customWidth="1"/>
    <col min="12287" max="12287" width="16.125" style="253" customWidth="1"/>
    <col min="12288" max="12288" width="86" style="253" customWidth="1"/>
    <col min="12289" max="12289" width="5" style="253" customWidth="1"/>
    <col min="12290" max="12290" width="11.125" style="253" customWidth="1"/>
    <col min="12291" max="12291" width="10.375" style="253" customWidth="1"/>
    <col min="12292" max="12292" width="10.875" style="253" customWidth="1"/>
    <col min="12293" max="12293" width="7.75" style="253" customWidth="1"/>
    <col min="12294" max="12294" width="9.875" style="253" customWidth="1"/>
    <col min="12295" max="12295" width="10.625" style="253" customWidth="1"/>
    <col min="12296" max="12538" width="6.125" style="253"/>
    <col min="12539" max="12539" width="5" style="253" customWidth="1"/>
    <col min="12540" max="12540" width="8.875" style="253" customWidth="1"/>
    <col min="12541" max="12541" width="5" style="253" customWidth="1"/>
    <col min="12542" max="12542" width="8.25" style="253" customWidth="1"/>
    <col min="12543" max="12543" width="16.125" style="253" customWidth="1"/>
    <col min="12544" max="12544" width="86" style="253" customWidth="1"/>
    <col min="12545" max="12545" width="5" style="253" customWidth="1"/>
    <col min="12546" max="12546" width="11.125" style="253" customWidth="1"/>
    <col min="12547" max="12547" width="10.375" style="253" customWidth="1"/>
    <col min="12548" max="12548" width="10.875" style="253" customWidth="1"/>
    <col min="12549" max="12549" width="7.75" style="253" customWidth="1"/>
    <col min="12550" max="12550" width="9.875" style="253" customWidth="1"/>
    <col min="12551" max="12551" width="10.625" style="253" customWidth="1"/>
    <col min="12552" max="12794" width="6.125" style="253"/>
    <col min="12795" max="12795" width="5" style="253" customWidth="1"/>
    <col min="12796" max="12796" width="8.875" style="253" customWidth="1"/>
    <col min="12797" max="12797" width="5" style="253" customWidth="1"/>
    <col min="12798" max="12798" width="8.25" style="253" customWidth="1"/>
    <col min="12799" max="12799" width="16.125" style="253" customWidth="1"/>
    <col min="12800" max="12800" width="86" style="253" customWidth="1"/>
    <col min="12801" max="12801" width="5" style="253" customWidth="1"/>
    <col min="12802" max="12802" width="11.125" style="253" customWidth="1"/>
    <col min="12803" max="12803" width="10.375" style="253" customWidth="1"/>
    <col min="12804" max="12804" width="10.875" style="253" customWidth="1"/>
    <col min="12805" max="12805" width="7.75" style="253" customWidth="1"/>
    <col min="12806" max="12806" width="9.875" style="253" customWidth="1"/>
    <col min="12807" max="12807" width="10.625" style="253" customWidth="1"/>
    <col min="12808" max="13050" width="6.125" style="253"/>
    <col min="13051" max="13051" width="5" style="253" customWidth="1"/>
    <col min="13052" max="13052" width="8.875" style="253" customWidth="1"/>
    <col min="13053" max="13053" width="5" style="253" customWidth="1"/>
    <col min="13054" max="13054" width="8.25" style="253" customWidth="1"/>
    <col min="13055" max="13055" width="16.125" style="253" customWidth="1"/>
    <col min="13056" max="13056" width="86" style="253" customWidth="1"/>
    <col min="13057" max="13057" width="5" style="253" customWidth="1"/>
    <col min="13058" max="13058" width="11.125" style="253" customWidth="1"/>
    <col min="13059" max="13059" width="10.375" style="253" customWidth="1"/>
    <col min="13060" max="13060" width="10.875" style="253" customWidth="1"/>
    <col min="13061" max="13061" width="7.75" style="253" customWidth="1"/>
    <col min="13062" max="13062" width="9.875" style="253" customWidth="1"/>
    <col min="13063" max="13063" width="10.625" style="253" customWidth="1"/>
    <col min="13064" max="13306" width="6.125" style="253"/>
    <col min="13307" max="13307" width="5" style="253" customWidth="1"/>
    <col min="13308" max="13308" width="8.875" style="253" customWidth="1"/>
    <col min="13309" max="13309" width="5" style="253" customWidth="1"/>
    <col min="13310" max="13310" width="8.25" style="253" customWidth="1"/>
    <col min="13311" max="13311" width="16.125" style="253" customWidth="1"/>
    <col min="13312" max="13312" width="86" style="253" customWidth="1"/>
    <col min="13313" max="13313" width="5" style="253" customWidth="1"/>
    <col min="13314" max="13314" width="11.125" style="253" customWidth="1"/>
    <col min="13315" max="13315" width="10.375" style="253" customWidth="1"/>
    <col min="13316" max="13316" width="10.875" style="253" customWidth="1"/>
    <col min="13317" max="13317" width="7.75" style="253" customWidth="1"/>
    <col min="13318" max="13318" width="9.875" style="253" customWidth="1"/>
    <col min="13319" max="13319" width="10.625" style="253" customWidth="1"/>
    <col min="13320" max="13562" width="6.125" style="253"/>
    <col min="13563" max="13563" width="5" style="253" customWidth="1"/>
    <col min="13564" max="13564" width="8.875" style="253" customWidth="1"/>
    <col min="13565" max="13565" width="5" style="253" customWidth="1"/>
    <col min="13566" max="13566" width="8.25" style="253" customWidth="1"/>
    <col min="13567" max="13567" width="16.125" style="253" customWidth="1"/>
    <col min="13568" max="13568" width="86" style="253" customWidth="1"/>
    <col min="13569" max="13569" width="5" style="253" customWidth="1"/>
    <col min="13570" max="13570" width="11.125" style="253" customWidth="1"/>
    <col min="13571" max="13571" width="10.375" style="253" customWidth="1"/>
    <col min="13572" max="13572" width="10.875" style="253" customWidth="1"/>
    <col min="13573" max="13573" width="7.75" style="253" customWidth="1"/>
    <col min="13574" max="13574" width="9.875" style="253" customWidth="1"/>
    <col min="13575" max="13575" width="10.625" style="253" customWidth="1"/>
    <col min="13576" max="13818" width="6.125" style="253"/>
    <col min="13819" max="13819" width="5" style="253" customWidth="1"/>
    <col min="13820" max="13820" width="8.875" style="253" customWidth="1"/>
    <col min="13821" max="13821" width="5" style="253" customWidth="1"/>
    <col min="13822" max="13822" width="8.25" style="253" customWidth="1"/>
    <col min="13823" max="13823" width="16.125" style="253" customWidth="1"/>
    <col min="13824" max="13824" width="86" style="253" customWidth="1"/>
    <col min="13825" max="13825" width="5" style="253" customWidth="1"/>
    <col min="13826" max="13826" width="11.125" style="253" customWidth="1"/>
    <col min="13827" max="13827" width="10.375" style="253" customWidth="1"/>
    <col min="13828" max="13828" width="10.875" style="253" customWidth="1"/>
    <col min="13829" max="13829" width="7.75" style="253" customWidth="1"/>
    <col min="13830" max="13830" width="9.875" style="253" customWidth="1"/>
    <col min="13831" max="13831" width="10.625" style="253" customWidth="1"/>
    <col min="13832" max="14074" width="6.125" style="253"/>
    <col min="14075" max="14075" width="5" style="253" customWidth="1"/>
    <col min="14076" max="14076" width="8.875" style="253" customWidth="1"/>
    <col min="14077" max="14077" width="5" style="253" customWidth="1"/>
    <col min="14078" max="14078" width="8.25" style="253" customWidth="1"/>
    <col min="14079" max="14079" width="16.125" style="253" customWidth="1"/>
    <col min="14080" max="14080" width="86" style="253" customWidth="1"/>
    <col min="14081" max="14081" width="5" style="253" customWidth="1"/>
    <col min="14082" max="14082" width="11.125" style="253" customWidth="1"/>
    <col min="14083" max="14083" width="10.375" style="253" customWidth="1"/>
    <col min="14084" max="14084" width="10.875" style="253" customWidth="1"/>
    <col min="14085" max="14085" width="7.75" style="253" customWidth="1"/>
    <col min="14086" max="14086" width="9.875" style="253" customWidth="1"/>
    <col min="14087" max="14087" width="10.625" style="253" customWidth="1"/>
    <col min="14088" max="14330" width="6.125" style="253"/>
    <col min="14331" max="14331" width="5" style="253" customWidth="1"/>
    <col min="14332" max="14332" width="8.875" style="253" customWidth="1"/>
    <col min="14333" max="14333" width="5" style="253" customWidth="1"/>
    <col min="14334" max="14334" width="8.25" style="253" customWidth="1"/>
    <col min="14335" max="14335" width="16.125" style="253" customWidth="1"/>
    <col min="14336" max="14336" width="86" style="253" customWidth="1"/>
    <col min="14337" max="14337" width="5" style="253" customWidth="1"/>
    <col min="14338" max="14338" width="11.125" style="253" customWidth="1"/>
    <col min="14339" max="14339" width="10.375" style="253" customWidth="1"/>
    <col min="14340" max="14340" width="10.875" style="253" customWidth="1"/>
    <col min="14341" max="14341" width="7.75" style="253" customWidth="1"/>
    <col min="14342" max="14342" width="9.875" style="253" customWidth="1"/>
    <col min="14343" max="14343" width="10.625" style="253" customWidth="1"/>
    <col min="14344" max="14586" width="6.125" style="253"/>
    <col min="14587" max="14587" width="5" style="253" customWidth="1"/>
    <col min="14588" max="14588" width="8.875" style="253" customWidth="1"/>
    <col min="14589" max="14589" width="5" style="253" customWidth="1"/>
    <col min="14590" max="14590" width="8.25" style="253" customWidth="1"/>
    <col min="14591" max="14591" width="16.125" style="253" customWidth="1"/>
    <col min="14592" max="14592" width="86" style="253" customWidth="1"/>
    <col min="14593" max="14593" width="5" style="253" customWidth="1"/>
    <col min="14594" max="14594" width="11.125" style="253" customWidth="1"/>
    <col min="14595" max="14595" width="10.375" style="253" customWidth="1"/>
    <col min="14596" max="14596" width="10.875" style="253" customWidth="1"/>
    <col min="14597" max="14597" width="7.75" style="253" customWidth="1"/>
    <col min="14598" max="14598" width="9.875" style="253" customWidth="1"/>
    <col min="14599" max="14599" width="10.625" style="253" customWidth="1"/>
    <col min="14600" max="14842" width="6.125" style="253"/>
    <col min="14843" max="14843" width="5" style="253" customWidth="1"/>
    <col min="14844" max="14844" width="8.875" style="253" customWidth="1"/>
    <col min="14845" max="14845" width="5" style="253" customWidth="1"/>
    <col min="14846" max="14846" width="8.25" style="253" customWidth="1"/>
    <col min="14847" max="14847" width="16.125" style="253" customWidth="1"/>
    <col min="14848" max="14848" width="86" style="253" customWidth="1"/>
    <col min="14849" max="14849" width="5" style="253" customWidth="1"/>
    <col min="14850" max="14850" width="11.125" style="253" customWidth="1"/>
    <col min="14851" max="14851" width="10.375" style="253" customWidth="1"/>
    <col min="14852" max="14852" width="10.875" style="253" customWidth="1"/>
    <col min="14853" max="14853" width="7.75" style="253" customWidth="1"/>
    <col min="14854" max="14854" width="9.875" style="253" customWidth="1"/>
    <col min="14855" max="14855" width="10.625" style="253" customWidth="1"/>
    <col min="14856" max="15098" width="6.125" style="253"/>
    <col min="15099" max="15099" width="5" style="253" customWidth="1"/>
    <col min="15100" max="15100" width="8.875" style="253" customWidth="1"/>
    <col min="15101" max="15101" width="5" style="253" customWidth="1"/>
    <col min="15102" max="15102" width="8.25" style="253" customWidth="1"/>
    <col min="15103" max="15103" width="16.125" style="253" customWidth="1"/>
    <col min="15104" max="15104" width="86" style="253" customWidth="1"/>
    <col min="15105" max="15105" width="5" style="253" customWidth="1"/>
    <col min="15106" max="15106" width="11.125" style="253" customWidth="1"/>
    <col min="15107" max="15107" width="10.375" style="253" customWidth="1"/>
    <col min="15108" max="15108" width="10.875" style="253" customWidth="1"/>
    <col min="15109" max="15109" width="7.75" style="253" customWidth="1"/>
    <col min="15110" max="15110" width="9.875" style="253" customWidth="1"/>
    <col min="15111" max="15111" width="10.625" style="253" customWidth="1"/>
    <col min="15112" max="15354" width="6.125" style="253"/>
    <col min="15355" max="15355" width="5" style="253" customWidth="1"/>
    <col min="15356" max="15356" width="8.875" style="253" customWidth="1"/>
    <col min="15357" max="15357" width="5" style="253" customWidth="1"/>
    <col min="15358" max="15358" width="8.25" style="253" customWidth="1"/>
    <col min="15359" max="15359" width="16.125" style="253" customWidth="1"/>
    <col min="15360" max="15360" width="86" style="253" customWidth="1"/>
    <col min="15361" max="15361" width="5" style="253" customWidth="1"/>
    <col min="15362" max="15362" width="11.125" style="253" customWidth="1"/>
    <col min="15363" max="15363" width="10.375" style="253" customWidth="1"/>
    <col min="15364" max="15364" width="10.875" style="253" customWidth="1"/>
    <col min="15365" max="15365" width="7.75" style="253" customWidth="1"/>
    <col min="15366" max="15366" width="9.875" style="253" customWidth="1"/>
    <col min="15367" max="15367" width="10.625" style="253" customWidth="1"/>
    <col min="15368" max="15610" width="6.125" style="253"/>
    <col min="15611" max="15611" width="5" style="253" customWidth="1"/>
    <col min="15612" max="15612" width="8.875" style="253" customWidth="1"/>
    <col min="15613" max="15613" width="5" style="253" customWidth="1"/>
    <col min="15614" max="15614" width="8.25" style="253" customWidth="1"/>
    <col min="15615" max="15615" width="16.125" style="253" customWidth="1"/>
    <col min="15616" max="15616" width="86" style="253" customWidth="1"/>
    <col min="15617" max="15617" width="5" style="253" customWidth="1"/>
    <col min="15618" max="15618" width="11.125" style="253" customWidth="1"/>
    <col min="15619" max="15619" width="10.375" style="253" customWidth="1"/>
    <col min="15620" max="15620" width="10.875" style="253" customWidth="1"/>
    <col min="15621" max="15621" width="7.75" style="253" customWidth="1"/>
    <col min="15622" max="15622" width="9.875" style="253" customWidth="1"/>
    <col min="15623" max="15623" width="10.625" style="253" customWidth="1"/>
    <col min="15624" max="15866" width="6.125" style="253"/>
    <col min="15867" max="15867" width="5" style="253" customWidth="1"/>
    <col min="15868" max="15868" width="8.875" style="253" customWidth="1"/>
    <col min="15869" max="15869" width="5" style="253" customWidth="1"/>
    <col min="15870" max="15870" width="8.25" style="253" customWidth="1"/>
    <col min="15871" max="15871" width="16.125" style="253" customWidth="1"/>
    <col min="15872" max="15872" width="86" style="253" customWidth="1"/>
    <col min="15873" max="15873" width="5" style="253" customWidth="1"/>
    <col min="15874" max="15874" width="11.125" style="253" customWidth="1"/>
    <col min="15875" max="15875" width="10.375" style="253" customWidth="1"/>
    <col min="15876" max="15876" width="10.875" style="253" customWidth="1"/>
    <col min="15877" max="15877" width="7.75" style="253" customWidth="1"/>
    <col min="15878" max="15878" width="9.875" style="253" customWidth="1"/>
    <col min="15879" max="15879" width="10.625" style="253" customWidth="1"/>
    <col min="15880" max="16122" width="6.125" style="253"/>
    <col min="16123" max="16123" width="5" style="253" customWidth="1"/>
    <col min="16124" max="16124" width="8.875" style="253" customWidth="1"/>
    <col min="16125" max="16125" width="5" style="253" customWidth="1"/>
    <col min="16126" max="16126" width="8.25" style="253" customWidth="1"/>
    <col min="16127" max="16127" width="16.125" style="253" customWidth="1"/>
    <col min="16128" max="16128" width="86" style="253" customWidth="1"/>
    <col min="16129" max="16129" width="5" style="253" customWidth="1"/>
    <col min="16130" max="16130" width="11.125" style="253" customWidth="1"/>
    <col min="16131" max="16131" width="10.375" style="253" customWidth="1"/>
    <col min="16132" max="16132" width="10.875" style="253" customWidth="1"/>
    <col min="16133" max="16133" width="7.75" style="253" customWidth="1"/>
    <col min="16134" max="16134" width="9.875" style="253" customWidth="1"/>
    <col min="16135" max="16135" width="10.625" style="253" customWidth="1"/>
    <col min="16136" max="16384" width="6.125" style="253"/>
  </cols>
  <sheetData>
    <row r="1" spans="1:12">
      <c r="A1" s="213"/>
      <c r="B1" s="256"/>
      <c r="C1" s="256"/>
      <c r="D1" s="256"/>
      <c r="E1" s="256"/>
      <c r="F1" s="257" t="s">
        <v>427</v>
      </c>
      <c r="G1" s="256"/>
      <c r="H1" s="256"/>
      <c r="I1" s="256"/>
      <c r="J1" s="256"/>
      <c r="K1" s="256"/>
      <c r="L1" s="285"/>
    </row>
    <row r="2" spans="1:12">
      <c r="A2" s="213"/>
      <c r="B2" s="213"/>
      <c r="C2" s="213"/>
      <c r="D2" s="213"/>
      <c r="E2" s="213"/>
      <c r="F2" s="258"/>
      <c r="G2" s="213"/>
      <c r="H2" s="213"/>
      <c r="I2" s="213"/>
      <c r="J2" s="213"/>
      <c r="K2" s="213"/>
      <c r="L2" s="285"/>
    </row>
    <row r="3" ht="26.25" customHeight="1" spans="1:12">
      <c r="A3" s="213"/>
      <c r="B3" s="213"/>
      <c r="C3" s="213"/>
      <c r="D3" s="213"/>
      <c r="E3" s="213"/>
      <c r="F3" s="258"/>
      <c r="G3" s="213"/>
      <c r="H3" s="213"/>
      <c r="I3" s="213"/>
      <c r="J3" s="213"/>
      <c r="K3" s="286" t="s">
        <v>35</v>
      </c>
      <c r="L3" s="286"/>
    </row>
    <row r="4" s="251" customFormat="1" ht="42.75" customHeight="1" spans="1:12">
      <c r="A4" s="259" t="s">
        <v>36</v>
      </c>
      <c r="B4" s="260" t="s">
        <v>37</v>
      </c>
      <c r="C4" s="260" t="s">
        <v>38</v>
      </c>
      <c r="D4" s="260" t="s">
        <v>39</v>
      </c>
      <c r="E4" s="260" t="s">
        <v>40</v>
      </c>
      <c r="F4" s="261" t="s">
        <v>382</v>
      </c>
      <c r="G4" s="262" t="s">
        <v>42</v>
      </c>
      <c r="H4" s="260" t="s">
        <v>428</v>
      </c>
      <c r="I4" s="260" t="s">
        <v>429</v>
      </c>
      <c r="J4" s="260" t="s">
        <v>384</v>
      </c>
      <c r="K4" s="260" t="s">
        <v>44</v>
      </c>
      <c r="L4" s="287" t="s">
        <v>45</v>
      </c>
    </row>
    <row r="5" spans="1:12">
      <c r="A5" s="263"/>
      <c r="B5" s="213"/>
      <c r="C5" s="213"/>
      <c r="D5" s="213"/>
      <c r="E5" s="213"/>
      <c r="F5" s="261"/>
      <c r="G5" s="262"/>
      <c r="H5" s="264"/>
      <c r="I5" s="264"/>
      <c r="J5" s="264"/>
      <c r="K5" s="288"/>
      <c r="L5" s="285"/>
    </row>
    <row r="6" ht="60.75" customHeight="1" spans="1:12">
      <c r="A6" s="263">
        <v>1.1</v>
      </c>
      <c r="B6" s="213"/>
      <c r="C6" s="213"/>
      <c r="D6" s="256" t="s">
        <v>48</v>
      </c>
      <c r="E6" s="213" t="s">
        <v>49</v>
      </c>
      <c r="F6" s="261" t="s">
        <v>430</v>
      </c>
      <c r="G6" s="213" t="s">
        <v>51</v>
      </c>
      <c r="H6" s="215">
        <v>40</v>
      </c>
      <c r="I6" s="215">
        <v>0</v>
      </c>
      <c r="J6" s="215">
        <f>SUM(H6:I6)</f>
        <v>40</v>
      </c>
      <c r="K6" s="171">
        <v>8950</v>
      </c>
      <c r="L6" s="285">
        <f>SUM(J6*K6)</f>
        <v>358000</v>
      </c>
    </row>
    <row r="7" ht="155.25" customHeight="1" spans="1:12">
      <c r="A7" s="263"/>
      <c r="B7" s="213"/>
      <c r="C7" s="213"/>
      <c r="D7" s="213"/>
      <c r="E7" s="213"/>
      <c r="F7" s="265" t="s">
        <v>431</v>
      </c>
      <c r="G7" s="213"/>
      <c r="H7" s="215"/>
      <c r="I7" s="215"/>
      <c r="J7" s="215"/>
      <c r="K7" s="220"/>
      <c r="L7" s="285"/>
    </row>
    <row r="8" spans="1:12">
      <c r="A8" s="263"/>
      <c r="B8" s="213"/>
      <c r="C8" s="213"/>
      <c r="D8" s="213"/>
      <c r="E8" s="213"/>
      <c r="F8" s="266"/>
      <c r="G8" s="213"/>
      <c r="H8" s="215"/>
      <c r="I8" s="215"/>
      <c r="J8" s="215"/>
      <c r="K8" s="220"/>
      <c r="L8" s="285"/>
    </row>
    <row r="9" ht="25.5" spans="1:12">
      <c r="A9" s="263">
        <v>1.2</v>
      </c>
      <c r="B9" s="213"/>
      <c r="C9" s="213"/>
      <c r="D9" s="256" t="s">
        <v>48</v>
      </c>
      <c r="E9" s="213" t="s">
        <v>49</v>
      </c>
      <c r="F9" s="261" t="s">
        <v>432</v>
      </c>
      <c r="G9" s="213" t="s">
        <v>51</v>
      </c>
      <c r="H9" s="215">
        <f>200-33</f>
        <v>167</v>
      </c>
      <c r="I9" s="215">
        <v>85</v>
      </c>
      <c r="J9" s="215">
        <f>SUM(H9:I9)</f>
        <v>252</v>
      </c>
      <c r="K9" s="220">
        <v>8950</v>
      </c>
      <c r="L9" s="285">
        <f t="shared" ref="L9:L66" si="0">SUM(J9*K9)</f>
        <v>2255400</v>
      </c>
    </row>
    <row r="10" ht="159" customHeight="1" spans="1:12">
      <c r="A10" s="263"/>
      <c r="B10" s="213"/>
      <c r="C10" s="213"/>
      <c r="D10" s="213"/>
      <c r="E10" s="213"/>
      <c r="F10" s="265" t="s">
        <v>433</v>
      </c>
      <c r="G10" s="213"/>
      <c r="H10" s="215"/>
      <c r="I10" s="215"/>
      <c r="J10" s="215"/>
      <c r="K10" s="220"/>
      <c r="L10" s="285"/>
    </row>
    <row r="11" spans="1:12">
      <c r="A11" s="263"/>
      <c r="B11" s="213"/>
      <c r="C11" s="213"/>
      <c r="D11" s="213"/>
      <c r="E11" s="213"/>
      <c r="F11" s="266"/>
      <c r="G11" s="213"/>
      <c r="H11" s="215"/>
      <c r="I11" s="215"/>
      <c r="J11" s="215"/>
      <c r="K11" s="220"/>
      <c r="L11" s="285"/>
    </row>
    <row r="12" ht="25.5" spans="1:12">
      <c r="A12" s="263">
        <v>1.3</v>
      </c>
      <c r="B12" s="213"/>
      <c r="C12" s="213"/>
      <c r="D12" s="256" t="s">
        <v>48</v>
      </c>
      <c r="E12" s="213" t="s">
        <v>283</v>
      </c>
      <c r="F12" s="257" t="s">
        <v>434</v>
      </c>
      <c r="G12" s="267" t="s">
        <v>130</v>
      </c>
      <c r="H12" s="215">
        <v>30</v>
      </c>
      <c r="I12" s="215">
        <v>0</v>
      </c>
      <c r="J12" s="215">
        <f>SUM(H12:I12)</f>
        <v>30</v>
      </c>
      <c r="K12" s="220">
        <v>2900</v>
      </c>
      <c r="L12" s="285">
        <f t="shared" si="0"/>
        <v>87000</v>
      </c>
    </row>
    <row r="13" ht="155.25" customHeight="1" spans="1:12">
      <c r="A13" s="263"/>
      <c r="B13" s="213"/>
      <c r="C13" s="213"/>
      <c r="D13" s="213"/>
      <c r="E13" s="213"/>
      <c r="F13" s="266" t="s">
        <v>435</v>
      </c>
      <c r="G13" s="267"/>
      <c r="H13" s="215"/>
      <c r="I13" s="215"/>
      <c r="J13" s="215"/>
      <c r="K13" s="220"/>
      <c r="L13" s="285"/>
    </row>
    <row r="14" spans="1:12">
      <c r="A14" s="263"/>
      <c r="B14" s="213"/>
      <c r="C14" s="213"/>
      <c r="D14" s="213"/>
      <c r="E14" s="213"/>
      <c r="F14" s="258"/>
      <c r="G14" s="213"/>
      <c r="H14" s="215"/>
      <c r="I14" s="215"/>
      <c r="J14" s="215"/>
      <c r="K14" s="220"/>
      <c r="L14" s="285"/>
    </row>
    <row r="15" ht="25.5" spans="1:12">
      <c r="A15" s="268">
        <v>1.4</v>
      </c>
      <c r="B15" s="260"/>
      <c r="C15" s="256" t="s">
        <v>158</v>
      </c>
      <c r="D15" s="256" t="s">
        <v>289</v>
      </c>
      <c r="E15" s="256" t="s">
        <v>290</v>
      </c>
      <c r="F15" s="257" t="s">
        <v>436</v>
      </c>
      <c r="G15" s="256" t="s">
        <v>130</v>
      </c>
      <c r="H15" s="215">
        <f>(3*3.6)+(25*3.6)</f>
        <v>100.8</v>
      </c>
      <c r="I15" s="215">
        <v>0</v>
      </c>
      <c r="J15" s="215">
        <f>SUM(H15:I15)</f>
        <v>100.8</v>
      </c>
      <c r="K15" s="220">
        <v>1600</v>
      </c>
      <c r="L15" s="285">
        <f t="shared" si="0"/>
        <v>161280</v>
      </c>
    </row>
    <row r="16" ht="78.75" customHeight="1" spans="1:12">
      <c r="A16" s="260"/>
      <c r="B16" s="260"/>
      <c r="C16" s="260"/>
      <c r="D16" s="260"/>
      <c r="E16" s="260"/>
      <c r="F16" s="265" t="s">
        <v>437</v>
      </c>
      <c r="G16" s="256"/>
      <c r="H16" s="215"/>
      <c r="I16" s="215"/>
      <c r="J16" s="215"/>
      <c r="K16" s="220"/>
      <c r="L16" s="285"/>
    </row>
    <row r="17" spans="1:12">
      <c r="A17" s="260"/>
      <c r="B17" s="260"/>
      <c r="C17" s="260"/>
      <c r="D17" s="260"/>
      <c r="E17" s="260"/>
      <c r="F17" s="266"/>
      <c r="G17" s="256"/>
      <c r="H17" s="215"/>
      <c r="I17" s="215"/>
      <c r="J17" s="215"/>
      <c r="K17" s="220"/>
      <c r="L17" s="285"/>
    </row>
    <row r="18" spans="1:12">
      <c r="A18" s="268">
        <v>1.5</v>
      </c>
      <c r="B18" s="260"/>
      <c r="C18" s="260"/>
      <c r="D18" s="267" t="s">
        <v>289</v>
      </c>
      <c r="E18" s="267" t="s">
        <v>290</v>
      </c>
      <c r="F18" s="257" t="s">
        <v>438</v>
      </c>
      <c r="G18" s="267" t="s">
        <v>130</v>
      </c>
      <c r="H18" s="215">
        <v>12</v>
      </c>
      <c r="I18" s="215">
        <v>0</v>
      </c>
      <c r="J18" s="215">
        <f>SUM(H18:I18)</f>
        <v>12</v>
      </c>
      <c r="K18" s="220">
        <v>1600</v>
      </c>
      <c r="L18" s="285">
        <f t="shared" si="0"/>
        <v>19200</v>
      </c>
    </row>
    <row r="19" ht="73.9" customHeight="1" spans="1:12">
      <c r="A19" s="260"/>
      <c r="B19" s="260"/>
      <c r="C19" s="260"/>
      <c r="D19" s="269"/>
      <c r="E19" s="269"/>
      <c r="F19" s="265" t="s">
        <v>439</v>
      </c>
      <c r="G19" s="267"/>
      <c r="H19" s="215"/>
      <c r="I19" s="215"/>
      <c r="J19" s="215"/>
      <c r="K19" s="220"/>
      <c r="L19" s="285"/>
    </row>
    <row r="20" spans="1:12">
      <c r="A20" s="260"/>
      <c r="B20" s="260"/>
      <c r="C20" s="260"/>
      <c r="D20" s="269"/>
      <c r="E20" s="269"/>
      <c r="F20" s="266"/>
      <c r="G20" s="267"/>
      <c r="H20" s="215"/>
      <c r="I20" s="215"/>
      <c r="J20" s="215"/>
      <c r="K20" s="220"/>
      <c r="L20" s="285"/>
    </row>
    <row r="21" ht="25.5" spans="1:12">
      <c r="A21" s="256">
        <v>1.6</v>
      </c>
      <c r="B21" s="260"/>
      <c r="C21" s="260"/>
      <c r="D21" s="270" t="s">
        <v>295</v>
      </c>
      <c r="E21" s="270" t="s">
        <v>296</v>
      </c>
      <c r="F21" s="271" t="s">
        <v>297</v>
      </c>
      <c r="G21" s="270" t="s">
        <v>130</v>
      </c>
      <c r="H21" s="272">
        <v>1</v>
      </c>
      <c r="I21" s="272">
        <v>6</v>
      </c>
      <c r="J21" s="215">
        <f>SUM(H21:I21)</f>
        <v>7</v>
      </c>
      <c r="K21" s="220">
        <v>8950</v>
      </c>
      <c r="L21" s="285">
        <f t="shared" si="0"/>
        <v>62650</v>
      </c>
    </row>
    <row r="22" ht="150" customHeight="1" spans="1:12">
      <c r="A22" s="260"/>
      <c r="B22" s="260"/>
      <c r="C22" s="260"/>
      <c r="D22" s="273"/>
      <c r="E22" s="273"/>
      <c r="F22" s="274" t="s">
        <v>440</v>
      </c>
      <c r="G22" s="273"/>
      <c r="H22" s="272"/>
      <c r="I22" s="272"/>
      <c r="J22" s="272"/>
      <c r="K22" s="220"/>
      <c r="L22" s="285"/>
    </row>
    <row r="23" spans="1:12">
      <c r="A23" s="263"/>
      <c r="B23" s="213"/>
      <c r="C23" s="213"/>
      <c r="D23" s="213"/>
      <c r="E23" s="213"/>
      <c r="F23" s="258"/>
      <c r="G23" s="213"/>
      <c r="H23" s="215"/>
      <c r="I23" s="215"/>
      <c r="J23" s="215"/>
      <c r="K23" s="220"/>
      <c r="L23" s="285"/>
    </row>
    <row r="24" spans="1:12">
      <c r="A24" s="259"/>
      <c r="B24" s="262"/>
      <c r="C24" s="262"/>
      <c r="D24" s="262"/>
      <c r="E24" s="262"/>
      <c r="F24" s="261" t="s">
        <v>388</v>
      </c>
      <c r="G24" s="262"/>
      <c r="H24" s="264"/>
      <c r="I24" s="264"/>
      <c r="J24" s="264"/>
      <c r="K24" s="289"/>
      <c r="L24" s="287"/>
    </row>
    <row r="25" spans="1:12">
      <c r="A25" s="263"/>
      <c r="B25" s="213"/>
      <c r="C25" s="213"/>
      <c r="D25" s="213"/>
      <c r="E25" s="213"/>
      <c r="F25" s="261"/>
      <c r="G25" s="213"/>
      <c r="H25" s="215"/>
      <c r="I25" s="215"/>
      <c r="J25" s="215"/>
      <c r="K25" s="220"/>
      <c r="L25" s="285"/>
    </row>
    <row r="26" ht="25.5" spans="1:17">
      <c r="A26" s="263">
        <v>1.7</v>
      </c>
      <c r="B26" s="213"/>
      <c r="C26" s="213"/>
      <c r="D26" s="256" t="s">
        <v>389</v>
      </c>
      <c r="E26" s="213" t="s">
        <v>390</v>
      </c>
      <c r="F26" s="261" t="s">
        <v>441</v>
      </c>
      <c r="G26" s="213" t="s">
        <v>187</v>
      </c>
      <c r="H26" s="215">
        <v>1</v>
      </c>
      <c r="I26" s="215">
        <v>0</v>
      </c>
      <c r="J26" s="215">
        <f>SUM(H26:I26)</f>
        <v>1</v>
      </c>
      <c r="K26" s="290">
        <v>999250</v>
      </c>
      <c r="L26" s="285">
        <f t="shared" si="0"/>
        <v>999250</v>
      </c>
      <c r="Q26" s="291"/>
    </row>
    <row r="27" ht="25.5" spans="1:12">
      <c r="A27" s="263"/>
      <c r="B27" s="275"/>
      <c r="C27" s="275"/>
      <c r="D27" s="275"/>
      <c r="E27" s="213"/>
      <c r="F27" s="257" t="s">
        <v>442</v>
      </c>
      <c r="G27" s="213"/>
      <c r="H27" s="215"/>
      <c r="I27" s="215"/>
      <c r="J27" s="215"/>
      <c r="K27" s="220"/>
      <c r="L27" s="285"/>
    </row>
    <row r="28" spans="1:12">
      <c r="A28" s="263"/>
      <c r="B28" s="275"/>
      <c r="C28" s="275"/>
      <c r="D28" s="275"/>
      <c r="E28" s="213"/>
      <c r="F28" s="257" t="s">
        <v>393</v>
      </c>
      <c r="G28" s="213"/>
      <c r="H28" s="215"/>
      <c r="I28" s="215"/>
      <c r="J28" s="215"/>
      <c r="K28" s="220"/>
      <c r="L28" s="285"/>
    </row>
    <row r="29" ht="204" spans="1:12">
      <c r="A29" s="263"/>
      <c r="B29" s="275"/>
      <c r="C29" s="275"/>
      <c r="D29" s="275"/>
      <c r="E29" s="213"/>
      <c r="F29" s="265" t="s">
        <v>443</v>
      </c>
      <c r="G29" s="213"/>
      <c r="H29" s="215"/>
      <c r="I29" s="215"/>
      <c r="J29" s="215"/>
      <c r="K29" s="220"/>
      <c r="L29" s="285"/>
    </row>
    <row r="30" spans="1:12">
      <c r="A30" s="263"/>
      <c r="B30" s="275"/>
      <c r="C30" s="275"/>
      <c r="D30" s="275"/>
      <c r="E30" s="213"/>
      <c r="F30" s="257" t="s">
        <v>395</v>
      </c>
      <c r="G30" s="213"/>
      <c r="H30" s="215"/>
      <c r="I30" s="215"/>
      <c r="J30" s="215"/>
      <c r="K30" s="220"/>
      <c r="L30" s="285"/>
    </row>
    <row r="31" ht="117" customHeight="1" spans="1:12">
      <c r="A31" s="263"/>
      <c r="B31" s="275"/>
      <c r="C31" s="275"/>
      <c r="D31" s="275"/>
      <c r="E31" s="213"/>
      <c r="F31" s="265" t="s">
        <v>444</v>
      </c>
      <c r="G31" s="213"/>
      <c r="H31" s="215"/>
      <c r="I31" s="215"/>
      <c r="J31" s="215"/>
      <c r="K31" s="220"/>
      <c r="L31" s="285"/>
    </row>
    <row r="32" spans="1:12">
      <c r="A32" s="263"/>
      <c r="B32" s="275"/>
      <c r="C32" s="275"/>
      <c r="D32" s="275"/>
      <c r="E32" s="213"/>
      <c r="F32" s="257" t="s">
        <v>397</v>
      </c>
      <c r="G32" s="213"/>
      <c r="H32" s="215"/>
      <c r="I32" s="215"/>
      <c r="J32" s="215"/>
      <c r="K32" s="220"/>
      <c r="L32" s="285"/>
    </row>
    <row r="33" ht="140.25" spans="1:12">
      <c r="A33" s="263"/>
      <c r="B33" s="275"/>
      <c r="C33" s="275"/>
      <c r="D33" s="275"/>
      <c r="E33" s="213"/>
      <c r="F33" s="265" t="s">
        <v>445</v>
      </c>
      <c r="G33" s="213"/>
      <c r="H33" s="215"/>
      <c r="I33" s="215"/>
      <c r="J33" s="215"/>
      <c r="K33" s="220"/>
      <c r="L33" s="285"/>
    </row>
    <row r="34" spans="1:12">
      <c r="A34" s="263"/>
      <c r="B34" s="275"/>
      <c r="C34" s="275"/>
      <c r="D34" s="275"/>
      <c r="E34" s="213"/>
      <c r="F34" s="258"/>
      <c r="G34" s="213"/>
      <c r="H34" s="215"/>
      <c r="I34" s="215"/>
      <c r="J34" s="215"/>
      <c r="K34" s="220"/>
      <c r="L34" s="285"/>
    </row>
    <row r="35" ht="25.5" spans="1:12">
      <c r="A35" s="263">
        <v>1.8</v>
      </c>
      <c r="B35" s="213"/>
      <c r="C35" s="213"/>
      <c r="D35" s="256" t="s">
        <v>389</v>
      </c>
      <c r="E35" s="213" t="s">
        <v>399</v>
      </c>
      <c r="F35" s="257" t="s">
        <v>446</v>
      </c>
      <c r="G35" s="213"/>
      <c r="H35" s="215"/>
      <c r="I35" s="215"/>
      <c r="J35" s="215"/>
      <c r="K35" s="220"/>
      <c r="L35" s="285"/>
    </row>
    <row r="36" spans="1:16">
      <c r="A36" s="263"/>
      <c r="B36" s="275"/>
      <c r="C36" s="275"/>
      <c r="D36" s="275"/>
      <c r="E36" s="213"/>
      <c r="F36" s="257" t="s">
        <v>447</v>
      </c>
      <c r="G36" s="213" t="s">
        <v>187</v>
      </c>
      <c r="H36" s="215">
        <v>1</v>
      </c>
      <c r="I36" s="215">
        <v>0</v>
      </c>
      <c r="J36" s="215">
        <f>SUM(H36:I36)</f>
        <v>1</v>
      </c>
      <c r="K36" s="220">
        <v>85000</v>
      </c>
      <c r="L36" s="285">
        <f t="shared" si="0"/>
        <v>85000</v>
      </c>
      <c r="O36" s="291"/>
      <c r="P36" s="291"/>
    </row>
    <row r="37" s="252" customFormat="1" ht="217.5" customHeight="1" spans="1:12">
      <c r="A37" s="276"/>
      <c r="B37" s="277"/>
      <c r="C37" s="277"/>
      <c r="D37" s="277"/>
      <c r="E37" s="278"/>
      <c r="F37" s="265" t="s">
        <v>448</v>
      </c>
      <c r="G37" s="278"/>
      <c r="H37" s="279"/>
      <c r="I37" s="279"/>
      <c r="J37" s="279"/>
      <c r="K37" s="292"/>
      <c r="L37" s="285"/>
    </row>
    <row r="38" spans="1:12">
      <c r="A38" s="263"/>
      <c r="B38" s="213"/>
      <c r="C38" s="213"/>
      <c r="D38" s="213"/>
      <c r="E38" s="213"/>
      <c r="F38" s="258"/>
      <c r="G38" s="213"/>
      <c r="H38" s="215"/>
      <c r="I38" s="215"/>
      <c r="J38" s="215"/>
      <c r="K38" s="220"/>
      <c r="L38" s="285"/>
    </row>
    <row r="39" spans="1:12">
      <c r="A39" s="259" t="s">
        <v>69</v>
      </c>
      <c r="B39" s="280"/>
      <c r="C39" s="280"/>
      <c r="D39" s="280"/>
      <c r="E39" s="280"/>
      <c r="F39" s="261" t="s">
        <v>82</v>
      </c>
      <c r="G39" s="262"/>
      <c r="H39" s="264"/>
      <c r="I39" s="264"/>
      <c r="J39" s="264"/>
      <c r="K39" s="289"/>
      <c r="L39" s="285"/>
    </row>
    <row r="40" spans="1:12">
      <c r="A40" s="263"/>
      <c r="B40" s="275"/>
      <c r="C40" s="275"/>
      <c r="D40" s="275"/>
      <c r="E40" s="275"/>
      <c r="F40" s="261"/>
      <c r="G40" s="213"/>
      <c r="H40" s="215"/>
      <c r="I40" s="215"/>
      <c r="J40" s="215"/>
      <c r="K40" s="220"/>
      <c r="L40" s="285"/>
    </row>
    <row r="41" ht="38.25" spans="1:12">
      <c r="A41" s="263">
        <v>2.1</v>
      </c>
      <c r="B41" s="275"/>
      <c r="C41" s="275"/>
      <c r="D41" s="256" t="s">
        <v>203</v>
      </c>
      <c r="E41" s="256" t="s">
        <v>204</v>
      </c>
      <c r="F41" s="261" t="s">
        <v>449</v>
      </c>
      <c r="G41" s="213" t="s">
        <v>51</v>
      </c>
      <c r="H41" s="215">
        <f>10*4</f>
        <v>40</v>
      </c>
      <c r="I41" s="215"/>
      <c r="J41" s="215">
        <f>SUM(H41:I41)</f>
        <v>40</v>
      </c>
      <c r="K41" s="293">
        <v>2500</v>
      </c>
      <c r="L41" s="285">
        <f t="shared" si="0"/>
        <v>100000</v>
      </c>
    </row>
    <row r="42" ht="89.45" customHeight="1" spans="1:12">
      <c r="A42" s="263"/>
      <c r="B42" s="275"/>
      <c r="C42" s="275"/>
      <c r="D42" s="275"/>
      <c r="E42" s="275"/>
      <c r="F42" s="265" t="s">
        <v>450</v>
      </c>
      <c r="G42" s="213"/>
      <c r="H42" s="215"/>
      <c r="I42" s="215"/>
      <c r="J42" s="215"/>
      <c r="K42" s="220"/>
      <c r="L42" s="285"/>
    </row>
    <row r="43" spans="1:12">
      <c r="A43" s="263"/>
      <c r="B43" s="275"/>
      <c r="C43" s="275"/>
      <c r="D43" s="275"/>
      <c r="E43" s="275"/>
      <c r="F43" s="266" t="s">
        <v>451</v>
      </c>
      <c r="G43" s="213"/>
      <c r="H43" s="215"/>
      <c r="I43" s="215"/>
      <c r="J43" s="215"/>
      <c r="K43" s="220"/>
      <c r="L43" s="285"/>
    </row>
    <row r="44" spans="1:12">
      <c r="A44" s="263"/>
      <c r="B44" s="275"/>
      <c r="C44" s="275"/>
      <c r="D44" s="275"/>
      <c r="E44" s="275"/>
      <c r="F44" s="266"/>
      <c r="G44" s="213"/>
      <c r="H44" s="215"/>
      <c r="I44" s="215"/>
      <c r="J44" s="215"/>
      <c r="K44" s="220"/>
      <c r="L44" s="285"/>
    </row>
    <row r="45" ht="25.5" spans="1:12">
      <c r="A45" s="263">
        <v>2.2</v>
      </c>
      <c r="B45" s="275"/>
      <c r="C45" s="275"/>
      <c r="D45" s="275" t="s">
        <v>83</v>
      </c>
      <c r="E45" s="275" t="s">
        <v>452</v>
      </c>
      <c r="F45" s="261" t="s">
        <v>453</v>
      </c>
      <c r="G45" s="213"/>
      <c r="H45" s="215"/>
      <c r="I45" s="215"/>
      <c r="J45" s="215"/>
      <c r="K45" s="294"/>
      <c r="L45" s="285"/>
    </row>
    <row r="46" ht="108" customHeight="1" spans="1:12">
      <c r="A46" s="263"/>
      <c r="B46" s="275"/>
      <c r="C46" s="275"/>
      <c r="D46" s="275"/>
      <c r="E46" s="275"/>
      <c r="F46" s="266" t="s">
        <v>454</v>
      </c>
      <c r="G46" s="213"/>
      <c r="H46" s="215"/>
      <c r="I46" s="215"/>
      <c r="J46" s="215"/>
      <c r="K46" s="220"/>
      <c r="L46" s="285"/>
    </row>
    <row r="47" ht="15" spans="1:12">
      <c r="A47" s="263" t="s">
        <v>209</v>
      </c>
      <c r="B47" s="275"/>
      <c r="C47" s="275"/>
      <c r="D47" s="275"/>
      <c r="E47" s="275"/>
      <c r="F47" s="281" t="s">
        <v>455</v>
      </c>
      <c r="G47" s="213" t="s">
        <v>51</v>
      </c>
      <c r="H47" s="215">
        <f>13*4.5+40</f>
        <v>98.5</v>
      </c>
      <c r="I47" s="215">
        <v>15</v>
      </c>
      <c r="J47" s="215">
        <f t="shared" ref="J47:J50" si="1">SUM(H47:I47)</f>
        <v>113.5</v>
      </c>
      <c r="K47" s="242">
        <v>1890</v>
      </c>
      <c r="L47" s="285">
        <f t="shared" si="0"/>
        <v>214515</v>
      </c>
    </row>
    <row r="48" ht="15" spans="1:12">
      <c r="A48" s="263" t="s">
        <v>211</v>
      </c>
      <c r="B48" s="275"/>
      <c r="C48" s="275"/>
      <c r="D48" s="275"/>
      <c r="E48" s="275"/>
      <c r="F48" s="281" t="s">
        <v>456</v>
      </c>
      <c r="G48" s="213" t="s">
        <v>51</v>
      </c>
      <c r="H48" s="215">
        <v>5</v>
      </c>
      <c r="I48" s="215">
        <v>5</v>
      </c>
      <c r="J48" s="215">
        <f t="shared" si="1"/>
        <v>10</v>
      </c>
      <c r="K48" s="242">
        <v>2100</v>
      </c>
      <c r="L48" s="285">
        <f t="shared" si="0"/>
        <v>21000</v>
      </c>
    </row>
    <row r="49" ht="15" spans="1:12">
      <c r="A49" s="263" t="s">
        <v>213</v>
      </c>
      <c r="B49" s="275"/>
      <c r="C49" s="275"/>
      <c r="D49" s="275"/>
      <c r="E49" s="275"/>
      <c r="F49" s="281" t="s">
        <v>457</v>
      </c>
      <c r="G49" s="213" t="s">
        <v>51</v>
      </c>
      <c r="H49" s="215">
        <v>5</v>
      </c>
      <c r="I49" s="215">
        <v>5</v>
      </c>
      <c r="J49" s="215">
        <f t="shared" si="1"/>
        <v>10</v>
      </c>
      <c r="K49" s="242">
        <v>2300</v>
      </c>
      <c r="L49" s="285">
        <f t="shared" si="0"/>
        <v>23000</v>
      </c>
    </row>
    <row r="50" ht="15" spans="1:12">
      <c r="A50" s="263" t="s">
        <v>215</v>
      </c>
      <c r="B50" s="275"/>
      <c r="C50" s="275"/>
      <c r="D50" s="275"/>
      <c r="E50" s="275"/>
      <c r="F50" s="281" t="s">
        <v>458</v>
      </c>
      <c r="G50" s="213" t="s">
        <v>51</v>
      </c>
      <c r="H50" s="215">
        <v>5</v>
      </c>
      <c r="I50" s="215">
        <v>5</v>
      </c>
      <c r="J50" s="215">
        <f t="shared" si="1"/>
        <v>10</v>
      </c>
      <c r="K50" s="242">
        <v>1280</v>
      </c>
      <c r="L50" s="285">
        <f t="shared" si="0"/>
        <v>12800</v>
      </c>
    </row>
    <row r="51" spans="1:12">
      <c r="A51" s="263"/>
      <c r="B51" s="275"/>
      <c r="C51" s="275"/>
      <c r="D51" s="275"/>
      <c r="E51" s="275"/>
      <c r="F51" s="266"/>
      <c r="G51" s="213"/>
      <c r="H51" s="215"/>
      <c r="I51" s="215"/>
      <c r="J51" s="215"/>
      <c r="K51" s="215"/>
      <c r="L51" s="285"/>
    </row>
    <row r="52" spans="1:12">
      <c r="A52" s="263"/>
      <c r="B52" s="275"/>
      <c r="C52" s="275"/>
      <c r="D52" s="275"/>
      <c r="E52" s="275"/>
      <c r="F52" s="281"/>
      <c r="G52" s="213"/>
      <c r="H52" s="215"/>
      <c r="I52" s="215"/>
      <c r="J52" s="215"/>
      <c r="K52" s="215"/>
      <c r="L52" s="285"/>
    </row>
    <row r="53" ht="25.5" spans="1:12">
      <c r="A53" s="263">
        <v>2.3</v>
      </c>
      <c r="B53" s="275"/>
      <c r="C53" s="275"/>
      <c r="D53" s="275" t="s">
        <v>83</v>
      </c>
      <c r="E53" s="275" t="s">
        <v>459</v>
      </c>
      <c r="F53" s="261" t="s">
        <v>460</v>
      </c>
      <c r="G53" s="213" t="s">
        <v>51</v>
      </c>
      <c r="H53" s="215">
        <f>31+(1.5*3.6*4)</f>
        <v>52.6</v>
      </c>
      <c r="I53" s="215">
        <v>1</v>
      </c>
      <c r="J53" s="215">
        <f t="shared" ref="J53" si="2">SUM(H53:I53)</f>
        <v>53.6</v>
      </c>
      <c r="K53" s="295">
        <v>5750</v>
      </c>
      <c r="L53" s="285">
        <f t="shared" si="0"/>
        <v>308200</v>
      </c>
    </row>
    <row r="54" ht="89.25" spans="1:12">
      <c r="A54" s="263"/>
      <c r="B54" s="275"/>
      <c r="C54" s="275"/>
      <c r="D54" s="275"/>
      <c r="E54" s="275"/>
      <c r="F54" s="266" t="s">
        <v>461</v>
      </c>
      <c r="G54" s="213"/>
      <c r="H54" s="215"/>
      <c r="I54" s="215"/>
      <c r="J54" s="215"/>
      <c r="K54" s="215"/>
      <c r="L54" s="285"/>
    </row>
    <row r="55" spans="1:12">
      <c r="A55" s="263"/>
      <c r="B55" s="275"/>
      <c r="C55" s="275"/>
      <c r="D55" s="275"/>
      <c r="E55" s="275"/>
      <c r="F55" s="266" t="s">
        <v>462</v>
      </c>
      <c r="G55" s="213"/>
      <c r="H55" s="215"/>
      <c r="I55" s="215"/>
      <c r="J55" s="215"/>
      <c r="K55" s="215"/>
      <c r="L55" s="285"/>
    </row>
    <row r="56" spans="1:12">
      <c r="A56" s="263"/>
      <c r="B56" s="275"/>
      <c r="C56" s="275"/>
      <c r="D56" s="275"/>
      <c r="E56" s="275"/>
      <c r="F56" s="266"/>
      <c r="G56" s="213"/>
      <c r="H56" s="215"/>
      <c r="I56" s="215"/>
      <c r="J56" s="215"/>
      <c r="K56" s="215"/>
      <c r="L56" s="285"/>
    </row>
    <row r="57" ht="25.5" spans="1:12">
      <c r="A57" s="263">
        <v>2.4</v>
      </c>
      <c r="B57" s="280"/>
      <c r="C57" s="280"/>
      <c r="D57" s="275" t="s">
        <v>83</v>
      </c>
      <c r="E57" s="275" t="s">
        <v>354</v>
      </c>
      <c r="F57" s="261" t="s">
        <v>355</v>
      </c>
      <c r="G57" s="213" t="s">
        <v>98</v>
      </c>
      <c r="H57" s="215">
        <v>10</v>
      </c>
      <c r="I57" s="215">
        <v>0</v>
      </c>
      <c r="J57" s="215">
        <f>SUM(H57:I57)</f>
        <v>10</v>
      </c>
      <c r="K57" s="215">
        <v>8200</v>
      </c>
      <c r="L57" s="285">
        <f t="shared" si="0"/>
        <v>82000</v>
      </c>
    </row>
    <row r="58" ht="138.75" customHeight="1" spans="1:12">
      <c r="A58" s="259"/>
      <c r="B58" s="280"/>
      <c r="C58" s="280"/>
      <c r="D58" s="280"/>
      <c r="E58" s="280"/>
      <c r="F58" s="258" t="s">
        <v>463</v>
      </c>
      <c r="G58" s="262"/>
      <c r="H58" s="264"/>
      <c r="I58" s="264"/>
      <c r="J58" s="264"/>
      <c r="K58" s="264"/>
      <c r="L58" s="285"/>
    </row>
    <row r="59" spans="1:12">
      <c r="A59" s="263"/>
      <c r="B59" s="275"/>
      <c r="C59" s="275"/>
      <c r="D59" s="275"/>
      <c r="E59" s="275"/>
      <c r="F59" s="266"/>
      <c r="G59" s="213"/>
      <c r="H59" s="215"/>
      <c r="I59" s="215"/>
      <c r="J59" s="215"/>
      <c r="K59" s="215"/>
      <c r="L59" s="285"/>
    </row>
    <row r="60" ht="38.25" spans="1:12">
      <c r="A60" s="263">
        <v>2.5</v>
      </c>
      <c r="B60" s="280"/>
      <c r="C60" s="280"/>
      <c r="D60" s="275" t="s">
        <v>83</v>
      </c>
      <c r="E60" s="275" t="s">
        <v>310</v>
      </c>
      <c r="F60" s="261" t="s">
        <v>311</v>
      </c>
      <c r="G60" s="213" t="s">
        <v>51</v>
      </c>
      <c r="H60" s="215">
        <f>30+(1.35*3.6*4)</f>
        <v>49.44</v>
      </c>
      <c r="I60" s="215">
        <v>0</v>
      </c>
      <c r="J60" s="215">
        <f>SUM(H60:I60)</f>
        <v>49.44</v>
      </c>
      <c r="K60" s="215">
        <v>7450</v>
      </c>
      <c r="L60" s="285">
        <f t="shared" si="0"/>
        <v>368328</v>
      </c>
    </row>
    <row r="61" ht="134.25" customHeight="1" spans="1:12">
      <c r="A61" s="259"/>
      <c r="B61" s="280"/>
      <c r="C61" s="280"/>
      <c r="D61" s="280"/>
      <c r="E61" s="280"/>
      <c r="F61" s="258" t="s">
        <v>464</v>
      </c>
      <c r="G61" s="262"/>
      <c r="H61" s="264"/>
      <c r="I61" s="264"/>
      <c r="J61" s="264"/>
      <c r="K61" s="264"/>
      <c r="L61" s="285"/>
    </row>
    <row r="62" spans="1:12">
      <c r="A62" s="263"/>
      <c r="B62" s="275"/>
      <c r="C62" s="275"/>
      <c r="D62" s="275"/>
      <c r="E62" s="275"/>
      <c r="F62" s="266"/>
      <c r="G62" s="213"/>
      <c r="H62" s="215"/>
      <c r="I62" s="215"/>
      <c r="J62" s="215"/>
      <c r="K62" s="215"/>
      <c r="L62" s="285"/>
    </row>
    <row r="63" ht="25.5" spans="1:12">
      <c r="A63" s="263">
        <v>2.6</v>
      </c>
      <c r="B63" s="275"/>
      <c r="C63" s="275"/>
      <c r="D63" s="275" t="s">
        <v>410</v>
      </c>
      <c r="E63" s="275" t="s">
        <v>403</v>
      </c>
      <c r="F63" s="282" t="s">
        <v>465</v>
      </c>
      <c r="G63" s="213" t="s">
        <v>63</v>
      </c>
      <c r="H63" s="215">
        <f>11+11</f>
        <v>22</v>
      </c>
      <c r="I63" s="215">
        <v>11</v>
      </c>
      <c r="J63" s="215">
        <f t="shared" ref="J63:J100" si="3">SUM(H63:I63)</f>
        <v>33</v>
      </c>
      <c r="K63" s="215">
        <v>13980</v>
      </c>
      <c r="L63" s="285">
        <f t="shared" si="0"/>
        <v>461340</v>
      </c>
    </row>
    <row r="64" ht="135" customHeight="1" spans="1:12">
      <c r="A64" s="283"/>
      <c r="B64" s="275"/>
      <c r="C64" s="275"/>
      <c r="D64" s="275"/>
      <c r="E64" s="275"/>
      <c r="F64" s="284" t="s">
        <v>466</v>
      </c>
      <c r="G64" s="213"/>
      <c r="H64" s="215"/>
      <c r="I64" s="215"/>
      <c r="J64" s="215"/>
      <c r="K64" s="215"/>
      <c r="L64" s="285"/>
    </row>
    <row r="65" spans="1:12">
      <c r="A65" s="263"/>
      <c r="B65" s="275"/>
      <c r="C65" s="275"/>
      <c r="D65" s="275"/>
      <c r="E65" s="275"/>
      <c r="F65" s="258"/>
      <c r="G65" s="213"/>
      <c r="H65" s="215"/>
      <c r="I65" s="215"/>
      <c r="J65" s="215">
        <f t="shared" si="3"/>
        <v>0</v>
      </c>
      <c r="K65" s="215"/>
      <c r="L65" s="285"/>
    </row>
    <row r="66" ht="25.5" spans="1:12">
      <c r="A66" s="263">
        <v>2.7</v>
      </c>
      <c r="B66" s="275"/>
      <c r="C66" s="275"/>
      <c r="D66" s="275" t="s">
        <v>467</v>
      </c>
      <c r="E66" s="275" t="s">
        <v>468</v>
      </c>
      <c r="F66" s="282" t="s">
        <v>469</v>
      </c>
      <c r="G66" s="213" t="s">
        <v>187</v>
      </c>
      <c r="H66" s="215">
        <v>6</v>
      </c>
      <c r="I66" s="215">
        <v>0</v>
      </c>
      <c r="J66" s="215">
        <f t="shared" si="3"/>
        <v>6</v>
      </c>
      <c r="K66" s="215">
        <v>8500</v>
      </c>
      <c r="L66" s="285">
        <f t="shared" si="0"/>
        <v>51000</v>
      </c>
    </row>
    <row r="67" ht="51" spans="1:12">
      <c r="A67" s="213"/>
      <c r="B67" s="213"/>
      <c r="C67" s="213"/>
      <c r="D67" s="213"/>
      <c r="E67" s="213"/>
      <c r="F67" s="258" t="s">
        <v>470</v>
      </c>
      <c r="G67" s="213"/>
      <c r="H67" s="213"/>
      <c r="I67" s="213"/>
      <c r="J67" s="215">
        <f t="shared" si="3"/>
        <v>0</v>
      </c>
      <c r="K67" s="213"/>
      <c r="L67" s="285"/>
    </row>
    <row r="68" spans="1:12">
      <c r="A68" s="263"/>
      <c r="B68" s="275"/>
      <c r="C68" s="275"/>
      <c r="D68" s="275"/>
      <c r="E68" s="213"/>
      <c r="F68" s="258"/>
      <c r="G68" s="213"/>
      <c r="H68" s="215"/>
      <c r="I68" s="215"/>
      <c r="J68" s="215">
        <f t="shared" si="3"/>
        <v>0</v>
      </c>
      <c r="K68" s="215"/>
      <c r="L68" s="285"/>
    </row>
    <row r="69" spans="1:12">
      <c r="A69" s="263">
        <v>2.8</v>
      </c>
      <c r="B69" s="275"/>
      <c r="C69" s="275"/>
      <c r="D69" s="275" t="s">
        <v>95</v>
      </c>
      <c r="E69" s="275" t="s">
        <v>100</v>
      </c>
      <c r="F69" s="282" t="s">
        <v>471</v>
      </c>
      <c r="G69" s="213" t="s">
        <v>63</v>
      </c>
      <c r="H69" s="215">
        <v>12</v>
      </c>
      <c r="I69" s="215">
        <v>5</v>
      </c>
      <c r="J69" s="215">
        <f t="shared" si="3"/>
        <v>17</v>
      </c>
      <c r="K69" s="215">
        <v>1200</v>
      </c>
      <c r="L69" s="285">
        <f t="shared" ref="L69:L100" si="4">SUM(J69*K69)</f>
        <v>20400</v>
      </c>
    </row>
    <row r="70" ht="33" customHeight="1" spans="1:12">
      <c r="A70" s="263"/>
      <c r="B70" s="275"/>
      <c r="C70" s="275"/>
      <c r="D70" s="275"/>
      <c r="E70" s="213"/>
      <c r="F70" s="284" t="s">
        <v>102</v>
      </c>
      <c r="G70" s="213"/>
      <c r="H70" s="215"/>
      <c r="I70" s="215"/>
      <c r="J70" s="215">
        <f t="shared" si="3"/>
        <v>0</v>
      </c>
      <c r="K70" s="215"/>
      <c r="L70" s="285"/>
    </row>
    <row r="71" spans="1:12">
      <c r="A71" s="263"/>
      <c r="B71" s="275"/>
      <c r="C71" s="275"/>
      <c r="D71" s="275"/>
      <c r="E71" s="213"/>
      <c r="F71" s="258"/>
      <c r="G71" s="213"/>
      <c r="H71" s="215"/>
      <c r="I71" s="215"/>
      <c r="J71" s="215">
        <f t="shared" si="3"/>
        <v>0</v>
      </c>
      <c r="K71" s="215"/>
      <c r="L71" s="285"/>
    </row>
    <row r="72" ht="25.5" spans="1:12">
      <c r="A72" s="263">
        <v>2.9</v>
      </c>
      <c r="B72" s="275"/>
      <c r="C72" s="275"/>
      <c r="D72" s="275" t="s">
        <v>410</v>
      </c>
      <c r="E72" s="275" t="s">
        <v>411</v>
      </c>
      <c r="F72" s="257" t="s">
        <v>412</v>
      </c>
      <c r="G72" s="213" t="s">
        <v>63</v>
      </c>
      <c r="H72" s="215">
        <v>12</v>
      </c>
      <c r="I72" s="215">
        <v>5</v>
      </c>
      <c r="J72" s="215">
        <f t="shared" si="3"/>
        <v>17</v>
      </c>
      <c r="K72" s="299">
        <v>3500</v>
      </c>
      <c r="L72" s="285">
        <f t="shared" si="4"/>
        <v>59500</v>
      </c>
    </row>
    <row r="73" ht="51" spans="1:12">
      <c r="A73" s="263"/>
      <c r="B73" s="275"/>
      <c r="C73" s="275"/>
      <c r="D73" s="275"/>
      <c r="E73" s="213"/>
      <c r="F73" s="266" t="s">
        <v>413</v>
      </c>
      <c r="G73" s="213"/>
      <c r="H73" s="215"/>
      <c r="I73" s="215"/>
      <c r="J73" s="215">
        <f t="shared" si="3"/>
        <v>0</v>
      </c>
      <c r="K73" s="215"/>
      <c r="L73" s="285"/>
    </row>
    <row r="74" spans="1:12">
      <c r="A74" s="263"/>
      <c r="B74" s="275"/>
      <c r="C74" s="275"/>
      <c r="D74" s="275"/>
      <c r="E74" s="213"/>
      <c r="F74" s="266"/>
      <c r="G74" s="213"/>
      <c r="H74" s="215"/>
      <c r="I74" s="215"/>
      <c r="J74" s="215">
        <f t="shared" si="3"/>
        <v>0</v>
      </c>
      <c r="K74" s="215"/>
      <c r="L74" s="285"/>
    </row>
    <row r="75" ht="25.5" spans="1:12">
      <c r="A75" s="283">
        <v>2.1</v>
      </c>
      <c r="B75" s="275"/>
      <c r="C75" s="275"/>
      <c r="D75" s="275" t="s">
        <v>239</v>
      </c>
      <c r="E75" s="275" t="s">
        <v>334</v>
      </c>
      <c r="F75" s="282" t="s">
        <v>335</v>
      </c>
      <c r="G75" s="213" t="s">
        <v>187</v>
      </c>
      <c r="H75" s="215">
        <v>4</v>
      </c>
      <c r="I75" s="215">
        <v>0</v>
      </c>
      <c r="J75" s="215">
        <f t="shared" si="3"/>
        <v>4</v>
      </c>
      <c r="K75" s="215">
        <v>9000</v>
      </c>
      <c r="L75" s="285">
        <f t="shared" si="4"/>
        <v>36000</v>
      </c>
    </row>
    <row r="76" ht="99.75" customHeight="1" spans="1:12">
      <c r="A76" s="263"/>
      <c r="B76" s="275"/>
      <c r="C76" s="275"/>
      <c r="D76" s="275"/>
      <c r="E76" s="213"/>
      <c r="F76" s="284" t="s">
        <v>336</v>
      </c>
      <c r="G76" s="213"/>
      <c r="H76" s="215"/>
      <c r="I76" s="215"/>
      <c r="J76" s="215">
        <f t="shared" si="3"/>
        <v>0</v>
      </c>
      <c r="K76" s="215"/>
      <c r="L76" s="285"/>
    </row>
    <row r="77" spans="1:12">
      <c r="A77" s="263"/>
      <c r="B77" s="275"/>
      <c r="C77" s="275"/>
      <c r="D77" s="275"/>
      <c r="E77" s="213"/>
      <c r="F77" s="258"/>
      <c r="G77" s="213"/>
      <c r="H77" s="215"/>
      <c r="I77" s="215"/>
      <c r="J77" s="215">
        <f t="shared" si="3"/>
        <v>0</v>
      </c>
      <c r="K77" s="215"/>
      <c r="L77" s="285"/>
    </row>
    <row r="78" spans="1:12">
      <c r="A78" s="283">
        <v>2.11</v>
      </c>
      <c r="B78" s="280"/>
      <c r="C78" s="280"/>
      <c r="D78" s="275"/>
      <c r="E78" s="275"/>
      <c r="F78" s="261" t="s">
        <v>363</v>
      </c>
      <c r="G78" s="296" t="s">
        <v>130</v>
      </c>
      <c r="H78" s="295">
        <f>25+(2.5*8)</f>
        <v>45</v>
      </c>
      <c r="I78" s="295">
        <v>15</v>
      </c>
      <c r="J78" s="215">
        <f t="shared" si="3"/>
        <v>60</v>
      </c>
      <c r="K78" s="295">
        <v>2800</v>
      </c>
      <c r="L78" s="285">
        <f t="shared" si="4"/>
        <v>168000</v>
      </c>
    </row>
    <row r="79" ht="76.5" spans="1:12">
      <c r="A79" s="259"/>
      <c r="B79" s="280"/>
      <c r="C79" s="280"/>
      <c r="D79" s="275"/>
      <c r="E79" s="275"/>
      <c r="F79" s="266" t="s">
        <v>472</v>
      </c>
      <c r="G79" s="213"/>
      <c r="H79" s="215"/>
      <c r="I79" s="215"/>
      <c r="J79" s="215">
        <f t="shared" si="3"/>
        <v>0</v>
      </c>
      <c r="K79" s="215"/>
      <c r="L79" s="285"/>
    </row>
    <row r="80" spans="1:12">
      <c r="A80" s="213"/>
      <c r="B80" s="213"/>
      <c r="C80" s="213"/>
      <c r="D80" s="213"/>
      <c r="E80" s="213"/>
      <c r="F80" s="258"/>
      <c r="G80" s="213"/>
      <c r="H80" s="213"/>
      <c r="I80" s="213"/>
      <c r="J80" s="215">
        <f t="shared" si="3"/>
        <v>0</v>
      </c>
      <c r="K80" s="213"/>
      <c r="L80" s="285"/>
    </row>
    <row r="81" ht="25.5" spans="1:12">
      <c r="A81" s="283">
        <v>2.12</v>
      </c>
      <c r="B81" s="275"/>
      <c r="C81" s="275"/>
      <c r="D81" s="275" t="s">
        <v>239</v>
      </c>
      <c r="E81" s="275" t="s">
        <v>473</v>
      </c>
      <c r="F81" s="261" t="s">
        <v>474</v>
      </c>
      <c r="G81" s="213" t="s">
        <v>187</v>
      </c>
      <c r="H81" s="215">
        <v>1</v>
      </c>
      <c r="I81" s="215">
        <v>0</v>
      </c>
      <c r="J81" s="215">
        <f t="shared" si="3"/>
        <v>1</v>
      </c>
      <c r="K81" s="215">
        <v>34150</v>
      </c>
      <c r="L81" s="285">
        <f t="shared" si="4"/>
        <v>34150</v>
      </c>
    </row>
    <row r="82" ht="140.25" spans="1:12">
      <c r="A82" s="263"/>
      <c r="B82" s="275"/>
      <c r="C82" s="275"/>
      <c r="D82" s="275"/>
      <c r="E82" s="275"/>
      <c r="F82" s="266" t="s">
        <v>475</v>
      </c>
      <c r="G82" s="213"/>
      <c r="H82" s="215"/>
      <c r="I82" s="215"/>
      <c r="J82" s="215">
        <f t="shared" si="3"/>
        <v>0</v>
      </c>
      <c r="K82" s="215"/>
      <c r="L82" s="285"/>
    </row>
    <row r="83" spans="1:12">
      <c r="A83" s="283"/>
      <c r="B83" s="275"/>
      <c r="C83" s="275"/>
      <c r="D83" s="275"/>
      <c r="E83" s="275"/>
      <c r="F83" s="284"/>
      <c r="G83" s="213"/>
      <c r="H83" s="215"/>
      <c r="I83" s="215"/>
      <c r="J83" s="215">
        <f t="shared" si="3"/>
        <v>0</v>
      </c>
      <c r="K83" s="215"/>
      <c r="L83" s="285"/>
    </row>
    <row r="84" ht="25.5" spans="1:12">
      <c r="A84" s="283">
        <v>2.13</v>
      </c>
      <c r="B84" s="275"/>
      <c r="C84" s="275"/>
      <c r="D84" s="297" t="s">
        <v>246</v>
      </c>
      <c r="E84" s="297" t="s">
        <v>346</v>
      </c>
      <c r="F84" s="261" t="s">
        <v>347</v>
      </c>
      <c r="G84" s="296" t="s">
        <v>249</v>
      </c>
      <c r="H84" s="295">
        <v>1</v>
      </c>
      <c r="I84" s="295">
        <v>0</v>
      </c>
      <c r="J84" s="215">
        <f t="shared" si="3"/>
        <v>1</v>
      </c>
      <c r="K84" s="295">
        <v>65000</v>
      </c>
      <c r="L84" s="285">
        <f t="shared" si="4"/>
        <v>65000</v>
      </c>
    </row>
    <row r="85" spans="1:12">
      <c r="A85" s="263"/>
      <c r="B85" s="275"/>
      <c r="C85" s="275"/>
      <c r="D85" s="297"/>
      <c r="E85" s="296"/>
      <c r="F85" s="284" t="s">
        <v>476</v>
      </c>
      <c r="G85" s="296"/>
      <c r="H85" s="295"/>
      <c r="I85" s="295"/>
      <c r="J85" s="215">
        <f t="shared" si="3"/>
        <v>0</v>
      </c>
      <c r="K85" s="295"/>
      <c r="L85" s="285"/>
    </row>
    <row r="86" spans="1:12">
      <c r="A86" s="263"/>
      <c r="B86" s="275"/>
      <c r="C86" s="275"/>
      <c r="D86" s="297"/>
      <c r="E86" s="296"/>
      <c r="F86" s="284" t="s">
        <v>251</v>
      </c>
      <c r="G86" s="296"/>
      <c r="H86" s="295"/>
      <c r="I86" s="295"/>
      <c r="J86" s="215">
        <f t="shared" si="3"/>
        <v>0</v>
      </c>
      <c r="K86" s="295"/>
      <c r="L86" s="285"/>
    </row>
    <row r="87" ht="143.25" customHeight="1" spans="1:12">
      <c r="A87" s="263"/>
      <c r="B87" s="275"/>
      <c r="C87" s="275"/>
      <c r="D87" s="297"/>
      <c r="E87" s="296"/>
      <c r="F87" s="284" t="s">
        <v>477</v>
      </c>
      <c r="G87" s="296"/>
      <c r="H87" s="295"/>
      <c r="I87" s="295"/>
      <c r="J87" s="215">
        <f t="shared" si="3"/>
        <v>0</v>
      </c>
      <c r="K87" s="295"/>
      <c r="L87" s="285"/>
    </row>
    <row r="88" spans="1:12">
      <c r="A88" s="263"/>
      <c r="B88" s="275"/>
      <c r="C88" s="275"/>
      <c r="D88" s="297"/>
      <c r="E88" s="297"/>
      <c r="F88" s="282" t="s">
        <v>253</v>
      </c>
      <c r="G88" s="296"/>
      <c r="H88" s="295"/>
      <c r="I88" s="295"/>
      <c r="J88" s="215">
        <f t="shared" si="3"/>
        <v>0</v>
      </c>
      <c r="K88" s="295"/>
      <c r="L88" s="285"/>
    </row>
    <row r="89" ht="128.25" customHeight="1" spans="1:12">
      <c r="A89" s="263"/>
      <c r="B89" s="275"/>
      <c r="C89" s="275"/>
      <c r="D89" s="297"/>
      <c r="E89" s="296"/>
      <c r="F89" s="266" t="s">
        <v>478</v>
      </c>
      <c r="G89" s="296"/>
      <c r="H89" s="295"/>
      <c r="I89" s="295"/>
      <c r="J89" s="215">
        <f t="shared" si="3"/>
        <v>0</v>
      </c>
      <c r="K89" s="295"/>
      <c r="L89" s="285"/>
    </row>
    <row r="90" spans="1:12">
      <c r="A90" s="263"/>
      <c r="B90" s="275"/>
      <c r="C90" s="275"/>
      <c r="D90" s="297"/>
      <c r="E90" s="296"/>
      <c r="F90" s="257" t="s">
        <v>351</v>
      </c>
      <c r="G90" s="296"/>
      <c r="H90" s="295"/>
      <c r="I90" s="295"/>
      <c r="J90" s="215">
        <f t="shared" si="3"/>
        <v>0</v>
      </c>
      <c r="K90" s="295"/>
      <c r="L90" s="285"/>
    </row>
    <row r="91" ht="33" customHeight="1" spans="1:12">
      <c r="A91" s="263"/>
      <c r="B91" s="275"/>
      <c r="C91" s="275"/>
      <c r="D91" s="297"/>
      <c r="E91" s="296"/>
      <c r="F91" s="266" t="s">
        <v>479</v>
      </c>
      <c r="G91" s="296"/>
      <c r="H91" s="295"/>
      <c r="I91" s="295"/>
      <c r="J91" s="215">
        <f t="shared" si="3"/>
        <v>0</v>
      </c>
      <c r="K91" s="295"/>
      <c r="L91" s="285"/>
    </row>
    <row r="92" spans="1:12">
      <c r="A92" s="263"/>
      <c r="B92" s="275"/>
      <c r="C92" s="275"/>
      <c r="D92" s="297"/>
      <c r="E92" s="297"/>
      <c r="F92" s="282" t="s">
        <v>255</v>
      </c>
      <c r="G92" s="296"/>
      <c r="H92" s="295"/>
      <c r="I92" s="295"/>
      <c r="J92" s="215">
        <f t="shared" si="3"/>
        <v>0</v>
      </c>
      <c r="K92" s="295"/>
      <c r="L92" s="285"/>
    </row>
    <row r="93" ht="81.75" customHeight="1" spans="1:12">
      <c r="A93" s="263"/>
      <c r="B93" s="275"/>
      <c r="C93" s="275"/>
      <c r="D93" s="297"/>
      <c r="E93" s="296"/>
      <c r="F93" s="284" t="s">
        <v>480</v>
      </c>
      <c r="G93" s="296"/>
      <c r="H93" s="295"/>
      <c r="I93" s="295"/>
      <c r="J93" s="215">
        <f t="shared" si="3"/>
        <v>0</v>
      </c>
      <c r="K93" s="295"/>
      <c r="L93" s="285"/>
    </row>
    <row r="94" spans="1:12">
      <c r="A94" s="263"/>
      <c r="B94" s="275"/>
      <c r="C94" s="275"/>
      <c r="D94" s="275"/>
      <c r="E94" s="275"/>
      <c r="F94" s="258"/>
      <c r="G94" s="213"/>
      <c r="H94" s="215"/>
      <c r="I94" s="215"/>
      <c r="J94" s="215">
        <f t="shared" si="3"/>
        <v>0</v>
      </c>
      <c r="K94" s="300"/>
      <c r="L94" s="285"/>
    </row>
    <row r="95" spans="1:12">
      <c r="A95" s="298" t="s">
        <v>81</v>
      </c>
      <c r="B95" s="280"/>
      <c r="C95" s="280"/>
      <c r="D95" s="280"/>
      <c r="E95" s="280"/>
      <c r="F95" s="261" t="s">
        <v>126</v>
      </c>
      <c r="G95" s="262"/>
      <c r="H95" s="264"/>
      <c r="I95" s="264"/>
      <c r="J95" s="264">
        <f t="shared" si="3"/>
        <v>0</v>
      </c>
      <c r="K95" s="288"/>
      <c r="L95" s="287"/>
    </row>
    <row r="96" spans="1:12">
      <c r="A96" s="283"/>
      <c r="B96" s="275"/>
      <c r="C96" s="275"/>
      <c r="D96" s="275"/>
      <c r="E96" s="275"/>
      <c r="F96" s="261"/>
      <c r="G96" s="213"/>
      <c r="H96" s="215"/>
      <c r="I96" s="215"/>
      <c r="J96" s="215">
        <f t="shared" si="3"/>
        <v>0</v>
      </c>
      <c r="K96" s="300"/>
      <c r="L96" s="285"/>
    </row>
    <row r="97" spans="1:12">
      <c r="A97" s="263">
        <v>3.1</v>
      </c>
      <c r="B97" s="275"/>
      <c r="C97" s="275"/>
      <c r="D97" s="275" t="s">
        <v>127</v>
      </c>
      <c r="E97" s="275" t="s">
        <v>128</v>
      </c>
      <c r="F97" s="257" t="s">
        <v>273</v>
      </c>
      <c r="G97" s="213" t="s">
        <v>130</v>
      </c>
      <c r="H97" s="215">
        <v>21</v>
      </c>
      <c r="I97" s="215">
        <v>5</v>
      </c>
      <c r="J97" s="215">
        <f t="shared" si="3"/>
        <v>26</v>
      </c>
      <c r="K97" s="300">
        <v>485</v>
      </c>
      <c r="L97" s="285">
        <f t="shared" si="4"/>
        <v>12610</v>
      </c>
    </row>
    <row r="98" ht="51" spans="1:12">
      <c r="A98" s="263"/>
      <c r="B98" s="275"/>
      <c r="C98" s="275"/>
      <c r="D98" s="275"/>
      <c r="E98" s="275"/>
      <c r="F98" s="266" t="s">
        <v>131</v>
      </c>
      <c r="G98" s="213"/>
      <c r="H98" s="215"/>
      <c r="I98" s="215"/>
      <c r="J98" s="215">
        <f t="shared" si="3"/>
        <v>0</v>
      </c>
      <c r="K98" s="300"/>
      <c r="L98" s="285"/>
    </row>
    <row r="99" spans="1:12">
      <c r="A99" s="283"/>
      <c r="B99" s="275"/>
      <c r="C99" s="275"/>
      <c r="D99" s="275"/>
      <c r="E99" s="275"/>
      <c r="F99" s="261"/>
      <c r="G99" s="213"/>
      <c r="H99" s="215"/>
      <c r="I99" s="215"/>
      <c r="J99" s="215">
        <f t="shared" si="3"/>
        <v>0</v>
      </c>
      <c r="K99" s="300"/>
      <c r="L99" s="285"/>
    </row>
    <row r="100" ht="25.5" spans="1:12">
      <c r="A100" s="263">
        <v>3.2</v>
      </c>
      <c r="B100" s="275"/>
      <c r="C100" s="275"/>
      <c r="D100" s="275" t="s">
        <v>127</v>
      </c>
      <c r="E100" s="275" t="s">
        <v>134</v>
      </c>
      <c r="F100" s="257" t="s">
        <v>135</v>
      </c>
      <c r="G100" s="213" t="s">
        <v>130</v>
      </c>
      <c r="H100" s="215">
        <v>5</v>
      </c>
      <c r="I100" s="215">
        <v>5</v>
      </c>
      <c r="J100" s="215">
        <f t="shared" si="3"/>
        <v>10</v>
      </c>
      <c r="K100" s="300">
        <v>325</v>
      </c>
      <c r="L100" s="285">
        <f t="shared" si="4"/>
        <v>3250</v>
      </c>
    </row>
    <row r="101" ht="51" spans="1:12">
      <c r="A101" s="263"/>
      <c r="B101" s="275"/>
      <c r="C101" s="275"/>
      <c r="D101" s="275"/>
      <c r="E101" s="275"/>
      <c r="F101" s="266" t="s">
        <v>136</v>
      </c>
      <c r="G101" s="213"/>
      <c r="H101" s="215"/>
      <c r="I101" s="215"/>
      <c r="J101" s="215"/>
      <c r="K101" s="300"/>
      <c r="L101" s="285"/>
    </row>
    <row r="102" spans="1:12">
      <c r="A102" s="263"/>
      <c r="B102" s="275"/>
      <c r="C102" s="275"/>
      <c r="D102" s="275"/>
      <c r="E102" s="275"/>
      <c r="F102" s="258"/>
      <c r="G102" s="213"/>
      <c r="H102" s="215"/>
      <c r="I102" s="215"/>
      <c r="J102" s="215"/>
      <c r="K102" s="300"/>
      <c r="L102" s="285"/>
    </row>
    <row r="103" ht="24.75" customHeight="1" spans="1:12">
      <c r="A103" s="259"/>
      <c r="B103" s="280"/>
      <c r="C103" s="280"/>
      <c r="D103" s="280"/>
      <c r="E103" s="280"/>
      <c r="F103" s="261" t="s">
        <v>481</v>
      </c>
      <c r="G103" s="262"/>
      <c r="H103" s="264"/>
      <c r="I103" s="264"/>
      <c r="J103" s="264"/>
      <c r="K103" s="264"/>
      <c r="L103" s="287">
        <f>SUM(L6:L102)</f>
        <v>6068873</v>
      </c>
    </row>
  </sheetData>
  <mergeCells count="1">
    <mergeCell ref="K3:L3"/>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L196"/>
  <sheetViews>
    <sheetView zoomScale="85" zoomScaleNormal="85" workbookViewId="0">
      <selection activeCell="L24" sqref="K$1:L$1048576"/>
    </sheetView>
  </sheetViews>
  <sheetFormatPr defaultColWidth="6.5" defaultRowHeight="15"/>
  <cols>
    <col min="1" max="1" width="4.5" style="89" customWidth="1"/>
    <col min="2" max="2" width="9.75" style="89" customWidth="1"/>
    <col min="3" max="3" width="4.875" style="89" customWidth="1"/>
    <col min="4" max="4" width="8.25" style="89" customWidth="1"/>
    <col min="5" max="5" width="11.375" style="89" customWidth="1"/>
    <col min="6" max="6" width="86.75" style="89" customWidth="1"/>
    <col min="7" max="7" width="5" style="89" customWidth="1"/>
    <col min="8" max="8" width="8.5" style="89" customWidth="1"/>
    <col min="9" max="9" width="9" style="89" customWidth="1"/>
    <col min="10" max="10" width="13.5" style="89" customWidth="1"/>
    <col min="11" max="220" width="6.5" style="89" customWidth="1"/>
    <col min="221" max="16384" width="6.5" style="90"/>
  </cols>
  <sheetData>
    <row r="1" ht="24" customHeight="1" spans="1:10">
      <c r="A1" s="91" t="s">
        <v>482</v>
      </c>
      <c r="B1" s="92"/>
      <c r="C1" s="92"/>
      <c r="D1" s="92"/>
      <c r="E1" s="92"/>
      <c r="F1" s="92"/>
      <c r="G1" s="92"/>
      <c r="H1" s="92"/>
      <c r="I1" s="150"/>
      <c r="J1" s="151"/>
    </row>
    <row r="2" ht="24" customHeight="1" spans="1:10">
      <c r="A2" s="93"/>
      <c r="B2" s="93"/>
      <c r="C2" s="93"/>
      <c r="D2" s="93"/>
      <c r="E2" s="93"/>
      <c r="F2" s="93"/>
      <c r="G2" s="93"/>
      <c r="H2" s="93"/>
      <c r="I2" s="152"/>
      <c r="J2" s="152"/>
    </row>
    <row r="3" ht="24" customHeight="1" spans="1:10">
      <c r="A3" s="94"/>
      <c r="B3" s="95"/>
      <c r="C3" s="95"/>
      <c r="D3" s="95"/>
      <c r="E3" s="95"/>
      <c r="F3" s="95"/>
      <c r="G3" s="95"/>
      <c r="H3" s="95"/>
      <c r="I3" s="153" t="s">
        <v>35</v>
      </c>
      <c r="J3" s="154"/>
    </row>
    <row r="4" ht="60.75" spans="1:10">
      <c r="A4" s="94"/>
      <c r="B4" s="96" t="s">
        <v>37</v>
      </c>
      <c r="C4" s="96" t="s">
        <v>38</v>
      </c>
      <c r="D4" s="96" t="s">
        <v>39</v>
      </c>
      <c r="E4" s="96" t="s">
        <v>40</v>
      </c>
      <c r="F4" s="96" t="s">
        <v>483</v>
      </c>
      <c r="G4" s="96" t="s">
        <v>484</v>
      </c>
      <c r="H4" s="96" t="s">
        <v>43</v>
      </c>
      <c r="I4" s="155" t="s">
        <v>44</v>
      </c>
      <c r="J4" s="156" t="s">
        <v>45</v>
      </c>
    </row>
    <row r="5" spans="1:10">
      <c r="A5" s="97"/>
      <c r="B5" s="97"/>
      <c r="C5" s="97"/>
      <c r="D5" s="97"/>
      <c r="E5" s="97"/>
      <c r="F5" s="97"/>
      <c r="G5" s="97"/>
      <c r="H5" s="97"/>
      <c r="I5" s="157"/>
      <c r="J5" s="157"/>
    </row>
    <row r="6" spans="1:10">
      <c r="A6" s="98" t="s">
        <v>46</v>
      </c>
      <c r="B6" s="98"/>
      <c r="C6" s="99" t="s">
        <v>158</v>
      </c>
      <c r="D6" s="98"/>
      <c r="E6" s="98"/>
      <c r="F6" s="98" t="s">
        <v>154</v>
      </c>
      <c r="G6" s="98" t="s">
        <v>113</v>
      </c>
      <c r="H6" s="98">
        <v>1</v>
      </c>
      <c r="I6" s="158">
        <v>100000</v>
      </c>
      <c r="J6" s="159">
        <f>SUM(H6*I6)</f>
        <v>100000</v>
      </c>
    </row>
    <row r="7" ht="15.75" spans="1:10">
      <c r="A7" s="100"/>
      <c r="B7" s="101"/>
      <c r="C7" s="102"/>
      <c r="D7" s="103"/>
      <c r="E7" s="104"/>
      <c r="F7" s="105"/>
      <c r="G7" s="106"/>
      <c r="H7" s="107"/>
      <c r="I7" s="160"/>
      <c r="J7" s="160"/>
    </row>
    <row r="8" ht="15.75" spans="1:10">
      <c r="A8" s="108" t="s">
        <v>69</v>
      </c>
      <c r="B8" s="96"/>
      <c r="C8" s="96"/>
      <c r="D8" s="96"/>
      <c r="E8" s="96"/>
      <c r="F8" s="109" t="s">
        <v>156</v>
      </c>
      <c r="G8" s="96"/>
      <c r="H8" s="96"/>
      <c r="I8" s="155"/>
      <c r="J8" s="156"/>
    </row>
    <row r="9" ht="150" spans="1:10">
      <c r="A9" s="99">
        <v>2.1</v>
      </c>
      <c r="B9" s="99" t="s">
        <v>157</v>
      </c>
      <c r="C9" s="99" t="s">
        <v>158</v>
      </c>
      <c r="D9" s="99" t="s">
        <v>159</v>
      </c>
      <c r="E9" s="99" t="s">
        <v>485</v>
      </c>
      <c r="F9" s="110" t="s">
        <v>486</v>
      </c>
      <c r="G9" s="111" t="s">
        <v>162</v>
      </c>
      <c r="H9" s="111">
        <f>4*4.3</f>
        <v>17.2</v>
      </c>
      <c r="I9" s="161">
        <v>2050</v>
      </c>
      <c r="J9" s="159">
        <f>SUM(H9*I9)</f>
        <v>35260</v>
      </c>
    </row>
    <row r="10" spans="1:10">
      <c r="A10" s="112"/>
      <c r="B10" s="112"/>
      <c r="C10" s="112"/>
      <c r="D10" s="112"/>
      <c r="E10" s="112"/>
      <c r="F10" s="112"/>
      <c r="G10" s="112"/>
      <c r="H10" s="113"/>
      <c r="I10" s="162"/>
      <c r="J10" s="163"/>
    </row>
    <row r="11" ht="150" spans="1:10">
      <c r="A11" s="114">
        <v>2.2</v>
      </c>
      <c r="B11" s="114" t="s">
        <v>157</v>
      </c>
      <c r="C11" s="114" t="s">
        <v>158</v>
      </c>
      <c r="D11" s="114" t="s">
        <v>159</v>
      </c>
      <c r="E11" s="114" t="s">
        <v>163</v>
      </c>
      <c r="F11" s="115" t="s">
        <v>487</v>
      </c>
      <c r="G11" s="116" t="s">
        <v>162</v>
      </c>
      <c r="H11" s="89">
        <f>1.25*3+0.25</f>
        <v>4</v>
      </c>
      <c r="I11" s="162">
        <v>1800</v>
      </c>
      <c r="J11" s="159">
        <f>SUM(H11*I11)</f>
        <v>7200</v>
      </c>
    </row>
    <row r="12" spans="1:10">
      <c r="A12" s="112"/>
      <c r="B12" s="112"/>
      <c r="C12" s="112"/>
      <c r="D12" s="112"/>
      <c r="E12" s="112"/>
      <c r="F12" s="112"/>
      <c r="G12" s="112"/>
      <c r="H12" s="113"/>
      <c r="I12" s="162"/>
      <c r="J12" s="163"/>
    </row>
    <row r="13" ht="195" spans="1:10">
      <c r="A13" s="114">
        <v>2.3</v>
      </c>
      <c r="B13" s="114" t="s">
        <v>165</v>
      </c>
      <c r="C13" s="114" t="s">
        <v>158</v>
      </c>
      <c r="D13" s="114" t="s">
        <v>166</v>
      </c>
      <c r="E13" s="114" t="s">
        <v>167</v>
      </c>
      <c r="F13" s="115" t="s">
        <v>168</v>
      </c>
      <c r="G13" s="116" t="s">
        <v>162</v>
      </c>
      <c r="H13" s="212">
        <f>SUM(H9)*2+4</f>
        <v>38.4</v>
      </c>
      <c r="I13" s="162">
        <v>650</v>
      </c>
      <c r="J13" s="159">
        <f>SUM(H13*I13)</f>
        <v>24960</v>
      </c>
    </row>
    <row r="14" spans="1:10">
      <c r="A14" s="112"/>
      <c r="B14" s="112"/>
      <c r="C14" s="112"/>
      <c r="D14" s="112"/>
      <c r="E14" s="112"/>
      <c r="F14" s="112"/>
      <c r="G14" s="112"/>
      <c r="H14" s="113"/>
      <c r="I14" s="162"/>
      <c r="J14" s="163"/>
    </row>
    <row r="15" ht="195" spans="1:10">
      <c r="A15" s="114">
        <v>2.4</v>
      </c>
      <c r="B15" s="114" t="s">
        <v>165</v>
      </c>
      <c r="C15" s="114" t="s">
        <v>158</v>
      </c>
      <c r="D15" s="114" t="s">
        <v>169</v>
      </c>
      <c r="E15" s="114" t="s">
        <v>488</v>
      </c>
      <c r="F15" s="115" t="s">
        <v>168</v>
      </c>
      <c r="G15" s="116" t="s">
        <v>162</v>
      </c>
      <c r="H15" s="212">
        <f>(26*4.3)</f>
        <v>111.8</v>
      </c>
      <c r="I15" s="162">
        <v>650</v>
      </c>
      <c r="J15" s="159">
        <f>SUM(H15*I15)</f>
        <v>72670</v>
      </c>
    </row>
    <row r="16" spans="1:10">
      <c r="A16" s="122"/>
      <c r="B16" s="122"/>
      <c r="C16" s="122"/>
      <c r="D16" s="122"/>
      <c r="E16" s="122"/>
      <c r="F16" s="112"/>
      <c r="G16" s="122"/>
      <c r="H16" s="113"/>
      <c r="I16" s="162"/>
      <c r="J16" s="163"/>
    </row>
    <row r="17" ht="90" spans="1:10">
      <c r="A17" s="114">
        <v>2.5</v>
      </c>
      <c r="B17" s="114" t="s">
        <v>489</v>
      </c>
      <c r="C17" s="114" t="s">
        <v>158</v>
      </c>
      <c r="D17" s="114" t="s">
        <v>172</v>
      </c>
      <c r="E17" s="114" t="s">
        <v>490</v>
      </c>
      <c r="F17" s="115" t="s">
        <v>491</v>
      </c>
      <c r="G17" s="116" t="s">
        <v>162</v>
      </c>
      <c r="H17" s="113">
        <v>5</v>
      </c>
      <c r="I17" s="162">
        <v>1800</v>
      </c>
      <c r="J17" s="159">
        <f>SUM(H17*I17)</f>
        <v>9000</v>
      </c>
    </row>
    <row r="18" spans="1:10">
      <c r="A18" s="114"/>
      <c r="B18" s="114"/>
      <c r="C18" s="114"/>
      <c r="D18" s="114"/>
      <c r="E18" s="114"/>
      <c r="F18" s="115"/>
      <c r="G18" s="116"/>
      <c r="H18" s="113"/>
      <c r="I18" s="162"/>
      <c r="J18" s="163"/>
    </row>
    <row r="19" ht="90" spans="1:10">
      <c r="A19" s="114">
        <v>2.6</v>
      </c>
      <c r="B19" s="114" t="s">
        <v>489</v>
      </c>
      <c r="C19" s="114" t="s">
        <v>158</v>
      </c>
      <c r="D19" s="114" t="s">
        <v>172</v>
      </c>
      <c r="E19" s="114" t="s">
        <v>173</v>
      </c>
      <c r="F19" s="115" t="s">
        <v>492</v>
      </c>
      <c r="G19" s="116" t="s">
        <v>162</v>
      </c>
      <c r="H19" s="113">
        <v>65</v>
      </c>
      <c r="I19" s="162">
        <v>1850</v>
      </c>
      <c r="J19" s="159">
        <f>SUM(H19*I19)</f>
        <v>120250</v>
      </c>
    </row>
    <row r="20" spans="1:10">
      <c r="A20" s="123"/>
      <c r="B20" s="123"/>
      <c r="C20" s="123"/>
      <c r="D20" s="123"/>
      <c r="E20" s="123"/>
      <c r="F20" s="115"/>
      <c r="G20" s="124"/>
      <c r="H20" s="125"/>
      <c r="I20" s="164"/>
      <c r="J20" s="165"/>
    </row>
    <row r="21" ht="14.25" customHeight="1" spans="1:10">
      <c r="A21" s="126"/>
      <c r="B21" s="126"/>
      <c r="C21" s="126"/>
      <c r="D21" s="126"/>
      <c r="E21" s="126"/>
      <c r="F21" s="127"/>
      <c r="G21" s="126"/>
      <c r="H21" s="98"/>
      <c r="I21" s="166"/>
      <c r="J21" s="167"/>
    </row>
    <row r="22" ht="19.5" customHeight="1" spans="1:10">
      <c r="A22" s="108" t="s">
        <v>81</v>
      </c>
      <c r="B22" s="128"/>
      <c r="C22" s="128"/>
      <c r="D22" s="128"/>
      <c r="E22" s="128"/>
      <c r="F22" s="96" t="s">
        <v>493</v>
      </c>
      <c r="G22" s="128"/>
      <c r="H22" s="128"/>
      <c r="I22" s="168"/>
      <c r="J22" s="169"/>
    </row>
    <row r="23" ht="19.5" customHeight="1" spans="1:10">
      <c r="A23" s="129"/>
      <c r="B23" s="130"/>
      <c r="C23" s="130"/>
      <c r="D23" s="130"/>
      <c r="E23" s="130"/>
      <c r="F23" s="97" t="s">
        <v>494</v>
      </c>
      <c r="G23" s="130"/>
      <c r="H23" s="130"/>
      <c r="I23" s="170"/>
      <c r="J23" s="129"/>
    </row>
    <row r="24" ht="30" spans="1:10">
      <c r="A24" s="113">
        <v>3.1</v>
      </c>
      <c r="B24" s="131"/>
      <c r="C24" s="113" t="s">
        <v>158</v>
      </c>
      <c r="D24" s="113" t="s">
        <v>48</v>
      </c>
      <c r="E24" s="113" t="s">
        <v>495</v>
      </c>
      <c r="F24" s="112" t="s">
        <v>496</v>
      </c>
      <c r="G24" s="113" t="s">
        <v>130</v>
      </c>
      <c r="H24" s="113">
        <v>5</v>
      </c>
      <c r="I24" s="171">
        <v>8950</v>
      </c>
      <c r="J24" s="117">
        <f t="shared" ref="J24:J60" si="0">SUM(H24*I24)</f>
        <v>44750</v>
      </c>
    </row>
    <row r="25" ht="90" spans="1:10">
      <c r="A25" s="131"/>
      <c r="B25" s="131"/>
      <c r="C25" s="131"/>
      <c r="D25" s="131"/>
      <c r="E25" s="131"/>
      <c r="F25" s="113" t="s">
        <v>497</v>
      </c>
      <c r="G25" s="131"/>
      <c r="H25" s="131"/>
      <c r="I25" s="172"/>
      <c r="J25" s="117"/>
    </row>
    <row r="26" ht="15.95" customHeight="1" spans="1:10">
      <c r="A26" s="131"/>
      <c r="B26" s="131"/>
      <c r="C26" s="131"/>
      <c r="D26" s="131"/>
      <c r="E26" s="131"/>
      <c r="F26" s="131"/>
      <c r="G26" s="131"/>
      <c r="H26" s="131"/>
      <c r="I26" s="172"/>
      <c r="J26" s="117"/>
    </row>
    <row r="27" ht="25.5" spans="1:10">
      <c r="A27" s="113">
        <v>3.2</v>
      </c>
      <c r="B27" s="131"/>
      <c r="C27" s="113"/>
      <c r="D27" s="113"/>
      <c r="E27" s="213" t="s">
        <v>498</v>
      </c>
      <c r="F27" s="214" t="s">
        <v>499</v>
      </c>
      <c r="G27" s="213" t="s">
        <v>51</v>
      </c>
      <c r="H27" s="215">
        <v>60</v>
      </c>
      <c r="I27" s="220">
        <v>14450</v>
      </c>
      <c r="J27" s="117">
        <f t="shared" si="0"/>
        <v>867000</v>
      </c>
    </row>
    <row r="28" ht="240.75" spans="1:10">
      <c r="A28" s="131"/>
      <c r="B28" s="131"/>
      <c r="C28" s="131"/>
      <c r="D28" s="131"/>
      <c r="E28" s="213"/>
      <c r="F28" s="216" t="s">
        <v>500</v>
      </c>
      <c r="G28" s="213"/>
      <c r="H28" s="215"/>
      <c r="I28" s="220"/>
      <c r="J28" s="215"/>
    </row>
    <row r="29" s="88" customFormat="1" spans="1:220">
      <c r="A29" s="140"/>
      <c r="B29" s="140"/>
      <c r="C29" s="140"/>
      <c r="D29" s="140"/>
      <c r="E29" s="141"/>
      <c r="F29" s="140"/>
      <c r="G29" s="143"/>
      <c r="H29" s="144"/>
      <c r="I29" s="175"/>
      <c r="J29" s="176"/>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77"/>
      <c r="ET29" s="177"/>
      <c r="EU29" s="177"/>
      <c r="EV29" s="177"/>
      <c r="EW29" s="177"/>
      <c r="EX29" s="177"/>
      <c r="EY29" s="177"/>
      <c r="EZ29" s="177"/>
      <c r="FA29" s="177"/>
      <c r="FB29" s="177"/>
      <c r="FC29" s="177"/>
      <c r="FD29" s="177"/>
      <c r="FE29" s="177"/>
      <c r="FF29" s="177"/>
      <c r="FG29" s="177"/>
      <c r="FH29" s="177"/>
      <c r="FI29" s="177"/>
      <c r="FJ29" s="177"/>
      <c r="FK29" s="177"/>
      <c r="FL29" s="177"/>
      <c r="FM29" s="177"/>
      <c r="FN29" s="177"/>
      <c r="FO29" s="177"/>
      <c r="FP29" s="177"/>
      <c r="FQ29" s="177"/>
      <c r="FR29" s="177"/>
      <c r="FS29" s="177"/>
      <c r="FT29" s="177"/>
      <c r="FU29" s="177"/>
      <c r="FV29" s="177"/>
      <c r="FW29" s="177"/>
      <c r="FX29" s="177"/>
      <c r="FY29" s="177"/>
      <c r="FZ29" s="177"/>
      <c r="GA29" s="177"/>
      <c r="GB29" s="177"/>
      <c r="GC29" s="177"/>
      <c r="GD29" s="177"/>
      <c r="GE29" s="177"/>
      <c r="GF29" s="177"/>
      <c r="GG29" s="177"/>
      <c r="GH29" s="177"/>
      <c r="GI29" s="177"/>
      <c r="GJ29" s="177"/>
      <c r="GK29" s="177"/>
      <c r="GL29" s="177"/>
      <c r="GM29" s="177"/>
      <c r="GN29" s="177"/>
      <c r="GO29" s="177"/>
      <c r="GP29" s="177"/>
      <c r="GQ29" s="177"/>
      <c r="GR29" s="177"/>
      <c r="GS29" s="177"/>
      <c r="GT29" s="177"/>
      <c r="GU29" s="177"/>
      <c r="GV29" s="177"/>
      <c r="GW29" s="177"/>
      <c r="GX29" s="177"/>
      <c r="GY29" s="177"/>
      <c r="GZ29" s="177"/>
      <c r="HA29" s="177"/>
      <c r="HB29" s="177"/>
      <c r="HC29" s="177"/>
      <c r="HD29" s="177"/>
      <c r="HE29" s="177"/>
      <c r="HF29" s="177"/>
      <c r="HG29" s="177"/>
      <c r="HH29" s="177"/>
      <c r="HI29" s="177"/>
      <c r="HJ29" s="177"/>
      <c r="HK29" s="177"/>
      <c r="HL29" s="177"/>
    </row>
    <row r="30" ht="15.95" customHeight="1" spans="1:10">
      <c r="A30" s="131"/>
      <c r="B30" s="131"/>
      <c r="C30" s="131"/>
      <c r="D30" s="131"/>
      <c r="E30" s="131"/>
      <c r="F30" s="145" t="s">
        <v>501</v>
      </c>
      <c r="G30" s="131"/>
      <c r="H30" s="146"/>
      <c r="I30" s="172"/>
      <c r="J30" s="117"/>
    </row>
    <row r="31" ht="30" spans="1:10">
      <c r="A31" s="113">
        <v>3.3</v>
      </c>
      <c r="B31" s="131"/>
      <c r="C31" s="113" t="s">
        <v>158</v>
      </c>
      <c r="D31" s="113" t="s">
        <v>295</v>
      </c>
      <c r="E31" s="113" t="s">
        <v>502</v>
      </c>
      <c r="F31" s="112" t="s">
        <v>503</v>
      </c>
      <c r="G31" s="113" t="s">
        <v>130</v>
      </c>
      <c r="H31" s="146">
        <f>7*3</f>
        <v>21</v>
      </c>
      <c r="I31" s="171">
        <v>6400</v>
      </c>
      <c r="J31" s="117">
        <f>SUM(H31*I31)</f>
        <v>134400</v>
      </c>
    </row>
    <row r="32" ht="75" spans="1:10">
      <c r="A32" s="131"/>
      <c r="B32" s="131"/>
      <c r="C32" s="131"/>
      <c r="D32" s="131"/>
      <c r="E32" s="131"/>
      <c r="F32" s="113" t="s">
        <v>504</v>
      </c>
      <c r="G32" s="131"/>
      <c r="H32" s="146"/>
      <c r="I32" s="172"/>
      <c r="J32" s="117"/>
    </row>
    <row r="33" spans="1:10">
      <c r="A33" s="131"/>
      <c r="B33" s="131"/>
      <c r="C33" s="131"/>
      <c r="D33" s="131"/>
      <c r="E33" s="131"/>
      <c r="F33" s="115"/>
      <c r="G33" s="131"/>
      <c r="H33" s="146"/>
      <c r="I33" s="172"/>
      <c r="J33" s="117"/>
    </row>
    <row r="34" ht="30" spans="1:10">
      <c r="A34" s="113">
        <v>3.4</v>
      </c>
      <c r="B34" s="131"/>
      <c r="C34" s="113" t="s">
        <v>158</v>
      </c>
      <c r="D34" s="113" t="s">
        <v>295</v>
      </c>
      <c r="E34" s="113" t="s">
        <v>296</v>
      </c>
      <c r="F34" s="112" t="s">
        <v>297</v>
      </c>
      <c r="G34" s="113" t="s">
        <v>130</v>
      </c>
      <c r="H34" s="146">
        <v>3</v>
      </c>
      <c r="I34" s="171">
        <v>8950</v>
      </c>
      <c r="J34" s="117">
        <f t="shared" si="0"/>
        <v>26850</v>
      </c>
    </row>
    <row r="35" ht="90" spans="1:10">
      <c r="A35" s="131"/>
      <c r="B35" s="131"/>
      <c r="C35" s="131"/>
      <c r="D35" s="131"/>
      <c r="E35" s="131"/>
      <c r="F35" s="113" t="s">
        <v>505</v>
      </c>
      <c r="G35" s="131"/>
      <c r="H35" s="146"/>
      <c r="I35" s="172" t="s">
        <v>506</v>
      </c>
      <c r="J35" s="117"/>
    </row>
    <row r="36" spans="1:10">
      <c r="A36" s="113"/>
      <c r="B36" s="146"/>
      <c r="C36" s="113"/>
      <c r="D36" s="113"/>
      <c r="E36" s="113"/>
      <c r="F36" s="113"/>
      <c r="G36" s="113"/>
      <c r="H36" s="113"/>
      <c r="I36" s="171"/>
      <c r="J36" s="117"/>
    </row>
    <row r="37" ht="30" spans="1:10">
      <c r="A37" s="113">
        <v>3.5</v>
      </c>
      <c r="B37" s="146"/>
      <c r="C37" s="113" t="s">
        <v>158</v>
      </c>
      <c r="D37" s="113" t="s">
        <v>507</v>
      </c>
      <c r="E37" s="113" t="s">
        <v>508</v>
      </c>
      <c r="F37" s="112" t="s">
        <v>509</v>
      </c>
      <c r="G37" s="113" t="s">
        <v>63</v>
      </c>
      <c r="H37" s="113">
        <v>7</v>
      </c>
      <c r="I37" s="171">
        <v>1600</v>
      </c>
      <c r="J37" s="117">
        <f t="shared" si="0"/>
        <v>11200</v>
      </c>
    </row>
    <row r="38" ht="90" spans="1:10">
      <c r="A38" s="131"/>
      <c r="B38" s="146"/>
      <c r="C38" s="131"/>
      <c r="D38" s="131"/>
      <c r="E38" s="131"/>
      <c r="F38" s="113" t="s">
        <v>510</v>
      </c>
      <c r="G38" s="131"/>
      <c r="H38" s="131"/>
      <c r="I38" s="172"/>
      <c r="J38" s="117"/>
    </row>
    <row r="39" ht="15.95" customHeight="1" spans="1:10">
      <c r="A39" s="131"/>
      <c r="B39" s="146"/>
      <c r="C39" s="131"/>
      <c r="D39" s="131"/>
      <c r="E39" s="131"/>
      <c r="F39" s="115"/>
      <c r="G39" s="131"/>
      <c r="H39" s="131"/>
      <c r="I39" s="172"/>
      <c r="J39" s="117"/>
    </row>
    <row r="40" ht="30" spans="1:10">
      <c r="A40" s="113">
        <v>3.6</v>
      </c>
      <c r="B40" s="146"/>
      <c r="C40" s="113" t="s">
        <v>158</v>
      </c>
      <c r="D40" s="113" t="s">
        <v>511</v>
      </c>
      <c r="E40" s="113" t="s">
        <v>512</v>
      </c>
      <c r="F40" s="112" t="s">
        <v>513</v>
      </c>
      <c r="G40" s="113" t="s">
        <v>63</v>
      </c>
      <c r="H40" s="113">
        <v>1</v>
      </c>
      <c r="I40" s="172">
        <v>16000</v>
      </c>
      <c r="J40" s="117">
        <f t="shared" si="0"/>
        <v>16000</v>
      </c>
    </row>
    <row r="41" ht="105" spans="1:10">
      <c r="A41" s="131"/>
      <c r="B41" s="146"/>
      <c r="C41" s="131"/>
      <c r="D41" s="131"/>
      <c r="E41" s="131"/>
      <c r="F41" s="113" t="s">
        <v>514</v>
      </c>
      <c r="G41" s="131"/>
      <c r="H41" s="131"/>
      <c r="I41" s="113"/>
      <c r="J41" s="117"/>
    </row>
    <row r="42" ht="21" customHeight="1" spans="1:10">
      <c r="A42" s="131"/>
      <c r="B42" s="146"/>
      <c r="C42" s="131"/>
      <c r="D42" s="131"/>
      <c r="E42" s="131"/>
      <c r="F42" s="113" t="s">
        <v>515</v>
      </c>
      <c r="G42" s="131"/>
      <c r="H42" s="131"/>
      <c r="I42" s="113"/>
      <c r="J42" s="117"/>
    </row>
    <row r="43" ht="21" customHeight="1" spans="1:10">
      <c r="A43" s="131"/>
      <c r="B43" s="146"/>
      <c r="C43" s="131"/>
      <c r="D43" s="131"/>
      <c r="E43" s="131"/>
      <c r="F43" s="113"/>
      <c r="G43" s="131"/>
      <c r="H43" s="131"/>
      <c r="I43" s="113"/>
      <c r="J43" s="117"/>
    </row>
    <row r="44" ht="21" customHeight="1" spans="1:10">
      <c r="A44" s="113">
        <v>3.7</v>
      </c>
      <c r="B44" s="146"/>
      <c r="C44" s="113" t="s">
        <v>158</v>
      </c>
      <c r="D44" s="113" t="s">
        <v>60</v>
      </c>
      <c r="E44" s="113" t="s">
        <v>516</v>
      </c>
      <c r="F44" s="217" t="s">
        <v>517</v>
      </c>
      <c r="G44" s="113" t="s">
        <v>63</v>
      </c>
      <c r="H44" s="113">
        <v>1.8</v>
      </c>
      <c r="I44" s="113">
        <v>27000</v>
      </c>
      <c r="J44" s="117">
        <f t="shared" ref="J44" si="1">SUM(H44*I44)</f>
        <v>48600</v>
      </c>
    </row>
    <row r="45" ht="21" customHeight="1" spans="1:10">
      <c r="A45" s="131"/>
      <c r="B45" s="146"/>
      <c r="C45" s="131"/>
      <c r="D45" s="131"/>
      <c r="E45" s="131"/>
      <c r="F45" s="217" t="s">
        <v>518</v>
      </c>
      <c r="G45" s="131"/>
      <c r="H45" s="131"/>
      <c r="I45" s="113"/>
      <c r="J45" s="117"/>
    </row>
    <row r="46" ht="120" spans="1:10">
      <c r="A46" s="131"/>
      <c r="B46" s="146"/>
      <c r="C46" s="131"/>
      <c r="D46" s="131"/>
      <c r="E46" s="131"/>
      <c r="F46" s="218" t="s">
        <v>519</v>
      </c>
      <c r="G46" s="131"/>
      <c r="H46" s="131"/>
      <c r="I46" s="113"/>
      <c r="J46" s="117"/>
    </row>
    <row r="47" ht="21" customHeight="1" spans="1:10">
      <c r="A47" s="131"/>
      <c r="B47" s="146"/>
      <c r="C47" s="131"/>
      <c r="D47" s="131"/>
      <c r="E47" s="131"/>
      <c r="F47" s="113"/>
      <c r="G47" s="131"/>
      <c r="H47" s="131"/>
      <c r="I47" s="113"/>
      <c r="J47" s="117"/>
    </row>
    <row r="48" spans="1:10">
      <c r="A48" s="146">
        <v>3.8</v>
      </c>
      <c r="B48" s="146"/>
      <c r="C48" s="113" t="s">
        <v>158</v>
      </c>
      <c r="D48" s="113" t="s">
        <v>60</v>
      </c>
      <c r="E48" s="113" t="s">
        <v>520</v>
      </c>
      <c r="F48" s="112" t="s">
        <v>521</v>
      </c>
      <c r="G48" s="113" t="s">
        <v>63</v>
      </c>
      <c r="H48" s="113">
        <f>8+7.5</f>
        <v>15.5</v>
      </c>
      <c r="I48" s="171">
        <v>2200</v>
      </c>
      <c r="J48" s="117">
        <f t="shared" si="0"/>
        <v>34100</v>
      </c>
    </row>
    <row r="49" ht="90" spans="1:10">
      <c r="A49" s="131"/>
      <c r="B49" s="146"/>
      <c r="C49" s="131"/>
      <c r="D49" s="131"/>
      <c r="E49" s="131"/>
      <c r="F49" s="219" t="s">
        <v>522</v>
      </c>
      <c r="G49" s="131"/>
      <c r="H49" s="131"/>
      <c r="I49" s="172"/>
      <c r="J49" s="117"/>
    </row>
    <row r="50" ht="15.95" customHeight="1" spans="1:10">
      <c r="A50" s="131"/>
      <c r="B50" s="146"/>
      <c r="C50" s="131"/>
      <c r="D50" s="131"/>
      <c r="E50" s="131"/>
      <c r="F50" s="113" t="s">
        <v>523</v>
      </c>
      <c r="G50" s="131"/>
      <c r="H50" s="131"/>
      <c r="I50" s="113"/>
      <c r="J50" s="117"/>
    </row>
    <row r="51" ht="15.95" customHeight="1" spans="1:10">
      <c r="A51" s="179"/>
      <c r="B51" s="180"/>
      <c r="C51" s="179"/>
      <c r="D51" s="179"/>
      <c r="E51" s="179"/>
      <c r="F51" s="125"/>
      <c r="G51" s="179"/>
      <c r="H51" s="179"/>
      <c r="I51" s="125"/>
      <c r="J51" s="196"/>
    </row>
    <row r="52" ht="23.25" customHeight="1" spans="1:10">
      <c r="A52" s="108" t="s">
        <v>108</v>
      </c>
      <c r="B52" s="182"/>
      <c r="C52" s="128"/>
      <c r="D52" s="128"/>
      <c r="E52" s="128"/>
      <c r="F52" s="96" t="s">
        <v>70</v>
      </c>
      <c r="G52" s="128"/>
      <c r="H52" s="128"/>
      <c r="I52" s="221"/>
      <c r="J52" s="197"/>
    </row>
    <row r="53" spans="1:10">
      <c r="A53" s="129"/>
      <c r="B53" s="183"/>
      <c r="C53" s="130"/>
      <c r="D53" s="130"/>
      <c r="E53" s="130"/>
      <c r="F53" s="97"/>
      <c r="G53" s="130"/>
      <c r="H53" s="130"/>
      <c r="I53" s="129"/>
      <c r="J53" s="198"/>
    </row>
    <row r="54" ht="16.5" customHeight="1" spans="1:10">
      <c r="A54" s="129">
        <v>4.1</v>
      </c>
      <c r="B54" s="130"/>
      <c r="C54" s="129" t="s">
        <v>71</v>
      </c>
      <c r="D54" s="129" t="s">
        <v>307</v>
      </c>
      <c r="E54" s="129" t="s">
        <v>524</v>
      </c>
      <c r="F54" s="184" t="s">
        <v>73</v>
      </c>
      <c r="G54" s="129" t="s">
        <v>130</v>
      </c>
      <c r="H54" s="183">
        <v>65</v>
      </c>
      <c r="I54" s="222">
        <v>2050</v>
      </c>
      <c r="J54" s="198">
        <f t="shared" si="0"/>
        <v>133250</v>
      </c>
    </row>
    <row r="55" ht="90" spans="1:10">
      <c r="A55" s="113"/>
      <c r="B55" s="131"/>
      <c r="C55" s="113"/>
      <c r="D55" s="113"/>
      <c r="E55" s="113"/>
      <c r="F55" s="115" t="s">
        <v>525</v>
      </c>
      <c r="G55" s="113"/>
      <c r="H55" s="146"/>
      <c r="I55" s="113"/>
      <c r="J55" s="117"/>
    </row>
    <row r="56" spans="1:10">
      <c r="A56" s="131"/>
      <c r="B56" s="131"/>
      <c r="C56" s="131"/>
      <c r="D56" s="131"/>
      <c r="E56" s="131"/>
      <c r="F56" s="113"/>
      <c r="G56" s="185"/>
      <c r="H56" s="185"/>
      <c r="I56" s="113"/>
      <c r="J56" s="117"/>
    </row>
    <row r="57" ht="15.95" customHeight="1" spans="1:10">
      <c r="A57" s="113">
        <v>4.2</v>
      </c>
      <c r="B57" s="131"/>
      <c r="C57" s="113" t="s">
        <v>71</v>
      </c>
      <c r="D57" s="113" t="s">
        <v>307</v>
      </c>
      <c r="E57" s="113" t="s">
        <v>526</v>
      </c>
      <c r="F57" s="112" t="s">
        <v>527</v>
      </c>
      <c r="G57" s="113" t="s">
        <v>63</v>
      </c>
      <c r="H57" s="146">
        <v>25</v>
      </c>
      <c r="I57" s="223">
        <v>450</v>
      </c>
      <c r="J57" s="117">
        <f t="shared" si="0"/>
        <v>11250</v>
      </c>
    </row>
    <row r="58" ht="75" spans="1:10">
      <c r="A58" s="131"/>
      <c r="B58" s="131"/>
      <c r="C58" s="131"/>
      <c r="D58" s="131"/>
      <c r="E58" s="131"/>
      <c r="F58" s="115" t="s">
        <v>528</v>
      </c>
      <c r="G58" s="185"/>
      <c r="H58" s="185"/>
      <c r="I58" s="113"/>
      <c r="J58" s="117"/>
    </row>
    <row r="59" spans="1:10">
      <c r="A59" s="131"/>
      <c r="B59" s="131"/>
      <c r="C59" s="131"/>
      <c r="D59" s="131"/>
      <c r="E59" s="131"/>
      <c r="F59" s="113"/>
      <c r="G59" s="185"/>
      <c r="H59" s="185"/>
      <c r="I59" s="113"/>
      <c r="J59" s="117"/>
    </row>
    <row r="60" ht="15.95" customHeight="1" spans="1:10">
      <c r="A60" s="113">
        <v>4.3</v>
      </c>
      <c r="B60" s="131"/>
      <c r="C60" s="113" t="s">
        <v>71</v>
      </c>
      <c r="D60" s="113" t="s">
        <v>307</v>
      </c>
      <c r="E60" s="113" t="s">
        <v>529</v>
      </c>
      <c r="F60" s="112" t="s">
        <v>530</v>
      </c>
      <c r="G60" s="113" t="s">
        <v>63</v>
      </c>
      <c r="H60" s="146">
        <v>5</v>
      </c>
      <c r="I60" s="223">
        <v>400</v>
      </c>
      <c r="J60" s="117">
        <f t="shared" si="0"/>
        <v>2000</v>
      </c>
    </row>
    <row r="61" ht="75" spans="1:10">
      <c r="A61" s="131"/>
      <c r="B61" s="131"/>
      <c r="C61" s="131"/>
      <c r="D61" s="131"/>
      <c r="E61" s="131"/>
      <c r="F61" s="113" t="s">
        <v>531</v>
      </c>
      <c r="G61" s="131"/>
      <c r="H61" s="131"/>
      <c r="I61" s="113"/>
      <c r="J61" s="117"/>
    </row>
    <row r="62" spans="1:10">
      <c r="A62" s="131"/>
      <c r="B62" s="131"/>
      <c r="C62" s="131"/>
      <c r="D62" s="131"/>
      <c r="E62" s="131"/>
      <c r="F62" s="113"/>
      <c r="G62" s="131"/>
      <c r="H62" s="131"/>
      <c r="I62" s="113"/>
      <c r="J62" s="117"/>
    </row>
    <row r="63" spans="1:10">
      <c r="A63" s="113">
        <v>4.4</v>
      </c>
      <c r="B63" s="131"/>
      <c r="C63" s="113" t="s">
        <v>71</v>
      </c>
      <c r="D63" s="113" t="s">
        <v>307</v>
      </c>
      <c r="E63" s="113" t="s">
        <v>532</v>
      </c>
      <c r="F63" s="112" t="s">
        <v>533</v>
      </c>
      <c r="G63" s="113" t="s">
        <v>63</v>
      </c>
      <c r="H63" s="146">
        <v>10</v>
      </c>
      <c r="I63" s="223">
        <v>400</v>
      </c>
      <c r="J63" s="117">
        <f t="shared" ref="J63" si="2">SUM(H63*I63)</f>
        <v>4000</v>
      </c>
    </row>
    <row r="64" ht="75" spans="1:10">
      <c r="A64" s="131"/>
      <c r="B64" s="131"/>
      <c r="C64" s="131"/>
      <c r="D64" s="131"/>
      <c r="E64" s="131"/>
      <c r="F64" s="115" t="s">
        <v>528</v>
      </c>
      <c r="G64" s="185"/>
      <c r="H64" s="185"/>
      <c r="I64" s="113"/>
      <c r="J64" s="117"/>
    </row>
    <row r="65" spans="1:10">
      <c r="A65" s="131"/>
      <c r="B65" s="131"/>
      <c r="C65" s="131"/>
      <c r="D65" s="131"/>
      <c r="E65" s="131"/>
      <c r="F65" s="115"/>
      <c r="G65" s="185"/>
      <c r="H65" s="185"/>
      <c r="I65" s="113"/>
      <c r="J65" s="117"/>
    </row>
    <row r="66" spans="1:10">
      <c r="A66" s="113">
        <v>4.5</v>
      </c>
      <c r="B66" s="131"/>
      <c r="C66" s="113" t="s">
        <v>71</v>
      </c>
      <c r="D66" s="113" t="s">
        <v>307</v>
      </c>
      <c r="E66" s="113" t="s">
        <v>532</v>
      </c>
      <c r="F66" s="112" t="s">
        <v>534</v>
      </c>
      <c r="G66" s="113" t="s">
        <v>63</v>
      </c>
      <c r="H66" s="146">
        <f>5*4</f>
        <v>20</v>
      </c>
      <c r="I66" s="223">
        <v>400</v>
      </c>
      <c r="J66" s="117">
        <f t="shared" ref="J66" si="3">SUM(H66*I66)</f>
        <v>8000</v>
      </c>
    </row>
    <row r="67" ht="75" spans="1:10">
      <c r="A67" s="131"/>
      <c r="B67" s="131"/>
      <c r="C67" s="131"/>
      <c r="D67" s="131"/>
      <c r="E67" s="131"/>
      <c r="F67" s="115" t="s">
        <v>528</v>
      </c>
      <c r="G67" s="185"/>
      <c r="H67" s="185"/>
      <c r="I67" s="113"/>
      <c r="J67" s="117"/>
    </row>
    <row r="68" spans="1:10">
      <c r="A68" s="131"/>
      <c r="B68" s="131"/>
      <c r="C68" s="131"/>
      <c r="D68" s="131"/>
      <c r="E68" s="131"/>
      <c r="F68" s="113"/>
      <c r="G68" s="185"/>
      <c r="H68" s="185"/>
      <c r="I68" s="113"/>
      <c r="J68" s="117"/>
    </row>
    <row r="69" spans="1:10">
      <c r="A69" s="186">
        <v>4.6</v>
      </c>
      <c r="B69" s="139"/>
      <c r="C69" s="121" t="s">
        <v>71</v>
      </c>
      <c r="D69" s="187"/>
      <c r="E69" s="119" t="s">
        <v>535</v>
      </c>
      <c r="F69" s="139" t="s">
        <v>536</v>
      </c>
      <c r="G69" s="120" t="s">
        <v>130</v>
      </c>
      <c r="H69" s="131">
        <f>42*3.2</f>
        <v>134.4</v>
      </c>
      <c r="I69" s="113">
        <v>475</v>
      </c>
      <c r="J69" s="117">
        <f t="shared" ref="J69:J133" si="4">SUM(H69*I69)</f>
        <v>63840</v>
      </c>
    </row>
    <row r="70" ht="60" spans="1:10">
      <c r="A70" s="188"/>
      <c r="B70" s="139"/>
      <c r="C70" s="139"/>
      <c r="D70" s="139"/>
      <c r="E70" s="139"/>
      <c r="F70" s="189" t="s">
        <v>537</v>
      </c>
      <c r="G70" s="120"/>
      <c r="H70" s="131"/>
      <c r="I70" s="113"/>
      <c r="J70" s="117"/>
    </row>
    <row r="71" ht="15.75" spans="1:10">
      <c r="A71" s="179"/>
      <c r="B71" s="180"/>
      <c r="C71" s="179"/>
      <c r="D71" s="179"/>
      <c r="E71" s="179"/>
      <c r="F71" s="125"/>
      <c r="G71" s="179"/>
      <c r="H71" s="179"/>
      <c r="I71" s="125"/>
      <c r="J71" s="196"/>
    </row>
    <row r="72" ht="16.5" customHeight="1" spans="1:10">
      <c r="A72" s="108" t="s">
        <v>125</v>
      </c>
      <c r="B72" s="190"/>
      <c r="C72" s="190"/>
      <c r="D72" s="190"/>
      <c r="E72" s="190"/>
      <c r="F72" s="96" t="s">
        <v>82</v>
      </c>
      <c r="G72" s="190"/>
      <c r="H72" s="190"/>
      <c r="I72" s="96"/>
      <c r="J72" s="201"/>
    </row>
    <row r="73" ht="12.75" customHeight="1" spans="1:10">
      <c r="A73" s="129"/>
      <c r="B73" s="130"/>
      <c r="C73" s="129"/>
      <c r="D73" s="129"/>
      <c r="E73" s="129"/>
      <c r="F73" s="129"/>
      <c r="G73" s="129"/>
      <c r="H73" s="129"/>
      <c r="I73" s="129"/>
      <c r="J73" s="198"/>
    </row>
    <row r="74" ht="30" spans="1:10">
      <c r="A74" s="113">
        <v>5.1</v>
      </c>
      <c r="B74" s="131"/>
      <c r="C74" s="113" t="s">
        <v>538</v>
      </c>
      <c r="D74" s="224" t="s">
        <v>203</v>
      </c>
      <c r="E74" s="224" t="s">
        <v>204</v>
      </c>
      <c r="F74" s="184" t="s">
        <v>539</v>
      </c>
      <c r="G74" s="120" t="s">
        <v>130</v>
      </c>
      <c r="H74" s="131">
        <f>(2+0.5)*4.3</f>
        <v>10.75</v>
      </c>
      <c r="I74" s="241">
        <v>2690</v>
      </c>
      <c r="J74" s="117">
        <f t="shared" ref="J74" si="5">SUM(H74*I74)</f>
        <v>28917.5</v>
      </c>
    </row>
    <row r="75" ht="60" spans="1:10">
      <c r="A75" s="129"/>
      <c r="B75" s="130"/>
      <c r="C75" s="129"/>
      <c r="D75" s="225"/>
      <c r="E75" s="225"/>
      <c r="F75" s="224" t="s">
        <v>540</v>
      </c>
      <c r="G75" s="129"/>
      <c r="H75" s="129"/>
      <c r="I75" s="129"/>
      <c r="J75" s="198"/>
    </row>
    <row r="76" ht="12.75" customHeight="1" spans="1:10">
      <c r="A76" s="129"/>
      <c r="B76" s="130"/>
      <c r="C76" s="129"/>
      <c r="D76" s="129"/>
      <c r="E76" s="129"/>
      <c r="F76" s="129"/>
      <c r="G76" s="129"/>
      <c r="H76" s="129"/>
      <c r="I76" s="129"/>
      <c r="J76" s="198"/>
    </row>
    <row r="77" ht="12.75" customHeight="1" spans="1:10">
      <c r="A77" s="129">
        <v>5.2</v>
      </c>
      <c r="B77" s="130"/>
      <c r="C77" s="129"/>
      <c r="D77" s="226" t="s">
        <v>203</v>
      </c>
      <c r="E77" s="227" t="s">
        <v>204</v>
      </c>
      <c r="F77" s="228" t="s">
        <v>541</v>
      </c>
      <c r="G77" s="229" t="s">
        <v>51</v>
      </c>
      <c r="H77" s="131">
        <f>(3*3)+(3*3*2.5)</f>
        <v>31.5</v>
      </c>
      <c r="I77" s="241">
        <v>4000</v>
      </c>
      <c r="J77" s="117">
        <f t="shared" ref="J77" si="6">SUM(H77*I77)</f>
        <v>126000</v>
      </c>
    </row>
    <row r="78" ht="51" spans="1:10">
      <c r="A78" s="129"/>
      <c r="B78" s="130"/>
      <c r="C78" s="129"/>
      <c r="D78" s="230"/>
      <c r="E78" s="230"/>
      <c r="F78" s="231" t="s">
        <v>542</v>
      </c>
      <c r="G78" s="229"/>
      <c r="H78" s="129"/>
      <c r="I78" s="129"/>
      <c r="J78" s="198"/>
    </row>
    <row r="79" ht="12.75" customHeight="1" spans="1:10">
      <c r="A79" s="129"/>
      <c r="B79" s="130"/>
      <c r="C79" s="129"/>
      <c r="D79" s="129"/>
      <c r="E79" s="129"/>
      <c r="F79" s="129"/>
      <c r="G79" s="129"/>
      <c r="H79" s="129"/>
      <c r="I79" s="129"/>
      <c r="J79" s="198"/>
    </row>
    <row r="80" ht="12.75" customHeight="1" spans="1:10">
      <c r="A80" s="129">
        <v>5.3</v>
      </c>
      <c r="B80" s="130"/>
      <c r="C80" s="129"/>
      <c r="D80" s="225" t="s">
        <v>83</v>
      </c>
      <c r="E80" s="225" t="s">
        <v>84</v>
      </c>
      <c r="F80" s="184" t="s">
        <v>543</v>
      </c>
      <c r="G80" s="174"/>
      <c r="H80" s="129"/>
      <c r="I80" s="129"/>
      <c r="J80" s="198"/>
    </row>
    <row r="81" ht="12.75" customHeight="1" spans="1:10">
      <c r="A81" s="129"/>
      <c r="B81" s="130"/>
      <c r="C81" s="129"/>
      <c r="D81" s="225"/>
      <c r="E81" s="225"/>
      <c r="F81" s="232" t="s">
        <v>544</v>
      </c>
      <c r="G81" s="174"/>
      <c r="H81" s="129"/>
      <c r="I81" s="129"/>
      <c r="J81" s="198"/>
    </row>
    <row r="82" ht="12.75" customHeight="1" spans="1:10">
      <c r="A82" s="129" t="s">
        <v>209</v>
      </c>
      <c r="B82" s="130"/>
      <c r="C82" s="129"/>
      <c r="D82" s="225"/>
      <c r="E82" s="225"/>
      <c r="F82" s="233" t="s">
        <v>545</v>
      </c>
      <c r="G82" s="174" t="s">
        <v>51</v>
      </c>
      <c r="H82" s="129">
        <f>(3+3+4+1+3+1.5+1.5+1+3+1)*3.1</f>
        <v>68.2</v>
      </c>
      <c r="I82" s="242">
        <v>1890</v>
      </c>
      <c r="J82" s="117">
        <f t="shared" ref="J82:J85" si="7">SUM(H82*I82)</f>
        <v>128898</v>
      </c>
    </row>
    <row r="83" ht="12.75" customHeight="1" spans="1:10">
      <c r="A83" s="129" t="s">
        <v>211</v>
      </c>
      <c r="B83" s="130"/>
      <c r="C83" s="129"/>
      <c r="D83" s="225"/>
      <c r="E83" s="225"/>
      <c r="F83" s="233" t="s">
        <v>546</v>
      </c>
      <c r="G83" s="174" t="s">
        <v>51</v>
      </c>
      <c r="H83" s="129">
        <v>5</v>
      </c>
      <c r="I83" s="242">
        <v>2100</v>
      </c>
      <c r="J83" s="117">
        <f t="shared" si="7"/>
        <v>10500</v>
      </c>
    </row>
    <row r="84" s="88" customFormat="1" spans="1:220">
      <c r="A84" s="191" t="s">
        <v>213</v>
      </c>
      <c r="B84" s="140"/>
      <c r="C84" s="140"/>
      <c r="D84" s="225"/>
      <c r="E84" s="225"/>
      <c r="F84" s="233" t="s">
        <v>547</v>
      </c>
      <c r="G84" s="174" t="s">
        <v>51</v>
      </c>
      <c r="H84" s="194">
        <v>5</v>
      </c>
      <c r="I84" s="242">
        <v>2300</v>
      </c>
      <c r="J84" s="117">
        <f t="shared" si="7"/>
        <v>11500</v>
      </c>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7"/>
      <c r="AY84" s="177"/>
      <c r="AZ84" s="177"/>
      <c r="BA84" s="177"/>
      <c r="BB84" s="177"/>
      <c r="BC84" s="177"/>
      <c r="BD84" s="177"/>
      <c r="BE84" s="177"/>
      <c r="BF84" s="177"/>
      <c r="BG84" s="177"/>
      <c r="BH84" s="177"/>
      <c r="BI84" s="177"/>
      <c r="BJ84" s="177"/>
      <c r="BK84" s="177"/>
      <c r="BL84" s="177"/>
      <c r="BM84" s="177"/>
      <c r="BN84" s="177"/>
      <c r="BO84" s="177"/>
      <c r="BP84" s="177"/>
      <c r="BQ84" s="177"/>
      <c r="BR84" s="177"/>
      <c r="BS84" s="177"/>
      <c r="BT84" s="177"/>
      <c r="BU84" s="177"/>
      <c r="BV84" s="177"/>
      <c r="BW84" s="177"/>
      <c r="BX84" s="177"/>
      <c r="BY84" s="177"/>
      <c r="BZ84" s="177"/>
      <c r="CA84" s="177"/>
      <c r="CB84" s="177"/>
      <c r="CC84" s="177"/>
      <c r="CD84" s="177"/>
      <c r="CE84" s="177"/>
      <c r="CF84" s="177"/>
      <c r="CG84" s="177"/>
      <c r="CH84" s="177"/>
      <c r="CI84" s="177"/>
      <c r="CJ84" s="177"/>
      <c r="CK84" s="177"/>
      <c r="CL84" s="177"/>
      <c r="CM84" s="177"/>
      <c r="CN84" s="177"/>
      <c r="CO84" s="177"/>
      <c r="CP84" s="177"/>
      <c r="CQ84" s="177"/>
      <c r="CR84" s="177"/>
      <c r="CS84" s="177"/>
      <c r="CT84" s="177"/>
      <c r="CU84" s="177"/>
      <c r="CV84" s="177"/>
      <c r="CW84" s="177"/>
      <c r="CX84" s="177"/>
      <c r="CY84" s="177"/>
      <c r="CZ84" s="177"/>
      <c r="DA84" s="177"/>
      <c r="DB84" s="177"/>
      <c r="DC84" s="177"/>
      <c r="DD84" s="177"/>
      <c r="DE84" s="177"/>
      <c r="DF84" s="177"/>
      <c r="DG84" s="177"/>
      <c r="DH84" s="177"/>
      <c r="DI84" s="177"/>
      <c r="DJ84" s="177"/>
      <c r="DK84" s="177"/>
      <c r="DL84" s="177"/>
      <c r="DM84" s="177"/>
      <c r="DN84" s="177"/>
      <c r="DO84" s="177"/>
      <c r="DP84" s="177"/>
      <c r="DQ84" s="177"/>
      <c r="DR84" s="177"/>
      <c r="DS84" s="177"/>
      <c r="DT84" s="177"/>
      <c r="DU84" s="177"/>
      <c r="DV84" s="177"/>
      <c r="DW84" s="177"/>
      <c r="DX84" s="177"/>
      <c r="DY84" s="177"/>
      <c r="DZ84" s="177"/>
      <c r="EA84" s="177"/>
      <c r="EB84" s="177"/>
      <c r="EC84" s="177"/>
      <c r="ED84" s="177"/>
      <c r="EE84" s="177"/>
      <c r="EF84" s="177"/>
      <c r="EG84" s="177"/>
      <c r="EH84" s="177"/>
      <c r="EI84" s="177"/>
      <c r="EJ84" s="177"/>
      <c r="EK84" s="177"/>
      <c r="EL84" s="177"/>
      <c r="EM84" s="177"/>
      <c r="EN84" s="177"/>
      <c r="EO84" s="177"/>
      <c r="EP84" s="177"/>
      <c r="EQ84" s="177"/>
      <c r="ER84" s="177"/>
      <c r="ES84" s="177"/>
      <c r="ET84" s="177"/>
      <c r="EU84" s="177"/>
      <c r="EV84" s="177"/>
      <c r="EW84" s="177"/>
      <c r="EX84" s="177"/>
      <c r="EY84" s="177"/>
      <c r="EZ84" s="177"/>
      <c r="FA84" s="177"/>
      <c r="FB84" s="177"/>
      <c r="FC84" s="177"/>
      <c r="FD84" s="177"/>
      <c r="FE84" s="177"/>
      <c r="FF84" s="177"/>
      <c r="FG84" s="177"/>
      <c r="FH84" s="177"/>
      <c r="FI84" s="177"/>
      <c r="FJ84" s="177"/>
      <c r="FK84" s="177"/>
      <c r="FL84" s="177"/>
      <c r="FM84" s="177"/>
      <c r="FN84" s="177"/>
      <c r="FO84" s="177"/>
      <c r="FP84" s="177"/>
      <c r="FQ84" s="177"/>
      <c r="FR84" s="177"/>
      <c r="FS84" s="177"/>
      <c r="FT84" s="177"/>
      <c r="FU84" s="177"/>
      <c r="FV84" s="177"/>
      <c r="FW84" s="177"/>
      <c r="FX84" s="177"/>
      <c r="FY84" s="177"/>
      <c r="FZ84" s="177"/>
      <c r="GA84" s="177"/>
      <c r="GB84" s="177"/>
      <c r="GC84" s="177"/>
      <c r="GD84" s="177"/>
      <c r="GE84" s="177"/>
      <c r="GF84" s="177"/>
      <c r="GG84" s="177"/>
      <c r="GH84" s="177"/>
      <c r="GI84" s="177"/>
      <c r="GJ84" s="177"/>
      <c r="GK84" s="177"/>
      <c r="GL84" s="177"/>
      <c r="GM84" s="177"/>
      <c r="GN84" s="177"/>
      <c r="GO84" s="177"/>
      <c r="GP84" s="177"/>
      <c r="GQ84" s="177"/>
      <c r="GR84" s="177"/>
      <c r="GS84" s="177"/>
      <c r="GT84" s="177"/>
      <c r="GU84" s="177"/>
      <c r="GV84" s="177"/>
      <c r="GW84" s="177"/>
      <c r="GX84" s="177"/>
      <c r="GY84" s="177"/>
      <c r="GZ84" s="177"/>
      <c r="HA84" s="177"/>
      <c r="HB84" s="177"/>
      <c r="HC84" s="177"/>
      <c r="HD84" s="177"/>
      <c r="HE84" s="177"/>
      <c r="HF84" s="177"/>
      <c r="HG84" s="177"/>
      <c r="HH84" s="177"/>
      <c r="HI84" s="177"/>
      <c r="HJ84" s="177"/>
      <c r="HK84" s="177"/>
      <c r="HL84" s="177"/>
    </row>
    <row r="85" spans="1:10">
      <c r="A85" s="131" t="s">
        <v>215</v>
      </c>
      <c r="B85" s="131"/>
      <c r="C85" s="131"/>
      <c r="D85" s="225"/>
      <c r="E85" s="225"/>
      <c r="F85" s="233" t="s">
        <v>548</v>
      </c>
      <c r="G85" s="174" t="s">
        <v>51</v>
      </c>
      <c r="H85" s="131">
        <v>5</v>
      </c>
      <c r="I85" s="242">
        <v>1280</v>
      </c>
      <c r="J85" s="117">
        <f t="shared" si="7"/>
        <v>6400</v>
      </c>
    </row>
    <row r="86" spans="1:10">
      <c r="A86" s="131"/>
      <c r="B86" s="131"/>
      <c r="C86" s="131"/>
      <c r="D86" s="225"/>
      <c r="E86" s="225"/>
      <c r="F86" s="233"/>
      <c r="G86" s="174"/>
      <c r="H86" s="131"/>
      <c r="I86" s="113"/>
      <c r="J86" s="117"/>
    </row>
    <row r="87" ht="12.75" customHeight="1" spans="1:10">
      <c r="A87" s="113">
        <v>5.4</v>
      </c>
      <c r="B87" s="131"/>
      <c r="C87" s="113" t="s">
        <v>538</v>
      </c>
      <c r="D87" s="113" t="s">
        <v>549</v>
      </c>
      <c r="E87" s="113" t="s">
        <v>550</v>
      </c>
      <c r="F87" s="112" t="s">
        <v>551</v>
      </c>
      <c r="G87" s="113" t="s">
        <v>130</v>
      </c>
      <c r="H87" s="113">
        <v>8</v>
      </c>
      <c r="I87" s="113">
        <v>19500</v>
      </c>
      <c r="J87" s="117">
        <f t="shared" si="4"/>
        <v>156000</v>
      </c>
    </row>
    <row r="88" ht="51" spans="1:10">
      <c r="A88" s="131"/>
      <c r="B88" s="131"/>
      <c r="C88" s="131"/>
      <c r="D88" s="131"/>
      <c r="E88" s="131"/>
      <c r="F88" s="234" t="s">
        <v>552</v>
      </c>
      <c r="G88" s="131"/>
      <c r="H88" s="131"/>
      <c r="I88" s="113"/>
      <c r="J88" s="117"/>
    </row>
    <row r="89" spans="1:10">
      <c r="A89" s="113"/>
      <c r="B89" s="131"/>
      <c r="C89" s="113"/>
      <c r="D89" s="113"/>
      <c r="E89" s="113"/>
      <c r="F89" s="234" t="s">
        <v>553</v>
      </c>
      <c r="G89" s="113"/>
      <c r="H89" s="113"/>
      <c r="I89" s="134"/>
      <c r="J89" s="117"/>
    </row>
    <row r="90" spans="1:10">
      <c r="A90" s="131"/>
      <c r="B90" s="131"/>
      <c r="C90" s="131"/>
      <c r="D90" s="131"/>
      <c r="E90" s="131"/>
      <c r="F90" s="115"/>
      <c r="G90" s="131"/>
      <c r="H90" s="131"/>
      <c r="I90" s="113"/>
      <c r="J90" s="117"/>
    </row>
    <row r="91" ht="12.75" customHeight="1" spans="1:10">
      <c r="A91" s="113">
        <v>5.5</v>
      </c>
      <c r="B91" s="131"/>
      <c r="C91" s="113" t="s">
        <v>538</v>
      </c>
      <c r="D91" s="113" t="s">
        <v>554</v>
      </c>
      <c r="E91" s="113" t="s">
        <v>555</v>
      </c>
      <c r="F91" s="112" t="s">
        <v>556</v>
      </c>
      <c r="G91" s="113" t="s">
        <v>130</v>
      </c>
      <c r="H91" s="113">
        <v>1.5</v>
      </c>
      <c r="I91" s="113">
        <v>8900</v>
      </c>
      <c r="J91" s="117">
        <f t="shared" si="4"/>
        <v>13350</v>
      </c>
    </row>
    <row r="92" ht="75" spans="1:10">
      <c r="A92" s="131"/>
      <c r="B92" s="131"/>
      <c r="C92" s="131"/>
      <c r="D92" s="131"/>
      <c r="E92" s="131"/>
      <c r="F92" s="113" t="s">
        <v>557</v>
      </c>
      <c r="G92" s="131"/>
      <c r="H92" s="131"/>
      <c r="I92" s="113"/>
      <c r="J92" s="117"/>
    </row>
    <row r="93" spans="1:10">
      <c r="A93" s="131"/>
      <c r="B93" s="131"/>
      <c r="C93" s="131"/>
      <c r="D93" s="131"/>
      <c r="E93" s="131"/>
      <c r="F93" s="115"/>
      <c r="G93" s="131"/>
      <c r="H93" s="131"/>
      <c r="I93" s="113"/>
      <c r="J93" s="117"/>
    </row>
    <row r="94" ht="12.75" customHeight="1" spans="1:10">
      <c r="A94" s="113">
        <v>5.6</v>
      </c>
      <c r="B94" s="131"/>
      <c r="C94" s="113" t="s">
        <v>538</v>
      </c>
      <c r="D94" s="113" t="s">
        <v>554</v>
      </c>
      <c r="E94" s="113" t="s">
        <v>554</v>
      </c>
      <c r="F94" s="112" t="s">
        <v>558</v>
      </c>
      <c r="G94" s="113" t="s">
        <v>130</v>
      </c>
      <c r="H94" s="113">
        <f>1.5*4</f>
        <v>6</v>
      </c>
      <c r="I94" s="113">
        <v>6500</v>
      </c>
      <c r="J94" s="117">
        <f t="shared" si="4"/>
        <v>39000</v>
      </c>
    </row>
    <row r="95" ht="75" spans="1:10">
      <c r="A95" s="131"/>
      <c r="B95" s="131"/>
      <c r="C95" s="131"/>
      <c r="D95" s="131"/>
      <c r="E95" s="131"/>
      <c r="F95" s="113" t="s">
        <v>559</v>
      </c>
      <c r="G95" s="131"/>
      <c r="H95" s="131"/>
      <c r="I95" s="113"/>
      <c r="J95" s="117"/>
    </row>
    <row r="96" spans="1:10">
      <c r="A96" s="131"/>
      <c r="B96" s="131"/>
      <c r="C96" s="131"/>
      <c r="D96" s="131"/>
      <c r="E96" s="131"/>
      <c r="F96" s="113"/>
      <c r="G96" s="131"/>
      <c r="H96" s="131"/>
      <c r="I96" s="113"/>
      <c r="J96" s="117"/>
    </row>
    <row r="97" spans="1:10">
      <c r="A97" s="113">
        <v>5.7</v>
      </c>
      <c r="B97" s="131"/>
      <c r="C97" s="113" t="s">
        <v>538</v>
      </c>
      <c r="D97" s="113" t="s">
        <v>554</v>
      </c>
      <c r="E97" s="113" t="s">
        <v>554</v>
      </c>
      <c r="F97" s="112" t="s">
        <v>560</v>
      </c>
      <c r="G97" s="113" t="s">
        <v>130</v>
      </c>
      <c r="H97" s="113">
        <f>1.5*4</f>
        <v>6</v>
      </c>
      <c r="I97" s="113">
        <v>7500</v>
      </c>
      <c r="J97" s="117">
        <f t="shared" ref="J97:J100" si="8">SUM(H97*I97)</f>
        <v>45000</v>
      </c>
    </row>
    <row r="98" ht="75" spans="1:10">
      <c r="A98" s="131"/>
      <c r="B98" s="131"/>
      <c r="C98" s="131"/>
      <c r="D98" s="131"/>
      <c r="E98" s="131"/>
      <c r="F98" s="113" t="s">
        <v>561</v>
      </c>
      <c r="G98" s="131"/>
      <c r="H98" s="131"/>
      <c r="I98" s="113"/>
      <c r="J98" s="117"/>
    </row>
    <row r="99" spans="1:10">
      <c r="A99" s="131"/>
      <c r="B99" s="131"/>
      <c r="C99" s="131"/>
      <c r="D99" s="131"/>
      <c r="E99" s="131"/>
      <c r="F99" s="113"/>
      <c r="G99" s="131"/>
      <c r="H99" s="131"/>
      <c r="I99" s="113"/>
      <c r="J99" s="117"/>
    </row>
    <row r="100" ht="25.5" spans="1:10">
      <c r="A100" s="113">
        <v>5.8</v>
      </c>
      <c r="B100" s="131"/>
      <c r="C100" s="113" t="s">
        <v>538</v>
      </c>
      <c r="D100" s="230" t="s">
        <v>103</v>
      </c>
      <c r="E100" s="230" t="s">
        <v>562</v>
      </c>
      <c r="F100" s="235" t="s">
        <v>563</v>
      </c>
      <c r="G100" s="229" t="s">
        <v>130</v>
      </c>
      <c r="H100" s="131">
        <f>(3+5+7)*3</f>
        <v>45</v>
      </c>
      <c r="I100" s="113">
        <v>5500</v>
      </c>
      <c r="J100" s="117">
        <f t="shared" si="8"/>
        <v>247500</v>
      </c>
    </row>
    <row r="101" ht="51" spans="1:10">
      <c r="A101" s="131"/>
      <c r="B101" s="131"/>
      <c r="C101" s="131"/>
      <c r="D101" s="230"/>
      <c r="E101" s="229"/>
      <c r="F101" s="236" t="s">
        <v>564</v>
      </c>
      <c r="G101" s="131"/>
      <c r="H101" s="131"/>
      <c r="I101" s="113"/>
      <c r="J101" s="117"/>
    </row>
    <row r="102" spans="1:10">
      <c r="A102" s="131"/>
      <c r="B102" s="131"/>
      <c r="C102" s="131"/>
      <c r="D102" s="131"/>
      <c r="E102" s="131"/>
      <c r="F102" s="113"/>
      <c r="G102" s="131"/>
      <c r="H102" s="131"/>
      <c r="I102" s="113"/>
      <c r="J102" s="117"/>
    </row>
    <row r="103" ht="24.75" customHeight="1" spans="1:10">
      <c r="A103" s="113">
        <v>5.9</v>
      </c>
      <c r="B103" s="131"/>
      <c r="C103" s="113" t="s">
        <v>538</v>
      </c>
      <c r="D103" s="230" t="s">
        <v>103</v>
      </c>
      <c r="E103" s="230" t="s">
        <v>310</v>
      </c>
      <c r="F103" s="237" t="s">
        <v>565</v>
      </c>
      <c r="G103" s="229" t="s">
        <v>130</v>
      </c>
      <c r="H103" s="131">
        <f>(2.5*3)-(1.7*2.4)</f>
        <v>3.42</v>
      </c>
      <c r="I103" s="113">
        <v>1600</v>
      </c>
      <c r="J103" s="117">
        <f t="shared" ref="J103" si="9">SUM(H103*I103)</f>
        <v>5472</v>
      </c>
    </row>
    <row r="104" ht="25.5" spans="1:10">
      <c r="A104" s="131"/>
      <c r="B104" s="131"/>
      <c r="C104" s="131"/>
      <c r="D104" s="131"/>
      <c r="E104" s="230"/>
      <c r="F104" s="238" t="s">
        <v>566</v>
      </c>
      <c r="G104" s="131"/>
      <c r="H104" s="131"/>
      <c r="I104" s="113"/>
      <c r="J104" s="117"/>
    </row>
    <row r="105" spans="1:10">
      <c r="A105" s="131"/>
      <c r="B105" s="131"/>
      <c r="C105" s="131"/>
      <c r="D105" s="131"/>
      <c r="E105" s="131"/>
      <c r="F105" s="113"/>
      <c r="G105" s="131"/>
      <c r="H105" s="131"/>
      <c r="I105" s="113"/>
      <c r="J105" s="117"/>
    </row>
    <row r="106" ht="25.5" spans="1:10">
      <c r="A106" s="146">
        <v>5.1</v>
      </c>
      <c r="B106" s="131"/>
      <c r="C106" s="113" t="s">
        <v>538</v>
      </c>
      <c r="D106" s="230" t="s">
        <v>103</v>
      </c>
      <c r="E106" s="230" t="s">
        <v>567</v>
      </c>
      <c r="F106" s="237" t="s">
        <v>568</v>
      </c>
      <c r="G106" s="229" t="s">
        <v>130</v>
      </c>
      <c r="H106" s="131">
        <f>2.6*3</f>
        <v>7.8</v>
      </c>
      <c r="I106" s="113">
        <v>19250</v>
      </c>
      <c r="J106" s="117">
        <f t="shared" ref="J106" si="10">SUM(H106*I106)</f>
        <v>150150</v>
      </c>
    </row>
    <row r="107" ht="63.75" spans="1:10">
      <c r="A107" s="131"/>
      <c r="B107" s="131"/>
      <c r="C107" s="131"/>
      <c r="D107" s="131"/>
      <c r="E107" s="230"/>
      <c r="F107" s="239" t="s">
        <v>569</v>
      </c>
      <c r="G107" s="131"/>
      <c r="H107" s="131"/>
      <c r="I107" s="113"/>
      <c r="J107" s="117"/>
    </row>
    <row r="108" spans="1:10">
      <c r="A108" s="131"/>
      <c r="B108" s="131"/>
      <c r="C108" s="131"/>
      <c r="D108" s="131"/>
      <c r="E108" s="229"/>
      <c r="F108" s="237"/>
      <c r="G108" s="131"/>
      <c r="H108" s="131"/>
      <c r="I108" s="113"/>
      <c r="J108" s="117"/>
    </row>
    <row r="109" spans="1:10">
      <c r="A109" s="113">
        <v>5.11</v>
      </c>
      <c r="B109" s="131"/>
      <c r="C109" s="113" t="s">
        <v>538</v>
      </c>
      <c r="D109" s="230" t="s">
        <v>103</v>
      </c>
      <c r="E109" s="230" t="s">
        <v>570</v>
      </c>
      <c r="F109" s="237" t="s">
        <v>571</v>
      </c>
      <c r="G109" s="229" t="s">
        <v>130</v>
      </c>
      <c r="H109" s="131">
        <f>3.2*3</f>
        <v>9.6</v>
      </c>
      <c r="I109" s="113">
        <v>25000</v>
      </c>
      <c r="J109" s="117">
        <f t="shared" ref="J109" si="11">SUM(H109*I109)</f>
        <v>240000</v>
      </c>
    </row>
    <row r="110" ht="51" spans="1:10">
      <c r="A110" s="131"/>
      <c r="B110" s="131"/>
      <c r="C110" s="131"/>
      <c r="D110" s="131"/>
      <c r="E110" s="230"/>
      <c r="F110" s="239" t="s">
        <v>572</v>
      </c>
      <c r="G110" s="131"/>
      <c r="H110" s="131"/>
      <c r="I110" s="113"/>
      <c r="J110" s="117"/>
    </row>
    <row r="111" spans="1:10">
      <c r="A111" s="131"/>
      <c r="B111" s="131"/>
      <c r="C111" s="131"/>
      <c r="D111" s="131"/>
      <c r="E111" s="229"/>
      <c r="F111" s="226"/>
      <c r="G111" s="131"/>
      <c r="H111" s="131"/>
      <c r="I111" s="113"/>
      <c r="J111" s="117"/>
    </row>
    <row r="112" spans="1:10">
      <c r="A112" s="113">
        <v>5.12</v>
      </c>
      <c r="B112" s="131"/>
      <c r="C112" s="113" t="s">
        <v>538</v>
      </c>
      <c r="D112" s="230" t="s">
        <v>103</v>
      </c>
      <c r="E112" s="230" t="s">
        <v>570</v>
      </c>
      <c r="F112" s="237" t="s">
        <v>573</v>
      </c>
      <c r="G112" s="229" t="s">
        <v>130</v>
      </c>
      <c r="H112" s="131">
        <f>2.8*3</f>
        <v>8.4</v>
      </c>
      <c r="I112" s="113">
        <v>26250</v>
      </c>
      <c r="J112" s="117">
        <f t="shared" ref="J112" si="12">SUM(H112*I112)</f>
        <v>220500</v>
      </c>
    </row>
    <row r="113" ht="38.25" spans="1:10">
      <c r="A113" s="131"/>
      <c r="B113" s="131"/>
      <c r="C113" s="131"/>
      <c r="D113" s="131"/>
      <c r="E113" s="230"/>
      <c r="F113" s="239" t="s">
        <v>574</v>
      </c>
      <c r="G113" s="131"/>
      <c r="H113" s="131"/>
      <c r="I113" s="113"/>
      <c r="J113" s="117"/>
    </row>
    <row r="114" spans="1:10">
      <c r="A114" s="131"/>
      <c r="B114" s="131"/>
      <c r="C114" s="131"/>
      <c r="D114" s="131"/>
      <c r="E114" s="230"/>
      <c r="F114" s="237"/>
      <c r="G114" s="131"/>
      <c r="H114" s="131"/>
      <c r="I114" s="113"/>
      <c r="J114" s="117"/>
    </row>
    <row r="115" spans="1:10">
      <c r="A115" s="113">
        <v>5.13</v>
      </c>
      <c r="B115" s="131"/>
      <c r="C115" s="113" t="s">
        <v>538</v>
      </c>
      <c r="D115" s="230" t="s">
        <v>575</v>
      </c>
      <c r="E115" s="230" t="s">
        <v>570</v>
      </c>
      <c r="F115" s="237" t="s">
        <v>576</v>
      </c>
      <c r="G115" s="229" t="s">
        <v>242</v>
      </c>
      <c r="H115" s="131">
        <v>1</v>
      </c>
      <c r="I115" s="113">
        <v>10000</v>
      </c>
      <c r="J115" s="117">
        <f t="shared" ref="J115" si="13">SUM(H115*I115)</f>
        <v>10000</v>
      </c>
    </row>
    <row r="116" ht="25.5" spans="1:10">
      <c r="A116" s="131"/>
      <c r="B116" s="131"/>
      <c r="C116" s="131"/>
      <c r="D116" s="131"/>
      <c r="E116" s="230"/>
      <c r="F116" s="239" t="s">
        <v>577</v>
      </c>
      <c r="G116" s="131"/>
      <c r="H116" s="131"/>
      <c r="I116" s="113"/>
      <c r="J116" s="117"/>
    </row>
    <row r="117" spans="1:10">
      <c r="A117" s="131"/>
      <c r="B117" s="131"/>
      <c r="C117" s="131"/>
      <c r="D117" s="131"/>
      <c r="E117" s="230"/>
      <c r="F117" s="239"/>
      <c r="G117" s="131"/>
      <c r="H117" s="131"/>
      <c r="I117" s="113"/>
      <c r="J117" s="117"/>
    </row>
    <row r="118" ht="25.5" spans="1:10">
      <c r="A118" s="113">
        <v>5.14</v>
      </c>
      <c r="B118" s="131"/>
      <c r="C118" s="113" t="s">
        <v>538</v>
      </c>
      <c r="D118" s="230" t="s">
        <v>578</v>
      </c>
      <c r="E118" s="230" t="s">
        <v>579</v>
      </c>
      <c r="F118" s="228" t="s">
        <v>580</v>
      </c>
      <c r="G118" s="229" t="s">
        <v>242</v>
      </c>
      <c r="H118" s="131">
        <v>1</v>
      </c>
      <c r="I118" s="113">
        <v>25500</v>
      </c>
      <c r="J118" s="117">
        <f t="shared" ref="J118" si="14">SUM(H118*I118)</f>
        <v>25500</v>
      </c>
    </row>
    <row r="119" ht="25.5" spans="1:10">
      <c r="A119" s="131"/>
      <c r="B119" s="131"/>
      <c r="C119" s="131"/>
      <c r="D119" s="131"/>
      <c r="E119" s="229"/>
      <c r="F119" s="240" t="s">
        <v>581</v>
      </c>
      <c r="G119" s="131"/>
      <c r="H119" s="131"/>
      <c r="I119" s="113"/>
      <c r="J119" s="117"/>
    </row>
    <row r="120" spans="1:10">
      <c r="A120" s="131"/>
      <c r="B120" s="131"/>
      <c r="C120" s="131"/>
      <c r="D120" s="131"/>
      <c r="E120" s="230"/>
      <c r="F120" s="239"/>
      <c r="G120" s="131"/>
      <c r="H120" s="131"/>
      <c r="I120" s="113"/>
      <c r="J120" s="117"/>
    </row>
    <row r="121" spans="1:10">
      <c r="A121" s="113">
        <v>5.15</v>
      </c>
      <c r="B121" s="131"/>
      <c r="C121" s="113" t="s">
        <v>538</v>
      </c>
      <c r="D121" s="230" t="s">
        <v>578</v>
      </c>
      <c r="E121" s="230" t="s">
        <v>582</v>
      </c>
      <c r="F121" s="228" t="s">
        <v>583</v>
      </c>
      <c r="G121" s="229" t="s">
        <v>242</v>
      </c>
      <c r="H121" s="131">
        <v>1</v>
      </c>
      <c r="I121" s="113">
        <v>68750</v>
      </c>
      <c r="J121" s="117">
        <f t="shared" ref="J121" si="15">SUM(H121*I121)</f>
        <v>68750</v>
      </c>
    </row>
    <row r="122" ht="25.5" spans="1:10">
      <c r="A122" s="131"/>
      <c r="B122" s="131"/>
      <c r="C122" s="131"/>
      <c r="D122" s="131"/>
      <c r="E122" s="229"/>
      <c r="F122" s="240" t="s">
        <v>584</v>
      </c>
      <c r="G122" s="131"/>
      <c r="H122" s="131"/>
      <c r="I122" s="113"/>
      <c r="J122" s="117"/>
    </row>
    <row r="123" spans="1:10">
      <c r="A123" s="131"/>
      <c r="B123" s="131"/>
      <c r="C123" s="131"/>
      <c r="E123" s="230"/>
      <c r="F123" s="239"/>
      <c r="G123" s="131"/>
      <c r="H123" s="131"/>
      <c r="I123" s="113"/>
      <c r="J123" s="117"/>
    </row>
    <row r="124" spans="1:10">
      <c r="A124" s="113">
        <v>5.16</v>
      </c>
      <c r="B124" s="131"/>
      <c r="C124" s="113" t="s">
        <v>538</v>
      </c>
      <c r="D124" s="230" t="s">
        <v>95</v>
      </c>
      <c r="E124" s="230" t="s">
        <v>100</v>
      </c>
      <c r="F124" s="235" t="s">
        <v>101</v>
      </c>
      <c r="G124" s="229" t="s">
        <v>98</v>
      </c>
      <c r="H124" s="131">
        <v>40</v>
      </c>
      <c r="I124" s="243">
        <v>1350</v>
      </c>
      <c r="J124" s="117">
        <f t="shared" ref="J124" si="16">SUM(H124*I124)</f>
        <v>54000</v>
      </c>
    </row>
    <row r="125" spans="1:10">
      <c r="A125" s="131"/>
      <c r="B125" s="131"/>
      <c r="C125" s="131"/>
      <c r="D125" s="230"/>
      <c r="E125" s="229"/>
      <c r="F125" s="236" t="s">
        <v>102</v>
      </c>
      <c r="G125" s="229"/>
      <c r="H125" s="131"/>
      <c r="I125" s="113"/>
      <c r="J125" s="117"/>
    </row>
    <row r="126" spans="1:10">
      <c r="A126" s="131"/>
      <c r="B126" s="131"/>
      <c r="C126" s="131"/>
      <c r="D126" s="230"/>
      <c r="E126" s="229"/>
      <c r="F126" s="236"/>
      <c r="G126" s="229"/>
      <c r="H126" s="131"/>
      <c r="I126" s="113"/>
      <c r="J126" s="117"/>
    </row>
    <row r="127" spans="1:10">
      <c r="A127" s="113">
        <v>5.17</v>
      </c>
      <c r="B127" s="131"/>
      <c r="C127" s="113" t="s">
        <v>538</v>
      </c>
      <c r="D127" s="230" t="s">
        <v>585</v>
      </c>
      <c r="E127" s="230" t="s">
        <v>586</v>
      </c>
      <c r="F127" s="235" t="s">
        <v>587</v>
      </c>
      <c r="G127" s="229" t="s">
        <v>98</v>
      </c>
      <c r="H127" s="131">
        <v>5</v>
      </c>
      <c r="I127" s="243">
        <v>8650</v>
      </c>
      <c r="J127" s="117">
        <f t="shared" ref="J127" si="17">SUM(H127*I127)</f>
        <v>43250</v>
      </c>
    </row>
    <row r="128" spans="1:10">
      <c r="A128" s="131"/>
      <c r="B128" s="131"/>
      <c r="C128" s="131"/>
      <c r="D128" s="230"/>
      <c r="E128" s="229"/>
      <c r="F128" s="236" t="s">
        <v>588</v>
      </c>
      <c r="G128" s="229"/>
      <c r="H128" s="131"/>
      <c r="I128" s="113"/>
      <c r="J128" s="117"/>
    </row>
    <row r="129" spans="1:10">
      <c r="A129" s="131"/>
      <c r="B129" s="131"/>
      <c r="C129" s="131"/>
      <c r="D129" s="230"/>
      <c r="E129" s="229"/>
      <c r="F129" s="236"/>
      <c r="G129" s="229"/>
      <c r="H129" s="131"/>
      <c r="I129" s="113"/>
      <c r="J129" s="117"/>
    </row>
    <row r="130" spans="1:10">
      <c r="A130" s="113">
        <v>5.18</v>
      </c>
      <c r="B130" s="131"/>
      <c r="C130" s="113" t="s">
        <v>538</v>
      </c>
      <c r="D130" s="230" t="s">
        <v>589</v>
      </c>
      <c r="E130" s="230" t="s">
        <v>590</v>
      </c>
      <c r="F130" s="235" t="s">
        <v>591</v>
      </c>
      <c r="G130" s="229" t="s">
        <v>242</v>
      </c>
      <c r="H130" s="131">
        <v>4</v>
      </c>
      <c r="I130" s="243">
        <v>10000</v>
      </c>
      <c r="J130" s="117">
        <f t="shared" ref="J130" si="18">SUM(H130*I130)</f>
        <v>40000</v>
      </c>
    </row>
    <row r="131" spans="1:10">
      <c r="A131" s="131"/>
      <c r="B131" s="131"/>
      <c r="C131" s="131"/>
      <c r="D131" s="131"/>
      <c r="E131" s="229"/>
      <c r="F131" s="226"/>
      <c r="G131" s="131"/>
      <c r="H131" s="131"/>
      <c r="I131" s="113"/>
      <c r="J131" s="117"/>
    </row>
    <row r="132" ht="12.75" customHeight="1" spans="1:10">
      <c r="A132" s="131"/>
      <c r="B132" s="131"/>
      <c r="C132" s="131"/>
      <c r="D132" s="131"/>
      <c r="E132" s="131"/>
      <c r="F132" s="145" t="s">
        <v>592</v>
      </c>
      <c r="G132" s="131"/>
      <c r="H132" s="131"/>
      <c r="I132" s="113"/>
      <c r="J132" s="117"/>
    </row>
    <row r="133" ht="12.75" customHeight="1" spans="1:10">
      <c r="A133" s="113">
        <v>5.19</v>
      </c>
      <c r="B133" s="131"/>
      <c r="C133" s="113" t="s">
        <v>538</v>
      </c>
      <c r="D133" s="113" t="s">
        <v>593</v>
      </c>
      <c r="E133" s="113" t="s">
        <v>594</v>
      </c>
      <c r="F133" s="184" t="s">
        <v>595</v>
      </c>
      <c r="G133" s="113" t="s">
        <v>187</v>
      </c>
      <c r="H133" s="113">
        <v>1</v>
      </c>
      <c r="I133" s="113">
        <v>58900</v>
      </c>
      <c r="J133" s="117">
        <f t="shared" si="4"/>
        <v>58900</v>
      </c>
    </row>
    <row r="134" ht="12.75" customHeight="1" spans="1:10">
      <c r="A134" s="131"/>
      <c r="B134" s="131"/>
      <c r="C134" s="131"/>
      <c r="D134" s="131"/>
      <c r="E134" s="131"/>
      <c r="F134" s="219" t="s">
        <v>596</v>
      </c>
      <c r="G134" s="131"/>
      <c r="H134" s="131"/>
      <c r="I134" s="113"/>
      <c r="J134" s="117"/>
    </row>
    <row r="135" ht="12.75" customHeight="1" spans="1:10">
      <c r="A135" s="131"/>
      <c r="B135" s="131"/>
      <c r="C135" s="131"/>
      <c r="D135" s="131"/>
      <c r="E135" s="131"/>
      <c r="F135" s="219" t="s">
        <v>251</v>
      </c>
      <c r="G135" s="131"/>
      <c r="H135" s="131"/>
      <c r="I135" s="113"/>
      <c r="J135" s="117"/>
    </row>
    <row r="136" ht="60" spans="1:10">
      <c r="A136" s="131"/>
      <c r="B136" s="131"/>
      <c r="C136" s="131"/>
      <c r="D136" s="131"/>
      <c r="E136" s="131"/>
      <c r="F136" s="219" t="s">
        <v>597</v>
      </c>
      <c r="G136" s="131"/>
      <c r="H136" s="131"/>
      <c r="I136" s="113"/>
      <c r="J136" s="117"/>
    </row>
    <row r="137" ht="12.75" customHeight="1" spans="1:10">
      <c r="A137" s="131"/>
      <c r="B137" s="131"/>
      <c r="C137" s="131"/>
      <c r="D137" s="131"/>
      <c r="E137" s="131"/>
      <c r="F137" s="244" t="s">
        <v>253</v>
      </c>
      <c r="G137" s="131"/>
      <c r="H137" s="131"/>
      <c r="I137" s="113"/>
      <c r="J137" s="117"/>
    </row>
    <row r="138" ht="75" spans="1:10">
      <c r="A138" s="131"/>
      <c r="B138" s="131"/>
      <c r="C138" s="131"/>
      <c r="D138" s="131"/>
      <c r="E138" s="131"/>
      <c r="F138" s="232" t="s">
        <v>598</v>
      </c>
      <c r="G138" s="131"/>
      <c r="H138" s="131"/>
      <c r="I138" s="113"/>
      <c r="J138" s="117"/>
    </row>
    <row r="139" ht="12.75" customHeight="1" spans="1:10">
      <c r="A139" s="131"/>
      <c r="B139" s="131"/>
      <c r="C139" s="131"/>
      <c r="D139" s="131"/>
      <c r="E139" s="131"/>
      <c r="F139" s="245" t="s">
        <v>351</v>
      </c>
      <c r="G139" s="131"/>
      <c r="H139" s="131"/>
      <c r="I139" s="113"/>
      <c r="J139" s="117"/>
    </row>
    <row r="140" spans="1:10">
      <c r="A140" s="131"/>
      <c r="B140" s="131"/>
      <c r="C140" s="131"/>
      <c r="D140" s="131"/>
      <c r="E140" s="131"/>
      <c r="F140" s="232" t="s">
        <v>599</v>
      </c>
      <c r="G140" s="131"/>
      <c r="H140" s="131"/>
      <c r="I140" s="113"/>
      <c r="J140" s="117"/>
    </row>
    <row r="141" ht="12.75" customHeight="1" spans="1:10">
      <c r="A141" s="131"/>
      <c r="B141" s="131"/>
      <c r="C141" s="131"/>
      <c r="D141" s="131"/>
      <c r="E141" s="131"/>
      <c r="F141" s="244" t="s">
        <v>255</v>
      </c>
      <c r="G141" s="131"/>
      <c r="H141" s="131"/>
      <c r="I141" s="113"/>
      <c r="J141" s="117"/>
    </row>
    <row r="142" ht="45" spans="1:10">
      <c r="A142" s="131"/>
      <c r="B142" s="131"/>
      <c r="C142" s="131"/>
      <c r="D142" s="131"/>
      <c r="E142" s="131"/>
      <c r="F142" s="219" t="s">
        <v>600</v>
      </c>
      <c r="G142" s="131"/>
      <c r="H142" s="131"/>
      <c r="I142" s="113"/>
      <c r="J142" s="117"/>
    </row>
    <row r="143" spans="1:10">
      <c r="A143" s="131"/>
      <c r="B143" s="131"/>
      <c r="C143" s="131"/>
      <c r="D143" s="131"/>
      <c r="E143" s="131"/>
      <c r="F143" s="113"/>
      <c r="G143" s="131"/>
      <c r="H143" s="131"/>
      <c r="I143" s="113"/>
      <c r="J143" s="117"/>
    </row>
    <row r="144" spans="1:10">
      <c r="A144" s="146">
        <v>5.2</v>
      </c>
      <c r="B144" s="131"/>
      <c r="C144" s="113" t="s">
        <v>538</v>
      </c>
      <c r="D144" s="113" t="s">
        <v>593</v>
      </c>
      <c r="E144" s="113" t="s">
        <v>594</v>
      </c>
      <c r="F144" s="184" t="s">
        <v>601</v>
      </c>
      <c r="G144" s="113" t="s">
        <v>187</v>
      </c>
      <c r="H144" s="113">
        <v>1</v>
      </c>
      <c r="I144" s="113">
        <v>58900</v>
      </c>
      <c r="J144" s="117">
        <f t="shared" ref="J144" si="19">SUM(H144*I144)</f>
        <v>58900</v>
      </c>
    </row>
    <row r="145" ht="12.75" customHeight="1" spans="1:10">
      <c r="A145" s="131"/>
      <c r="B145" s="131"/>
      <c r="C145" s="131"/>
      <c r="D145" s="131"/>
      <c r="E145" s="131"/>
      <c r="F145" s="219" t="s">
        <v>596</v>
      </c>
      <c r="G145" s="131"/>
      <c r="H145" s="131"/>
      <c r="I145" s="113"/>
      <c r="J145" s="117"/>
    </row>
    <row r="146" spans="1:10">
      <c r="A146" s="131"/>
      <c r="B146" s="131"/>
      <c r="C146" s="131"/>
      <c r="D146" s="131"/>
      <c r="E146" s="131"/>
      <c r="F146" s="219" t="s">
        <v>251</v>
      </c>
      <c r="G146" s="131"/>
      <c r="H146" s="131"/>
      <c r="I146" s="113"/>
      <c r="J146" s="117"/>
    </row>
    <row r="147" ht="60" spans="1:10">
      <c r="A147" s="131"/>
      <c r="B147" s="131"/>
      <c r="C147" s="131"/>
      <c r="D147" s="131"/>
      <c r="E147" s="131"/>
      <c r="F147" s="219" t="s">
        <v>602</v>
      </c>
      <c r="G147" s="131"/>
      <c r="H147" s="131"/>
      <c r="I147" s="113"/>
      <c r="J147" s="117"/>
    </row>
    <row r="148" spans="1:10">
      <c r="A148" s="131"/>
      <c r="B148" s="131"/>
      <c r="C148" s="131"/>
      <c r="D148" s="131"/>
      <c r="E148" s="131"/>
      <c r="F148" s="244" t="s">
        <v>253</v>
      </c>
      <c r="G148" s="131"/>
      <c r="H148" s="131"/>
      <c r="I148" s="113"/>
      <c r="J148" s="117"/>
    </row>
    <row r="149" ht="60" spans="1:10">
      <c r="A149" s="131"/>
      <c r="B149" s="131"/>
      <c r="C149" s="131"/>
      <c r="D149" s="131"/>
      <c r="E149" s="131"/>
      <c r="F149" s="232" t="s">
        <v>603</v>
      </c>
      <c r="G149" s="131"/>
      <c r="H149" s="131"/>
      <c r="I149" s="113"/>
      <c r="J149" s="117"/>
    </row>
    <row r="150" ht="12.75" customHeight="1" spans="1:10">
      <c r="A150" s="131"/>
      <c r="B150" s="131"/>
      <c r="C150" s="131"/>
      <c r="D150" s="131"/>
      <c r="E150" s="131"/>
      <c r="F150" s="245" t="s">
        <v>351</v>
      </c>
      <c r="G150" s="131"/>
      <c r="H150" s="131"/>
      <c r="I150" s="113"/>
      <c r="J150" s="117"/>
    </row>
    <row r="151" spans="1:10">
      <c r="A151" s="131"/>
      <c r="B151" s="131"/>
      <c r="C151" s="131"/>
      <c r="D151" s="131"/>
      <c r="E151" s="131"/>
      <c r="F151" s="232" t="s">
        <v>599</v>
      </c>
      <c r="G151" s="131"/>
      <c r="H151" s="131"/>
      <c r="I151" s="113"/>
      <c r="J151" s="117"/>
    </row>
    <row r="152" ht="12.75" customHeight="1" spans="1:10">
      <c r="A152" s="131"/>
      <c r="B152" s="131"/>
      <c r="C152" s="131"/>
      <c r="D152" s="131"/>
      <c r="E152" s="131"/>
      <c r="F152" s="244" t="s">
        <v>255</v>
      </c>
      <c r="G152" s="131"/>
      <c r="H152" s="131"/>
      <c r="I152" s="113"/>
      <c r="J152" s="117"/>
    </row>
    <row r="153" ht="45" spans="1:10">
      <c r="A153" s="131"/>
      <c r="B153" s="131"/>
      <c r="C153" s="131"/>
      <c r="D153" s="131"/>
      <c r="E153" s="131"/>
      <c r="F153" s="219" t="s">
        <v>600</v>
      </c>
      <c r="G153" s="131"/>
      <c r="H153" s="131"/>
      <c r="I153" s="113"/>
      <c r="J153" s="117"/>
    </row>
    <row r="154" ht="12.75" customHeight="1" spans="1:10">
      <c r="A154" s="131"/>
      <c r="B154" s="131"/>
      <c r="C154" s="131"/>
      <c r="D154" s="131"/>
      <c r="E154" s="131"/>
      <c r="F154" s="113"/>
      <c r="G154" s="131"/>
      <c r="H154" s="131"/>
      <c r="I154" s="113"/>
      <c r="J154" s="117"/>
    </row>
    <row r="155" spans="1:10">
      <c r="A155" s="113">
        <v>5.21</v>
      </c>
      <c r="B155" s="131"/>
      <c r="C155" s="113" t="s">
        <v>538</v>
      </c>
      <c r="D155" s="113" t="s">
        <v>604</v>
      </c>
      <c r="E155" s="113" t="s">
        <v>257</v>
      </c>
      <c r="F155" s="112" t="s">
        <v>605</v>
      </c>
      <c r="G155" s="113" t="s">
        <v>187</v>
      </c>
      <c r="H155" s="113">
        <v>1</v>
      </c>
      <c r="I155" s="113">
        <v>75000</v>
      </c>
      <c r="J155" s="117">
        <f t="shared" ref="J155" si="20">SUM(H155*I155)</f>
        <v>75000</v>
      </c>
    </row>
    <row r="156" ht="51" spans="1:10">
      <c r="A156" s="131"/>
      <c r="B156" s="131"/>
      <c r="C156" s="131"/>
      <c r="D156" s="131"/>
      <c r="E156" s="131"/>
      <c r="F156" s="234" t="s">
        <v>606</v>
      </c>
      <c r="G156" s="131"/>
      <c r="H156" s="131"/>
      <c r="I156" s="113"/>
      <c r="J156" s="117"/>
    </row>
    <row r="157" spans="1:10">
      <c r="A157" s="113"/>
      <c r="B157" s="131"/>
      <c r="C157" s="113"/>
      <c r="D157" s="113"/>
      <c r="E157" s="113"/>
      <c r="F157" s="234" t="s">
        <v>553</v>
      </c>
      <c r="G157" s="113"/>
      <c r="H157" s="113"/>
      <c r="I157" s="134"/>
      <c r="J157" s="117"/>
    </row>
    <row r="158" spans="1:10">
      <c r="A158" s="131"/>
      <c r="B158" s="131"/>
      <c r="C158" s="131"/>
      <c r="D158" s="131"/>
      <c r="E158" s="131"/>
      <c r="F158" s="115"/>
      <c r="G158" s="131"/>
      <c r="H158" s="131"/>
      <c r="I158" s="113"/>
      <c r="J158" s="117"/>
    </row>
    <row r="159" ht="30" spans="1:10">
      <c r="A159" s="146">
        <v>5.22</v>
      </c>
      <c r="B159" s="131"/>
      <c r="C159" s="113" t="s">
        <v>538</v>
      </c>
      <c r="D159" s="113" t="s">
        <v>607</v>
      </c>
      <c r="E159" s="113" t="s">
        <v>608</v>
      </c>
      <c r="F159" s="244" t="s">
        <v>370</v>
      </c>
      <c r="G159" s="113" t="s">
        <v>98</v>
      </c>
      <c r="H159" s="113">
        <v>2</v>
      </c>
      <c r="I159" s="113">
        <v>16000</v>
      </c>
      <c r="J159" s="117">
        <f t="shared" ref="J159" si="21">SUM(H159*I159)</f>
        <v>32000</v>
      </c>
    </row>
    <row r="160" ht="75" spans="1:10">
      <c r="A160" s="113"/>
      <c r="B160" s="131"/>
      <c r="C160" s="113"/>
      <c r="D160" s="113"/>
      <c r="E160" s="113"/>
      <c r="F160" s="219" t="s">
        <v>609</v>
      </c>
      <c r="G160" s="113"/>
      <c r="H160" s="113"/>
      <c r="I160" s="113"/>
      <c r="J160" s="117"/>
    </row>
    <row r="161" ht="15.75" spans="1:10">
      <c r="A161" s="179"/>
      <c r="B161" s="179"/>
      <c r="C161" s="179"/>
      <c r="D161" s="179"/>
      <c r="E161" s="179"/>
      <c r="F161" s="181"/>
      <c r="G161" s="179"/>
      <c r="H161" s="179"/>
      <c r="I161" s="125"/>
      <c r="J161" s="196"/>
    </row>
    <row r="162" ht="13.5" customHeight="1" spans="1:10">
      <c r="A162" s="108" t="s">
        <v>267</v>
      </c>
      <c r="B162" s="190"/>
      <c r="C162" s="190"/>
      <c r="D162" s="190"/>
      <c r="E162" s="190"/>
      <c r="F162" s="96" t="s">
        <v>610</v>
      </c>
      <c r="G162" s="190"/>
      <c r="H162" s="190"/>
      <c r="I162" s="96"/>
      <c r="J162" s="201"/>
    </row>
    <row r="163" ht="13.5" customHeight="1" spans="1:10">
      <c r="A163" s="129"/>
      <c r="B163" s="130"/>
      <c r="C163" s="130"/>
      <c r="D163" s="130"/>
      <c r="E163" s="130"/>
      <c r="F163" s="129"/>
      <c r="G163" s="130"/>
      <c r="H163" s="130"/>
      <c r="I163" s="129"/>
      <c r="J163" s="198"/>
    </row>
    <row r="164" ht="16.5" customHeight="1" spans="1:10">
      <c r="A164" s="131"/>
      <c r="B164" s="131"/>
      <c r="C164" s="131"/>
      <c r="D164" s="131"/>
      <c r="E164" s="131"/>
      <c r="F164" s="145" t="s">
        <v>611</v>
      </c>
      <c r="G164" s="131"/>
      <c r="H164" s="131"/>
      <c r="I164" s="113"/>
      <c r="J164" s="117"/>
    </row>
    <row r="165" ht="15.95" customHeight="1" spans="1:10">
      <c r="A165" s="113">
        <v>6.1</v>
      </c>
      <c r="B165" s="131"/>
      <c r="C165" s="113" t="s">
        <v>612</v>
      </c>
      <c r="D165" s="113" t="s">
        <v>613</v>
      </c>
      <c r="E165" s="131"/>
      <c r="F165" s="113" t="s">
        <v>614</v>
      </c>
      <c r="G165" s="113" t="s">
        <v>187</v>
      </c>
      <c r="H165" s="113">
        <v>1</v>
      </c>
      <c r="I165" s="113">
        <v>2500</v>
      </c>
      <c r="J165" s="117">
        <f t="shared" ref="J165:J182" si="22">SUM(H165*I165)</f>
        <v>2500</v>
      </c>
    </row>
    <row r="166" ht="15.95" customHeight="1" spans="1:10">
      <c r="A166" s="113">
        <v>6.2</v>
      </c>
      <c r="B166" s="131"/>
      <c r="C166" s="113" t="s">
        <v>612</v>
      </c>
      <c r="D166" s="113" t="s">
        <v>613</v>
      </c>
      <c r="E166" s="131"/>
      <c r="F166" s="113" t="s">
        <v>615</v>
      </c>
      <c r="G166" s="113" t="s">
        <v>187</v>
      </c>
      <c r="H166" s="113">
        <v>1</v>
      </c>
      <c r="I166" s="113">
        <v>1500</v>
      </c>
      <c r="J166" s="117">
        <f t="shared" si="22"/>
        <v>1500</v>
      </c>
    </row>
    <row r="167" ht="15.95" customHeight="1" spans="1:10">
      <c r="A167" s="113">
        <v>6.3</v>
      </c>
      <c r="B167" s="131"/>
      <c r="C167" s="113" t="s">
        <v>612</v>
      </c>
      <c r="D167" s="113" t="s">
        <v>613</v>
      </c>
      <c r="E167" s="131"/>
      <c r="F167" s="113" t="s">
        <v>616</v>
      </c>
      <c r="G167" s="113" t="s">
        <v>187</v>
      </c>
      <c r="H167" s="113">
        <v>1</v>
      </c>
      <c r="I167" s="113">
        <v>500</v>
      </c>
      <c r="J167" s="117">
        <f t="shared" si="22"/>
        <v>500</v>
      </c>
    </row>
    <row r="168" ht="15.95" customHeight="1" spans="1:10">
      <c r="A168" s="113">
        <v>6.4</v>
      </c>
      <c r="B168" s="131"/>
      <c r="C168" s="113" t="s">
        <v>612</v>
      </c>
      <c r="D168" s="113" t="s">
        <v>613</v>
      </c>
      <c r="E168" s="131"/>
      <c r="F168" s="113" t="s">
        <v>617</v>
      </c>
      <c r="G168" s="113" t="s">
        <v>187</v>
      </c>
      <c r="H168" s="113">
        <v>1</v>
      </c>
      <c r="I168" s="113">
        <v>1800</v>
      </c>
      <c r="J168" s="117">
        <f t="shared" si="22"/>
        <v>1800</v>
      </c>
    </row>
    <row r="169" ht="15.95" customHeight="1" spans="1:10">
      <c r="A169" s="113">
        <v>6.6</v>
      </c>
      <c r="B169" s="131"/>
      <c r="C169" s="113" t="s">
        <v>612</v>
      </c>
      <c r="D169" s="113" t="s">
        <v>613</v>
      </c>
      <c r="E169" s="131"/>
      <c r="F169" s="113" t="s">
        <v>618</v>
      </c>
      <c r="G169" s="113" t="s">
        <v>187</v>
      </c>
      <c r="H169" s="113">
        <v>1</v>
      </c>
      <c r="I169" s="113">
        <v>500</v>
      </c>
      <c r="J169" s="117">
        <f t="shared" si="22"/>
        <v>500</v>
      </c>
    </row>
    <row r="170" ht="15.95" customHeight="1" spans="1:10">
      <c r="A170" s="113">
        <v>6.7</v>
      </c>
      <c r="B170" s="131"/>
      <c r="C170" s="113" t="s">
        <v>612</v>
      </c>
      <c r="D170" s="113" t="s">
        <v>613</v>
      </c>
      <c r="E170" s="131"/>
      <c r="F170" s="113" t="s">
        <v>619</v>
      </c>
      <c r="G170" s="113" t="s">
        <v>187</v>
      </c>
      <c r="H170" s="113">
        <v>1</v>
      </c>
      <c r="I170" s="113">
        <v>500</v>
      </c>
      <c r="J170" s="117">
        <f t="shared" si="22"/>
        <v>500</v>
      </c>
    </row>
    <row r="171" ht="15.95" customHeight="1" spans="1:10">
      <c r="A171" s="113">
        <v>6.8</v>
      </c>
      <c r="B171" s="131"/>
      <c r="C171" s="113" t="s">
        <v>612</v>
      </c>
      <c r="D171" s="113" t="s">
        <v>613</v>
      </c>
      <c r="E171" s="131"/>
      <c r="F171" s="113" t="s">
        <v>620</v>
      </c>
      <c r="G171" s="113" t="s">
        <v>187</v>
      </c>
      <c r="H171" s="113">
        <v>1</v>
      </c>
      <c r="I171" s="113">
        <v>300</v>
      </c>
      <c r="J171" s="117">
        <f t="shared" si="22"/>
        <v>300</v>
      </c>
    </row>
    <row r="172" ht="15.95" customHeight="1" spans="1:10">
      <c r="A172" s="113">
        <v>6.9</v>
      </c>
      <c r="B172" s="131"/>
      <c r="C172" s="113" t="s">
        <v>612</v>
      </c>
      <c r="D172" s="113" t="s">
        <v>613</v>
      </c>
      <c r="E172" s="131"/>
      <c r="F172" s="113" t="s">
        <v>621</v>
      </c>
      <c r="G172" s="113" t="s">
        <v>187</v>
      </c>
      <c r="H172" s="113">
        <v>1</v>
      </c>
      <c r="I172" s="113">
        <v>500</v>
      </c>
      <c r="J172" s="117">
        <f t="shared" si="22"/>
        <v>500</v>
      </c>
    </row>
    <row r="173" ht="15.95" customHeight="1" spans="1:10">
      <c r="A173" s="146">
        <v>6.1</v>
      </c>
      <c r="B173" s="131"/>
      <c r="C173" s="113" t="s">
        <v>612</v>
      </c>
      <c r="D173" s="113" t="s">
        <v>613</v>
      </c>
      <c r="E173" s="131"/>
      <c r="F173" s="113" t="s">
        <v>622</v>
      </c>
      <c r="G173" s="113" t="s">
        <v>187</v>
      </c>
      <c r="H173" s="113">
        <v>1</v>
      </c>
      <c r="I173" s="113">
        <v>300</v>
      </c>
      <c r="J173" s="117">
        <f t="shared" si="22"/>
        <v>300</v>
      </c>
    </row>
    <row r="174" ht="15.95" customHeight="1" spans="1:10">
      <c r="A174" s="146">
        <v>6.11</v>
      </c>
      <c r="B174" s="131"/>
      <c r="C174" s="113" t="s">
        <v>612</v>
      </c>
      <c r="D174" s="113" t="s">
        <v>613</v>
      </c>
      <c r="E174" s="131"/>
      <c r="F174" s="113" t="s">
        <v>623</v>
      </c>
      <c r="G174" s="113" t="s">
        <v>187</v>
      </c>
      <c r="H174" s="113">
        <v>1</v>
      </c>
      <c r="I174" s="113">
        <v>250</v>
      </c>
      <c r="J174" s="117">
        <f t="shared" si="22"/>
        <v>250</v>
      </c>
    </row>
    <row r="175" ht="15.95" customHeight="1" spans="1:10">
      <c r="A175" s="146">
        <v>6.12</v>
      </c>
      <c r="B175" s="131"/>
      <c r="C175" s="113" t="s">
        <v>612</v>
      </c>
      <c r="D175" s="113" t="s">
        <v>613</v>
      </c>
      <c r="E175" s="131"/>
      <c r="F175" s="113" t="s">
        <v>624</v>
      </c>
      <c r="G175" s="113" t="s">
        <v>187</v>
      </c>
      <c r="H175" s="113">
        <v>1</v>
      </c>
      <c r="I175" s="113">
        <v>150</v>
      </c>
      <c r="J175" s="117">
        <f t="shared" si="22"/>
        <v>150</v>
      </c>
    </row>
    <row r="176" ht="15.95" customHeight="1" spans="1:10">
      <c r="A176" s="146">
        <v>6.13</v>
      </c>
      <c r="B176" s="131"/>
      <c r="C176" s="113" t="s">
        <v>612</v>
      </c>
      <c r="D176" s="113" t="s">
        <v>613</v>
      </c>
      <c r="E176" s="131"/>
      <c r="F176" s="113" t="s">
        <v>625</v>
      </c>
      <c r="G176" s="113" t="s">
        <v>187</v>
      </c>
      <c r="H176" s="113">
        <v>1</v>
      </c>
      <c r="I176" s="113">
        <v>100</v>
      </c>
      <c r="J176" s="117">
        <f t="shared" si="22"/>
        <v>100</v>
      </c>
    </row>
    <row r="177" ht="15.95" customHeight="1" spans="1:10">
      <c r="A177" s="180"/>
      <c r="B177" s="179"/>
      <c r="C177" s="125"/>
      <c r="D177" s="125"/>
      <c r="E177" s="179"/>
      <c r="F177" s="125"/>
      <c r="G177" s="125"/>
      <c r="H177" s="125"/>
      <c r="I177" s="125"/>
      <c r="J177" s="196"/>
    </row>
    <row r="178" ht="13.5" customHeight="1" spans="1:10">
      <c r="A178" s="108" t="s">
        <v>626</v>
      </c>
      <c r="B178" s="190"/>
      <c r="C178" s="190"/>
      <c r="D178" s="190"/>
      <c r="E178" s="190"/>
      <c r="F178" s="96" t="s">
        <v>627</v>
      </c>
      <c r="G178" s="190"/>
      <c r="H178" s="190"/>
      <c r="I178" s="96"/>
      <c r="J178" s="201"/>
    </row>
    <row r="179" ht="13.5" customHeight="1" spans="1:10">
      <c r="A179" s="129"/>
      <c r="B179" s="130"/>
      <c r="C179" s="130"/>
      <c r="D179" s="130"/>
      <c r="E179" s="130"/>
      <c r="F179" s="129"/>
      <c r="G179" s="130"/>
      <c r="H179" s="130"/>
      <c r="I179" s="129"/>
      <c r="J179" s="198"/>
    </row>
    <row r="180" ht="29.25" customHeight="1" spans="1:10">
      <c r="A180" s="113">
        <v>7.1</v>
      </c>
      <c r="B180" s="131"/>
      <c r="C180" s="113" t="s">
        <v>127</v>
      </c>
      <c r="D180" s="113" t="s">
        <v>628</v>
      </c>
      <c r="E180" s="131" t="s">
        <v>629</v>
      </c>
      <c r="F180" s="112" t="s">
        <v>630</v>
      </c>
      <c r="G180" s="113" t="s">
        <v>130</v>
      </c>
      <c r="H180" s="113">
        <v>80</v>
      </c>
      <c r="I180" s="113">
        <v>485</v>
      </c>
      <c r="J180" s="117">
        <f t="shared" si="22"/>
        <v>38800</v>
      </c>
    </row>
    <row r="181" ht="45" spans="1:10">
      <c r="A181" s="131"/>
      <c r="B181" s="131"/>
      <c r="C181" s="131"/>
      <c r="D181" s="131"/>
      <c r="E181" s="131"/>
      <c r="F181" s="113" t="s">
        <v>631</v>
      </c>
      <c r="G181" s="131"/>
      <c r="H181" s="131"/>
      <c r="I181" s="113"/>
      <c r="J181" s="117"/>
    </row>
    <row r="182" ht="30" spans="1:10">
      <c r="A182" s="113">
        <v>7.2</v>
      </c>
      <c r="B182" s="131"/>
      <c r="C182" s="113" t="s">
        <v>127</v>
      </c>
      <c r="D182" s="113" t="s">
        <v>632</v>
      </c>
      <c r="E182" s="131" t="s">
        <v>633</v>
      </c>
      <c r="F182" s="112" t="s">
        <v>135</v>
      </c>
      <c r="G182" s="113" t="s">
        <v>130</v>
      </c>
      <c r="H182" s="113">
        <v>100</v>
      </c>
      <c r="I182" s="113">
        <v>325</v>
      </c>
      <c r="J182" s="117">
        <f t="shared" si="22"/>
        <v>32500</v>
      </c>
    </row>
    <row r="183" ht="45" spans="1:10">
      <c r="A183" s="131"/>
      <c r="B183" s="131"/>
      <c r="C183" s="131"/>
      <c r="D183" s="131"/>
      <c r="E183" s="131"/>
      <c r="F183" s="113" t="s">
        <v>634</v>
      </c>
      <c r="G183" s="131"/>
      <c r="H183" s="131"/>
      <c r="I183" s="113"/>
      <c r="J183" s="113"/>
    </row>
    <row r="184" spans="1:10">
      <c r="A184" s="179"/>
      <c r="B184" s="179"/>
      <c r="C184" s="179"/>
      <c r="D184" s="179"/>
      <c r="E184" s="131"/>
      <c r="F184" s="113"/>
      <c r="G184" s="113"/>
      <c r="H184" s="179"/>
      <c r="I184" s="125"/>
      <c r="J184" s="125"/>
    </row>
    <row r="185" ht="30" spans="1:10">
      <c r="A185" s="113">
        <v>7.3</v>
      </c>
      <c r="B185" s="131"/>
      <c r="C185" s="113" t="s">
        <v>127</v>
      </c>
      <c r="D185" s="113" t="s">
        <v>628</v>
      </c>
      <c r="E185" s="225" t="s">
        <v>635</v>
      </c>
      <c r="F185" s="245" t="s">
        <v>636</v>
      </c>
      <c r="G185" s="174" t="s">
        <v>130</v>
      </c>
      <c r="H185" s="179">
        <v>70</v>
      </c>
      <c r="I185" s="113">
        <v>215</v>
      </c>
      <c r="J185" s="117">
        <f t="shared" ref="J185" si="23">SUM(H185*I185)</f>
        <v>15050</v>
      </c>
    </row>
    <row r="186" ht="30" spans="1:10">
      <c r="A186" s="179"/>
      <c r="B186" s="179"/>
      <c r="C186" s="179"/>
      <c r="D186" s="179"/>
      <c r="E186" s="225"/>
      <c r="F186" s="232" t="s">
        <v>637</v>
      </c>
      <c r="G186" s="174"/>
      <c r="H186" s="179"/>
      <c r="I186" s="125"/>
      <c r="J186" s="125"/>
    </row>
    <row r="187" spans="1:10">
      <c r="A187" s="179"/>
      <c r="B187" s="179"/>
      <c r="C187" s="179"/>
      <c r="D187" s="179"/>
      <c r="E187" s="179"/>
      <c r="F187" s="125"/>
      <c r="G187" s="179"/>
      <c r="H187" s="179"/>
      <c r="I187" s="125"/>
      <c r="J187" s="125"/>
    </row>
    <row r="188" spans="1:10">
      <c r="A188" s="113">
        <v>7.4</v>
      </c>
      <c r="B188" s="131"/>
      <c r="C188" s="113" t="s">
        <v>127</v>
      </c>
      <c r="D188" s="113" t="s">
        <v>638</v>
      </c>
      <c r="E188" s="225" t="s">
        <v>639</v>
      </c>
      <c r="F188" s="184" t="s">
        <v>640</v>
      </c>
      <c r="G188" s="174" t="s">
        <v>51</v>
      </c>
      <c r="H188" s="179">
        <v>70</v>
      </c>
      <c r="I188" s="113">
        <v>5200</v>
      </c>
      <c r="J188" s="117">
        <f t="shared" ref="J188" si="24">SUM(H188*I188)</f>
        <v>364000</v>
      </c>
    </row>
    <row r="189" ht="30" spans="1:10">
      <c r="A189" s="179"/>
      <c r="B189" s="179"/>
      <c r="C189" s="179"/>
      <c r="D189" s="179"/>
      <c r="E189" s="225"/>
      <c r="F189" s="174" t="s">
        <v>641</v>
      </c>
      <c r="G189" s="174"/>
      <c r="H189" s="179"/>
      <c r="I189" s="125"/>
      <c r="J189" s="125"/>
    </row>
    <row r="190" spans="1:10">
      <c r="A190" s="179"/>
      <c r="B190" s="179"/>
      <c r="C190" s="179"/>
      <c r="D190" s="179"/>
      <c r="E190" s="246"/>
      <c r="F190" s="247"/>
      <c r="G190" s="247"/>
      <c r="H190" s="179"/>
      <c r="I190" s="125"/>
      <c r="J190" s="125"/>
    </row>
    <row r="191" spans="1:10">
      <c r="A191" s="113">
        <v>7.5</v>
      </c>
      <c r="B191" s="131"/>
      <c r="C191" s="113" t="s">
        <v>127</v>
      </c>
      <c r="D191" s="113" t="s">
        <v>628</v>
      </c>
      <c r="E191" s="248" t="s">
        <v>128</v>
      </c>
      <c r="F191" s="249" t="s">
        <v>132</v>
      </c>
      <c r="G191" s="174" t="s">
        <v>51</v>
      </c>
      <c r="H191" s="179">
        <v>25</v>
      </c>
      <c r="I191" s="113">
        <v>2450</v>
      </c>
      <c r="J191" s="117">
        <f t="shared" ref="J191" si="25">SUM(H191*I191)</f>
        <v>61250</v>
      </c>
    </row>
    <row r="192" spans="1:10">
      <c r="A192" s="179"/>
      <c r="B192" s="179"/>
      <c r="C192" s="179"/>
      <c r="D192" s="179"/>
      <c r="E192" s="248"/>
      <c r="F192" s="231" t="s">
        <v>268</v>
      </c>
      <c r="G192" s="247"/>
      <c r="H192" s="179"/>
      <c r="I192" s="125"/>
      <c r="J192" s="125"/>
    </row>
    <row r="193" ht="15.75" spans="1:10">
      <c r="A193" s="179"/>
      <c r="B193" s="179"/>
      <c r="C193" s="179"/>
      <c r="D193" s="179"/>
      <c r="E193" s="179"/>
      <c r="F193" s="125"/>
      <c r="G193" s="179"/>
      <c r="H193" s="179"/>
      <c r="I193" s="125"/>
      <c r="J193" s="125"/>
    </row>
    <row r="194" ht="15.75" spans="1:10">
      <c r="A194" s="206"/>
      <c r="B194" s="207"/>
      <c r="C194" s="190"/>
      <c r="D194" s="190"/>
      <c r="E194" s="190"/>
      <c r="F194" s="96" t="s">
        <v>642</v>
      </c>
      <c r="G194" s="190"/>
      <c r="H194" s="190"/>
      <c r="I194" s="96"/>
      <c r="J194" s="250">
        <f>SUM(J6:J192)</f>
        <v>4190567.5</v>
      </c>
    </row>
    <row r="195" ht="16.5" customHeight="1" spans="1:8">
      <c r="A195" s="208"/>
      <c r="B195" s="208"/>
      <c r="C195" s="208"/>
      <c r="D195" s="208"/>
      <c r="E195" s="208"/>
      <c r="F195" s="208"/>
      <c r="G195" s="209"/>
      <c r="H195" s="209"/>
    </row>
    <row r="196" ht="12.75" customHeight="1" spans="10:10">
      <c r="J196" s="211"/>
    </row>
  </sheetData>
  <mergeCells count="3">
    <mergeCell ref="A1:H1"/>
    <mergeCell ref="A2:H2"/>
    <mergeCell ref="I3:J3"/>
  </mergeCells>
  <conditionalFormatting sqref="F88:F89">
    <cfRule type="duplicateValues" dxfId="0" priority="4"/>
  </conditionalFormatting>
  <conditionalFormatting sqref="F156:F157">
    <cfRule type="duplicateValues" dxfId="0" priority="2"/>
  </conditionalFormatting>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N245"/>
  <sheetViews>
    <sheetView workbookViewId="0">
      <selection activeCell="J243" sqref="J243"/>
    </sheetView>
  </sheetViews>
  <sheetFormatPr defaultColWidth="6.5" defaultRowHeight="15"/>
  <cols>
    <col min="1" max="1" width="4.5" style="89" customWidth="1"/>
    <col min="2" max="2" width="9.75" style="89" customWidth="1"/>
    <col min="3" max="3" width="4.875" style="89" customWidth="1"/>
    <col min="4" max="4" width="8.25" style="89" customWidth="1"/>
    <col min="5" max="5" width="11.375" style="89" customWidth="1"/>
    <col min="6" max="6" width="86.75" style="89" customWidth="1"/>
    <col min="7" max="7" width="5" style="89" customWidth="1"/>
    <col min="8" max="8" width="8.5" style="89" customWidth="1"/>
    <col min="9" max="9" width="9" style="89" customWidth="1"/>
    <col min="10" max="10" width="13.5" style="89" customWidth="1"/>
    <col min="11" max="11" width="11.25" style="89" customWidth="1"/>
    <col min="12" max="222" width="6.5" style="89" customWidth="1"/>
    <col min="223" max="16384" width="6.5" style="90"/>
  </cols>
  <sheetData>
    <row r="1" ht="24" customHeight="1" spans="1:10">
      <c r="A1" s="91" t="s">
        <v>643</v>
      </c>
      <c r="B1" s="92"/>
      <c r="C1" s="92"/>
      <c r="D1" s="92"/>
      <c r="E1" s="92"/>
      <c r="F1" s="92"/>
      <c r="G1" s="92"/>
      <c r="H1" s="92"/>
      <c r="I1" s="150"/>
      <c r="J1" s="151"/>
    </row>
    <row r="2" ht="24" customHeight="1" spans="1:10">
      <c r="A2" s="93" t="s">
        <v>644</v>
      </c>
      <c r="B2" s="93"/>
      <c r="C2" s="93"/>
      <c r="D2" s="93"/>
      <c r="E2" s="93"/>
      <c r="F2" s="93"/>
      <c r="G2" s="93"/>
      <c r="H2" s="93"/>
      <c r="I2" s="152"/>
      <c r="J2" s="152"/>
    </row>
    <row r="3" ht="24" customHeight="1" spans="1:10">
      <c r="A3" s="94"/>
      <c r="B3" s="95"/>
      <c r="C3" s="95"/>
      <c r="D3" s="95"/>
      <c r="E3" s="95"/>
      <c r="F3" s="95"/>
      <c r="G3" s="95"/>
      <c r="H3" s="95"/>
      <c r="I3" s="153" t="s">
        <v>35</v>
      </c>
      <c r="J3" s="154"/>
    </row>
    <row r="4" ht="60.75" spans="1:10">
      <c r="A4" s="94"/>
      <c r="B4" s="96" t="s">
        <v>37</v>
      </c>
      <c r="C4" s="96" t="s">
        <v>38</v>
      </c>
      <c r="D4" s="96" t="s">
        <v>39</v>
      </c>
      <c r="E4" s="96" t="s">
        <v>40</v>
      </c>
      <c r="F4" s="96" t="s">
        <v>483</v>
      </c>
      <c r="G4" s="96" t="s">
        <v>484</v>
      </c>
      <c r="H4" s="96" t="s">
        <v>43</v>
      </c>
      <c r="I4" s="155" t="s">
        <v>44</v>
      </c>
      <c r="J4" s="156" t="s">
        <v>45</v>
      </c>
    </row>
    <row r="5" spans="1:10">
      <c r="A5" s="97"/>
      <c r="B5" s="97"/>
      <c r="C5" s="97"/>
      <c r="D5" s="97"/>
      <c r="E5" s="97"/>
      <c r="F5" s="97"/>
      <c r="G5" s="97"/>
      <c r="H5" s="97"/>
      <c r="I5" s="157"/>
      <c r="J5" s="157"/>
    </row>
    <row r="6" spans="1:10">
      <c r="A6" s="98" t="s">
        <v>46</v>
      </c>
      <c r="B6" s="98"/>
      <c r="C6" s="99" t="s">
        <v>158</v>
      </c>
      <c r="D6" s="98"/>
      <c r="E6" s="98"/>
      <c r="F6" s="98" t="s">
        <v>154</v>
      </c>
      <c r="G6" s="98" t="s">
        <v>113</v>
      </c>
      <c r="H6" s="98">
        <v>1</v>
      </c>
      <c r="I6" s="158">
        <v>150000</v>
      </c>
      <c r="J6" s="159">
        <f>SUM(H6*I6)</f>
        <v>150000</v>
      </c>
    </row>
    <row r="7" ht="15.75" spans="1:10">
      <c r="A7" s="100"/>
      <c r="B7" s="101"/>
      <c r="C7" s="102"/>
      <c r="D7" s="103"/>
      <c r="E7" s="104"/>
      <c r="F7" s="105"/>
      <c r="G7" s="106"/>
      <c r="H7" s="107"/>
      <c r="I7" s="160"/>
      <c r="J7" s="160"/>
    </row>
    <row r="8" ht="15.75" spans="1:10">
      <c r="A8" s="108" t="s">
        <v>69</v>
      </c>
      <c r="B8" s="96"/>
      <c r="C8" s="96"/>
      <c r="D8" s="96"/>
      <c r="E8" s="96"/>
      <c r="F8" s="109" t="s">
        <v>156</v>
      </c>
      <c r="G8" s="96"/>
      <c r="H8" s="96"/>
      <c r="I8" s="155"/>
      <c r="J8" s="156"/>
    </row>
    <row r="9" ht="150" spans="1:10">
      <c r="A9" s="99">
        <v>2.1</v>
      </c>
      <c r="B9" s="99" t="s">
        <v>157</v>
      </c>
      <c r="C9" s="99" t="s">
        <v>158</v>
      </c>
      <c r="D9" s="99" t="s">
        <v>159</v>
      </c>
      <c r="E9" s="99" t="s">
        <v>485</v>
      </c>
      <c r="F9" s="110" t="s">
        <v>486</v>
      </c>
      <c r="G9" s="111" t="s">
        <v>162</v>
      </c>
      <c r="H9" s="111">
        <v>231.77</v>
      </c>
      <c r="I9" s="161">
        <v>2050</v>
      </c>
      <c r="J9" s="159">
        <f>SUM(H9*I9)</f>
        <v>475128.5</v>
      </c>
    </row>
    <row r="10" spans="1:10">
      <c r="A10" s="112"/>
      <c r="B10" s="112"/>
      <c r="C10" s="112"/>
      <c r="D10" s="112"/>
      <c r="E10" s="112"/>
      <c r="F10" s="112"/>
      <c r="G10" s="112"/>
      <c r="H10" s="113"/>
      <c r="I10" s="162"/>
      <c r="J10" s="163"/>
    </row>
    <row r="11" ht="150" spans="1:10">
      <c r="A11" s="114">
        <v>2.2</v>
      </c>
      <c r="B11" s="114" t="s">
        <v>157</v>
      </c>
      <c r="C11" s="114" t="s">
        <v>158</v>
      </c>
      <c r="D11" s="114" t="s">
        <v>159</v>
      </c>
      <c r="E11" s="114" t="s">
        <v>160</v>
      </c>
      <c r="F11" s="115" t="s">
        <v>645</v>
      </c>
      <c r="G11" s="116" t="s">
        <v>162</v>
      </c>
      <c r="H11" s="113">
        <v>49.1</v>
      </c>
      <c r="I11" s="162">
        <v>1850</v>
      </c>
      <c r="J11" s="159">
        <f>SUM(H11*I11)</f>
        <v>90835</v>
      </c>
    </row>
    <row r="12" spans="1:10">
      <c r="A12" s="112"/>
      <c r="B12" s="112"/>
      <c r="C12" s="112"/>
      <c r="D12" s="112"/>
      <c r="E12" s="112"/>
      <c r="F12" s="112"/>
      <c r="G12" s="112"/>
      <c r="H12" s="113"/>
      <c r="I12" s="162"/>
      <c r="J12" s="163"/>
    </row>
    <row r="13" ht="150" spans="1:10">
      <c r="A13" s="114">
        <v>2.3</v>
      </c>
      <c r="B13" s="114" t="s">
        <v>157</v>
      </c>
      <c r="C13" s="114" t="s">
        <v>158</v>
      </c>
      <c r="D13" s="114" t="s">
        <v>159</v>
      </c>
      <c r="E13" s="114" t="s">
        <v>163</v>
      </c>
      <c r="F13" s="115" t="s">
        <v>487</v>
      </c>
      <c r="G13" s="116" t="s">
        <v>162</v>
      </c>
      <c r="H13" s="113">
        <v>73.69</v>
      </c>
      <c r="I13" s="162">
        <v>1800</v>
      </c>
      <c r="J13" s="159">
        <f>SUM(H13*I13)</f>
        <v>132642</v>
      </c>
    </row>
    <row r="14" spans="1:10">
      <c r="A14" s="112"/>
      <c r="B14" s="112"/>
      <c r="C14" s="112"/>
      <c r="D14" s="112"/>
      <c r="E14" s="112"/>
      <c r="F14" s="112"/>
      <c r="G14" s="112"/>
      <c r="H14" s="113"/>
      <c r="I14" s="162"/>
      <c r="J14" s="163"/>
    </row>
    <row r="15" ht="195" spans="1:10">
      <c r="A15" s="114">
        <v>2.4</v>
      </c>
      <c r="B15" s="114" t="s">
        <v>165</v>
      </c>
      <c r="C15" s="114" t="s">
        <v>158</v>
      </c>
      <c r="D15" s="114" t="s">
        <v>166</v>
      </c>
      <c r="E15" s="114" t="s">
        <v>167</v>
      </c>
      <c r="F15" s="115" t="s">
        <v>168</v>
      </c>
      <c r="G15" s="116" t="s">
        <v>162</v>
      </c>
      <c r="H15" s="117">
        <f>SUM(H9:H13)*2</f>
        <v>709.12</v>
      </c>
      <c r="I15" s="162">
        <v>650</v>
      </c>
      <c r="J15" s="159">
        <f>SUM(H15*I15)</f>
        <v>460928</v>
      </c>
    </row>
    <row r="16" spans="1:10">
      <c r="A16" s="112"/>
      <c r="B16" s="112"/>
      <c r="C16" s="112"/>
      <c r="D16" s="112"/>
      <c r="E16" s="112"/>
      <c r="F16" s="112"/>
      <c r="G16" s="112"/>
      <c r="H16" s="113"/>
      <c r="I16" s="162"/>
      <c r="J16" s="163"/>
    </row>
    <row r="17" ht="195" spans="1:10">
      <c r="A17" s="114">
        <v>2.5</v>
      </c>
      <c r="B17" s="114" t="s">
        <v>165</v>
      </c>
      <c r="C17" s="114" t="s">
        <v>158</v>
      </c>
      <c r="D17" s="114" t="s">
        <v>169</v>
      </c>
      <c r="E17" s="114" t="s">
        <v>488</v>
      </c>
      <c r="F17" s="115" t="s">
        <v>168</v>
      </c>
      <c r="G17" s="116" t="s">
        <v>162</v>
      </c>
      <c r="H17" s="113">
        <v>106.21</v>
      </c>
      <c r="I17" s="162">
        <v>650</v>
      </c>
      <c r="J17" s="159">
        <f>SUM(H17*I17)</f>
        <v>69036.5</v>
      </c>
    </row>
    <row r="18" spans="1:10">
      <c r="A18" s="112"/>
      <c r="B18" s="112"/>
      <c r="C18" s="112"/>
      <c r="D18" s="112"/>
      <c r="E18" s="112"/>
      <c r="F18" s="112"/>
      <c r="G18" s="112"/>
      <c r="H18" s="113"/>
      <c r="I18" s="162"/>
      <c r="J18" s="163"/>
    </row>
    <row r="19" ht="75" spans="1:10">
      <c r="A19" s="118">
        <v>2.6</v>
      </c>
      <c r="B19" s="119"/>
      <c r="C19" s="119" t="s">
        <v>158</v>
      </c>
      <c r="D19" s="114" t="s">
        <v>646</v>
      </c>
      <c r="E19" s="114" t="s">
        <v>647</v>
      </c>
      <c r="F19" s="115" t="s">
        <v>648</v>
      </c>
      <c r="G19" s="120"/>
      <c r="H19" s="113"/>
      <c r="I19" s="162"/>
      <c r="J19" s="163"/>
    </row>
    <row r="20" ht="30" spans="1:10">
      <c r="A20" s="118"/>
      <c r="B20" s="119" t="s">
        <v>209</v>
      </c>
      <c r="C20" s="119"/>
      <c r="D20" s="114"/>
      <c r="E20" s="114"/>
      <c r="F20" s="121" t="s">
        <v>649</v>
      </c>
      <c r="G20" s="116" t="s">
        <v>162</v>
      </c>
      <c r="H20" s="113">
        <f>5+5</f>
        <v>10</v>
      </c>
      <c r="I20" s="162">
        <v>2200</v>
      </c>
      <c r="J20" s="159">
        <f>SUM(H20*I20)</f>
        <v>22000</v>
      </c>
    </row>
    <row r="21" spans="1:10">
      <c r="A21" s="122"/>
      <c r="B21" s="122"/>
      <c r="C21" s="122"/>
      <c r="D21" s="122"/>
      <c r="E21" s="122"/>
      <c r="F21" s="112"/>
      <c r="G21" s="122"/>
      <c r="H21" s="113"/>
      <c r="I21" s="162"/>
      <c r="J21" s="163"/>
    </row>
    <row r="22" ht="90" spans="1:10">
      <c r="A22" s="114">
        <v>2.7</v>
      </c>
      <c r="B22" s="114" t="s">
        <v>489</v>
      </c>
      <c r="C22" s="114" t="s">
        <v>158</v>
      </c>
      <c r="D22" s="114" t="s">
        <v>172</v>
      </c>
      <c r="E22" s="114" t="s">
        <v>490</v>
      </c>
      <c r="F22" s="115" t="s">
        <v>650</v>
      </c>
      <c r="G22" s="116" t="s">
        <v>162</v>
      </c>
      <c r="H22" s="113">
        <f>7</f>
        <v>7</v>
      </c>
      <c r="I22" s="162">
        <v>1850</v>
      </c>
      <c r="J22" s="159">
        <f>SUM(H22*I22)</f>
        <v>12950</v>
      </c>
    </row>
    <row r="23" spans="1:10">
      <c r="A23" s="114"/>
      <c r="B23" s="114"/>
      <c r="C23" s="114"/>
      <c r="D23" s="114"/>
      <c r="E23" s="114"/>
      <c r="F23" s="115"/>
      <c r="G23" s="116"/>
      <c r="H23" s="113"/>
      <c r="I23" s="162"/>
      <c r="J23" s="163"/>
    </row>
    <row r="24" ht="120" spans="1:10">
      <c r="A24" s="114">
        <v>2.8</v>
      </c>
      <c r="B24" s="114" t="s">
        <v>489</v>
      </c>
      <c r="C24" s="114" t="s">
        <v>158</v>
      </c>
      <c r="D24" s="114" t="s">
        <v>172</v>
      </c>
      <c r="E24" s="114" t="s">
        <v>651</v>
      </c>
      <c r="F24" s="115" t="s">
        <v>652</v>
      </c>
      <c r="G24" s="116" t="s">
        <v>162</v>
      </c>
      <c r="H24" s="113">
        <f>90</f>
        <v>90</v>
      </c>
      <c r="I24" s="162">
        <v>2250</v>
      </c>
      <c r="J24" s="159">
        <f>SUM(H24*I24)</f>
        <v>202500</v>
      </c>
    </row>
    <row r="25" spans="1:10">
      <c r="A25" s="114"/>
      <c r="B25" s="114"/>
      <c r="C25" s="114"/>
      <c r="D25" s="114"/>
      <c r="E25" s="114"/>
      <c r="F25" s="115"/>
      <c r="G25" s="116"/>
      <c r="H25" s="113"/>
      <c r="I25" s="162"/>
      <c r="J25" s="163"/>
    </row>
    <row r="26" ht="90" spans="1:10">
      <c r="A26" s="114">
        <v>2.9</v>
      </c>
      <c r="B26" s="114" t="s">
        <v>489</v>
      </c>
      <c r="C26" s="114" t="s">
        <v>158</v>
      </c>
      <c r="D26" s="114" t="s">
        <v>172</v>
      </c>
      <c r="E26" s="114" t="s">
        <v>173</v>
      </c>
      <c r="F26" s="115" t="s">
        <v>174</v>
      </c>
      <c r="G26" s="116" t="s">
        <v>162</v>
      </c>
      <c r="H26" s="113">
        <f>6+6</f>
        <v>12</v>
      </c>
      <c r="I26" s="162">
        <v>1800</v>
      </c>
      <c r="J26" s="159">
        <f>SUM(H26*I26)</f>
        <v>21600</v>
      </c>
    </row>
    <row r="27" spans="1:10">
      <c r="A27" s="123"/>
      <c r="B27" s="123"/>
      <c r="C27" s="123"/>
      <c r="D27" s="123"/>
      <c r="E27" s="123"/>
      <c r="F27" s="115"/>
      <c r="G27" s="124"/>
      <c r="H27" s="125"/>
      <c r="I27" s="164"/>
      <c r="J27" s="165"/>
    </row>
    <row r="28" ht="14.25" customHeight="1" spans="1:10">
      <c r="A28" s="126"/>
      <c r="B28" s="126"/>
      <c r="C28" s="126"/>
      <c r="D28" s="126"/>
      <c r="E28" s="126"/>
      <c r="F28" s="127"/>
      <c r="G28" s="126"/>
      <c r="H28" s="98"/>
      <c r="I28" s="166"/>
      <c r="J28" s="167"/>
    </row>
    <row r="29" ht="19.5" customHeight="1" spans="1:10">
      <c r="A29" s="108" t="s">
        <v>81</v>
      </c>
      <c r="B29" s="128"/>
      <c r="C29" s="128"/>
      <c r="D29" s="128"/>
      <c r="E29" s="128"/>
      <c r="F29" s="96" t="s">
        <v>493</v>
      </c>
      <c r="G29" s="128"/>
      <c r="H29" s="128"/>
      <c r="I29" s="168"/>
      <c r="J29" s="169"/>
    </row>
    <row r="30" ht="19.5" customHeight="1" spans="1:10">
      <c r="A30" s="129"/>
      <c r="B30" s="130"/>
      <c r="C30" s="130"/>
      <c r="D30" s="130"/>
      <c r="E30" s="130"/>
      <c r="F30" s="97" t="s">
        <v>494</v>
      </c>
      <c r="G30" s="130"/>
      <c r="H30" s="130"/>
      <c r="I30" s="170"/>
      <c r="J30" s="129"/>
    </row>
    <row r="31" ht="30" spans="1:10">
      <c r="A31" s="113">
        <v>3.1</v>
      </c>
      <c r="B31" s="131"/>
      <c r="C31" s="113" t="s">
        <v>158</v>
      </c>
      <c r="D31" s="113" t="s">
        <v>48</v>
      </c>
      <c r="E31" s="113" t="s">
        <v>495</v>
      </c>
      <c r="F31" s="112" t="s">
        <v>496</v>
      </c>
      <c r="G31" s="113" t="s">
        <v>130</v>
      </c>
      <c r="H31" s="113">
        <f>80+8</f>
        <v>88</v>
      </c>
      <c r="I31" s="171">
        <v>8950</v>
      </c>
      <c r="J31" s="117">
        <f t="shared" ref="J31:J117" si="0">SUM(H31*I31)</f>
        <v>787600</v>
      </c>
    </row>
    <row r="32" ht="90" spans="1:10">
      <c r="A32" s="131"/>
      <c r="B32" s="131"/>
      <c r="C32" s="131"/>
      <c r="D32" s="131"/>
      <c r="E32" s="131"/>
      <c r="F32" s="113" t="s">
        <v>497</v>
      </c>
      <c r="G32" s="131"/>
      <c r="H32" s="131"/>
      <c r="I32" s="172"/>
      <c r="J32" s="117"/>
    </row>
    <row r="33" ht="15.95" customHeight="1" spans="1:10">
      <c r="A33" s="131"/>
      <c r="B33" s="131"/>
      <c r="C33" s="131"/>
      <c r="D33" s="131"/>
      <c r="E33" s="131"/>
      <c r="F33" s="131"/>
      <c r="G33" s="131"/>
      <c r="H33" s="131"/>
      <c r="I33" s="172"/>
      <c r="J33" s="117"/>
    </row>
    <row r="34" ht="30" spans="1:10">
      <c r="A34" s="113">
        <v>3.2</v>
      </c>
      <c r="B34" s="131"/>
      <c r="C34" s="113" t="s">
        <v>158</v>
      </c>
      <c r="D34" s="113" t="s">
        <v>48</v>
      </c>
      <c r="E34" s="113" t="s">
        <v>653</v>
      </c>
      <c r="F34" s="112" t="s">
        <v>654</v>
      </c>
      <c r="G34" s="113" t="s">
        <v>130</v>
      </c>
      <c r="H34" s="113">
        <v>5</v>
      </c>
      <c r="I34" s="171">
        <v>8950</v>
      </c>
      <c r="J34" s="117">
        <f t="shared" si="0"/>
        <v>44750</v>
      </c>
    </row>
    <row r="35" ht="111.75" customHeight="1" spans="1:10">
      <c r="A35" s="131"/>
      <c r="B35" s="131"/>
      <c r="C35" s="131"/>
      <c r="D35" s="131"/>
      <c r="E35" s="131"/>
      <c r="F35" s="113" t="s">
        <v>655</v>
      </c>
      <c r="G35" s="131"/>
      <c r="H35" s="131"/>
      <c r="I35" s="172"/>
      <c r="J35" s="117"/>
    </row>
    <row r="36" ht="15.95" customHeight="1" spans="1:10">
      <c r="A36" s="131"/>
      <c r="B36" s="131"/>
      <c r="C36" s="131"/>
      <c r="D36" s="131"/>
      <c r="E36" s="131"/>
      <c r="F36" s="131"/>
      <c r="G36" s="131"/>
      <c r="H36" s="131"/>
      <c r="I36" s="172"/>
      <c r="J36" s="117"/>
    </row>
    <row r="37" ht="15.95" customHeight="1" spans="1:10">
      <c r="A37" s="131"/>
      <c r="B37" s="131"/>
      <c r="C37" s="131"/>
      <c r="D37" s="131"/>
      <c r="E37" s="131"/>
      <c r="F37" s="131"/>
      <c r="G37" s="131"/>
      <c r="H37" s="131"/>
      <c r="I37" s="172"/>
      <c r="J37" s="117"/>
    </row>
    <row r="38" ht="30" spans="1:10">
      <c r="A38" s="113">
        <v>3.2</v>
      </c>
      <c r="B38" s="131"/>
      <c r="C38" s="113" t="s">
        <v>158</v>
      </c>
      <c r="D38" s="113" t="s">
        <v>48</v>
      </c>
      <c r="E38" s="113" t="s">
        <v>656</v>
      </c>
      <c r="F38" s="132" t="s">
        <v>657</v>
      </c>
      <c r="G38" s="133" t="s">
        <v>130</v>
      </c>
      <c r="H38" s="134">
        <f>10</f>
        <v>10</v>
      </c>
      <c r="I38" s="171">
        <v>2900</v>
      </c>
      <c r="J38" s="173">
        <f>SUM(H38*I38)</f>
        <v>29000</v>
      </c>
    </row>
    <row r="39" ht="45" spans="1:10">
      <c r="A39" s="131"/>
      <c r="B39" s="131"/>
      <c r="C39" s="131"/>
      <c r="D39" s="131"/>
      <c r="E39" s="131"/>
      <c r="F39" s="135" t="s">
        <v>658</v>
      </c>
      <c r="G39" s="133"/>
      <c r="H39" s="134"/>
      <c r="I39" s="171"/>
      <c r="J39" s="174"/>
    </row>
    <row r="40" spans="1:10">
      <c r="A40" s="131"/>
      <c r="B40" s="131"/>
      <c r="C40" s="131"/>
      <c r="D40" s="131"/>
      <c r="E40" s="131"/>
      <c r="F40" s="131"/>
      <c r="G40" s="133"/>
      <c r="H40" s="134"/>
      <c r="I40" s="171"/>
      <c r="J40" s="174"/>
    </row>
    <row r="41" spans="1:10">
      <c r="A41" s="131"/>
      <c r="B41" s="131"/>
      <c r="C41" s="131"/>
      <c r="D41" s="131"/>
      <c r="E41" s="131"/>
      <c r="F41" s="135"/>
      <c r="G41" s="133"/>
      <c r="H41" s="134"/>
      <c r="I41" s="171"/>
      <c r="J41" s="174"/>
    </row>
    <row r="42" spans="1:10">
      <c r="A42" s="136">
        <v>3.4</v>
      </c>
      <c r="B42" s="137" t="s">
        <v>177</v>
      </c>
      <c r="C42" s="138" t="s">
        <v>158</v>
      </c>
      <c r="D42" s="138" t="s">
        <v>178</v>
      </c>
      <c r="E42" s="137" t="s">
        <v>179</v>
      </c>
      <c r="F42" s="139" t="s">
        <v>659</v>
      </c>
      <c r="G42" s="120" t="s">
        <v>130</v>
      </c>
      <c r="H42" s="112">
        <v>80</v>
      </c>
      <c r="I42" s="171">
        <v>1695</v>
      </c>
      <c r="J42" s="173">
        <f>SUM(H42*I42)</f>
        <v>135600</v>
      </c>
    </row>
    <row r="43" ht="105" spans="1:10">
      <c r="A43" s="136"/>
      <c r="B43" s="137"/>
      <c r="C43" s="138"/>
      <c r="D43" s="138"/>
      <c r="E43" s="137"/>
      <c r="F43" s="115" t="s">
        <v>285</v>
      </c>
      <c r="G43" s="120"/>
      <c r="H43" s="112"/>
      <c r="I43" s="171"/>
      <c r="J43" s="173"/>
    </row>
    <row r="44" spans="1:10">
      <c r="A44" s="136"/>
      <c r="B44" s="137"/>
      <c r="C44" s="138"/>
      <c r="D44" s="138"/>
      <c r="E44" s="137"/>
      <c r="F44" s="131"/>
      <c r="G44" s="120"/>
      <c r="H44" s="112"/>
      <c r="I44" s="171"/>
      <c r="J44" s="173"/>
    </row>
    <row r="45" spans="1:10">
      <c r="A45" s="131"/>
      <c r="B45" s="131"/>
      <c r="C45" s="131"/>
      <c r="D45" s="131"/>
      <c r="E45" s="131"/>
      <c r="F45" s="135"/>
      <c r="G45" s="133"/>
      <c r="H45" s="134"/>
      <c r="I45" s="171"/>
      <c r="J45" s="174"/>
    </row>
    <row r="46" s="88" customFormat="1" ht="60" spans="1:222">
      <c r="A46" s="140">
        <v>3.5</v>
      </c>
      <c r="B46" s="140" t="s">
        <v>660</v>
      </c>
      <c r="C46" s="140" t="s">
        <v>158</v>
      </c>
      <c r="D46" s="140" t="s">
        <v>178</v>
      </c>
      <c r="E46" s="141" t="s">
        <v>661</v>
      </c>
      <c r="F46" s="142" t="s">
        <v>662</v>
      </c>
      <c r="G46" s="143" t="s">
        <v>130</v>
      </c>
      <c r="H46" s="144">
        <f>5</f>
        <v>5</v>
      </c>
      <c r="I46" s="175">
        <v>6850</v>
      </c>
      <c r="J46" s="176">
        <f>SUM(H46*I46)</f>
        <v>34250</v>
      </c>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c r="DE46" s="177"/>
      <c r="DF46" s="177"/>
      <c r="DG46" s="177"/>
      <c r="DH46" s="177"/>
      <c r="DI46" s="177"/>
      <c r="DJ46" s="177"/>
      <c r="DK46" s="177"/>
      <c r="DL46" s="177"/>
      <c r="DM46" s="177"/>
      <c r="DN46" s="177"/>
      <c r="DO46" s="177"/>
      <c r="DP46" s="177"/>
      <c r="DQ46" s="177"/>
      <c r="DR46" s="177"/>
      <c r="DS46" s="177"/>
      <c r="DT46" s="177"/>
      <c r="DU46" s="177"/>
      <c r="DV46" s="177"/>
      <c r="DW46" s="177"/>
      <c r="DX46" s="177"/>
      <c r="DY46" s="177"/>
      <c r="DZ46" s="177"/>
      <c r="EA46" s="177"/>
      <c r="EB46" s="177"/>
      <c r="EC46" s="177"/>
      <c r="ED46" s="177"/>
      <c r="EE46" s="177"/>
      <c r="EF46" s="177"/>
      <c r="EG46" s="177"/>
      <c r="EH46" s="177"/>
      <c r="EI46" s="177"/>
      <c r="EJ46" s="177"/>
      <c r="EK46" s="177"/>
      <c r="EL46" s="177"/>
      <c r="EM46" s="177"/>
      <c r="EN46" s="177"/>
      <c r="EO46" s="177"/>
      <c r="EP46" s="177"/>
      <c r="EQ46" s="177"/>
      <c r="ER46" s="177"/>
      <c r="ES46" s="177"/>
      <c r="ET46" s="177"/>
      <c r="EU46" s="177"/>
      <c r="EV46" s="177"/>
      <c r="EW46" s="177"/>
      <c r="EX46" s="177"/>
      <c r="EY46" s="177"/>
      <c r="EZ46" s="177"/>
      <c r="FA46" s="177"/>
      <c r="FB46" s="177"/>
      <c r="FC46" s="177"/>
      <c r="FD46" s="177"/>
      <c r="FE46" s="177"/>
      <c r="FF46" s="177"/>
      <c r="FG46" s="177"/>
      <c r="FH46" s="177"/>
      <c r="FI46" s="177"/>
      <c r="FJ46" s="177"/>
      <c r="FK46" s="177"/>
      <c r="FL46" s="177"/>
      <c r="FM46" s="177"/>
      <c r="FN46" s="177"/>
      <c r="FO46" s="177"/>
      <c r="FP46" s="177"/>
      <c r="FQ46" s="177"/>
      <c r="FR46" s="177"/>
      <c r="FS46" s="177"/>
      <c r="FT46" s="177"/>
      <c r="FU46" s="177"/>
      <c r="FV46" s="177"/>
      <c r="FW46" s="177"/>
      <c r="FX46" s="177"/>
      <c r="FY46" s="177"/>
      <c r="FZ46" s="177"/>
      <c r="GA46" s="177"/>
      <c r="GB46" s="177"/>
      <c r="GC46" s="177"/>
      <c r="GD46" s="177"/>
      <c r="GE46" s="177"/>
      <c r="GF46" s="177"/>
      <c r="GG46" s="177"/>
      <c r="GH46" s="177"/>
      <c r="GI46" s="177"/>
      <c r="GJ46" s="177"/>
      <c r="GK46" s="177"/>
      <c r="GL46" s="177"/>
      <c r="GM46" s="177"/>
      <c r="GN46" s="177"/>
      <c r="GO46" s="177"/>
      <c r="GP46" s="177"/>
      <c r="GQ46" s="177"/>
      <c r="GR46" s="177"/>
      <c r="GS46" s="177"/>
      <c r="GT46" s="177"/>
      <c r="GU46" s="177"/>
      <c r="GV46" s="177"/>
      <c r="GW46" s="177"/>
      <c r="GX46" s="177"/>
      <c r="GY46" s="177"/>
      <c r="GZ46" s="177"/>
      <c r="HA46" s="177"/>
      <c r="HB46" s="177"/>
      <c r="HC46" s="177"/>
      <c r="HD46" s="177"/>
      <c r="HE46" s="177"/>
      <c r="HF46" s="177"/>
      <c r="HG46" s="177"/>
      <c r="HH46" s="177"/>
      <c r="HI46" s="177"/>
      <c r="HJ46" s="177"/>
      <c r="HK46" s="177"/>
      <c r="HL46" s="177"/>
      <c r="HM46" s="177"/>
      <c r="HN46" s="177"/>
    </row>
    <row r="47" s="88" customFormat="1" ht="120.75" customHeight="1" spans="1:222">
      <c r="A47" s="140"/>
      <c r="B47" s="140"/>
      <c r="C47" s="140"/>
      <c r="D47" s="140"/>
      <c r="E47" s="141"/>
      <c r="F47" s="140" t="s">
        <v>663</v>
      </c>
      <c r="G47" s="143"/>
      <c r="H47" s="144"/>
      <c r="I47" s="175"/>
      <c r="J47" s="176"/>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D47" s="177"/>
      <c r="CE47" s="177"/>
      <c r="CF47" s="177"/>
      <c r="CG47" s="177"/>
      <c r="CH47" s="177"/>
      <c r="CI47" s="177"/>
      <c r="CJ47" s="177"/>
      <c r="CK47" s="177"/>
      <c r="CL47" s="177"/>
      <c r="CM47" s="177"/>
      <c r="CN47" s="177"/>
      <c r="CO47" s="177"/>
      <c r="CP47" s="177"/>
      <c r="CQ47" s="177"/>
      <c r="CR47" s="177"/>
      <c r="CS47" s="177"/>
      <c r="CT47" s="177"/>
      <c r="CU47" s="177"/>
      <c r="CV47" s="177"/>
      <c r="CW47" s="177"/>
      <c r="CX47" s="177"/>
      <c r="CY47" s="177"/>
      <c r="CZ47" s="177"/>
      <c r="DA47" s="177"/>
      <c r="DB47" s="177"/>
      <c r="DC47" s="177"/>
      <c r="DD47" s="177"/>
      <c r="DE47" s="177"/>
      <c r="DF47" s="177"/>
      <c r="DG47" s="177"/>
      <c r="DH47" s="177"/>
      <c r="DI47" s="177"/>
      <c r="DJ47" s="177"/>
      <c r="DK47" s="177"/>
      <c r="DL47" s="177"/>
      <c r="DM47" s="177"/>
      <c r="DN47" s="177"/>
      <c r="DO47" s="177"/>
      <c r="DP47" s="177"/>
      <c r="DQ47" s="177"/>
      <c r="DR47" s="177"/>
      <c r="DS47" s="177"/>
      <c r="DT47" s="177"/>
      <c r="DU47" s="177"/>
      <c r="DV47" s="177"/>
      <c r="DW47" s="177"/>
      <c r="DX47" s="177"/>
      <c r="DY47" s="177"/>
      <c r="DZ47" s="177"/>
      <c r="EA47" s="177"/>
      <c r="EB47" s="177"/>
      <c r="EC47" s="177"/>
      <c r="ED47" s="177"/>
      <c r="EE47" s="177"/>
      <c r="EF47" s="177"/>
      <c r="EG47" s="177"/>
      <c r="EH47" s="177"/>
      <c r="EI47" s="177"/>
      <c r="EJ47" s="177"/>
      <c r="EK47" s="177"/>
      <c r="EL47" s="177"/>
      <c r="EM47" s="177"/>
      <c r="EN47" s="177"/>
      <c r="EO47" s="177"/>
      <c r="EP47" s="177"/>
      <c r="EQ47" s="177"/>
      <c r="ER47" s="177"/>
      <c r="ES47" s="177"/>
      <c r="ET47" s="177"/>
      <c r="EU47" s="177"/>
      <c r="EV47" s="177"/>
      <c r="EW47" s="177"/>
      <c r="EX47" s="177"/>
      <c r="EY47" s="177"/>
      <c r="EZ47" s="177"/>
      <c r="FA47" s="177"/>
      <c r="FB47" s="177"/>
      <c r="FC47" s="177"/>
      <c r="FD47" s="177"/>
      <c r="FE47" s="177"/>
      <c r="FF47" s="177"/>
      <c r="FG47" s="177"/>
      <c r="FH47" s="177"/>
      <c r="FI47" s="177"/>
      <c r="FJ47" s="177"/>
      <c r="FK47" s="177"/>
      <c r="FL47" s="177"/>
      <c r="FM47" s="177"/>
      <c r="FN47" s="177"/>
      <c r="FO47" s="177"/>
      <c r="FP47" s="177"/>
      <c r="FQ47" s="177"/>
      <c r="FR47" s="177"/>
      <c r="FS47" s="177"/>
      <c r="FT47" s="177"/>
      <c r="FU47" s="177"/>
      <c r="FV47" s="177"/>
      <c r="FW47" s="177"/>
      <c r="FX47" s="177"/>
      <c r="FY47" s="177"/>
      <c r="FZ47" s="177"/>
      <c r="GA47" s="177"/>
      <c r="GB47" s="177"/>
      <c r="GC47" s="177"/>
      <c r="GD47" s="177"/>
      <c r="GE47" s="177"/>
      <c r="GF47" s="177"/>
      <c r="GG47" s="177"/>
      <c r="GH47" s="177"/>
      <c r="GI47" s="177"/>
      <c r="GJ47" s="177"/>
      <c r="GK47" s="177"/>
      <c r="GL47" s="177"/>
      <c r="GM47" s="177"/>
      <c r="GN47" s="177"/>
      <c r="GO47" s="177"/>
      <c r="GP47" s="177"/>
      <c r="GQ47" s="177"/>
      <c r="GR47" s="177"/>
      <c r="GS47" s="177"/>
      <c r="GT47" s="177"/>
      <c r="GU47" s="177"/>
      <c r="GV47" s="177"/>
      <c r="GW47" s="177"/>
      <c r="GX47" s="177"/>
      <c r="GY47" s="177"/>
      <c r="GZ47" s="177"/>
      <c r="HA47" s="177"/>
      <c r="HB47" s="177"/>
      <c r="HC47" s="177"/>
      <c r="HD47" s="177"/>
      <c r="HE47" s="177"/>
      <c r="HF47" s="177"/>
      <c r="HG47" s="177"/>
      <c r="HH47" s="177"/>
      <c r="HI47" s="177"/>
      <c r="HJ47" s="177"/>
      <c r="HK47" s="177"/>
      <c r="HL47" s="177"/>
      <c r="HM47" s="177"/>
      <c r="HN47" s="177"/>
    </row>
    <row r="48" s="88" customFormat="1" spans="1:222">
      <c r="A48" s="140"/>
      <c r="B48" s="140"/>
      <c r="C48" s="140"/>
      <c r="D48" s="140"/>
      <c r="E48" s="141"/>
      <c r="F48" s="131"/>
      <c r="G48" s="143"/>
      <c r="H48" s="144"/>
      <c r="I48" s="175"/>
      <c r="J48" s="176"/>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D48" s="177"/>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7"/>
      <c r="DD48" s="177"/>
      <c r="DE48" s="177"/>
      <c r="DF48" s="177"/>
      <c r="DG48" s="177"/>
      <c r="DH48" s="177"/>
      <c r="DI48" s="177"/>
      <c r="DJ48" s="177"/>
      <c r="DK48" s="177"/>
      <c r="DL48" s="177"/>
      <c r="DM48" s="177"/>
      <c r="DN48" s="177"/>
      <c r="DO48" s="177"/>
      <c r="DP48" s="177"/>
      <c r="DQ48" s="177"/>
      <c r="DR48" s="177"/>
      <c r="DS48" s="177"/>
      <c r="DT48" s="177"/>
      <c r="DU48" s="177"/>
      <c r="DV48" s="177"/>
      <c r="DW48" s="177"/>
      <c r="DX48" s="177"/>
      <c r="DY48" s="177"/>
      <c r="DZ48" s="177"/>
      <c r="EA48" s="177"/>
      <c r="EB48" s="177"/>
      <c r="EC48" s="177"/>
      <c r="ED48" s="177"/>
      <c r="EE48" s="177"/>
      <c r="EF48" s="177"/>
      <c r="EG48" s="177"/>
      <c r="EH48" s="177"/>
      <c r="EI48" s="177"/>
      <c r="EJ48" s="177"/>
      <c r="EK48" s="177"/>
      <c r="EL48" s="177"/>
      <c r="EM48" s="177"/>
      <c r="EN48" s="177"/>
      <c r="EO48" s="177"/>
      <c r="EP48" s="177"/>
      <c r="EQ48" s="177"/>
      <c r="ER48" s="177"/>
      <c r="ES48" s="177"/>
      <c r="ET48" s="177"/>
      <c r="EU48" s="177"/>
      <c r="EV48" s="177"/>
      <c r="EW48" s="177"/>
      <c r="EX48" s="177"/>
      <c r="EY48" s="177"/>
      <c r="EZ48" s="177"/>
      <c r="FA48" s="177"/>
      <c r="FB48" s="177"/>
      <c r="FC48" s="177"/>
      <c r="FD48" s="177"/>
      <c r="FE48" s="177"/>
      <c r="FF48" s="177"/>
      <c r="FG48" s="177"/>
      <c r="FH48" s="177"/>
      <c r="FI48" s="177"/>
      <c r="FJ48" s="177"/>
      <c r="FK48" s="177"/>
      <c r="FL48" s="177"/>
      <c r="FM48" s="177"/>
      <c r="FN48" s="177"/>
      <c r="FO48" s="177"/>
      <c r="FP48" s="177"/>
      <c r="FQ48" s="177"/>
      <c r="FR48" s="177"/>
      <c r="FS48" s="177"/>
      <c r="FT48" s="177"/>
      <c r="FU48" s="177"/>
      <c r="FV48" s="177"/>
      <c r="FW48" s="177"/>
      <c r="FX48" s="177"/>
      <c r="FY48" s="177"/>
      <c r="FZ48" s="177"/>
      <c r="GA48" s="177"/>
      <c r="GB48" s="177"/>
      <c r="GC48" s="177"/>
      <c r="GD48" s="177"/>
      <c r="GE48" s="177"/>
      <c r="GF48" s="177"/>
      <c r="GG48" s="177"/>
      <c r="GH48" s="177"/>
      <c r="GI48" s="177"/>
      <c r="GJ48" s="177"/>
      <c r="GK48" s="177"/>
      <c r="GL48" s="177"/>
      <c r="GM48" s="177"/>
      <c r="GN48" s="177"/>
      <c r="GO48" s="177"/>
      <c r="GP48" s="177"/>
      <c r="GQ48" s="177"/>
      <c r="GR48" s="177"/>
      <c r="GS48" s="177"/>
      <c r="GT48" s="177"/>
      <c r="GU48" s="177"/>
      <c r="GV48" s="177"/>
      <c r="GW48" s="177"/>
      <c r="GX48" s="177"/>
      <c r="GY48" s="177"/>
      <c r="GZ48" s="177"/>
      <c r="HA48" s="177"/>
      <c r="HB48" s="177"/>
      <c r="HC48" s="177"/>
      <c r="HD48" s="177"/>
      <c r="HE48" s="177"/>
      <c r="HF48" s="177"/>
      <c r="HG48" s="177"/>
      <c r="HH48" s="177"/>
      <c r="HI48" s="177"/>
      <c r="HJ48" s="177"/>
      <c r="HK48" s="177"/>
      <c r="HL48" s="177"/>
      <c r="HM48" s="177"/>
      <c r="HN48" s="177"/>
    </row>
    <row r="49" s="88" customFormat="1" spans="1:222">
      <c r="A49" s="140"/>
      <c r="B49" s="140"/>
      <c r="C49" s="140"/>
      <c r="D49" s="140"/>
      <c r="E49" s="141"/>
      <c r="F49" s="140"/>
      <c r="G49" s="143"/>
      <c r="H49" s="144"/>
      <c r="I49" s="175"/>
      <c r="J49" s="176"/>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77"/>
      <c r="BY49" s="177"/>
      <c r="BZ49" s="177"/>
      <c r="CA49" s="177"/>
      <c r="CB49" s="177"/>
      <c r="CC49" s="177"/>
      <c r="CD49" s="177"/>
      <c r="CE49" s="177"/>
      <c r="CF49" s="177"/>
      <c r="CG49" s="177"/>
      <c r="CH49" s="177"/>
      <c r="CI49" s="177"/>
      <c r="CJ49" s="177"/>
      <c r="CK49" s="177"/>
      <c r="CL49" s="177"/>
      <c r="CM49" s="177"/>
      <c r="CN49" s="177"/>
      <c r="CO49" s="177"/>
      <c r="CP49" s="177"/>
      <c r="CQ49" s="177"/>
      <c r="CR49" s="177"/>
      <c r="CS49" s="177"/>
      <c r="CT49" s="177"/>
      <c r="CU49" s="177"/>
      <c r="CV49" s="177"/>
      <c r="CW49" s="177"/>
      <c r="CX49" s="177"/>
      <c r="CY49" s="177"/>
      <c r="CZ49" s="177"/>
      <c r="DA49" s="177"/>
      <c r="DB49" s="177"/>
      <c r="DC49" s="177"/>
      <c r="DD49" s="177"/>
      <c r="DE49" s="177"/>
      <c r="DF49" s="177"/>
      <c r="DG49" s="177"/>
      <c r="DH49" s="177"/>
      <c r="DI49" s="177"/>
      <c r="DJ49" s="177"/>
      <c r="DK49" s="177"/>
      <c r="DL49" s="177"/>
      <c r="DM49" s="177"/>
      <c r="DN49" s="177"/>
      <c r="DO49" s="177"/>
      <c r="DP49" s="177"/>
      <c r="DQ49" s="177"/>
      <c r="DR49" s="177"/>
      <c r="DS49" s="177"/>
      <c r="DT49" s="177"/>
      <c r="DU49" s="177"/>
      <c r="DV49" s="177"/>
      <c r="DW49" s="177"/>
      <c r="DX49" s="177"/>
      <c r="DY49" s="177"/>
      <c r="DZ49" s="177"/>
      <c r="EA49" s="177"/>
      <c r="EB49" s="177"/>
      <c r="EC49" s="177"/>
      <c r="ED49" s="177"/>
      <c r="EE49" s="177"/>
      <c r="EF49" s="177"/>
      <c r="EG49" s="177"/>
      <c r="EH49" s="177"/>
      <c r="EI49" s="177"/>
      <c r="EJ49" s="177"/>
      <c r="EK49" s="177"/>
      <c r="EL49" s="177"/>
      <c r="EM49" s="177"/>
      <c r="EN49" s="177"/>
      <c r="EO49" s="177"/>
      <c r="EP49" s="177"/>
      <c r="EQ49" s="177"/>
      <c r="ER49" s="177"/>
      <c r="ES49" s="177"/>
      <c r="ET49" s="177"/>
      <c r="EU49" s="177"/>
      <c r="EV49" s="177"/>
      <c r="EW49" s="177"/>
      <c r="EX49" s="177"/>
      <c r="EY49" s="177"/>
      <c r="EZ49" s="177"/>
      <c r="FA49" s="177"/>
      <c r="FB49" s="177"/>
      <c r="FC49" s="177"/>
      <c r="FD49" s="177"/>
      <c r="FE49" s="177"/>
      <c r="FF49" s="177"/>
      <c r="FG49" s="177"/>
      <c r="FH49" s="177"/>
      <c r="FI49" s="177"/>
      <c r="FJ49" s="177"/>
      <c r="FK49" s="177"/>
      <c r="FL49" s="177"/>
      <c r="FM49" s="177"/>
      <c r="FN49" s="177"/>
      <c r="FO49" s="177"/>
      <c r="FP49" s="177"/>
      <c r="FQ49" s="177"/>
      <c r="FR49" s="177"/>
      <c r="FS49" s="177"/>
      <c r="FT49" s="177"/>
      <c r="FU49" s="177"/>
      <c r="FV49" s="177"/>
      <c r="FW49" s="177"/>
      <c r="FX49" s="177"/>
      <c r="FY49" s="177"/>
      <c r="FZ49" s="177"/>
      <c r="GA49" s="177"/>
      <c r="GB49" s="177"/>
      <c r="GC49" s="177"/>
      <c r="GD49" s="177"/>
      <c r="GE49" s="177"/>
      <c r="GF49" s="177"/>
      <c r="GG49" s="177"/>
      <c r="GH49" s="177"/>
      <c r="GI49" s="177"/>
      <c r="GJ49" s="177"/>
      <c r="GK49" s="177"/>
      <c r="GL49" s="177"/>
      <c r="GM49" s="177"/>
      <c r="GN49" s="177"/>
      <c r="GO49" s="177"/>
      <c r="GP49" s="177"/>
      <c r="GQ49" s="177"/>
      <c r="GR49" s="177"/>
      <c r="GS49" s="177"/>
      <c r="GT49" s="177"/>
      <c r="GU49" s="177"/>
      <c r="GV49" s="177"/>
      <c r="GW49" s="177"/>
      <c r="GX49" s="177"/>
      <c r="GY49" s="177"/>
      <c r="GZ49" s="177"/>
      <c r="HA49" s="177"/>
      <c r="HB49" s="177"/>
      <c r="HC49" s="177"/>
      <c r="HD49" s="177"/>
      <c r="HE49" s="177"/>
      <c r="HF49" s="177"/>
      <c r="HG49" s="177"/>
      <c r="HH49" s="177"/>
      <c r="HI49" s="177"/>
      <c r="HJ49" s="177"/>
      <c r="HK49" s="177"/>
      <c r="HL49" s="177"/>
      <c r="HM49" s="177"/>
      <c r="HN49" s="177"/>
    </row>
    <row r="50" ht="15.95" customHeight="1" spans="1:10">
      <c r="A50" s="131"/>
      <c r="B50" s="131"/>
      <c r="C50" s="131"/>
      <c r="D50" s="131"/>
      <c r="E50" s="131"/>
      <c r="F50" s="145" t="s">
        <v>501</v>
      </c>
      <c r="G50" s="131"/>
      <c r="H50" s="146"/>
      <c r="I50" s="172"/>
      <c r="J50" s="117"/>
    </row>
    <row r="51" ht="30" spans="1:10">
      <c r="A51" s="113">
        <v>3.6</v>
      </c>
      <c r="B51" s="131"/>
      <c r="C51" s="113" t="s">
        <v>158</v>
      </c>
      <c r="D51" s="113" t="s">
        <v>295</v>
      </c>
      <c r="E51" s="113" t="s">
        <v>502</v>
      </c>
      <c r="F51" s="112" t="s">
        <v>503</v>
      </c>
      <c r="G51" s="113" t="s">
        <v>130</v>
      </c>
      <c r="H51" s="146">
        <v>161.5</v>
      </c>
      <c r="I51" s="171">
        <v>7500</v>
      </c>
      <c r="J51" s="117">
        <f>SUM(H51*I51)</f>
        <v>1211250</v>
      </c>
    </row>
    <row r="52" ht="75" spans="1:10">
      <c r="A52" s="131"/>
      <c r="B52" s="131"/>
      <c r="C52" s="131"/>
      <c r="D52" s="131"/>
      <c r="E52" s="131"/>
      <c r="F52" s="113" t="s">
        <v>504</v>
      </c>
      <c r="G52" s="131"/>
      <c r="H52" s="146"/>
      <c r="I52" s="172"/>
      <c r="J52" s="117"/>
    </row>
    <row r="53" spans="1:10">
      <c r="A53" s="131"/>
      <c r="B53" s="131"/>
      <c r="C53" s="131"/>
      <c r="D53" s="131"/>
      <c r="E53" s="131"/>
      <c r="F53" s="115"/>
      <c r="G53" s="131"/>
      <c r="H53" s="146"/>
      <c r="I53" s="172"/>
      <c r="J53" s="117"/>
    </row>
    <row r="54" ht="30" spans="1:10">
      <c r="A54" s="113">
        <v>3.7</v>
      </c>
      <c r="B54" s="131"/>
      <c r="C54" s="113" t="s">
        <v>158</v>
      </c>
      <c r="D54" s="113" t="s">
        <v>295</v>
      </c>
      <c r="E54" s="113" t="s">
        <v>296</v>
      </c>
      <c r="F54" s="112" t="s">
        <v>664</v>
      </c>
      <c r="G54" s="113" t="s">
        <v>130</v>
      </c>
      <c r="H54" s="146">
        <v>100</v>
      </c>
      <c r="I54" s="171">
        <v>8950</v>
      </c>
      <c r="J54" s="117">
        <f t="shared" si="0"/>
        <v>895000</v>
      </c>
    </row>
    <row r="55" ht="90" spans="1:10">
      <c r="A55" s="131"/>
      <c r="B55" s="131"/>
      <c r="C55" s="131"/>
      <c r="D55" s="131"/>
      <c r="E55" s="131"/>
      <c r="F55" s="113" t="s">
        <v>665</v>
      </c>
      <c r="G55" s="131"/>
      <c r="H55" s="146"/>
      <c r="I55" s="172"/>
      <c r="J55" s="117"/>
    </row>
    <row r="56" spans="1:10">
      <c r="A56" s="131"/>
      <c r="B56" s="131"/>
      <c r="C56" s="131"/>
      <c r="D56" s="131"/>
      <c r="E56" s="131"/>
      <c r="F56" s="115"/>
      <c r="G56" s="131"/>
      <c r="H56" s="146"/>
      <c r="I56" s="172"/>
      <c r="J56" s="117"/>
    </row>
    <row r="57" spans="1:10">
      <c r="A57" s="136">
        <v>3.8</v>
      </c>
      <c r="B57" s="137"/>
      <c r="C57" s="147" t="s">
        <v>158</v>
      </c>
      <c r="D57" s="147" t="s">
        <v>289</v>
      </c>
      <c r="E57" s="138" t="s">
        <v>290</v>
      </c>
      <c r="F57" s="148" t="s">
        <v>666</v>
      </c>
      <c r="G57" s="120" t="s">
        <v>130</v>
      </c>
      <c r="H57" s="113">
        <v>140</v>
      </c>
      <c r="I57" s="162">
        <v>1600</v>
      </c>
      <c r="J57" s="117">
        <f t="shared" si="0"/>
        <v>224000</v>
      </c>
    </row>
    <row r="58" ht="60" spans="1:10">
      <c r="A58" s="149"/>
      <c r="B58" s="137"/>
      <c r="C58" s="137"/>
      <c r="D58" s="137"/>
      <c r="E58" s="137"/>
      <c r="F58" s="115" t="s">
        <v>667</v>
      </c>
      <c r="G58" s="120"/>
      <c r="H58" s="90"/>
      <c r="I58" s="178"/>
      <c r="J58" s="117"/>
    </row>
    <row r="59" spans="1:10">
      <c r="A59" s="149"/>
      <c r="B59" s="137"/>
      <c r="C59" s="137"/>
      <c r="D59" s="137"/>
      <c r="E59" s="137"/>
      <c r="F59" s="115"/>
      <c r="G59" s="120"/>
      <c r="H59" s="112"/>
      <c r="I59" s="178"/>
      <c r="J59" s="117"/>
    </row>
    <row r="60" spans="1:10">
      <c r="A60" s="131"/>
      <c r="B60" s="131"/>
      <c r="C60" s="131"/>
      <c r="D60" s="131"/>
      <c r="E60" s="131"/>
      <c r="F60" s="131"/>
      <c r="G60" s="131"/>
      <c r="H60" s="146"/>
      <c r="I60" s="172"/>
      <c r="J60" s="117"/>
    </row>
    <row r="61" ht="27.75" customHeight="1" spans="1:10">
      <c r="A61" s="113">
        <v>3.9</v>
      </c>
      <c r="B61" s="146"/>
      <c r="C61" s="113" t="s">
        <v>158</v>
      </c>
      <c r="D61" s="113" t="s">
        <v>295</v>
      </c>
      <c r="E61" s="113" t="s">
        <v>668</v>
      </c>
      <c r="F61" s="112" t="s">
        <v>669</v>
      </c>
      <c r="G61" s="113" t="s">
        <v>130</v>
      </c>
      <c r="H61" s="113">
        <v>30</v>
      </c>
      <c r="I61" s="171">
        <v>19500</v>
      </c>
      <c r="J61" s="117">
        <f t="shared" si="0"/>
        <v>585000</v>
      </c>
    </row>
    <row r="62" ht="45" spans="1:10">
      <c r="A62" s="131"/>
      <c r="B62" s="146"/>
      <c r="C62" s="131"/>
      <c r="D62" s="131"/>
      <c r="E62" s="131"/>
      <c r="F62" s="113" t="s">
        <v>670</v>
      </c>
      <c r="G62" s="131"/>
      <c r="H62" s="131"/>
      <c r="I62" s="172"/>
      <c r="J62" s="117"/>
    </row>
    <row r="63" spans="1:10">
      <c r="A63" s="131"/>
      <c r="B63" s="146"/>
      <c r="C63" s="131"/>
      <c r="D63" s="131"/>
      <c r="E63" s="131"/>
      <c r="F63" s="115"/>
      <c r="G63" s="131"/>
      <c r="H63" s="131"/>
      <c r="I63" s="172"/>
      <c r="J63" s="117"/>
    </row>
    <row r="64" ht="27.75" customHeight="1" spans="1:10">
      <c r="A64" s="146">
        <v>3.1</v>
      </c>
      <c r="B64" s="146"/>
      <c r="C64" s="113" t="s">
        <v>158</v>
      </c>
      <c r="D64" s="113" t="s">
        <v>295</v>
      </c>
      <c r="E64" s="113" t="s">
        <v>668</v>
      </c>
      <c r="F64" s="112" t="s">
        <v>671</v>
      </c>
      <c r="G64" s="113" t="s">
        <v>130</v>
      </c>
      <c r="H64" s="113">
        <v>109</v>
      </c>
      <c r="I64" s="171">
        <v>8700</v>
      </c>
      <c r="J64" s="117">
        <f t="shared" si="0"/>
        <v>948300</v>
      </c>
    </row>
    <row r="65" ht="45" spans="1:10">
      <c r="A65" s="131"/>
      <c r="B65" s="146"/>
      <c r="C65" s="131"/>
      <c r="D65" s="131"/>
      <c r="E65" s="131"/>
      <c r="F65" s="113" t="s">
        <v>672</v>
      </c>
      <c r="G65" s="131"/>
      <c r="H65" s="131"/>
      <c r="I65" s="172"/>
      <c r="J65" s="117"/>
    </row>
    <row r="66" spans="1:10">
      <c r="A66" s="131"/>
      <c r="B66" s="146"/>
      <c r="C66" s="131"/>
      <c r="D66" s="131"/>
      <c r="E66" s="131"/>
      <c r="F66" s="115"/>
      <c r="G66" s="131"/>
      <c r="H66" s="131"/>
      <c r="I66" s="172"/>
      <c r="J66" s="117"/>
    </row>
    <row r="67" spans="1:10">
      <c r="A67" s="113"/>
      <c r="B67" s="146"/>
      <c r="C67" s="113"/>
      <c r="D67" s="113"/>
      <c r="E67" s="113"/>
      <c r="F67" s="113"/>
      <c r="G67" s="113"/>
      <c r="H67" s="113"/>
      <c r="I67" s="171"/>
      <c r="J67" s="117"/>
    </row>
    <row r="68" ht="30" spans="1:10">
      <c r="A68" s="113">
        <v>3.11</v>
      </c>
      <c r="B68" s="146"/>
      <c r="C68" s="113" t="s">
        <v>158</v>
      </c>
      <c r="D68" s="113" t="s">
        <v>507</v>
      </c>
      <c r="E68" s="113" t="s">
        <v>508</v>
      </c>
      <c r="F68" s="112" t="s">
        <v>509</v>
      </c>
      <c r="G68" s="113" t="s">
        <v>63</v>
      </c>
      <c r="H68" s="113">
        <v>42</v>
      </c>
      <c r="I68" s="171">
        <v>2150</v>
      </c>
      <c r="J68" s="117">
        <f t="shared" si="0"/>
        <v>90300</v>
      </c>
    </row>
    <row r="69" ht="90" spans="1:10">
      <c r="A69" s="131"/>
      <c r="B69" s="146"/>
      <c r="C69" s="131"/>
      <c r="D69" s="131"/>
      <c r="E69" s="131"/>
      <c r="F69" s="113" t="s">
        <v>510</v>
      </c>
      <c r="G69" s="131"/>
      <c r="H69" s="131"/>
      <c r="I69" s="172"/>
      <c r="J69" s="117"/>
    </row>
    <row r="70" spans="1:10">
      <c r="A70" s="131"/>
      <c r="B70" s="146"/>
      <c r="C70" s="131"/>
      <c r="D70" s="131"/>
      <c r="E70" s="131"/>
      <c r="F70" s="115"/>
      <c r="G70" s="131"/>
      <c r="H70" s="131"/>
      <c r="I70" s="172"/>
      <c r="J70" s="117"/>
    </row>
    <row r="71" ht="15.95" customHeight="1" spans="1:10">
      <c r="A71" s="131"/>
      <c r="B71" s="146"/>
      <c r="C71" s="131"/>
      <c r="D71" s="131"/>
      <c r="E71" s="131"/>
      <c r="F71" s="113"/>
      <c r="G71" s="131"/>
      <c r="H71" s="131"/>
      <c r="I71" s="172"/>
      <c r="J71" s="117"/>
    </row>
    <row r="72" ht="30" spans="1:10">
      <c r="A72" s="146">
        <v>3.12</v>
      </c>
      <c r="B72" s="146"/>
      <c r="C72" s="113" t="s">
        <v>158</v>
      </c>
      <c r="D72" s="113" t="s">
        <v>507</v>
      </c>
      <c r="E72" s="113" t="s">
        <v>508</v>
      </c>
      <c r="F72" s="112" t="s">
        <v>673</v>
      </c>
      <c r="G72" s="113" t="s">
        <v>63</v>
      </c>
      <c r="H72" s="113">
        <v>42</v>
      </c>
      <c r="I72" s="171">
        <v>1550</v>
      </c>
      <c r="J72" s="117">
        <f t="shared" si="0"/>
        <v>65100</v>
      </c>
    </row>
    <row r="73" ht="75" spans="1:10">
      <c r="A73" s="131"/>
      <c r="B73" s="146"/>
      <c r="C73" s="131"/>
      <c r="D73" s="131"/>
      <c r="E73" s="131"/>
      <c r="F73" s="113" t="s">
        <v>674</v>
      </c>
      <c r="G73" s="131"/>
      <c r="H73" s="131"/>
      <c r="I73" s="172"/>
      <c r="J73" s="117"/>
    </row>
    <row r="74" ht="15.95" customHeight="1" spans="1:10">
      <c r="A74" s="131"/>
      <c r="B74" s="146"/>
      <c r="C74" s="131"/>
      <c r="D74" s="131"/>
      <c r="E74" s="131"/>
      <c r="F74" s="115"/>
      <c r="G74" s="131"/>
      <c r="H74" s="131"/>
      <c r="I74" s="172"/>
      <c r="J74" s="117"/>
    </row>
    <row r="75" ht="30" spans="1:10">
      <c r="A75" s="146">
        <v>3.13</v>
      </c>
      <c r="B75" s="146"/>
      <c r="C75" s="113" t="s">
        <v>158</v>
      </c>
      <c r="D75" s="113" t="s">
        <v>507</v>
      </c>
      <c r="E75" s="113" t="s">
        <v>508</v>
      </c>
      <c r="F75" s="112" t="s">
        <v>675</v>
      </c>
      <c r="G75" s="113" t="s">
        <v>63</v>
      </c>
      <c r="H75" s="113">
        <f>H72*2</f>
        <v>84</v>
      </c>
      <c r="I75" s="171">
        <v>800</v>
      </c>
      <c r="J75" s="117">
        <f t="shared" si="0"/>
        <v>67200</v>
      </c>
    </row>
    <row r="76" ht="60" spans="1:10">
      <c r="A76" s="131"/>
      <c r="B76" s="146"/>
      <c r="C76" s="131"/>
      <c r="D76" s="131"/>
      <c r="E76" s="131"/>
      <c r="F76" s="113" t="s">
        <v>676</v>
      </c>
      <c r="G76" s="131"/>
      <c r="H76" s="131"/>
      <c r="I76" s="172"/>
      <c r="J76" s="117"/>
    </row>
    <row r="77" ht="15.95" customHeight="1" spans="1:10">
      <c r="A77" s="131"/>
      <c r="B77" s="146"/>
      <c r="C77" s="131"/>
      <c r="D77" s="131"/>
      <c r="E77" s="131"/>
      <c r="F77" s="115"/>
      <c r="G77" s="131"/>
      <c r="H77" s="131"/>
      <c r="I77" s="172"/>
      <c r="J77" s="117"/>
    </row>
    <row r="78" ht="30" spans="1:10">
      <c r="A78" s="146" t="s">
        <v>677</v>
      </c>
      <c r="B78" s="146"/>
      <c r="C78" s="113" t="s">
        <v>158</v>
      </c>
      <c r="D78" s="113" t="s">
        <v>507</v>
      </c>
      <c r="E78" s="113" t="s">
        <v>678</v>
      </c>
      <c r="F78" s="112" t="s">
        <v>679</v>
      </c>
      <c r="G78" s="113" t="s">
        <v>63</v>
      </c>
      <c r="H78" s="113">
        <f>75</f>
        <v>75</v>
      </c>
      <c r="I78" s="171">
        <v>230</v>
      </c>
      <c r="J78" s="117">
        <f t="shared" ref="J78" si="1">SUM(H78*I78)</f>
        <v>17250</v>
      </c>
    </row>
    <row r="79" ht="60" spans="1:10">
      <c r="A79" s="131"/>
      <c r="B79" s="146"/>
      <c r="C79" s="131"/>
      <c r="D79" s="131"/>
      <c r="E79" s="131"/>
      <c r="F79" s="115" t="s">
        <v>680</v>
      </c>
      <c r="G79" s="131"/>
      <c r="H79" s="131"/>
      <c r="I79" s="172"/>
      <c r="J79" s="117"/>
    </row>
    <row r="80" ht="15.95" customHeight="1" spans="1:10">
      <c r="A80" s="131"/>
      <c r="B80" s="146"/>
      <c r="C80" s="131"/>
      <c r="D80" s="131"/>
      <c r="E80" s="131"/>
      <c r="F80" s="115"/>
      <c r="G80" s="131"/>
      <c r="H80" s="131"/>
      <c r="I80" s="172"/>
      <c r="J80" s="117"/>
    </row>
    <row r="81" ht="15.95" customHeight="1" spans="1:10">
      <c r="A81" s="131"/>
      <c r="B81" s="146"/>
      <c r="C81" s="131"/>
      <c r="D81" s="131"/>
      <c r="E81" s="131"/>
      <c r="F81" s="145" t="s">
        <v>388</v>
      </c>
      <c r="G81" s="131"/>
      <c r="H81" s="131"/>
      <c r="I81" s="172"/>
      <c r="J81" s="117"/>
    </row>
    <row r="82" ht="30" spans="1:10">
      <c r="A82" s="113">
        <v>3.14</v>
      </c>
      <c r="B82" s="146"/>
      <c r="C82" s="113" t="s">
        <v>158</v>
      </c>
      <c r="D82" s="113" t="s">
        <v>511</v>
      </c>
      <c r="E82" s="113" t="s">
        <v>512</v>
      </c>
      <c r="F82" s="112" t="s">
        <v>681</v>
      </c>
      <c r="G82" s="113" t="s">
        <v>63</v>
      </c>
      <c r="H82" s="113">
        <v>10</v>
      </c>
      <c r="I82" s="172">
        <v>8950</v>
      </c>
      <c r="J82" s="117">
        <f t="shared" si="0"/>
        <v>89500</v>
      </c>
    </row>
    <row r="83" ht="105" spans="1:10">
      <c r="A83" s="131"/>
      <c r="B83" s="146"/>
      <c r="C83" s="131"/>
      <c r="D83" s="131"/>
      <c r="E83" s="131"/>
      <c r="F83" s="113" t="s">
        <v>514</v>
      </c>
      <c r="G83" s="131"/>
      <c r="H83" s="131"/>
      <c r="I83" s="172"/>
      <c r="J83" s="117"/>
    </row>
    <row r="84" ht="21" customHeight="1" spans="1:10">
      <c r="A84" s="131"/>
      <c r="B84" s="146"/>
      <c r="C84" s="131"/>
      <c r="D84" s="131"/>
      <c r="E84" s="131"/>
      <c r="F84" s="113" t="s">
        <v>682</v>
      </c>
      <c r="G84" s="131"/>
      <c r="H84" s="131"/>
      <c r="I84" s="172"/>
      <c r="J84" s="117"/>
    </row>
    <row r="85" spans="1:10">
      <c r="A85" s="131"/>
      <c r="B85" s="146"/>
      <c r="C85" s="131"/>
      <c r="D85" s="131"/>
      <c r="E85" s="131"/>
      <c r="F85" s="115"/>
      <c r="G85" s="131"/>
      <c r="H85" s="131"/>
      <c r="I85" s="172"/>
      <c r="J85" s="117"/>
    </row>
    <row r="86" ht="21" customHeight="1" spans="1:10">
      <c r="A86" s="131"/>
      <c r="B86" s="146"/>
      <c r="C86" s="131"/>
      <c r="D86" s="131"/>
      <c r="E86" s="131"/>
      <c r="F86" s="113"/>
      <c r="G86" s="131"/>
      <c r="H86" s="131"/>
      <c r="I86" s="172"/>
      <c r="J86" s="117"/>
    </row>
    <row r="87" ht="31.5" customHeight="1" spans="1:10">
      <c r="A87" s="146">
        <v>3.15</v>
      </c>
      <c r="B87" s="146"/>
      <c r="C87" s="113" t="s">
        <v>158</v>
      </c>
      <c r="D87" s="113" t="s">
        <v>60</v>
      </c>
      <c r="E87" s="113" t="s">
        <v>520</v>
      </c>
      <c r="F87" s="112" t="s">
        <v>683</v>
      </c>
      <c r="G87" s="113" t="s">
        <v>63</v>
      </c>
      <c r="H87" s="113">
        <v>11</v>
      </c>
      <c r="I87" s="171">
        <v>3100</v>
      </c>
      <c r="J87" s="117">
        <f t="shared" si="0"/>
        <v>34100</v>
      </c>
    </row>
    <row r="88" ht="45" spans="1:10">
      <c r="A88" s="131"/>
      <c r="B88" s="146"/>
      <c r="C88" s="131"/>
      <c r="D88" s="131"/>
      <c r="E88" s="131"/>
      <c r="F88" s="113" t="s">
        <v>684</v>
      </c>
      <c r="G88" s="131"/>
      <c r="H88" s="131"/>
      <c r="I88" s="172"/>
      <c r="J88" s="117"/>
    </row>
    <row r="89" ht="15.95" customHeight="1" spans="1:10">
      <c r="A89" s="131"/>
      <c r="B89" s="146"/>
      <c r="C89" s="131"/>
      <c r="D89" s="131"/>
      <c r="E89" s="131"/>
      <c r="F89" s="113" t="s">
        <v>523</v>
      </c>
      <c r="G89" s="131"/>
      <c r="H89" s="131"/>
      <c r="I89" s="172"/>
      <c r="J89" s="117"/>
    </row>
    <row r="90" ht="15.95" customHeight="1" spans="1:10">
      <c r="A90" s="131"/>
      <c r="B90" s="146"/>
      <c r="C90" s="131"/>
      <c r="D90" s="131"/>
      <c r="E90" s="131"/>
      <c r="F90" s="115"/>
      <c r="G90" s="131"/>
      <c r="H90" s="131"/>
      <c r="I90" s="172"/>
      <c r="J90" s="117"/>
    </row>
    <row r="91" ht="15.95" customHeight="1" spans="1:10">
      <c r="A91" s="131"/>
      <c r="B91" s="146"/>
      <c r="C91" s="131"/>
      <c r="D91" s="131"/>
      <c r="E91" s="131"/>
      <c r="F91" s="115"/>
      <c r="G91" s="131"/>
      <c r="H91" s="131"/>
      <c r="I91" s="172"/>
      <c r="J91" s="117"/>
    </row>
    <row r="92" ht="31.5" customHeight="1" spans="1:10">
      <c r="A92" s="113">
        <v>3.16</v>
      </c>
      <c r="B92" s="146"/>
      <c r="C92" s="113" t="s">
        <v>158</v>
      </c>
      <c r="D92" s="113" t="s">
        <v>60</v>
      </c>
      <c r="E92" s="113" t="s">
        <v>520</v>
      </c>
      <c r="F92" s="112" t="s">
        <v>685</v>
      </c>
      <c r="G92" s="113" t="s">
        <v>63</v>
      </c>
      <c r="H92" s="113">
        <v>2.5</v>
      </c>
      <c r="I92" s="171">
        <v>3100</v>
      </c>
      <c r="J92" s="117">
        <f t="shared" si="0"/>
        <v>7750</v>
      </c>
    </row>
    <row r="93" ht="45" spans="1:10">
      <c r="A93" s="131"/>
      <c r="B93" s="146"/>
      <c r="C93" s="131"/>
      <c r="D93" s="131"/>
      <c r="E93" s="131"/>
      <c r="F93" s="113" t="s">
        <v>686</v>
      </c>
      <c r="G93" s="131"/>
      <c r="H93" s="131"/>
      <c r="I93" s="172"/>
      <c r="J93" s="117"/>
    </row>
    <row r="94" spans="1:10">
      <c r="A94" s="131"/>
      <c r="B94" s="146"/>
      <c r="C94" s="131"/>
      <c r="D94" s="131"/>
      <c r="E94" s="131"/>
      <c r="F94" s="113" t="s">
        <v>523</v>
      </c>
      <c r="G94" s="131"/>
      <c r="H94" s="131"/>
      <c r="I94" s="172"/>
      <c r="J94" s="117"/>
    </row>
    <row r="95" spans="1:10">
      <c r="A95" s="131"/>
      <c r="B95" s="146"/>
      <c r="C95" s="131"/>
      <c r="D95" s="131"/>
      <c r="E95" s="131"/>
      <c r="F95" s="115"/>
      <c r="G95" s="131"/>
      <c r="H95" s="131"/>
      <c r="I95" s="172"/>
      <c r="J95" s="117"/>
    </row>
    <row r="96" spans="1:10">
      <c r="A96" s="131"/>
      <c r="B96" s="146"/>
      <c r="C96" s="131"/>
      <c r="D96" s="131"/>
      <c r="E96" s="131"/>
      <c r="F96" s="115"/>
      <c r="G96" s="131"/>
      <c r="H96" s="131"/>
      <c r="I96" s="172"/>
      <c r="J96" s="117"/>
    </row>
    <row r="97" ht="30" spans="1:10">
      <c r="A97" s="113">
        <v>3.17</v>
      </c>
      <c r="B97" s="146"/>
      <c r="C97" s="113" t="s">
        <v>158</v>
      </c>
      <c r="D97" s="113" t="s">
        <v>687</v>
      </c>
      <c r="E97" s="113" t="s">
        <v>688</v>
      </c>
      <c r="F97" s="112" t="s">
        <v>689</v>
      </c>
      <c r="G97" s="113" t="s">
        <v>187</v>
      </c>
      <c r="H97" s="113">
        <v>5</v>
      </c>
      <c r="I97" s="171">
        <v>6000</v>
      </c>
      <c r="J97" s="117">
        <f t="shared" si="0"/>
        <v>30000</v>
      </c>
    </row>
    <row r="98" ht="45" spans="1:10">
      <c r="A98" s="131"/>
      <c r="B98" s="146"/>
      <c r="C98" s="131"/>
      <c r="D98" s="131"/>
      <c r="E98" s="131"/>
      <c r="F98" s="113" t="s">
        <v>690</v>
      </c>
      <c r="G98" s="131"/>
      <c r="H98" s="131"/>
      <c r="I98" s="172"/>
      <c r="J98" s="117"/>
    </row>
    <row r="99" ht="15.95" customHeight="1" spans="1:10">
      <c r="A99" s="131"/>
      <c r="B99" s="146"/>
      <c r="C99" s="131"/>
      <c r="D99" s="131"/>
      <c r="E99" s="131"/>
      <c r="F99" s="115"/>
      <c r="G99" s="131"/>
      <c r="H99" s="131"/>
      <c r="I99" s="172"/>
      <c r="J99" s="117"/>
    </row>
    <row r="100" ht="15.95" customHeight="1" spans="1:10">
      <c r="A100" s="179"/>
      <c r="B100" s="180"/>
      <c r="C100" s="179"/>
      <c r="D100" s="179"/>
      <c r="E100" s="179"/>
      <c r="F100" s="181"/>
      <c r="G100" s="179"/>
      <c r="H100" s="179"/>
      <c r="I100" s="195"/>
      <c r="J100" s="196"/>
    </row>
    <row r="101" ht="31.5" customHeight="1" spans="1:10">
      <c r="A101" s="113">
        <v>3.16</v>
      </c>
      <c r="B101" s="146"/>
      <c r="C101" s="113" t="s">
        <v>158</v>
      </c>
      <c r="D101" s="113" t="s">
        <v>60</v>
      </c>
      <c r="E101" s="113" t="s">
        <v>691</v>
      </c>
      <c r="F101" s="112" t="s">
        <v>692</v>
      </c>
      <c r="G101" s="113" t="s">
        <v>63</v>
      </c>
      <c r="H101" s="113">
        <v>4</v>
      </c>
      <c r="I101" s="171">
        <v>2800</v>
      </c>
      <c r="J101" s="117">
        <f t="shared" ref="J101" si="2">SUM(H101*I101)</f>
        <v>11200</v>
      </c>
    </row>
    <row r="102" ht="45" spans="1:10">
      <c r="A102" s="131"/>
      <c r="B102" s="146"/>
      <c r="C102" s="131"/>
      <c r="D102" s="131"/>
      <c r="E102" s="131"/>
      <c r="F102" s="113" t="s">
        <v>686</v>
      </c>
      <c r="G102" s="131"/>
      <c r="H102" s="131"/>
      <c r="I102" s="172"/>
      <c r="J102" s="117"/>
    </row>
    <row r="103" spans="1:10">
      <c r="A103" s="131"/>
      <c r="B103" s="146"/>
      <c r="C103" s="131"/>
      <c r="D103" s="131"/>
      <c r="E103" s="131"/>
      <c r="F103" s="113" t="s">
        <v>693</v>
      </c>
      <c r="G103" s="131"/>
      <c r="H103" s="131"/>
      <c r="I103" s="172"/>
      <c r="J103" s="117"/>
    </row>
    <row r="104" spans="1:10">
      <c r="A104" s="131"/>
      <c r="B104" s="146"/>
      <c r="C104" s="131"/>
      <c r="D104" s="131"/>
      <c r="E104" s="131"/>
      <c r="F104" s="115"/>
      <c r="G104" s="131"/>
      <c r="H104" s="131"/>
      <c r="I104" s="172"/>
      <c r="J104" s="117"/>
    </row>
    <row r="105" ht="15.95" customHeight="1" spans="1:10">
      <c r="A105" s="179"/>
      <c r="B105" s="180"/>
      <c r="C105" s="179"/>
      <c r="D105" s="179"/>
      <c r="E105" s="179"/>
      <c r="F105" s="125"/>
      <c r="G105" s="179"/>
      <c r="H105" s="179"/>
      <c r="I105" s="195"/>
      <c r="J105" s="196"/>
    </row>
    <row r="106" ht="23.25" customHeight="1" spans="1:10">
      <c r="A106" s="108" t="s">
        <v>108</v>
      </c>
      <c r="B106" s="182"/>
      <c r="C106" s="128"/>
      <c r="D106" s="128"/>
      <c r="E106" s="128"/>
      <c r="F106" s="96" t="s">
        <v>70</v>
      </c>
      <c r="G106" s="128"/>
      <c r="H106" s="128"/>
      <c r="I106" s="168"/>
      <c r="J106" s="197"/>
    </row>
    <row r="107" spans="1:10">
      <c r="A107" s="129"/>
      <c r="B107" s="183"/>
      <c r="C107" s="130"/>
      <c r="D107" s="130"/>
      <c r="E107" s="130"/>
      <c r="F107" s="97"/>
      <c r="G107" s="130"/>
      <c r="H107" s="130"/>
      <c r="I107" s="170"/>
      <c r="J107" s="198"/>
    </row>
    <row r="108" ht="16.5" customHeight="1" spans="1:10">
      <c r="A108" s="129">
        <v>4.1</v>
      </c>
      <c r="B108" s="130"/>
      <c r="C108" s="129" t="s">
        <v>71</v>
      </c>
      <c r="D108" s="129" t="s">
        <v>307</v>
      </c>
      <c r="E108" s="129" t="s">
        <v>524</v>
      </c>
      <c r="F108" s="184" t="s">
        <v>73</v>
      </c>
      <c r="G108" s="129" t="s">
        <v>130</v>
      </c>
      <c r="H108" s="183">
        <f>110+10+25+10+45</f>
        <v>200</v>
      </c>
      <c r="I108" s="199">
        <v>2050</v>
      </c>
      <c r="J108" s="198">
        <f t="shared" si="0"/>
        <v>410000</v>
      </c>
    </row>
    <row r="109" ht="90" spans="1:10">
      <c r="A109" s="113"/>
      <c r="B109" s="131"/>
      <c r="C109" s="113"/>
      <c r="D109" s="113"/>
      <c r="E109" s="113"/>
      <c r="F109" s="115" t="s">
        <v>694</v>
      </c>
      <c r="G109" s="113"/>
      <c r="H109" s="146"/>
      <c r="I109" s="172" t="s">
        <v>695</v>
      </c>
      <c r="J109" s="117"/>
    </row>
    <row r="110" spans="1:10">
      <c r="A110" s="131"/>
      <c r="B110" s="131"/>
      <c r="C110" s="131"/>
      <c r="D110" s="131"/>
      <c r="E110" s="131"/>
      <c r="F110" s="113"/>
      <c r="G110" s="185"/>
      <c r="H110" s="185"/>
      <c r="I110" s="172"/>
      <c r="J110" s="117"/>
    </row>
    <row r="111" ht="15.95" customHeight="1" spans="1:10">
      <c r="A111" s="113">
        <v>4.2</v>
      </c>
      <c r="B111" s="131"/>
      <c r="C111" s="113" t="s">
        <v>71</v>
      </c>
      <c r="D111" s="113" t="s">
        <v>307</v>
      </c>
      <c r="E111" s="113" t="s">
        <v>526</v>
      </c>
      <c r="F111" s="112" t="s">
        <v>696</v>
      </c>
      <c r="G111" s="113" t="s">
        <v>63</v>
      </c>
      <c r="H111" s="146">
        <f>(16+17)+7</f>
        <v>40</v>
      </c>
      <c r="I111" s="200">
        <v>450</v>
      </c>
      <c r="J111" s="117">
        <f t="shared" si="0"/>
        <v>18000</v>
      </c>
    </row>
    <row r="112" ht="75" spans="1:10">
      <c r="A112" s="131"/>
      <c r="B112" s="131"/>
      <c r="C112" s="131"/>
      <c r="D112" s="131"/>
      <c r="E112" s="131"/>
      <c r="F112" s="115" t="s">
        <v>697</v>
      </c>
      <c r="G112" s="185"/>
      <c r="H112" s="185"/>
      <c r="I112" s="172"/>
      <c r="J112" s="117"/>
    </row>
    <row r="113" spans="1:10">
      <c r="A113" s="131"/>
      <c r="B113" s="131"/>
      <c r="C113" s="131"/>
      <c r="D113" s="131"/>
      <c r="E113" s="131"/>
      <c r="F113" s="113"/>
      <c r="G113" s="185"/>
      <c r="H113" s="185"/>
      <c r="I113" s="172"/>
      <c r="J113" s="117"/>
    </row>
    <row r="114" ht="28.5" customHeight="1" spans="1:10">
      <c r="A114" s="113">
        <v>4.3</v>
      </c>
      <c r="B114" s="131"/>
      <c r="C114" s="113" t="s">
        <v>71</v>
      </c>
      <c r="D114" s="113" t="s">
        <v>307</v>
      </c>
      <c r="E114" s="113" t="s">
        <v>529</v>
      </c>
      <c r="F114" s="112" t="s">
        <v>530</v>
      </c>
      <c r="G114" s="113" t="s">
        <v>63</v>
      </c>
      <c r="H114" s="146">
        <f>(16+17)+7</f>
        <v>40</v>
      </c>
      <c r="I114" s="200">
        <v>400</v>
      </c>
      <c r="J114" s="117">
        <f t="shared" si="0"/>
        <v>16000</v>
      </c>
    </row>
    <row r="115" ht="75" spans="1:10">
      <c r="A115" s="131"/>
      <c r="B115" s="131"/>
      <c r="C115" s="131"/>
      <c r="D115" s="131"/>
      <c r="E115" s="131"/>
      <c r="F115" s="113" t="s">
        <v>698</v>
      </c>
      <c r="G115" s="131"/>
      <c r="H115" s="131"/>
      <c r="I115" s="172"/>
      <c r="J115" s="117"/>
    </row>
    <row r="116" spans="1:10">
      <c r="A116" s="131"/>
      <c r="B116" s="131"/>
      <c r="C116" s="131"/>
      <c r="D116" s="131"/>
      <c r="E116" s="131"/>
      <c r="F116" s="113"/>
      <c r="G116" s="185"/>
      <c r="H116" s="185"/>
      <c r="I116" s="113"/>
      <c r="J116" s="117"/>
    </row>
    <row r="117" ht="30" spans="1:10">
      <c r="A117" s="113">
        <v>4.4</v>
      </c>
      <c r="B117" s="131"/>
      <c r="C117" s="113" t="s">
        <v>71</v>
      </c>
      <c r="D117" s="113" t="s">
        <v>307</v>
      </c>
      <c r="E117" s="113" t="s">
        <v>699</v>
      </c>
      <c r="F117" s="112" t="s">
        <v>700</v>
      </c>
      <c r="G117" s="113" t="s">
        <v>63</v>
      </c>
      <c r="H117" s="146">
        <f>22+22+10</f>
        <v>54</v>
      </c>
      <c r="I117" s="113">
        <v>450</v>
      </c>
      <c r="J117" s="117">
        <f t="shared" si="0"/>
        <v>24300</v>
      </c>
    </row>
    <row r="118" ht="30" spans="1:10">
      <c r="A118" s="131"/>
      <c r="B118" s="131"/>
      <c r="C118" s="131"/>
      <c r="D118" s="131"/>
      <c r="E118" s="131"/>
      <c r="F118" s="113" t="s">
        <v>701</v>
      </c>
      <c r="G118" s="185"/>
      <c r="H118" s="185"/>
      <c r="I118" s="113"/>
      <c r="J118" s="117"/>
    </row>
    <row r="119" spans="1:10">
      <c r="A119" s="131"/>
      <c r="B119" s="146"/>
      <c r="C119" s="131"/>
      <c r="D119" s="131"/>
      <c r="E119" s="131"/>
      <c r="F119" s="115"/>
      <c r="G119" s="131"/>
      <c r="H119" s="131"/>
      <c r="I119" s="113"/>
      <c r="J119" s="117"/>
    </row>
    <row r="120" spans="1:10">
      <c r="A120" s="186">
        <v>4.5</v>
      </c>
      <c r="B120" s="139"/>
      <c r="C120" s="121" t="s">
        <v>71</v>
      </c>
      <c r="D120" s="187"/>
      <c r="E120" s="119" t="s">
        <v>535</v>
      </c>
      <c r="F120" s="139" t="s">
        <v>536</v>
      </c>
      <c r="G120" s="120" t="s">
        <v>130</v>
      </c>
      <c r="H120" s="131">
        <f>60*3.2</f>
        <v>192</v>
      </c>
      <c r="I120" s="113">
        <v>475</v>
      </c>
      <c r="J120" s="117">
        <f t="shared" ref="J120:J177" si="3">SUM(H120*I120)</f>
        <v>91200</v>
      </c>
    </row>
    <row r="121" ht="60" spans="1:10">
      <c r="A121" s="188"/>
      <c r="B121" s="139"/>
      <c r="C121" s="139"/>
      <c r="D121" s="139"/>
      <c r="E121" s="139"/>
      <c r="F121" s="189" t="s">
        <v>537</v>
      </c>
      <c r="G121" s="120"/>
      <c r="H121" s="131"/>
      <c r="I121" s="113"/>
      <c r="J121" s="117"/>
    </row>
    <row r="122" ht="15.75" spans="1:10">
      <c r="A122" s="179"/>
      <c r="B122" s="180"/>
      <c r="C122" s="179"/>
      <c r="D122" s="179"/>
      <c r="E122" s="179"/>
      <c r="F122" s="125"/>
      <c r="G122" s="179"/>
      <c r="H122" s="179"/>
      <c r="I122" s="125"/>
      <c r="J122" s="196"/>
    </row>
    <row r="123" ht="16.5" customHeight="1" spans="1:10">
      <c r="A123" s="108" t="s">
        <v>125</v>
      </c>
      <c r="B123" s="190"/>
      <c r="C123" s="190"/>
      <c r="D123" s="190"/>
      <c r="E123" s="190"/>
      <c r="F123" s="96" t="s">
        <v>82</v>
      </c>
      <c r="G123" s="190"/>
      <c r="H123" s="190"/>
      <c r="I123" s="96"/>
      <c r="J123" s="201"/>
    </row>
    <row r="124" ht="12.75" customHeight="1" spans="1:10">
      <c r="A124" s="129"/>
      <c r="B124" s="130"/>
      <c r="C124" s="129"/>
      <c r="D124" s="129"/>
      <c r="E124" s="129"/>
      <c r="F124" s="129"/>
      <c r="G124" s="129"/>
      <c r="H124" s="129"/>
      <c r="I124" s="129"/>
      <c r="J124" s="198"/>
    </row>
    <row r="125" s="88" customFormat="1" ht="75" spans="1:222">
      <c r="A125" s="191">
        <v>5.1</v>
      </c>
      <c r="B125" s="140" t="s">
        <v>702</v>
      </c>
      <c r="C125" s="140" t="s">
        <v>158</v>
      </c>
      <c r="D125" s="140" t="s">
        <v>703</v>
      </c>
      <c r="E125" s="140" t="s">
        <v>704</v>
      </c>
      <c r="F125" s="192" t="s">
        <v>705</v>
      </c>
      <c r="G125" s="193" t="s">
        <v>63</v>
      </c>
      <c r="H125" s="194">
        <f>2.4*6</f>
        <v>14.4</v>
      </c>
      <c r="I125" s="202">
        <v>1200</v>
      </c>
      <c r="J125" s="203">
        <f t="shared" si="3"/>
        <v>17280</v>
      </c>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7"/>
      <c r="BR125" s="177"/>
      <c r="BS125" s="177"/>
      <c r="BT125" s="177"/>
      <c r="BU125" s="177"/>
      <c r="BV125" s="177"/>
      <c r="BW125" s="177"/>
      <c r="BX125" s="177"/>
      <c r="BY125" s="177"/>
      <c r="BZ125" s="177"/>
      <c r="CA125" s="177"/>
      <c r="CB125" s="177"/>
      <c r="CC125" s="177"/>
      <c r="CD125" s="177"/>
      <c r="CE125" s="177"/>
      <c r="CF125" s="177"/>
      <c r="CG125" s="177"/>
      <c r="CH125" s="177"/>
      <c r="CI125" s="177"/>
      <c r="CJ125" s="177"/>
      <c r="CK125" s="177"/>
      <c r="CL125" s="177"/>
      <c r="CM125" s="177"/>
      <c r="CN125" s="177"/>
      <c r="CO125" s="177"/>
      <c r="CP125" s="177"/>
      <c r="CQ125" s="177"/>
      <c r="CR125" s="177"/>
      <c r="CS125" s="177"/>
      <c r="CT125" s="177"/>
      <c r="CU125" s="177"/>
      <c r="CV125" s="177"/>
      <c r="CW125" s="177"/>
      <c r="CX125" s="177"/>
      <c r="CY125" s="177"/>
      <c r="CZ125" s="177"/>
      <c r="DA125" s="177"/>
      <c r="DB125" s="177"/>
      <c r="DC125" s="177"/>
      <c r="DD125" s="177"/>
      <c r="DE125" s="177"/>
      <c r="DF125" s="177"/>
      <c r="DG125" s="177"/>
      <c r="DH125" s="177"/>
      <c r="DI125" s="177"/>
      <c r="DJ125" s="177"/>
      <c r="DK125" s="177"/>
      <c r="DL125" s="177"/>
      <c r="DM125" s="177"/>
      <c r="DN125" s="177"/>
      <c r="DO125" s="177"/>
      <c r="DP125" s="177"/>
      <c r="DQ125" s="177"/>
      <c r="DR125" s="177"/>
      <c r="DS125" s="177"/>
      <c r="DT125" s="177"/>
      <c r="DU125" s="177"/>
      <c r="DV125" s="177"/>
      <c r="DW125" s="177"/>
      <c r="DX125" s="177"/>
      <c r="DY125" s="177"/>
      <c r="DZ125" s="177"/>
      <c r="EA125" s="177"/>
      <c r="EB125" s="177"/>
      <c r="EC125" s="177"/>
      <c r="ED125" s="177"/>
      <c r="EE125" s="177"/>
      <c r="EF125" s="177"/>
      <c r="EG125" s="177"/>
      <c r="EH125" s="177"/>
      <c r="EI125" s="177"/>
      <c r="EJ125" s="177"/>
      <c r="EK125" s="177"/>
      <c r="EL125" s="177"/>
      <c r="EM125" s="177"/>
      <c r="EN125" s="177"/>
      <c r="EO125" s="177"/>
      <c r="EP125" s="177"/>
      <c r="EQ125" s="177"/>
      <c r="ER125" s="177"/>
      <c r="ES125" s="177"/>
      <c r="ET125" s="177"/>
      <c r="EU125" s="177"/>
      <c r="EV125" s="177"/>
      <c r="EW125" s="177"/>
      <c r="EX125" s="177"/>
      <c r="EY125" s="177"/>
      <c r="EZ125" s="177"/>
      <c r="FA125" s="177"/>
      <c r="FB125" s="177"/>
      <c r="FC125" s="177"/>
      <c r="FD125" s="177"/>
      <c r="FE125" s="177"/>
      <c r="FF125" s="177"/>
      <c r="FG125" s="177"/>
      <c r="FH125" s="177"/>
      <c r="FI125" s="177"/>
      <c r="FJ125" s="177"/>
      <c r="FK125" s="177"/>
      <c r="FL125" s="177"/>
      <c r="FM125" s="177"/>
      <c r="FN125" s="177"/>
      <c r="FO125" s="177"/>
      <c r="FP125" s="177"/>
      <c r="FQ125" s="177"/>
      <c r="FR125" s="177"/>
      <c r="FS125" s="177"/>
      <c r="FT125" s="177"/>
      <c r="FU125" s="177"/>
      <c r="FV125" s="177"/>
      <c r="FW125" s="177"/>
      <c r="FX125" s="177"/>
      <c r="FY125" s="177"/>
      <c r="FZ125" s="177"/>
      <c r="GA125" s="177"/>
      <c r="GB125" s="177"/>
      <c r="GC125" s="177"/>
      <c r="GD125" s="177"/>
      <c r="GE125" s="177"/>
      <c r="GF125" s="177"/>
      <c r="GG125" s="177"/>
      <c r="GH125" s="177"/>
      <c r="GI125" s="177"/>
      <c r="GJ125" s="177"/>
      <c r="GK125" s="177"/>
      <c r="GL125" s="177"/>
      <c r="GM125" s="177"/>
      <c r="GN125" s="177"/>
      <c r="GO125" s="177"/>
      <c r="GP125" s="177"/>
      <c r="GQ125" s="177"/>
      <c r="GR125" s="177"/>
      <c r="GS125" s="177"/>
      <c r="GT125" s="177"/>
      <c r="GU125" s="177"/>
      <c r="GV125" s="177"/>
      <c r="GW125" s="177"/>
      <c r="GX125" s="177"/>
      <c r="GY125" s="177"/>
      <c r="GZ125" s="177"/>
      <c r="HA125" s="177"/>
      <c r="HB125" s="177"/>
      <c r="HC125" s="177"/>
      <c r="HD125" s="177"/>
      <c r="HE125" s="177"/>
      <c r="HF125" s="177"/>
      <c r="HG125" s="177"/>
      <c r="HH125" s="177"/>
      <c r="HI125" s="177"/>
      <c r="HJ125" s="177"/>
      <c r="HK125" s="177"/>
      <c r="HL125" s="177"/>
      <c r="HM125" s="177"/>
      <c r="HN125" s="177"/>
    </row>
    <row r="126" spans="1:10">
      <c r="A126" s="131"/>
      <c r="B126" s="131"/>
      <c r="C126" s="131"/>
      <c r="D126" s="131"/>
      <c r="E126" s="131"/>
      <c r="F126" s="113"/>
      <c r="G126" s="131"/>
      <c r="H126" s="131"/>
      <c r="I126" s="113"/>
      <c r="J126" s="117"/>
    </row>
    <row r="127" ht="12.75" customHeight="1" spans="1:10">
      <c r="A127" s="113">
        <v>5.2</v>
      </c>
      <c r="B127" s="131"/>
      <c r="C127" s="113" t="s">
        <v>538</v>
      </c>
      <c r="D127" s="113" t="s">
        <v>549</v>
      </c>
      <c r="E127" s="113" t="s">
        <v>550</v>
      </c>
      <c r="F127" s="112" t="s">
        <v>706</v>
      </c>
      <c r="G127" s="113" t="s">
        <v>130</v>
      </c>
      <c r="H127" s="113">
        <f>(1.1+1+1)*2.25</f>
        <v>6.975</v>
      </c>
      <c r="I127" s="113">
        <v>20200</v>
      </c>
      <c r="J127" s="117">
        <f t="shared" si="3"/>
        <v>140895</v>
      </c>
    </row>
    <row r="128" ht="71.25" customHeight="1" spans="1:10">
      <c r="A128" s="131"/>
      <c r="B128" s="131"/>
      <c r="C128" s="131"/>
      <c r="D128" s="131"/>
      <c r="E128" s="131"/>
      <c r="F128" s="113" t="s">
        <v>707</v>
      </c>
      <c r="G128" s="131"/>
      <c r="H128" s="131"/>
      <c r="I128" s="113"/>
      <c r="J128" s="117"/>
    </row>
    <row r="129" spans="1:10">
      <c r="A129" s="131"/>
      <c r="B129" s="131"/>
      <c r="C129" s="131"/>
      <c r="D129" s="131"/>
      <c r="E129" s="131"/>
      <c r="F129" s="115"/>
      <c r="G129" s="131"/>
      <c r="H129" s="131"/>
      <c r="I129" s="113"/>
      <c r="J129" s="117"/>
    </row>
    <row r="130" ht="12.75" customHeight="1" spans="1:10">
      <c r="A130" s="113">
        <v>5.3</v>
      </c>
      <c r="B130" s="131"/>
      <c r="C130" s="113" t="s">
        <v>538</v>
      </c>
      <c r="D130" s="113" t="s">
        <v>708</v>
      </c>
      <c r="E130" s="113" t="s">
        <v>709</v>
      </c>
      <c r="F130" s="112" t="s">
        <v>710</v>
      </c>
      <c r="G130" s="113" t="s">
        <v>63</v>
      </c>
      <c r="H130" s="113">
        <f>5+19+6+6+13+18+6</f>
        <v>73</v>
      </c>
      <c r="I130" s="134">
        <v>1000</v>
      </c>
      <c r="J130" s="117">
        <f t="shared" si="3"/>
        <v>73000</v>
      </c>
    </row>
    <row r="131" ht="60" spans="1:10">
      <c r="A131" s="131"/>
      <c r="B131" s="131"/>
      <c r="C131" s="131"/>
      <c r="D131" s="131"/>
      <c r="E131" s="131"/>
      <c r="F131" s="113" t="s">
        <v>711</v>
      </c>
      <c r="G131" s="131"/>
      <c r="H131" s="131"/>
      <c r="I131" s="113"/>
      <c r="J131" s="117"/>
    </row>
    <row r="132" spans="1:10">
      <c r="A132" s="131"/>
      <c r="B132" s="131"/>
      <c r="C132" s="131"/>
      <c r="D132" s="131"/>
      <c r="E132" s="131"/>
      <c r="F132" s="115"/>
      <c r="G132" s="131"/>
      <c r="H132" s="131"/>
      <c r="I132" s="113"/>
      <c r="J132" s="117"/>
    </row>
    <row r="133" ht="12.75" customHeight="1" spans="1:10">
      <c r="A133" s="113">
        <v>5.4</v>
      </c>
      <c r="B133" s="131"/>
      <c r="C133" s="113" t="s">
        <v>538</v>
      </c>
      <c r="D133" s="113" t="s">
        <v>554</v>
      </c>
      <c r="E133" s="113" t="s">
        <v>555</v>
      </c>
      <c r="F133" s="112" t="s">
        <v>712</v>
      </c>
      <c r="G133" s="113" t="s">
        <v>130</v>
      </c>
      <c r="H133" s="113">
        <f>3+1+3+2</f>
        <v>9</v>
      </c>
      <c r="I133" s="113">
        <v>13500</v>
      </c>
      <c r="J133" s="117">
        <f t="shared" si="3"/>
        <v>121500</v>
      </c>
    </row>
    <row r="134" ht="90" spans="1:10">
      <c r="A134" s="131"/>
      <c r="B134" s="131"/>
      <c r="C134" s="131"/>
      <c r="D134" s="131"/>
      <c r="E134" s="131"/>
      <c r="F134" s="113" t="s">
        <v>713</v>
      </c>
      <c r="G134" s="131"/>
      <c r="H134" s="131"/>
      <c r="I134" s="113"/>
      <c r="J134" s="117"/>
    </row>
    <row r="135" spans="1:10">
      <c r="A135" s="131"/>
      <c r="B135" s="131"/>
      <c r="C135" s="131"/>
      <c r="D135" s="131"/>
      <c r="E135" s="131"/>
      <c r="F135" s="115"/>
      <c r="G135" s="131"/>
      <c r="H135" s="131"/>
      <c r="I135" s="113"/>
      <c r="J135" s="117"/>
    </row>
    <row r="136" ht="12.75" customHeight="1" spans="1:10">
      <c r="A136" s="113">
        <v>5.5</v>
      </c>
      <c r="B136" s="131"/>
      <c r="C136" s="113" t="s">
        <v>538</v>
      </c>
      <c r="D136" s="113" t="s">
        <v>554</v>
      </c>
      <c r="E136" s="113" t="s">
        <v>555</v>
      </c>
      <c r="F136" s="112" t="s">
        <v>714</v>
      </c>
      <c r="G136" s="113" t="s">
        <v>130</v>
      </c>
      <c r="H136" s="113">
        <f>(2*2.25)+0.5</f>
        <v>5</v>
      </c>
      <c r="I136" s="113">
        <v>10900</v>
      </c>
      <c r="J136" s="117">
        <f t="shared" si="3"/>
        <v>54500</v>
      </c>
    </row>
    <row r="137" ht="75" spans="1:10">
      <c r="A137" s="131"/>
      <c r="B137" s="131"/>
      <c r="C137" s="131"/>
      <c r="D137" s="131"/>
      <c r="E137" s="131"/>
      <c r="F137" s="113" t="s">
        <v>715</v>
      </c>
      <c r="G137" s="131"/>
      <c r="H137" s="131"/>
      <c r="I137" s="113"/>
      <c r="J137" s="117"/>
    </row>
    <row r="138" spans="1:10">
      <c r="A138" s="131"/>
      <c r="B138" s="131"/>
      <c r="C138" s="131"/>
      <c r="D138" s="131"/>
      <c r="E138" s="131"/>
      <c r="F138" s="115"/>
      <c r="G138" s="131"/>
      <c r="H138" s="131"/>
      <c r="I138" s="113"/>
      <c r="J138" s="117"/>
    </row>
    <row r="139" ht="12.75" customHeight="1" spans="1:10">
      <c r="A139" s="131"/>
      <c r="B139" s="131"/>
      <c r="C139" s="131"/>
      <c r="D139" s="131"/>
      <c r="E139" s="131"/>
      <c r="F139" s="145" t="s">
        <v>592</v>
      </c>
      <c r="G139" s="131"/>
      <c r="H139" s="131"/>
      <c r="I139" s="113"/>
      <c r="J139" s="117"/>
    </row>
    <row r="140" ht="12.75" customHeight="1" spans="1:10">
      <c r="A140" s="113">
        <v>5.6</v>
      </c>
      <c r="B140" s="131"/>
      <c r="C140" s="113" t="s">
        <v>538</v>
      </c>
      <c r="D140" s="113" t="s">
        <v>593</v>
      </c>
      <c r="E140" s="113" t="s">
        <v>594</v>
      </c>
      <c r="F140" s="112" t="s">
        <v>716</v>
      </c>
      <c r="G140" s="113" t="s">
        <v>187</v>
      </c>
      <c r="H140" s="113">
        <v>2</v>
      </c>
      <c r="I140" s="113">
        <v>58900</v>
      </c>
      <c r="J140" s="117">
        <f t="shared" si="3"/>
        <v>117800</v>
      </c>
    </row>
    <row r="141" ht="12.75" customHeight="1" spans="1:10">
      <c r="A141" s="131"/>
      <c r="B141" s="131"/>
      <c r="C141" s="131"/>
      <c r="D141" s="131"/>
      <c r="E141" s="131"/>
      <c r="F141" s="113" t="s">
        <v>717</v>
      </c>
      <c r="G141" s="131"/>
      <c r="H141" s="131"/>
      <c r="I141" s="113"/>
      <c r="J141" s="117"/>
    </row>
    <row r="142" ht="12.75" customHeight="1" spans="1:10">
      <c r="A142" s="131"/>
      <c r="B142" s="131"/>
      <c r="C142" s="131"/>
      <c r="D142" s="131"/>
      <c r="E142" s="131"/>
      <c r="F142" s="113" t="s">
        <v>718</v>
      </c>
      <c r="G142" s="131"/>
      <c r="H142" s="131"/>
      <c r="I142" s="113"/>
      <c r="J142" s="117"/>
    </row>
    <row r="143" ht="60" spans="1:11">
      <c r="A143" s="131"/>
      <c r="B143" s="131"/>
      <c r="C143" s="131"/>
      <c r="D143" s="131"/>
      <c r="E143" s="131"/>
      <c r="F143" s="113" t="s">
        <v>719</v>
      </c>
      <c r="G143" s="131"/>
      <c r="H143" s="131"/>
      <c r="I143" s="113"/>
      <c r="J143" s="117"/>
      <c r="K143" s="205"/>
    </row>
    <row r="144" ht="12.75" customHeight="1" spans="1:10">
      <c r="A144" s="131"/>
      <c r="B144" s="131"/>
      <c r="C144" s="131"/>
      <c r="D144" s="131"/>
      <c r="E144" s="131"/>
      <c r="F144" s="113" t="s">
        <v>253</v>
      </c>
      <c r="G144" s="131"/>
      <c r="H144" s="131"/>
      <c r="I144" s="113"/>
      <c r="J144" s="117"/>
    </row>
    <row r="145" ht="45" spans="1:10">
      <c r="A145" s="131"/>
      <c r="B145" s="131"/>
      <c r="C145" s="131"/>
      <c r="D145" s="131"/>
      <c r="E145" s="131"/>
      <c r="F145" s="113" t="s">
        <v>720</v>
      </c>
      <c r="G145" s="131"/>
      <c r="H145" s="131"/>
      <c r="I145" s="113"/>
      <c r="J145" s="117"/>
    </row>
    <row r="146" ht="12.75" customHeight="1" spans="1:10">
      <c r="A146" s="131"/>
      <c r="B146" s="131"/>
      <c r="C146" s="131"/>
      <c r="D146" s="131"/>
      <c r="E146" s="131"/>
      <c r="F146" s="113" t="s">
        <v>351</v>
      </c>
      <c r="G146" s="131"/>
      <c r="H146" s="131"/>
      <c r="I146" s="113"/>
      <c r="J146" s="117"/>
    </row>
    <row r="147" spans="1:10">
      <c r="A147" s="131"/>
      <c r="B147" s="131"/>
      <c r="C147" s="131"/>
      <c r="D147" s="131"/>
      <c r="E147" s="131"/>
      <c r="F147" s="115" t="s">
        <v>721</v>
      </c>
      <c r="G147" s="131"/>
      <c r="H147" s="131"/>
      <c r="I147" s="113"/>
      <c r="J147" s="117"/>
    </row>
    <row r="148" ht="12.75" customHeight="1" spans="1:10">
      <c r="A148" s="131"/>
      <c r="B148" s="131"/>
      <c r="C148" s="131"/>
      <c r="D148" s="131"/>
      <c r="E148" s="131"/>
      <c r="F148" s="113" t="s">
        <v>722</v>
      </c>
      <c r="G148" s="131"/>
      <c r="H148" s="131"/>
      <c r="I148" s="113"/>
      <c r="J148" s="117"/>
    </row>
    <row r="149" ht="45" spans="1:10">
      <c r="A149" s="131"/>
      <c r="B149" s="131"/>
      <c r="C149" s="131"/>
      <c r="D149" s="131"/>
      <c r="E149" s="131"/>
      <c r="F149" s="113" t="s">
        <v>723</v>
      </c>
      <c r="G149" s="131"/>
      <c r="H149" s="131"/>
      <c r="I149" s="113"/>
      <c r="J149" s="117"/>
    </row>
    <row r="150" spans="1:10">
      <c r="A150" s="131"/>
      <c r="B150" s="131"/>
      <c r="C150" s="131"/>
      <c r="D150" s="131"/>
      <c r="E150" s="131"/>
      <c r="F150" s="113"/>
      <c r="G150" s="131"/>
      <c r="H150" s="131"/>
      <c r="I150" s="113"/>
      <c r="J150" s="117"/>
    </row>
    <row r="151" spans="1:10">
      <c r="A151" s="113">
        <v>5.7</v>
      </c>
      <c r="B151" s="131"/>
      <c r="C151" s="113" t="s">
        <v>538</v>
      </c>
      <c r="D151" s="113" t="s">
        <v>593</v>
      </c>
      <c r="E151" s="113" t="s">
        <v>724</v>
      </c>
      <c r="F151" s="112" t="s">
        <v>725</v>
      </c>
      <c r="G151" s="113" t="s">
        <v>187</v>
      </c>
      <c r="H151" s="113">
        <v>1</v>
      </c>
      <c r="I151" s="113">
        <v>75000</v>
      </c>
      <c r="J151" s="117">
        <f t="shared" si="3"/>
        <v>75000</v>
      </c>
    </row>
    <row r="152" ht="12.75" customHeight="1" spans="1:10">
      <c r="A152" s="131"/>
      <c r="B152" s="131"/>
      <c r="C152" s="131"/>
      <c r="D152" s="131"/>
      <c r="E152" s="131"/>
      <c r="F152" s="113" t="s">
        <v>726</v>
      </c>
      <c r="G152" s="131"/>
      <c r="H152" s="131"/>
      <c r="I152" s="113"/>
      <c r="J152" s="117"/>
    </row>
    <row r="153" spans="1:10">
      <c r="A153" s="131"/>
      <c r="B153" s="131"/>
      <c r="C153" s="131"/>
      <c r="D153" s="131"/>
      <c r="E153" s="131"/>
      <c r="F153" s="113" t="s">
        <v>718</v>
      </c>
      <c r="G153" s="131"/>
      <c r="H153" s="131"/>
      <c r="I153" s="113"/>
      <c r="J153" s="117"/>
    </row>
    <row r="154" ht="60" spans="1:11">
      <c r="A154" s="131"/>
      <c r="B154" s="131"/>
      <c r="C154" s="131"/>
      <c r="D154" s="131"/>
      <c r="E154" s="131"/>
      <c r="F154" s="113" t="s">
        <v>727</v>
      </c>
      <c r="G154" s="131"/>
      <c r="H154" s="131"/>
      <c r="I154" s="113"/>
      <c r="J154" s="117"/>
      <c r="K154" s="205"/>
    </row>
    <row r="155" spans="1:10">
      <c r="A155" s="131"/>
      <c r="B155" s="131"/>
      <c r="C155" s="131"/>
      <c r="D155" s="131"/>
      <c r="E155" s="131"/>
      <c r="F155" s="115" t="s">
        <v>728</v>
      </c>
      <c r="G155" s="131"/>
      <c r="H155" s="131"/>
      <c r="I155" s="113"/>
      <c r="J155" s="117"/>
    </row>
    <row r="156" ht="45" spans="1:10">
      <c r="A156" s="131"/>
      <c r="B156" s="131"/>
      <c r="C156" s="131"/>
      <c r="D156" s="131"/>
      <c r="E156" s="131"/>
      <c r="F156" s="115" t="s">
        <v>729</v>
      </c>
      <c r="G156" s="131"/>
      <c r="H156" s="131"/>
      <c r="I156" s="113"/>
      <c r="J156" s="117"/>
    </row>
    <row r="157" ht="12.75" customHeight="1" spans="1:10">
      <c r="A157" s="131"/>
      <c r="B157" s="131"/>
      <c r="C157" s="131"/>
      <c r="D157" s="131"/>
      <c r="E157" s="131"/>
      <c r="F157" s="113" t="s">
        <v>253</v>
      </c>
      <c r="G157" s="131"/>
      <c r="H157" s="131"/>
      <c r="I157" s="113"/>
      <c r="J157" s="117"/>
    </row>
    <row r="158" ht="45" spans="1:10">
      <c r="A158" s="131"/>
      <c r="B158" s="131"/>
      <c r="C158" s="131"/>
      <c r="D158" s="131"/>
      <c r="E158" s="131"/>
      <c r="F158" s="113" t="s">
        <v>730</v>
      </c>
      <c r="G158" s="131"/>
      <c r="H158" s="131"/>
      <c r="I158" s="113"/>
      <c r="J158" s="117"/>
    </row>
    <row r="159" ht="12.75" customHeight="1" spans="1:10">
      <c r="A159" s="131"/>
      <c r="B159" s="131"/>
      <c r="C159" s="131"/>
      <c r="D159" s="131"/>
      <c r="E159" s="131"/>
      <c r="F159" s="113" t="s">
        <v>351</v>
      </c>
      <c r="G159" s="131"/>
      <c r="H159" s="131"/>
      <c r="I159" s="113"/>
      <c r="J159" s="117"/>
    </row>
    <row r="160" spans="1:10">
      <c r="A160" s="131"/>
      <c r="B160" s="131"/>
      <c r="C160" s="131"/>
      <c r="D160" s="131"/>
      <c r="E160" s="131"/>
      <c r="F160" s="115" t="s">
        <v>731</v>
      </c>
      <c r="G160" s="131"/>
      <c r="H160" s="131"/>
      <c r="I160" s="113"/>
      <c r="J160" s="117"/>
    </row>
    <row r="161" ht="12.75" customHeight="1" spans="1:10">
      <c r="A161" s="131"/>
      <c r="B161" s="131"/>
      <c r="C161" s="131"/>
      <c r="D161" s="131"/>
      <c r="E161" s="131"/>
      <c r="F161" s="113" t="s">
        <v>722</v>
      </c>
      <c r="G161" s="131"/>
      <c r="H161" s="131"/>
      <c r="I161" s="113"/>
      <c r="J161" s="117"/>
    </row>
    <row r="162" ht="60" spans="1:10">
      <c r="A162" s="131"/>
      <c r="B162" s="131"/>
      <c r="C162" s="131"/>
      <c r="D162" s="131"/>
      <c r="E162" s="131"/>
      <c r="F162" s="115" t="s">
        <v>732</v>
      </c>
      <c r="G162" s="131"/>
      <c r="H162" s="131"/>
      <c r="I162" s="113"/>
      <c r="J162" s="117"/>
    </row>
    <row r="163" spans="1:10">
      <c r="A163" s="131"/>
      <c r="B163" s="131"/>
      <c r="C163" s="131"/>
      <c r="D163" s="131"/>
      <c r="E163" s="131"/>
      <c r="F163" s="113"/>
      <c r="G163" s="131"/>
      <c r="H163" s="131"/>
      <c r="I163" s="113"/>
      <c r="J163" s="117"/>
    </row>
    <row r="164" ht="30" spans="1:10">
      <c r="A164" s="113">
        <v>5.8</v>
      </c>
      <c r="B164" s="131"/>
      <c r="C164" s="113" t="s">
        <v>538</v>
      </c>
      <c r="D164" s="113" t="s">
        <v>733</v>
      </c>
      <c r="E164" s="113" t="s">
        <v>734</v>
      </c>
      <c r="F164" s="112" t="s">
        <v>735</v>
      </c>
      <c r="G164" s="113" t="s">
        <v>187</v>
      </c>
      <c r="H164" s="113">
        <f>4+3</f>
        <v>7</v>
      </c>
      <c r="I164" s="113">
        <v>27500</v>
      </c>
      <c r="J164" s="117">
        <f t="shared" si="3"/>
        <v>192500</v>
      </c>
    </row>
    <row r="165" spans="1:10">
      <c r="A165" s="131"/>
      <c r="B165" s="131"/>
      <c r="C165" s="131"/>
      <c r="D165" s="131"/>
      <c r="E165" s="131"/>
      <c r="F165" s="113" t="s">
        <v>253</v>
      </c>
      <c r="G165" s="131"/>
      <c r="H165" s="131"/>
      <c r="I165" s="113"/>
      <c r="J165" s="117"/>
    </row>
    <row r="166" ht="45" spans="1:10">
      <c r="A166" s="131"/>
      <c r="B166" s="131"/>
      <c r="C166" s="131"/>
      <c r="D166" s="131"/>
      <c r="E166" s="131"/>
      <c r="F166" s="113" t="s">
        <v>736</v>
      </c>
      <c r="G166" s="131"/>
      <c r="H166" s="131"/>
      <c r="I166" s="113"/>
      <c r="J166" s="117"/>
    </row>
    <row r="167" ht="15.95" customHeight="1" spans="1:10">
      <c r="A167" s="131"/>
      <c r="B167" s="131"/>
      <c r="C167" s="131"/>
      <c r="D167" s="131"/>
      <c r="E167" s="131"/>
      <c r="F167" s="113" t="s">
        <v>722</v>
      </c>
      <c r="G167" s="131"/>
      <c r="H167" s="131"/>
      <c r="I167" s="113"/>
      <c r="J167" s="117"/>
    </row>
    <row r="168" ht="30" spans="1:10">
      <c r="A168" s="131"/>
      <c r="B168" s="131"/>
      <c r="C168" s="131"/>
      <c r="D168" s="131"/>
      <c r="E168" s="131"/>
      <c r="F168" s="113" t="s">
        <v>737</v>
      </c>
      <c r="G168" s="131"/>
      <c r="H168" s="131"/>
      <c r="I168" s="113"/>
      <c r="J168" s="117"/>
    </row>
    <row r="169" spans="1:10">
      <c r="A169" s="131"/>
      <c r="B169" s="131"/>
      <c r="C169" s="131"/>
      <c r="D169" s="131"/>
      <c r="E169" s="131"/>
      <c r="F169" s="113"/>
      <c r="G169" s="131"/>
      <c r="H169" s="131"/>
      <c r="I169" s="113"/>
      <c r="J169" s="117"/>
    </row>
    <row r="170" spans="1:10">
      <c r="A170" s="131"/>
      <c r="B170" s="131"/>
      <c r="C170" s="131"/>
      <c r="D170" s="131"/>
      <c r="E170" s="131"/>
      <c r="F170" s="113"/>
      <c r="G170" s="131"/>
      <c r="H170" s="131"/>
      <c r="I170" s="113"/>
      <c r="J170" s="117"/>
    </row>
    <row r="171" ht="30" spans="1:10">
      <c r="A171" s="204">
        <v>5.9</v>
      </c>
      <c r="B171" s="131"/>
      <c r="C171" s="113" t="s">
        <v>538</v>
      </c>
      <c r="D171" s="113" t="s">
        <v>733</v>
      </c>
      <c r="E171" s="113" t="s">
        <v>734</v>
      </c>
      <c r="F171" s="112" t="s">
        <v>738</v>
      </c>
      <c r="G171" s="113" t="s">
        <v>187</v>
      </c>
      <c r="H171" s="113">
        <v>2</v>
      </c>
      <c r="I171" s="113">
        <v>29500</v>
      </c>
      <c r="J171" s="117">
        <f t="shared" ref="J171" si="4">SUM(H171*I171)</f>
        <v>59000</v>
      </c>
    </row>
    <row r="172" spans="1:10">
      <c r="A172" s="131"/>
      <c r="B172" s="131"/>
      <c r="C172" s="131"/>
      <c r="D172" s="131"/>
      <c r="E172" s="131"/>
      <c r="F172" s="113" t="s">
        <v>253</v>
      </c>
      <c r="G172" s="131"/>
      <c r="H172" s="131"/>
      <c r="I172" s="113"/>
      <c r="J172" s="117"/>
    </row>
    <row r="173" ht="45" spans="1:10">
      <c r="A173" s="131"/>
      <c r="B173" s="131"/>
      <c r="C173" s="131"/>
      <c r="D173" s="131"/>
      <c r="E173" s="131"/>
      <c r="F173" s="113" t="s">
        <v>739</v>
      </c>
      <c r="G173" s="131"/>
      <c r="H173" s="131"/>
      <c r="I173" s="113"/>
      <c r="J173" s="117"/>
    </row>
    <row r="174" spans="1:10">
      <c r="A174" s="131"/>
      <c r="B174" s="131"/>
      <c r="C174" s="131"/>
      <c r="D174" s="131"/>
      <c r="E174" s="131"/>
      <c r="F174" s="113" t="s">
        <v>722</v>
      </c>
      <c r="G174" s="131"/>
      <c r="H174" s="131"/>
      <c r="I174" s="113"/>
      <c r="J174" s="117"/>
    </row>
    <row r="175" ht="30" spans="1:10">
      <c r="A175" s="131"/>
      <c r="B175" s="131"/>
      <c r="C175" s="131"/>
      <c r="D175" s="131"/>
      <c r="E175" s="131"/>
      <c r="F175" s="113" t="s">
        <v>737</v>
      </c>
      <c r="G175" s="131"/>
      <c r="H175" s="131"/>
      <c r="I175" s="113"/>
      <c r="J175" s="117"/>
    </row>
    <row r="176" spans="1:10">
      <c r="A176" s="131"/>
      <c r="B176" s="131"/>
      <c r="C176" s="131"/>
      <c r="D176" s="131"/>
      <c r="E176" s="131"/>
      <c r="F176" s="113"/>
      <c r="G176" s="131"/>
      <c r="H176" s="131"/>
      <c r="I176" s="113"/>
      <c r="J176" s="117"/>
    </row>
    <row r="177" ht="27" customHeight="1" spans="1:10">
      <c r="A177" s="146">
        <v>5.1</v>
      </c>
      <c r="B177" s="131"/>
      <c r="C177" s="113" t="s">
        <v>538</v>
      </c>
      <c r="D177" s="113" t="s">
        <v>733</v>
      </c>
      <c r="E177" s="113" t="s">
        <v>734</v>
      </c>
      <c r="F177" s="112" t="s">
        <v>740</v>
      </c>
      <c r="G177" s="113" t="s">
        <v>187</v>
      </c>
      <c r="H177" s="113">
        <v>1</v>
      </c>
      <c r="I177" s="113">
        <v>76500</v>
      </c>
      <c r="J177" s="117">
        <f t="shared" si="3"/>
        <v>76500</v>
      </c>
    </row>
    <row r="178" ht="15.95" customHeight="1" spans="1:10">
      <c r="A178" s="131"/>
      <c r="B178" s="131"/>
      <c r="C178" s="131"/>
      <c r="D178" s="131"/>
      <c r="E178" s="131"/>
      <c r="F178" s="113" t="s">
        <v>741</v>
      </c>
      <c r="G178" s="131"/>
      <c r="H178" s="131"/>
      <c r="I178" s="113"/>
      <c r="J178" s="117"/>
    </row>
    <row r="179" ht="45" spans="1:10">
      <c r="A179" s="131"/>
      <c r="B179" s="131"/>
      <c r="C179" s="131"/>
      <c r="D179" s="131"/>
      <c r="E179" s="131"/>
      <c r="F179" s="113" t="s">
        <v>742</v>
      </c>
      <c r="G179" s="131"/>
      <c r="H179" s="131"/>
      <c r="I179" s="113"/>
      <c r="J179" s="117"/>
    </row>
    <row r="180" ht="15.95" customHeight="1" spans="1:10">
      <c r="A180" s="131"/>
      <c r="B180" s="131"/>
      <c r="C180" s="131"/>
      <c r="D180" s="131"/>
      <c r="E180" s="131"/>
      <c r="F180" s="115" t="s">
        <v>743</v>
      </c>
      <c r="G180" s="131"/>
      <c r="H180" s="131"/>
      <c r="I180" s="113"/>
      <c r="J180" s="117"/>
    </row>
    <row r="181" ht="30" spans="1:10">
      <c r="A181" s="131"/>
      <c r="B181" s="131"/>
      <c r="C181" s="131"/>
      <c r="D181" s="131"/>
      <c r="E181" s="131"/>
      <c r="F181" s="115" t="s">
        <v>744</v>
      </c>
      <c r="G181" s="131"/>
      <c r="H181" s="131"/>
      <c r="I181" s="113"/>
      <c r="J181" s="117"/>
    </row>
    <row r="182" ht="15.95" customHeight="1" spans="1:10">
      <c r="A182" s="131"/>
      <c r="B182" s="131"/>
      <c r="C182" s="131"/>
      <c r="D182" s="131"/>
      <c r="E182" s="131"/>
      <c r="F182" s="115" t="s">
        <v>255</v>
      </c>
      <c r="G182" s="131"/>
      <c r="H182" s="131"/>
      <c r="I182" s="113"/>
      <c r="J182" s="117"/>
    </row>
    <row r="183" ht="30" spans="1:10">
      <c r="A183" s="131"/>
      <c r="B183" s="131"/>
      <c r="C183" s="131"/>
      <c r="D183" s="131"/>
      <c r="E183" s="131"/>
      <c r="F183" s="115" t="s">
        <v>745</v>
      </c>
      <c r="G183" s="131"/>
      <c r="H183" s="131"/>
      <c r="I183" s="113"/>
      <c r="J183" s="117"/>
    </row>
    <row r="184" spans="1:10">
      <c r="A184" s="113"/>
      <c r="B184" s="131"/>
      <c r="C184" s="113"/>
      <c r="D184" s="113"/>
      <c r="E184" s="113"/>
      <c r="F184" s="113"/>
      <c r="G184" s="113"/>
      <c r="H184" s="113"/>
      <c r="I184" s="113"/>
      <c r="J184" s="117"/>
    </row>
    <row r="185" ht="30" spans="1:10">
      <c r="A185" s="113">
        <v>5.11</v>
      </c>
      <c r="B185" s="131"/>
      <c r="C185" s="113" t="s">
        <v>538</v>
      </c>
      <c r="D185" s="113" t="s">
        <v>733</v>
      </c>
      <c r="E185" s="113" t="s">
        <v>734</v>
      </c>
      <c r="F185" s="112" t="s">
        <v>746</v>
      </c>
      <c r="G185" s="113" t="s">
        <v>187</v>
      </c>
      <c r="H185" s="113">
        <v>2</v>
      </c>
      <c r="I185" s="113">
        <v>45800</v>
      </c>
      <c r="J185" s="117">
        <f t="shared" ref="J185" si="5">SUM(H185*I185)</f>
        <v>91600</v>
      </c>
    </row>
    <row r="186" spans="1:10">
      <c r="A186" s="113"/>
      <c r="B186" s="131"/>
      <c r="C186" s="131"/>
      <c r="D186" s="131"/>
      <c r="E186" s="131"/>
      <c r="F186" s="113" t="s">
        <v>741</v>
      </c>
      <c r="G186" s="131"/>
      <c r="H186" s="131"/>
      <c r="I186" s="113"/>
      <c r="J186" s="117"/>
    </row>
    <row r="187" ht="45" spans="1:10">
      <c r="A187" s="113"/>
      <c r="B187" s="131"/>
      <c r="C187" s="131"/>
      <c r="D187" s="131"/>
      <c r="E187" s="131"/>
      <c r="F187" s="113" t="s">
        <v>747</v>
      </c>
      <c r="G187" s="131"/>
      <c r="H187" s="131"/>
      <c r="I187" s="113"/>
      <c r="J187" s="117"/>
    </row>
    <row r="188" ht="15.95" customHeight="1" spans="1:10">
      <c r="A188" s="113"/>
      <c r="B188" s="131"/>
      <c r="C188" s="131"/>
      <c r="D188" s="131"/>
      <c r="E188" s="131"/>
      <c r="F188" s="115" t="s">
        <v>743</v>
      </c>
      <c r="G188" s="131"/>
      <c r="H188" s="131"/>
      <c r="I188" s="113"/>
      <c r="J188" s="117"/>
    </row>
    <row r="189" ht="30" spans="1:10">
      <c r="A189" s="131"/>
      <c r="B189" s="131"/>
      <c r="C189" s="131"/>
      <c r="D189" s="131"/>
      <c r="E189" s="131"/>
      <c r="F189" s="115" t="s">
        <v>744</v>
      </c>
      <c r="G189" s="131"/>
      <c r="H189" s="131"/>
      <c r="I189" s="113"/>
      <c r="J189" s="117"/>
    </row>
    <row r="190" spans="1:10">
      <c r="A190" s="131"/>
      <c r="B190" s="131"/>
      <c r="C190" s="131"/>
      <c r="D190" s="131"/>
      <c r="E190" s="131"/>
      <c r="F190" s="115" t="s">
        <v>255</v>
      </c>
      <c r="G190" s="131"/>
      <c r="H190" s="131"/>
      <c r="I190" s="113"/>
      <c r="J190" s="117"/>
    </row>
    <row r="191" ht="30" spans="1:10">
      <c r="A191" s="131"/>
      <c r="B191" s="131"/>
      <c r="C191" s="131"/>
      <c r="D191" s="131"/>
      <c r="E191" s="131"/>
      <c r="F191" s="115" t="s">
        <v>745</v>
      </c>
      <c r="G191" s="131"/>
      <c r="H191" s="131"/>
      <c r="I191" s="113"/>
      <c r="J191" s="117"/>
    </row>
    <row r="192" spans="1:10">
      <c r="A192" s="131"/>
      <c r="B192" s="131"/>
      <c r="C192" s="131"/>
      <c r="D192" s="131"/>
      <c r="E192" s="131"/>
      <c r="F192" s="115"/>
      <c r="G192" s="131"/>
      <c r="H192" s="131"/>
      <c r="I192" s="113"/>
      <c r="J192" s="117"/>
    </row>
    <row r="193" spans="1:10">
      <c r="A193" s="146">
        <v>5.12</v>
      </c>
      <c r="B193" s="131"/>
      <c r="C193" s="113" t="s">
        <v>538</v>
      </c>
      <c r="D193" s="113" t="s">
        <v>748</v>
      </c>
      <c r="E193" s="113" t="s">
        <v>749</v>
      </c>
      <c r="F193" s="148" t="s">
        <v>749</v>
      </c>
      <c r="G193" s="113" t="s">
        <v>106</v>
      </c>
      <c r="H193" s="113">
        <f>3*2.4</f>
        <v>7.2</v>
      </c>
      <c r="I193" s="113">
        <v>10500</v>
      </c>
      <c r="J193" s="117">
        <f t="shared" ref="J193:J240" si="6">SUM(H193*I193)</f>
        <v>75600</v>
      </c>
    </row>
    <row r="194" spans="1:10">
      <c r="A194" s="131"/>
      <c r="B194" s="131"/>
      <c r="C194" s="131"/>
      <c r="D194" s="131"/>
      <c r="E194" s="131"/>
      <c r="F194" s="115" t="s">
        <v>750</v>
      </c>
      <c r="G194" s="131"/>
      <c r="H194" s="131"/>
      <c r="I194" s="113"/>
      <c r="J194" s="117"/>
    </row>
    <row r="195" ht="45" spans="1:10">
      <c r="A195" s="131"/>
      <c r="B195" s="131"/>
      <c r="C195" s="131"/>
      <c r="D195" s="131"/>
      <c r="E195" s="131"/>
      <c r="F195" s="115" t="s">
        <v>751</v>
      </c>
      <c r="G195" s="131"/>
      <c r="H195" s="131"/>
      <c r="I195" s="113"/>
      <c r="J195" s="117"/>
    </row>
    <row r="196" spans="1:10">
      <c r="A196" s="131"/>
      <c r="B196" s="131"/>
      <c r="C196" s="131"/>
      <c r="D196" s="131"/>
      <c r="E196" s="131"/>
      <c r="F196" s="115"/>
      <c r="G196" s="131"/>
      <c r="H196" s="131"/>
      <c r="I196" s="113"/>
      <c r="J196" s="117"/>
    </row>
    <row r="197" spans="1:10">
      <c r="A197" s="179"/>
      <c r="B197" s="179"/>
      <c r="C197" s="179"/>
      <c r="D197" s="179"/>
      <c r="E197" s="179"/>
      <c r="F197" s="181"/>
      <c r="G197" s="179"/>
      <c r="H197" s="179"/>
      <c r="I197" s="125"/>
      <c r="J197" s="196"/>
    </row>
    <row r="198" ht="30" spans="1:10">
      <c r="A198" s="113">
        <v>5.13</v>
      </c>
      <c r="B198" s="131"/>
      <c r="C198" s="113" t="s">
        <v>538</v>
      </c>
      <c r="D198" s="113" t="s">
        <v>733</v>
      </c>
      <c r="E198" s="113" t="s">
        <v>734</v>
      </c>
      <c r="F198" s="112" t="s">
        <v>752</v>
      </c>
      <c r="G198" s="113" t="s">
        <v>187</v>
      </c>
      <c r="H198" s="113">
        <v>3</v>
      </c>
      <c r="I198" s="113">
        <v>11200</v>
      </c>
      <c r="J198" s="117">
        <f t="shared" ref="J198" si="7">SUM(H198*I198)</f>
        <v>33600</v>
      </c>
    </row>
    <row r="199" spans="1:10">
      <c r="A199" s="131"/>
      <c r="B199" s="131"/>
      <c r="C199" s="131"/>
      <c r="D199" s="131"/>
      <c r="E199" s="131"/>
      <c r="F199" s="113" t="s">
        <v>253</v>
      </c>
      <c r="G199" s="131"/>
      <c r="H199" s="131"/>
      <c r="I199" s="113"/>
      <c r="J199" s="117"/>
    </row>
    <row r="200" ht="45" spans="1:10">
      <c r="A200" s="131"/>
      <c r="B200" s="131"/>
      <c r="C200" s="131"/>
      <c r="D200" s="131"/>
      <c r="E200" s="131"/>
      <c r="F200" s="113" t="s">
        <v>753</v>
      </c>
      <c r="G200" s="131"/>
      <c r="H200" s="131"/>
      <c r="I200" s="113"/>
      <c r="J200" s="117"/>
    </row>
    <row r="201" spans="1:10">
      <c r="A201" s="131"/>
      <c r="B201" s="131"/>
      <c r="C201" s="131"/>
      <c r="D201" s="131"/>
      <c r="E201" s="131"/>
      <c r="F201" s="113" t="s">
        <v>722</v>
      </c>
      <c r="G201" s="131"/>
      <c r="H201" s="131"/>
      <c r="I201" s="113"/>
      <c r="J201" s="117"/>
    </row>
    <row r="202" spans="1:10">
      <c r="A202" s="131"/>
      <c r="B202" s="131"/>
      <c r="C202" s="131"/>
      <c r="D202" s="131"/>
      <c r="E202" s="131"/>
      <c r="F202" s="113" t="s">
        <v>754</v>
      </c>
      <c r="G202" s="131"/>
      <c r="H202" s="131"/>
      <c r="I202" s="113"/>
      <c r="J202" s="117"/>
    </row>
    <row r="203" ht="15.75" spans="1:10">
      <c r="A203" s="179"/>
      <c r="B203" s="179"/>
      <c r="C203" s="179"/>
      <c r="D203" s="179"/>
      <c r="E203" s="179"/>
      <c r="F203" s="181"/>
      <c r="G203" s="179"/>
      <c r="H203" s="179"/>
      <c r="I203" s="125"/>
      <c r="J203" s="196"/>
    </row>
    <row r="204" ht="13.5" customHeight="1" spans="1:10">
      <c r="A204" s="108" t="s">
        <v>267</v>
      </c>
      <c r="B204" s="190"/>
      <c r="C204" s="190"/>
      <c r="D204" s="190"/>
      <c r="E204" s="190"/>
      <c r="F204" s="96" t="s">
        <v>610</v>
      </c>
      <c r="G204" s="190"/>
      <c r="H204" s="190"/>
      <c r="I204" s="96"/>
      <c r="J204" s="201"/>
    </row>
    <row r="205" ht="13.5" customHeight="1" spans="1:10">
      <c r="A205" s="129"/>
      <c r="B205" s="130"/>
      <c r="C205" s="130"/>
      <c r="D205" s="130"/>
      <c r="E205" s="130"/>
      <c r="F205" s="129"/>
      <c r="G205" s="130"/>
      <c r="H205" s="130"/>
      <c r="I205" s="129"/>
      <c r="J205" s="198"/>
    </row>
    <row r="206" ht="16.5" customHeight="1" spans="1:10">
      <c r="A206" s="131"/>
      <c r="B206" s="131"/>
      <c r="C206" s="131"/>
      <c r="D206" s="131"/>
      <c r="E206" s="131"/>
      <c r="F206" s="145" t="s">
        <v>611</v>
      </c>
      <c r="G206" s="131"/>
      <c r="H206" s="131"/>
      <c r="I206" s="113"/>
      <c r="J206" s="117"/>
    </row>
    <row r="207" ht="15.95" customHeight="1" spans="1:10">
      <c r="A207" s="113">
        <v>6.1</v>
      </c>
      <c r="B207" s="131"/>
      <c r="C207" s="113" t="s">
        <v>612</v>
      </c>
      <c r="D207" s="113" t="s">
        <v>613</v>
      </c>
      <c r="E207" s="131"/>
      <c r="F207" s="113" t="s">
        <v>755</v>
      </c>
      <c r="G207" s="113" t="s">
        <v>187</v>
      </c>
      <c r="H207" s="113">
        <v>8</v>
      </c>
      <c r="I207" s="113">
        <v>2500</v>
      </c>
      <c r="J207" s="117">
        <f t="shared" si="6"/>
        <v>20000</v>
      </c>
    </row>
    <row r="208" ht="15.95" customHeight="1" spans="1:10">
      <c r="A208" s="113">
        <v>6.2</v>
      </c>
      <c r="B208" s="131"/>
      <c r="C208" s="113" t="s">
        <v>612</v>
      </c>
      <c r="D208" s="113" t="s">
        <v>613</v>
      </c>
      <c r="E208" s="131"/>
      <c r="F208" s="113" t="s">
        <v>615</v>
      </c>
      <c r="G208" s="113" t="s">
        <v>187</v>
      </c>
      <c r="H208" s="113">
        <v>8</v>
      </c>
      <c r="I208" s="113">
        <v>1500</v>
      </c>
      <c r="J208" s="117">
        <f t="shared" si="6"/>
        <v>12000</v>
      </c>
    </row>
    <row r="209" ht="15.95" customHeight="1" spans="1:10">
      <c r="A209" s="113">
        <v>6.3</v>
      </c>
      <c r="B209" s="131"/>
      <c r="C209" s="113" t="s">
        <v>612</v>
      </c>
      <c r="D209" s="113" t="s">
        <v>613</v>
      </c>
      <c r="E209" s="131"/>
      <c r="F209" s="113" t="s">
        <v>616</v>
      </c>
      <c r="G209" s="113" t="s">
        <v>187</v>
      </c>
      <c r="H209" s="113">
        <v>8</v>
      </c>
      <c r="I209" s="113">
        <v>500</v>
      </c>
      <c r="J209" s="117">
        <f t="shared" si="6"/>
        <v>4000</v>
      </c>
    </row>
    <row r="210" ht="15.95" customHeight="1" spans="1:10">
      <c r="A210" s="113">
        <v>6.4</v>
      </c>
      <c r="B210" s="131"/>
      <c r="C210" s="113" t="s">
        <v>612</v>
      </c>
      <c r="D210" s="113" t="s">
        <v>613</v>
      </c>
      <c r="E210" s="131"/>
      <c r="F210" s="113" t="s">
        <v>756</v>
      </c>
      <c r="G210" s="113" t="s">
        <v>187</v>
      </c>
      <c r="H210" s="113">
        <v>4</v>
      </c>
      <c r="I210" s="113">
        <v>1800</v>
      </c>
      <c r="J210" s="117">
        <f t="shared" si="6"/>
        <v>7200</v>
      </c>
    </row>
    <row r="211" ht="15.95" customHeight="1" spans="1:10">
      <c r="A211" s="113">
        <v>6.5</v>
      </c>
      <c r="B211" s="131"/>
      <c r="C211" s="113" t="s">
        <v>612</v>
      </c>
      <c r="D211" s="113" t="s">
        <v>613</v>
      </c>
      <c r="E211" s="131"/>
      <c r="F211" s="113" t="s">
        <v>757</v>
      </c>
      <c r="G211" s="113" t="s">
        <v>187</v>
      </c>
      <c r="H211" s="113">
        <v>4</v>
      </c>
      <c r="I211" s="113">
        <v>1800</v>
      </c>
      <c r="J211" s="117">
        <f t="shared" si="6"/>
        <v>7200</v>
      </c>
    </row>
    <row r="212" ht="15.95" customHeight="1" spans="1:10">
      <c r="A212" s="113">
        <v>6.6</v>
      </c>
      <c r="B212" s="131"/>
      <c r="C212" s="113" t="s">
        <v>612</v>
      </c>
      <c r="D212" s="113" t="s">
        <v>613</v>
      </c>
      <c r="E212" s="131"/>
      <c r="F212" s="113" t="s">
        <v>618</v>
      </c>
      <c r="G212" s="113" t="s">
        <v>187</v>
      </c>
      <c r="H212" s="113">
        <v>8</v>
      </c>
      <c r="I212" s="113">
        <v>500</v>
      </c>
      <c r="J212" s="117">
        <f t="shared" si="6"/>
        <v>4000</v>
      </c>
    </row>
    <row r="213" ht="15.95" customHeight="1" spans="1:10">
      <c r="A213" s="113">
        <v>6.7</v>
      </c>
      <c r="B213" s="131"/>
      <c r="C213" s="113" t="s">
        <v>612</v>
      </c>
      <c r="D213" s="113" t="s">
        <v>613</v>
      </c>
      <c r="E213" s="131"/>
      <c r="F213" s="113" t="s">
        <v>619</v>
      </c>
      <c r="G213" s="113" t="s">
        <v>187</v>
      </c>
      <c r="H213" s="113">
        <v>8</v>
      </c>
      <c r="I213" s="113">
        <v>500</v>
      </c>
      <c r="J213" s="117">
        <f t="shared" si="6"/>
        <v>4000</v>
      </c>
    </row>
    <row r="214" ht="15.95" customHeight="1" spans="1:10">
      <c r="A214" s="113">
        <v>6.8</v>
      </c>
      <c r="B214" s="131"/>
      <c r="C214" s="113" t="s">
        <v>612</v>
      </c>
      <c r="D214" s="113" t="s">
        <v>613</v>
      </c>
      <c r="E214" s="131"/>
      <c r="F214" s="113" t="s">
        <v>620</v>
      </c>
      <c r="G214" s="113" t="s">
        <v>187</v>
      </c>
      <c r="H214" s="113">
        <v>8</v>
      </c>
      <c r="I214" s="113">
        <v>300</v>
      </c>
      <c r="J214" s="117">
        <f t="shared" si="6"/>
        <v>2400</v>
      </c>
    </row>
    <row r="215" ht="15.95" customHeight="1" spans="1:10">
      <c r="A215" s="113">
        <v>6.9</v>
      </c>
      <c r="B215" s="131"/>
      <c r="C215" s="113" t="s">
        <v>612</v>
      </c>
      <c r="D215" s="113" t="s">
        <v>613</v>
      </c>
      <c r="E215" s="131"/>
      <c r="F215" s="113" t="s">
        <v>621</v>
      </c>
      <c r="G215" s="113" t="s">
        <v>187</v>
      </c>
      <c r="H215" s="113">
        <v>2</v>
      </c>
      <c r="I215" s="113">
        <v>750</v>
      </c>
      <c r="J215" s="117">
        <f t="shared" si="6"/>
        <v>1500</v>
      </c>
    </row>
    <row r="216" ht="15.95" customHeight="1" spans="1:10">
      <c r="A216" s="146">
        <v>6.1</v>
      </c>
      <c r="B216" s="131"/>
      <c r="C216" s="113" t="s">
        <v>612</v>
      </c>
      <c r="D216" s="113" t="s">
        <v>613</v>
      </c>
      <c r="E216" s="131"/>
      <c r="F216" s="113" t="s">
        <v>622</v>
      </c>
      <c r="G216" s="113" t="s">
        <v>187</v>
      </c>
      <c r="H216" s="113">
        <v>2</v>
      </c>
      <c r="I216" s="113">
        <v>300</v>
      </c>
      <c r="J216" s="117">
        <f t="shared" si="6"/>
        <v>600</v>
      </c>
    </row>
    <row r="217" ht="15.95" customHeight="1" spans="1:10">
      <c r="A217" s="113">
        <v>6.11</v>
      </c>
      <c r="B217" s="131"/>
      <c r="C217" s="113" t="s">
        <v>612</v>
      </c>
      <c r="D217" s="113" t="s">
        <v>613</v>
      </c>
      <c r="E217" s="131"/>
      <c r="F217" s="113" t="s">
        <v>758</v>
      </c>
      <c r="G217" s="113" t="s">
        <v>187</v>
      </c>
      <c r="H217" s="113">
        <v>2</v>
      </c>
      <c r="I217" s="113">
        <v>1500</v>
      </c>
      <c r="J217" s="117">
        <f t="shared" si="6"/>
        <v>3000</v>
      </c>
    </row>
    <row r="218" ht="15.95" customHeight="1" spans="1:10">
      <c r="A218" s="146">
        <v>6.12</v>
      </c>
      <c r="B218" s="131"/>
      <c r="C218" s="113" t="s">
        <v>612</v>
      </c>
      <c r="D218" s="113" t="s">
        <v>613</v>
      </c>
      <c r="E218" s="131"/>
      <c r="F218" s="113" t="s">
        <v>759</v>
      </c>
      <c r="G218" s="113" t="s">
        <v>187</v>
      </c>
      <c r="H218" s="113">
        <v>5</v>
      </c>
      <c r="I218" s="113">
        <v>2000</v>
      </c>
      <c r="J218" s="117">
        <f t="shared" si="6"/>
        <v>10000</v>
      </c>
    </row>
    <row r="219" ht="15.95" customHeight="1" spans="1:10">
      <c r="A219" s="113">
        <v>6.13</v>
      </c>
      <c r="B219" s="131"/>
      <c r="C219" s="113" t="s">
        <v>612</v>
      </c>
      <c r="D219" s="113" t="s">
        <v>613</v>
      </c>
      <c r="E219" s="131"/>
      <c r="F219" s="113" t="s">
        <v>760</v>
      </c>
      <c r="G219" s="113" t="s">
        <v>187</v>
      </c>
      <c r="H219" s="113">
        <v>5</v>
      </c>
      <c r="I219" s="113">
        <v>500</v>
      </c>
      <c r="J219" s="117">
        <f t="shared" si="6"/>
        <v>2500</v>
      </c>
    </row>
    <row r="220" ht="15.95" customHeight="1" spans="1:10">
      <c r="A220" s="146">
        <v>6.14</v>
      </c>
      <c r="B220" s="131"/>
      <c r="C220" s="113" t="s">
        <v>612</v>
      </c>
      <c r="D220" s="113" t="s">
        <v>613</v>
      </c>
      <c r="E220" s="131"/>
      <c r="F220" s="113" t="s">
        <v>623</v>
      </c>
      <c r="G220" s="113" t="s">
        <v>187</v>
      </c>
      <c r="H220" s="113">
        <v>8</v>
      </c>
      <c r="I220" s="113">
        <v>250</v>
      </c>
      <c r="J220" s="117">
        <f t="shared" si="6"/>
        <v>2000</v>
      </c>
    </row>
    <row r="221" ht="15.95" customHeight="1" spans="1:10">
      <c r="A221" s="113">
        <v>6.15</v>
      </c>
      <c r="B221" s="131"/>
      <c r="C221" s="113" t="s">
        <v>612</v>
      </c>
      <c r="D221" s="113" t="s">
        <v>613</v>
      </c>
      <c r="E221" s="131"/>
      <c r="F221" s="113" t="s">
        <v>624</v>
      </c>
      <c r="G221" s="113" t="s">
        <v>187</v>
      </c>
      <c r="H221" s="113">
        <v>8</v>
      </c>
      <c r="I221" s="113">
        <v>150</v>
      </c>
      <c r="J221" s="117">
        <f t="shared" si="6"/>
        <v>1200</v>
      </c>
    </row>
    <row r="222" ht="15.95" customHeight="1" spans="1:10">
      <c r="A222" s="146">
        <v>6.16</v>
      </c>
      <c r="B222" s="131"/>
      <c r="C222" s="113" t="s">
        <v>612</v>
      </c>
      <c r="D222" s="113" t="s">
        <v>613</v>
      </c>
      <c r="E222" s="131"/>
      <c r="F222" s="113" t="s">
        <v>625</v>
      </c>
      <c r="G222" s="113" t="s">
        <v>187</v>
      </c>
      <c r="H222" s="113">
        <v>13</v>
      </c>
      <c r="I222" s="113">
        <v>100</v>
      </c>
      <c r="J222" s="117">
        <f t="shared" si="6"/>
        <v>1300</v>
      </c>
    </row>
    <row r="223" ht="15.95" customHeight="1" spans="1:10">
      <c r="A223" s="113">
        <v>6.17</v>
      </c>
      <c r="B223" s="131"/>
      <c r="C223" s="113" t="s">
        <v>612</v>
      </c>
      <c r="D223" s="113" t="s">
        <v>613</v>
      </c>
      <c r="E223" s="131"/>
      <c r="F223" s="113" t="s">
        <v>615</v>
      </c>
      <c r="G223" s="113" t="s">
        <v>187</v>
      </c>
      <c r="H223" s="113">
        <v>1</v>
      </c>
      <c r="I223" s="113">
        <v>1500</v>
      </c>
      <c r="J223" s="117">
        <f t="shared" si="6"/>
        <v>1500</v>
      </c>
    </row>
    <row r="224" ht="15.95" customHeight="1" spans="1:10">
      <c r="A224" s="146">
        <v>6.18000000000001</v>
      </c>
      <c r="B224" s="131"/>
      <c r="C224" s="113" t="s">
        <v>612</v>
      </c>
      <c r="D224" s="113" t="s">
        <v>613</v>
      </c>
      <c r="E224" s="131"/>
      <c r="F224" s="113" t="s">
        <v>616</v>
      </c>
      <c r="G224" s="113" t="s">
        <v>187</v>
      </c>
      <c r="H224" s="113">
        <v>1</v>
      </c>
      <c r="I224" s="113">
        <v>500</v>
      </c>
      <c r="J224" s="117">
        <f t="shared" si="6"/>
        <v>500</v>
      </c>
    </row>
    <row r="225" ht="15.95" customHeight="1" spans="1:10">
      <c r="A225" s="113">
        <v>6.19000000000001</v>
      </c>
      <c r="B225" s="131"/>
      <c r="C225" s="113" t="s">
        <v>612</v>
      </c>
      <c r="D225" s="113" t="s">
        <v>613</v>
      </c>
      <c r="E225" s="131"/>
      <c r="F225" s="113" t="s">
        <v>761</v>
      </c>
      <c r="G225" s="113" t="s">
        <v>187</v>
      </c>
      <c r="H225" s="113">
        <v>1</v>
      </c>
      <c r="I225" s="113">
        <v>2500</v>
      </c>
      <c r="J225" s="117">
        <f t="shared" si="6"/>
        <v>2500</v>
      </c>
    </row>
    <row r="226" ht="15.95" customHeight="1" spans="1:10">
      <c r="A226" s="146">
        <v>6.20000000000001</v>
      </c>
      <c r="B226" s="131"/>
      <c r="C226" s="113" t="s">
        <v>612</v>
      </c>
      <c r="D226" s="113" t="s">
        <v>613</v>
      </c>
      <c r="E226" s="131"/>
      <c r="F226" s="113" t="s">
        <v>762</v>
      </c>
      <c r="G226" s="113" t="s">
        <v>187</v>
      </c>
      <c r="H226" s="113">
        <v>1</v>
      </c>
      <c r="I226" s="113">
        <v>2500</v>
      </c>
      <c r="J226" s="117">
        <f t="shared" si="6"/>
        <v>2500</v>
      </c>
    </row>
    <row r="227" ht="15.95" customHeight="1" spans="1:10">
      <c r="A227" s="113">
        <v>6.21000000000001</v>
      </c>
      <c r="B227" s="131"/>
      <c r="C227" s="113" t="s">
        <v>612</v>
      </c>
      <c r="D227" s="113" t="s">
        <v>613</v>
      </c>
      <c r="E227" s="131"/>
      <c r="F227" s="113" t="s">
        <v>763</v>
      </c>
      <c r="G227" s="113" t="s">
        <v>187</v>
      </c>
      <c r="H227" s="113">
        <v>1</v>
      </c>
      <c r="I227" s="113">
        <v>300</v>
      </c>
      <c r="J227" s="117">
        <f t="shared" si="6"/>
        <v>300</v>
      </c>
    </row>
    <row r="228" ht="15.95" customHeight="1" spans="1:10">
      <c r="A228" s="146">
        <v>6.22000000000001</v>
      </c>
      <c r="B228" s="131"/>
      <c r="C228" s="113" t="s">
        <v>612</v>
      </c>
      <c r="D228" s="113" t="s">
        <v>613</v>
      </c>
      <c r="E228" s="131"/>
      <c r="F228" s="113" t="s">
        <v>620</v>
      </c>
      <c r="G228" s="113" t="s">
        <v>187</v>
      </c>
      <c r="H228" s="113">
        <v>1</v>
      </c>
      <c r="I228" s="113">
        <v>300</v>
      </c>
      <c r="J228" s="117">
        <f t="shared" si="6"/>
        <v>300</v>
      </c>
    </row>
    <row r="229" ht="15.95" customHeight="1" spans="1:10">
      <c r="A229" s="113">
        <v>6.23000000000001</v>
      </c>
      <c r="B229" s="131"/>
      <c r="C229" s="113" t="s">
        <v>612</v>
      </c>
      <c r="D229" s="113" t="s">
        <v>613</v>
      </c>
      <c r="E229" s="131"/>
      <c r="F229" s="113" t="s">
        <v>621</v>
      </c>
      <c r="G229" s="113" t="s">
        <v>187</v>
      </c>
      <c r="H229" s="113">
        <v>1</v>
      </c>
      <c r="I229" s="113">
        <v>500</v>
      </c>
      <c r="J229" s="117">
        <f t="shared" si="6"/>
        <v>500</v>
      </c>
    </row>
    <row r="230" ht="15.95" customHeight="1" spans="1:10">
      <c r="A230" s="146">
        <v>6.24000000000001</v>
      </c>
      <c r="B230" s="131"/>
      <c r="C230" s="113" t="s">
        <v>612</v>
      </c>
      <c r="D230" s="113" t="s">
        <v>613</v>
      </c>
      <c r="E230" s="131"/>
      <c r="F230" s="113" t="s">
        <v>622</v>
      </c>
      <c r="G230" s="113" t="s">
        <v>187</v>
      </c>
      <c r="H230" s="113">
        <v>1</v>
      </c>
      <c r="I230" s="113">
        <v>300</v>
      </c>
      <c r="J230" s="117">
        <f t="shared" si="6"/>
        <v>300</v>
      </c>
    </row>
    <row r="231" ht="15.95" customHeight="1" spans="1:10">
      <c r="A231" s="113">
        <v>6.25000000000001</v>
      </c>
      <c r="B231" s="131"/>
      <c r="C231" s="113" t="s">
        <v>612</v>
      </c>
      <c r="D231" s="113" t="s">
        <v>613</v>
      </c>
      <c r="E231" s="131"/>
      <c r="F231" s="113" t="s">
        <v>764</v>
      </c>
      <c r="G231" s="113" t="s">
        <v>187</v>
      </c>
      <c r="H231" s="113">
        <v>4</v>
      </c>
      <c r="I231" s="113">
        <v>1500</v>
      </c>
      <c r="J231" s="117">
        <f t="shared" si="6"/>
        <v>6000</v>
      </c>
    </row>
    <row r="232" ht="15.95" customHeight="1" spans="1:10">
      <c r="A232" s="146">
        <v>6.26000000000001</v>
      </c>
      <c r="B232" s="131"/>
      <c r="C232" s="113" t="s">
        <v>612</v>
      </c>
      <c r="D232" s="113" t="s">
        <v>613</v>
      </c>
      <c r="E232" s="131"/>
      <c r="F232" s="113" t="s">
        <v>623</v>
      </c>
      <c r="G232" s="113" t="s">
        <v>187</v>
      </c>
      <c r="H232" s="113">
        <v>1</v>
      </c>
      <c r="I232" s="113">
        <v>250</v>
      </c>
      <c r="J232" s="117">
        <f t="shared" si="6"/>
        <v>250</v>
      </c>
    </row>
    <row r="233" ht="15.95" customHeight="1" spans="1:10">
      <c r="A233" s="113">
        <v>6.27000000000001</v>
      </c>
      <c r="B233" s="131"/>
      <c r="C233" s="113" t="s">
        <v>612</v>
      </c>
      <c r="D233" s="113" t="s">
        <v>613</v>
      </c>
      <c r="E233" s="131"/>
      <c r="F233" s="113" t="s">
        <v>624</v>
      </c>
      <c r="G233" s="113" t="s">
        <v>187</v>
      </c>
      <c r="H233" s="113">
        <v>1</v>
      </c>
      <c r="I233" s="113">
        <v>150</v>
      </c>
      <c r="J233" s="117">
        <f t="shared" si="6"/>
        <v>150</v>
      </c>
    </row>
    <row r="234" ht="15.95" customHeight="1" spans="1:10">
      <c r="A234" s="146">
        <v>6.28000000000001</v>
      </c>
      <c r="B234" s="131"/>
      <c r="C234" s="113" t="s">
        <v>612</v>
      </c>
      <c r="D234" s="113" t="s">
        <v>613</v>
      </c>
      <c r="E234" s="131"/>
      <c r="F234" s="113" t="s">
        <v>625</v>
      </c>
      <c r="G234" s="113" t="s">
        <v>187</v>
      </c>
      <c r="H234" s="113">
        <v>1</v>
      </c>
      <c r="I234" s="113">
        <v>100</v>
      </c>
      <c r="J234" s="117">
        <f t="shared" si="6"/>
        <v>100</v>
      </c>
    </row>
    <row r="235" ht="15.95" customHeight="1" spans="1:10">
      <c r="A235" s="180"/>
      <c r="B235" s="179"/>
      <c r="C235" s="125"/>
      <c r="D235" s="125"/>
      <c r="E235" s="179"/>
      <c r="F235" s="125"/>
      <c r="G235" s="125"/>
      <c r="H235" s="125"/>
      <c r="I235" s="125"/>
      <c r="J235" s="196"/>
    </row>
    <row r="236" ht="13.5" customHeight="1" spans="1:10">
      <c r="A236" s="108" t="s">
        <v>626</v>
      </c>
      <c r="B236" s="190"/>
      <c r="C236" s="190"/>
      <c r="D236" s="190"/>
      <c r="E236" s="190"/>
      <c r="F236" s="96" t="s">
        <v>627</v>
      </c>
      <c r="G236" s="190"/>
      <c r="H236" s="190"/>
      <c r="I236" s="96"/>
      <c r="J236" s="201"/>
    </row>
    <row r="237" ht="13.5" customHeight="1" spans="1:10">
      <c r="A237" s="129"/>
      <c r="B237" s="130"/>
      <c r="C237" s="130"/>
      <c r="D237" s="130"/>
      <c r="E237" s="130"/>
      <c r="F237" s="129"/>
      <c r="G237" s="130"/>
      <c r="H237" s="130"/>
      <c r="I237" s="129"/>
      <c r="J237" s="198"/>
    </row>
    <row r="238" ht="29.25" customHeight="1" spans="1:10">
      <c r="A238" s="113">
        <v>7.1</v>
      </c>
      <c r="B238" s="131"/>
      <c r="C238" s="113" t="s">
        <v>127</v>
      </c>
      <c r="D238" s="113" t="s">
        <v>628</v>
      </c>
      <c r="E238" s="131" t="s">
        <v>629</v>
      </c>
      <c r="F238" s="112" t="s">
        <v>630</v>
      </c>
      <c r="G238" s="113" t="s">
        <v>130</v>
      </c>
      <c r="H238" s="113">
        <f>25*3.2</f>
        <v>80</v>
      </c>
      <c r="I238" s="113">
        <v>485</v>
      </c>
      <c r="J238" s="117">
        <f t="shared" si="6"/>
        <v>38800</v>
      </c>
    </row>
    <row r="239" ht="45" spans="1:10">
      <c r="A239" s="131"/>
      <c r="B239" s="131"/>
      <c r="C239" s="131"/>
      <c r="D239" s="131"/>
      <c r="E239" s="131"/>
      <c r="F239" s="113" t="s">
        <v>631</v>
      </c>
      <c r="G239" s="131"/>
      <c r="H239" s="131"/>
      <c r="I239" s="113"/>
      <c r="J239" s="117"/>
    </row>
    <row r="240" ht="30" spans="1:10">
      <c r="A240" s="113">
        <v>7.2</v>
      </c>
      <c r="B240" s="131"/>
      <c r="C240" s="113" t="s">
        <v>127</v>
      </c>
      <c r="D240" s="113" t="s">
        <v>632</v>
      </c>
      <c r="E240" s="131" t="s">
        <v>633</v>
      </c>
      <c r="F240" s="112" t="s">
        <v>135</v>
      </c>
      <c r="G240" s="113" t="s">
        <v>130</v>
      </c>
      <c r="H240" s="113">
        <f>155+40</f>
        <v>195</v>
      </c>
      <c r="I240" s="113">
        <v>325</v>
      </c>
      <c r="J240" s="117">
        <f t="shared" si="6"/>
        <v>63375</v>
      </c>
    </row>
    <row r="241" ht="45" spans="1:10">
      <c r="A241" s="131"/>
      <c r="B241" s="131"/>
      <c r="C241" s="131"/>
      <c r="D241" s="131"/>
      <c r="E241" s="131"/>
      <c r="F241" s="113" t="s">
        <v>634</v>
      </c>
      <c r="G241" s="131"/>
      <c r="H241" s="131"/>
      <c r="I241" s="113"/>
      <c r="J241" s="113"/>
    </row>
    <row r="242" ht="15.75" spans="1:10">
      <c r="A242" s="179"/>
      <c r="B242" s="179"/>
      <c r="C242" s="179"/>
      <c r="D242" s="179"/>
      <c r="E242" s="179"/>
      <c r="F242" s="125"/>
      <c r="G242" s="179"/>
      <c r="H242" s="179"/>
      <c r="I242" s="125"/>
      <c r="J242" s="125"/>
    </row>
    <row r="243" ht="15.75" spans="1:10">
      <c r="A243" s="206"/>
      <c r="B243" s="207"/>
      <c r="C243" s="190"/>
      <c r="D243" s="190"/>
      <c r="E243" s="190"/>
      <c r="F243" s="96" t="s">
        <v>642</v>
      </c>
      <c r="G243" s="190"/>
      <c r="H243" s="190"/>
      <c r="I243" s="96"/>
      <c r="J243" s="210">
        <f>SUM(J6:J241)</f>
        <v>8833020</v>
      </c>
    </row>
    <row r="244" ht="16.5" customHeight="1" spans="1:8">
      <c r="A244" s="208"/>
      <c r="B244" s="208"/>
      <c r="C244" s="208"/>
      <c r="D244" s="208"/>
      <c r="E244" s="208"/>
      <c r="F244" s="208"/>
      <c r="G244" s="209"/>
      <c r="H244" s="209"/>
    </row>
    <row r="245" ht="12.75" customHeight="1" spans="10:10">
      <c r="J245" s="211"/>
    </row>
  </sheetData>
  <mergeCells count="7">
    <mergeCell ref="A1:H1"/>
    <mergeCell ref="A2:H2"/>
    <mergeCell ref="I3:J3"/>
    <mergeCell ref="A19:A20"/>
    <mergeCell ref="C19:C20"/>
    <mergeCell ref="D19:D20"/>
    <mergeCell ref="E19:E20"/>
  </mergeCells>
  <pageMargins left="0.7" right="0.7" top="0.75" bottom="0.75"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0"/>
  <sheetViews>
    <sheetView tabSelected="1" zoomScale="85" zoomScaleNormal="85" topLeftCell="A161" workbookViewId="0">
      <selection activeCell="O172" sqref="O172"/>
    </sheetView>
  </sheetViews>
  <sheetFormatPr defaultColWidth="8" defaultRowHeight="15"/>
  <cols>
    <col min="1" max="1" width="6.5" style="3" customWidth="1"/>
    <col min="2" max="2" width="1.375" style="4" customWidth="1"/>
    <col min="3" max="3" width="13" style="4" customWidth="1"/>
    <col min="4" max="4" width="4.5" style="4" customWidth="1"/>
    <col min="5" max="5" width="9.875" style="4" customWidth="1"/>
    <col min="6" max="6" width="16.25" style="4" customWidth="1"/>
    <col min="7" max="7" width="63.875" style="5" customWidth="1"/>
    <col min="8" max="8" width="4.75" style="5" customWidth="1"/>
    <col min="9" max="9" width="7.875" style="5" customWidth="1"/>
    <col min="10" max="10" width="9.625" style="5" hidden="1" customWidth="1"/>
    <col min="11" max="11" width="11" style="5" hidden="1" customWidth="1"/>
    <col min="12" max="12" width="7.125" style="5" hidden="1" customWidth="1"/>
    <col min="13" max="14" width="13" style="5" customWidth="1"/>
    <col min="15" max="15" width="12.875" style="6" customWidth="1"/>
    <col min="16" max="16384" width="8" style="6"/>
  </cols>
  <sheetData>
    <row r="1" spans="1:14">
      <c r="A1" s="7" t="s">
        <v>765</v>
      </c>
      <c r="B1" s="7"/>
      <c r="C1" s="7"/>
      <c r="D1" s="7"/>
      <c r="E1" s="7"/>
      <c r="F1" s="7"/>
      <c r="G1" s="7"/>
      <c r="H1" s="7"/>
      <c r="I1" s="7"/>
      <c r="J1" s="7"/>
      <c r="K1" s="7"/>
      <c r="L1" s="7"/>
      <c r="M1" s="7"/>
      <c r="N1" s="7"/>
    </row>
    <row r="2" spans="1:14">
      <c r="A2" s="7"/>
      <c r="B2" s="8"/>
      <c r="C2" s="8"/>
      <c r="D2" s="8"/>
      <c r="E2" s="8"/>
      <c r="F2" s="8"/>
      <c r="G2" s="9"/>
      <c r="H2" s="9"/>
      <c r="I2" s="9"/>
      <c r="J2" s="9"/>
      <c r="K2" s="9"/>
      <c r="L2" s="9"/>
      <c r="M2" s="9"/>
      <c r="N2" s="9"/>
    </row>
    <row r="3" spans="1:14">
      <c r="A3" s="7" t="s">
        <v>766</v>
      </c>
      <c r="B3" s="7"/>
      <c r="C3" s="7"/>
      <c r="D3" s="7"/>
      <c r="E3" s="7"/>
      <c r="F3" s="7"/>
      <c r="G3" s="7"/>
      <c r="H3" s="7"/>
      <c r="I3" s="7"/>
      <c r="J3" s="7"/>
      <c r="K3" s="7"/>
      <c r="L3" s="7"/>
      <c r="M3" s="7"/>
      <c r="N3" s="7"/>
    </row>
    <row r="5" s="1" customFormat="1" ht="60.75" spans="1:14">
      <c r="A5" s="10" t="s">
        <v>767</v>
      </c>
      <c r="B5" s="11"/>
      <c r="C5" s="12" t="s">
        <v>768</v>
      </c>
      <c r="D5" s="12" t="s">
        <v>38</v>
      </c>
      <c r="E5" s="12" t="s">
        <v>769</v>
      </c>
      <c r="F5" s="12" t="s">
        <v>770</v>
      </c>
      <c r="G5" s="12" t="s">
        <v>771</v>
      </c>
      <c r="H5" s="12" t="s">
        <v>772</v>
      </c>
      <c r="I5" s="12" t="s">
        <v>773</v>
      </c>
      <c r="J5" s="12" t="s">
        <v>774</v>
      </c>
      <c r="K5" s="12" t="s">
        <v>775</v>
      </c>
      <c r="L5" s="12" t="s">
        <v>776</v>
      </c>
      <c r="M5" s="12" t="s">
        <v>777</v>
      </c>
      <c r="N5" s="37" t="s">
        <v>778</v>
      </c>
    </row>
    <row r="6" ht="15.75" spans="1:14">
      <c r="A6" s="13"/>
      <c r="B6" s="14"/>
      <c r="C6" s="14"/>
      <c r="D6" s="14"/>
      <c r="E6" s="14"/>
      <c r="F6" s="14"/>
      <c r="G6" s="15"/>
      <c r="H6" s="15"/>
      <c r="I6" s="15"/>
      <c r="J6" s="15"/>
      <c r="K6" s="15"/>
      <c r="L6" s="38"/>
      <c r="M6" s="15"/>
      <c r="N6" s="39"/>
    </row>
    <row r="7" ht="15.75" spans="1:14">
      <c r="A7" s="16"/>
      <c r="B7" s="17"/>
      <c r="C7" s="17"/>
      <c r="D7" s="17"/>
      <c r="E7" s="17"/>
      <c r="F7" s="17"/>
      <c r="G7" s="15"/>
      <c r="H7" s="18"/>
      <c r="I7" s="18"/>
      <c r="J7" s="15"/>
      <c r="K7" s="15"/>
      <c r="L7" s="15"/>
      <c r="M7" s="15"/>
      <c r="N7" s="39"/>
    </row>
    <row r="8" spans="1:14">
      <c r="A8" s="19" t="s">
        <v>46</v>
      </c>
      <c r="B8" s="20"/>
      <c r="C8" s="20"/>
      <c r="D8" s="20"/>
      <c r="E8" s="20"/>
      <c r="F8" s="20"/>
      <c r="G8" s="21" t="s">
        <v>156</v>
      </c>
      <c r="H8" s="22"/>
      <c r="I8" s="22"/>
      <c r="J8" s="21"/>
      <c r="K8" s="21"/>
      <c r="L8" s="21"/>
      <c r="M8" s="21"/>
      <c r="N8" s="40"/>
    </row>
    <row r="9" spans="1:14">
      <c r="A9" s="23"/>
      <c r="B9" s="24"/>
      <c r="C9" s="24"/>
      <c r="D9" s="24"/>
      <c r="E9" s="24"/>
      <c r="F9" s="24"/>
      <c r="G9" s="25"/>
      <c r="H9" s="26"/>
      <c r="I9" s="26"/>
      <c r="J9" s="25"/>
      <c r="K9" s="25"/>
      <c r="L9" s="25"/>
      <c r="M9" s="25"/>
      <c r="N9" s="25"/>
    </row>
    <row r="10" ht="14.25" spans="1:14">
      <c r="A10" s="27">
        <v>1.1</v>
      </c>
      <c r="B10" s="24"/>
      <c r="C10" s="24"/>
      <c r="D10" s="28" t="s">
        <v>158</v>
      </c>
      <c r="E10" s="29" t="s">
        <v>779</v>
      </c>
      <c r="F10" s="30" t="s">
        <v>780</v>
      </c>
      <c r="G10" s="31" t="s">
        <v>781</v>
      </c>
      <c r="H10" s="26" t="s">
        <v>782</v>
      </c>
      <c r="I10" s="26">
        <v>40.545</v>
      </c>
      <c r="J10" s="31"/>
      <c r="K10" s="31"/>
      <c r="L10" s="31"/>
      <c r="M10" s="31">
        <v>2050</v>
      </c>
      <c r="N10" s="31">
        <f>SUM(I10*M10)</f>
        <v>83117.25</v>
      </c>
    </row>
    <row r="11" spans="1:14">
      <c r="A11" s="23"/>
      <c r="B11" s="24"/>
      <c r="C11" s="24"/>
      <c r="D11" s="24"/>
      <c r="E11" s="24"/>
      <c r="F11" s="24"/>
      <c r="G11" s="32" t="s">
        <v>783</v>
      </c>
      <c r="H11" s="26"/>
      <c r="I11" s="26"/>
      <c r="J11" s="34"/>
      <c r="K11" s="34"/>
      <c r="L11" s="34"/>
      <c r="M11" s="34"/>
      <c r="N11" s="34"/>
    </row>
    <row r="12" ht="42.75" spans="1:14">
      <c r="A12" s="23"/>
      <c r="B12" s="24"/>
      <c r="C12" s="24"/>
      <c r="D12" s="24"/>
      <c r="E12" s="24"/>
      <c r="F12" s="24"/>
      <c r="G12" s="33" t="s">
        <v>784</v>
      </c>
      <c r="H12" s="26"/>
      <c r="I12" s="26"/>
      <c r="J12" s="33"/>
      <c r="K12" s="33"/>
      <c r="L12" s="33"/>
      <c r="M12" s="33"/>
      <c r="N12" s="33"/>
    </row>
    <row r="13" spans="1:14">
      <c r="A13" s="23"/>
      <c r="B13" s="24"/>
      <c r="C13" s="24"/>
      <c r="D13" s="24"/>
      <c r="E13" s="24"/>
      <c r="F13" s="24"/>
      <c r="G13" s="33" t="s">
        <v>785</v>
      </c>
      <c r="H13" s="26"/>
      <c r="I13" s="26"/>
      <c r="J13" s="33"/>
      <c r="K13" s="33"/>
      <c r="L13" s="33"/>
      <c r="M13" s="33"/>
      <c r="N13" s="33"/>
    </row>
    <row r="14" spans="1:14">
      <c r="A14" s="23"/>
      <c r="B14" s="24"/>
      <c r="C14" s="24"/>
      <c r="D14" s="24"/>
      <c r="E14" s="24"/>
      <c r="F14" s="24"/>
      <c r="G14" s="34" t="s">
        <v>786</v>
      </c>
      <c r="H14" s="26"/>
      <c r="I14" s="26"/>
      <c r="J14" s="34"/>
      <c r="K14" s="34"/>
      <c r="L14" s="34"/>
      <c r="M14" s="34"/>
      <c r="N14" s="34"/>
    </row>
    <row r="15" spans="1:14">
      <c r="A15" s="23"/>
      <c r="B15" s="24"/>
      <c r="C15" s="24"/>
      <c r="D15" s="24"/>
      <c r="E15" s="24"/>
      <c r="F15" s="24"/>
      <c r="G15" s="32" t="s">
        <v>787</v>
      </c>
      <c r="H15" s="26"/>
      <c r="I15" s="26"/>
      <c r="J15" s="34"/>
      <c r="K15" s="34"/>
      <c r="L15" s="34"/>
      <c r="M15" s="34"/>
      <c r="N15" s="34"/>
    </row>
    <row r="16" spans="1:14">
      <c r="A16" s="23"/>
      <c r="B16" s="24"/>
      <c r="C16" s="24"/>
      <c r="D16" s="24"/>
      <c r="E16" s="24"/>
      <c r="F16" s="24"/>
      <c r="G16" s="34" t="s">
        <v>788</v>
      </c>
      <c r="H16" s="26"/>
      <c r="I16" s="26"/>
      <c r="J16" s="34"/>
      <c r="K16" s="34"/>
      <c r="L16" s="34"/>
      <c r="M16" s="34"/>
      <c r="N16" s="34"/>
    </row>
    <row r="17" spans="1:14">
      <c r="A17" s="23"/>
      <c r="B17" s="24"/>
      <c r="C17" s="24"/>
      <c r="D17" s="24"/>
      <c r="E17" s="24"/>
      <c r="F17" s="24"/>
      <c r="G17" s="34" t="s">
        <v>789</v>
      </c>
      <c r="H17" s="26"/>
      <c r="I17" s="26"/>
      <c r="J17" s="34"/>
      <c r="K17" s="34"/>
      <c r="L17" s="34"/>
      <c r="M17" s="34"/>
      <c r="N17" s="34"/>
    </row>
    <row r="18" spans="1:14">
      <c r="A18" s="23"/>
      <c r="B18" s="24"/>
      <c r="C18" s="24"/>
      <c r="D18" s="24"/>
      <c r="E18" s="24"/>
      <c r="F18" s="24"/>
      <c r="G18" s="32" t="s">
        <v>790</v>
      </c>
      <c r="H18" s="26"/>
      <c r="I18" s="26"/>
      <c r="J18" s="34"/>
      <c r="K18" s="34"/>
      <c r="L18" s="34"/>
      <c r="M18" s="34"/>
      <c r="N18" s="34"/>
    </row>
    <row r="19" spans="1:14">
      <c r="A19" s="23"/>
      <c r="B19" s="24"/>
      <c r="C19" s="24"/>
      <c r="D19" s="24"/>
      <c r="E19" s="24"/>
      <c r="F19" s="24"/>
      <c r="G19" s="32" t="s">
        <v>791</v>
      </c>
      <c r="H19" s="26"/>
      <c r="I19" s="26"/>
      <c r="J19" s="32"/>
      <c r="K19" s="32"/>
      <c r="L19" s="32"/>
      <c r="M19" s="32"/>
      <c r="N19" s="32"/>
    </row>
    <row r="20" spans="1:14">
      <c r="A20" s="23"/>
      <c r="B20" s="24"/>
      <c r="C20" s="24"/>
      <c r="D20" s="24"/>
      <c r="E20" s="24"/>
      <c r="F20" s="24"/>
      <c r="G20" s="32" t="s">
        <v>792</v>
      </c>
      <c r="H20" s="26"/>
      <c r="I20" s="26"/>
      <c r="J20" s="32"/>
      <c r="K20" s="32"/>
      <c r="L20" s="32"/>
      <c r="M20" s="32"/>
      <c r="N20" s="32"/>
    </row>
    <row r="21" spans="1:14">
      <c r="A21" s="23"/>
      <c r="B21" s="24"/>
      <c r="C21" s="24"/>
      <c r="D21" s="24"/>
      <c r="E21" s="24"/>
      <c r="F21" s="24"/>
      <c r="G21" s="32"/>
      <c r="H21" s="26"/>
      <c r="I21" s="26"/>
      <c r="J21" s="32"/>
      <c r="K21" s="32"/>
      <c r="L21" s="32"/>
      <c r="M21" s="32"/>
      <c r="N21" s="32"/>
    </row>
    <row r="22" ht="14.25" spans="1:14">
      <c r="A22" s="27">
        <v>1.2</v>
      </c>
      <c r="B22" s="24"/>
      <c r="C22" s="24"/>
      <c r="D22" s="28" t="s">
        <v>158</v>
      </c>
      <c r="E22" s="29" t="s">
        <v>779</v>
      </c>
      <c r="F22" s="30" t="s">
        <v>780</v>
      </c>
      <c r="G22" s="31" t="s">
        <v>793</v>
      </c>
      <c r="H22" s="26" t="s">
        <v>782</v>
      </c>
      <c r="I22" s="26">
        <v>364.905</v>
      </c>
      <c r="J22" s="32"/>
      <c r="K22" s="32"/>
      <c r="L22" s="32"/>
      <c r="M22" s="32">
        <v>2250</v>
      </c>
      <c r="N22" s="31">
        <f>SUM(I22*M22)</f>
        <v>821036.25</v>
      </c>
    </row>
    <row r="23" spans="1:14">
      <c r="A23" s="23"/>
      <c r="B23" s="24"/>
      <c r="C23" s="24"/>
      <c r="D23" s="24"/>
      <c r="E23" s="24"/>
      <c r="F23" s="24"/>
      <c r="G23" s="32" t="s">
        <v>783</v>
      </c>
      <c r="H23" s="26"/>
      <c r="I23" s="26"/>
      <c r="J23" s="32"/>
      <c r="K23" s="32"/>
      <c r="L23" s="32"/>
      <c r="M23" s="32"/>
      <c r="N23" s="32"/>
    </row>
    <row r="24" ht="42.75" spans="1:14">
      <c r="A24" s="23"/>
      <c r="B24" s="24"/>
      <c r="C24" s="24"/>
      <c r="D24" s="24"/>
      <c r="E24" s="24"/>
      <c r="F24" s="24"/>
      <c r="G24" s="33" t="s">
        <v>794</v>
      </c>
      <c r="H24" s="26"/>
      <c r="I24" s="26"/>
      <c r="J24" s="32"/>
      <c r="K24" s="32"/>
      <c r="L24" s="32"/>
      <c r="M24" s="32"/>
      <c r="N24" s="32"/>
    </row>
    <row r="25" spans="1:14">
      <c r="A25" s="23"/>
      <c r="B25" s="24"/>
      <c r="C25" s="24"/>
      <c r="D25" s="24"/>
      <c r="E25" s="24"/>
      <c r="F25" s="24"/>
      <c r="G25" s="33" t="s">
        <v>785</v>
      </c>
      <c r="H25" s="26"/>
      <c r="I25" s="26"/>
      <c r="J25" s="32"/>
      <c r="K25" s="32"/>
      <c r="L25" s="32"/>
      <c r="M25" s="32"/>
      <c r="N25" s="32"/>
    </row>
    <row r="26" spans="1:14">
      <c r="A26" s="23"/>
      <c r="B26" s="24"/>
      <c r="C26" s="24"/>
      <c r="D26" s="24"/>
      <c r="E26" s="24"/>
      <c r="F26" s="24"/>
      <c r="G26" s="32" t="s">
        <v>795</v>
      </c>
      <c r="H26" s="26"/>
      <c r="I26" s="26"/>
      <c r="J26" s="32"/>
      <c r="K26" s="32"/>
      <c r="L26" s="32"/>
      <c r="M26" s="32"/>
      <c r="N26" s="32"/>
    </row>
    <row r="27" spans="1:14">
      <c r="A27" s="23"/>
      <c r="B27" s="24"/>
      <c r="C27" s="24"/>
      <c r="D27" s="24"/>
      <c r="E27" s="24"/>
      <c r="F27" s="24"/>
      <c r="G27" s="32" t="s">
        <v>787</v>
      </c>
      <c r="H27" s="26"/>
      <c r="I27" s="26"/>
      <c r="J27" s="32"/>
      <c r="K27" s="32"/>
      <c r="L27" s="32"/>
      <c r="M27" s="32"/>
      <c r="N27" s="32"/>
    </row>
    <row r="28" spans="1:14">
      <c r="A28" s="23"/>
      <c r="B28" s="24"/>
      <c r="C28" s="24"/>
      <c r="D28" s="24"/>
      <c r="E28" s="24"/>
      <c r="F28" s="24"/>
      <c r="G28" s="34" t="s">
        <v>788</v>
      </c>
      <c r="H28" s="26"/>
      <c r="I28" s="26"/>
      <c r="J28" s="32"/>
      <c r="K28" s="32"/>
      <c r="L28" s="32"/>
      <c r="M28" s="32"/>
      <c r="N28" s="32"/>
    </row>
    <row r="29" spans="1:14">
      <c r="A29" s="23"/>
      <c r="B29" s="24"/>
      <c r="C29" s="24"/>
      <c r="D29" s="24"/>
      <c r="E29" s="24"/>
      <c r="F29" s="24"/>
      <c r="G29" s="34" t="s">
        <v>789</v>
      </c>
      <c r="H29" s="26"/>
      <c r="I29" s="26"/>
      <c r="J29" s="32"/>
      <c r="K29" s="32"/>
      <c r="L29" s="32"/>
      <c r="M29" s="32"/>
      <c r="N29" s="32"/>
    </row>
    <row r="30" spans="1:14">
      <c r="A30" s="23"/>
      <c r="B30" s="24"/>
      <c r="C30" s="24"/>
      <c r="D30" s="24"/>
      <c r="E30" s="24"/>
      <c r="F30" s="24"/>
      <c r="G30" s="32" t="s">
        <v>790</v>
      </c>
      <c r="H30" s="26"/>
      <c r="I30" s="26"/>
      <c r="J30" s="32"/>
      <c r="K30" s="32"/>
      <c r="L30" s="32"/>
      <c r="M30" s="32"/>
      <c r="N30" s="32"/>
    </row>
    <row r="31" spans="1:14">
      <c r="A31" s="23"/>
      <c r="B31" s="24"/>
      <c r="C31" s="24"/>
      <c r="D31" s="24"/>
      <c r="E31" s="24"/>
      <c r="F31" s="24"/>
      <c r="G31" s="32" t="s">
        <v>791</v>
      </c>
      <c r="H31" s="26"/>
      <c r="I31" s="26"/>
      <c r="J31" s="32"/>
      <c r="K31" s="32"/>
      <c r="L31" s="32"/>
      <c r="M31" s="32"/>
      <c r="N31" s="32"/>
    </row>
    <row r="32" spans="1:14">
      <c r="A32" s="23"/>
      <c r="B32" s="24"/>
      <c r="C32" s="24"/>
      <c r="D32" s="24"/>
      <c r="E32" s="24"/>
      <c r="F32" s="24"/>
      <c r="G32" s="32" t="s">
        <v>792</v>
      </c>
      <c r="H32" s="26"/>
      <c r="I32" s="26"/>
      <c r="J32" s="32"/>
      <c r="K32" s="32"/>
      <c r="L32" s="32"/>
      <c r="M32" s="32"/>
      <c r="N32" s="32"/>
    </row>
    <row r="33" spans="1:14">
      <c r="A33" s="23"/>
      <c r="B33" s="24"/>
      <c r="C33" s="24"/>
      <c r="D33" s="24"/>
      <c r="E33" s="24"/>
      <c r="F33" s="24"/>
      <c r="G33" s="32"/>
      <c r="H33" s="26"/>
      <c r="I33" s="26"/>
      <c r="J33" s="32"/>
      <c r="K33" s="32"/>
      <c r="L33" s="32"/>
      <c r="M33" s="32"/>
      <c r="N33" s="32"/>
    </row>
    <row r="34" ht="14.25" spans="1:14">
      <c r="A34" s="27">
        <v>1.3</v>
      </c>
      <c r="B34" s="24"/>
      <c r="C34" s="24"/>
      <c r="D34" s="28" t="s">
        <v>158</v>
      </c>
      <c r="E34" s="29" t="s">
        <v>779</v>
      </c>
      <c r="F34" s="30" t="s">
        <v>780</v>
      </c>
      <c r="G34" s="31" t="s">
        <v>796</v>
      </c>
      <c r="H34" s="26" t="s">
        <v>782</v>
      </c>
      <c r="I34" s="26">
        <v>13.85</v>
      </c>
      <c r="J34" s="32"/>
      <c r="K34" s="32"/>
      <c r="L34" s="32"/>
      <c r="M34" s="32">
        <v>1850</v>
      </c>
      <c r="N34" s="31">
        <f>SUM(I34*M34)</f>
        <v>25622.5</v>
      </c>
    </row>
    <row r="35" ht="42.75" spans="1:14">
      <c r="A35" s="23"/>
      <c r="B35" s="24"/>
      <c r="C35" s="24"/>
      <c r="D35" s="24"/>
      <c r="E35" s="24"/>
      <c r="F35" s="24"/>
      <c r="G35" s="33" t="s">
        <v>797</v>
      </c>
      <c r="H35" s="26"/>
      <c r="I35" s="26"/>
      <c r="J35" s="32"/>
      <c r="K35" s="32"/>
      <c r="L35" s="32"/>
      <c r="M35" s="32"/>
      <c r="N35" s="32"/>
    </row>
    <row r="36" spans="1:14">
      <c r="A36" s="23"/>
      <c r="B36" s="24"/>
      <c r="C36" s="24"/>
      <c r="D36" s="24"/>
      <c r="E36" s="24"/>
      <c r="F36" s="24"/>
      <c r="G36" s="33" t="s">
        <v>785</v>
      </c>
      <c r="H36" s="26"/>
      <c r="I36" s="26"/>
      <c r="J36" s="32"/>
      <c r="K36" s="32"/>
      <c r="L36" s="32"/>
      <c r="M36" s="32"/>
      <c r="N36" s="32"/>
    </row>
    <row r="37" spans="1:14">
      <c r="A37" s="23"/>
      <c r="B37" s="24"/>
      <c r="C37" s="24"/>
      <c r="D37" s="24"/>
      <c r="E37" s="24"/>
      <c r="F37" s="24"/>
      <c r="G37" s="34" t="s">
        <v>786</v>
      </c>
      <c r="H37" s="26"/>
      <c r="I37" s="26"/>
      <c r="J37" s="32"/>
      <c r="K37" s="32"/>
      <c r="L37" s="32"/>
      <c r="M37" s="32"/>
      <c r="N37" s="32"/>
    </row>
    <row r="38" spans="1:14">
      <c r="A38" s="23"/>
      <c r="B38" s="24"/>
      <c r="C38" s="24"/>
      <c r="D38" s="24"/>
      <c r="E38" s="24"/>
      <c r="F38" s="24"/>
      <c r="G38" s="34" t="s">
        <v>787</v>
      </c>
      <c r="H38" s="26"/>
      <c r="I38" s="26"/>
      <c r="J38" s="32"/>
      <c r="K38" s="32"/>
      <c r="L38" s="32"/>
      <c r="M38" s="32"/>
      <c r="N38" s="32"/>
    </row>
    <row r="39" spans="1:14">
      <c r="A39" s="23"/>
      <c r="B39" s="24"/>
      <c r="C39" s="24"/>
      <c r="D39" s="24"/>
      <c r="E39" s="24"/>
      <c r="F39" s="24"/>
      <c r="G39" s="34" t="s">
        <v>788</v>
      </c>
      <c r="H39" s="26"/>
      <c r="I39" s="26"/>
      <c r="J39" s="32"/>
      <c r="K39" s="32"/>
      <c r="L39" s="32"/>
      <c r="M39" s="32"/>
      <c r="N39" s="32"/>
    </row>
    <row r="40" spans="1:14">
      <c r="A40" s="23"/>
      <c r="B40" s="24"/>
      <c r="C40" s="24"/>
      <c r="D40" s="24"/>
      <c r="E40" s="24"/>
      <c r="F40" s="24"/>
      <c r="G40" s="34" t="s">
        <v>789</v>
      </c>
      <c r="H40" s="26"/>
      <c r="I40" s="26"/>
      <c r="J40" s="32"/>
      <c r="K40" s="32"/>
      <c r="L40" s="32"/>
      <c r="M40" s="32"/>
      <c r="N40" s="32"/>
    </row>
    <row r="41" spans="1:14">
      <c r="A41" s="23"/>
      <c r="B41" s="24"/>
      <c r="C41" s="24"/>
      <c r="D41" s="24"/>
      <c r="E41" s="24"/>
      <c r="F41" s="24"/>
      <c r="G41" s="32" t="s">
        <v>790</v>
      </c>
      <c r="H41" s="26"/>
      <c r="I41" s="26"/>
      <c r="J41" s="32"/>
      <c r="K41" s="32"/>
      <c r="L41" s="32"/>
      <c r="M41" s="32"/>
      <c r="N41" s="32"/>
    </row>
    <row r="42" spans="1:14">
      <c r="A42" s="23"/>
      <c r="B42" s="24"/>
      <c r="C42" s="24"/>
      <c r="D42" s="24"/>
      <c r="E42" s="24"/>
      <c r="F42" s="24"/>
      <c r="G42" s="32" t="s">
        <v>791</v>
      </c>
      <c r="H42" s="26"/>
      <c r="I42" s="26"/>
      <c r="J42" s="32"/>
      <c r="K42" s="32"/>
      <c r="L42" s="32"/>
      <c r="M42" s="32"/>
      <c r="N42" s="32"/>
    </row>
    <row r="43" spans="1:14">
      <c r="A43" s="23"/>
      <c r="B43" s="24"/>
      <c r="C43" s="24"/>
      <c r="D43" s="24"/>
      <c r="E43" s="24"/>
      <c r="F43" s="24"/>
      <c r="G43" s="32" t="s">
        <v>792</v>
      </c>
      <c r="H43" s="26"/>
      <c r="I43" s="26"/>
      <c r="J43" s="25"/>
      <c r="K43" s="25"/>
      <c r="L43" s="25"/>
      <c r="M43" s="25"/>
      <c r="N43" s="25"/>
    </row>
    <row r="44" spans="1:14">
      <c r="A44" s="23"/>
      <c r="B44" s="24"/>
      <c r="C44" s="24"/>
      <c r="D44" s="24"/>
      <c r="E44" s="24"/>
      <c r="F44" s="24"/>
      <c r="G44" s="32"/>
      <c r="H44" s="26"/>
      <c r="I44" s="26"/>
      <c r="J44" s="25"/>
      <c r="K44" s="25"/>
      <c r="L44" s="25"/>
      <c r="M44" s="25"/>
      <c r="N44" s="25"/>
    </row>
    <row r="45" ht="14.25" spans="1:14">
      <c r="A45" s="27">
        <v>1.4</v>
      </c>
      <c r="B45" s="24"/>
      <c r="C45" s="24"/>
      <c r="D45" s="28" t="s">
        <v>158</v>
      </c>
      <c r="E45" s="29" t="s">
        <v>779</v>
      </c>
      <c r="F45" s="30" t="s">
        <v>780</v>
      </c>
      <c r="G45" s="31" t="s">
        <v>798</v>
      </c>
      <c r="H45" s="26"/>
      <c r="I45" s="26">
        <v>124.65</v>
      </c>
      <c r="J45" s="31"/>
      <c r="K45" s="31"/>
      <c r="L45" s="31"/>
      <c r="M45" s="31">
        <v>1850</v>
      </c>
      <c r="N45" s="31">
        <f>SUM(I45*M45)</f>
        <v>230602.5</v>
      </c>
    </row>
    <row r="46" spans="1:14">
      <c r="A46" s="23"/>
      <c r="B46" s="24"/>
      <c r="C46" s="24"/>
      <c r="D46" s="24"/>
      <c r="E46" s="24"/>
      <c r="F46" s="24"/>
      <c r="G46" s="32" t="s">
        <v>783</v>
      </c>
      <c r="H46" s="26"/>
      <c r="I46" s="26"/>
      <c r="J46" s="34"/>
      <c r="K46" s="34"/>
      <c r="L46" s="34"/>
      <c r="M46" s="34"/>
      <c r="N46" s="34"/>
    </row>
    <row r="47" ht="42.75" spans="1:14">
      <c r="A47" s="23"/>
      <c r="B47" s="24"/>
      <c r="C47" s="24"/>
      <c r="D47" s="24"/>
      <c r="E47" s="24"/>
      <c r="F47" s="24"/>
      <c r="G47" s="33" t="s">
        <v>799</v>
      </c>
      <c r="H47" s="26"/>
      <c r="I47" s="26"/>
      <c r="J47" s="32"/>
      <c r="K47" s="32"/>
      <c r="L47" s="32"/>
      <c r="M47" s="32"/>
      <c r="N47" s="32"/>
    </row>
    <row r="48" spans="1:14">
      <c r="A48" s="23"/>
      <c r="B48" s="24"/>
      <c r="C48" s="24"/>
      <c r="D48" s="24"/>
      <c r="E48" s="24"/>
      <c r="F48" s="24"/>
      <c r="G48" s="33" t="s">
        <v>785</v>
      </c>
      <c r="H48" s="26"/>
      <c r="I48" s="26"/>
      <c r="J48" s="34"/>
      <c r="K48" s="34"/>
      <c r="L48" s="34"/>
      <c r="M48" s="34"/>
      <c r="N48" s="34"/>
    </row>
    <row r="49" spans="1:14">
      <c r="A49" s="23"/>
      <c r="B49" s="24"/>
      <c r="C49" s="24"/>
      <c r="D49" s="24"/>
      <c r="E49" s="24"/>
      <c r="F49" s="24"/>
      <c r="G49" s="34" t="s">
        <v>786</v>
      </c>
      <c r="H49" s="26"/>
      <c r="I49" s="26"/>
      <c r="J49" s="34"/>
      <c r="K49" s="34"/>
      <c r="L49" s="34"/>
      <c r="M49" s="34"/>
      <c r="N49" s="34"/>
    </row>
    <row r="50" spans="1:14">
      <c r="A50" s="23"/>
      <c r="B50" s="24"/>
      <c r="C50" s="24"/>
      <c r="D50" s="24"/>
      <c r="E50" s="24"/>
      <c r="F50" s="24"/>
      <c r="G50" s="34" t="s">
        <v>787</v>
      </c>
      <c r="H50" s="26"/>
      <c r="I50" s="26"/>
      <c r="J50" s="34"/>
      <c r="K50" s="34"/>
      <c r="L50" s="34"/>
      <c r="M50" s="34"/>
      <c r="N50" s="34"/>
    </row>
    <row r="51" spans="1:14">
      <c r="A51" s="23"/>
      <c r="B51" s="24"/>
      <c r="C51" s="24"/>
      <c r="D51" s="24"/>
      <c r="E51" s="24"/>
      <c r="F51" s="24"/>
      <c r="G51" s="34" t="s">
        <v>788</v>
      </c>
      <c r="H51" s="26"/>
      <c r="I51" s="26"/>
      <c r="J51" s="34"/>
      <c r="K51" s="34"/>
      <c r="L51" s="34"/>
      <c r="M51" s="34"/>
      <c r="N51" s="34"/>
    </row>
    <row r="52" spans="1:14">
      <c r="A52" s="23"/>
      <c r="B52" s="24"/>
      <c r="C52" s="24"/>
      <c r="D52" s="24"/>
      <c r="E52" s="24"/>
      <c r="F52" s="24"/>
      <c r="G52" s="34" t="s">
        <v>789</v>
      </c>
      <c r="H52" s="26"/>
      <c r="I52" s="26"/>
      <c r="J52" s="34"/>
      <c r="K52" s="34"/>
      <c r="L52" s="34"/>
      <c r="M52" s="34"/>
      <c r="N52" s="34"/>
    </row>
    <row r="53" spans="1:14">
      <c r="A53" s="23"/>
      <c r="B53" s="24"/>
      <c r="C53" s="24"/>
      <c r="D53" s="24"/>
      <c r="E53" s="24"/>
      <c r="F53" s="24"/>
      <c r="G53" s="32" t="s">
        <v>790</v>
      </c>
      <c r="H53" s="26"/>
      <c r="I53" s="26"/>
      <c r="J53" s="34"/>
      <c r="K53" s="34"/>
      <c r="L53" s="34"/>
      <c r="M53" s="34"/>
      <c r="N53" s="34"/>
    </row>
    <row r="54" spans="1:14">
      <c r="A54" s="23"/>
      <c r="B54" s="24"/>
      <c r="C54" s="24"/>
      <c r="D54" s="24"/>
      <c r="E54" s="24"/>
      <c r="F54" s="24"/>
      <c r="G54" s="32" t="s">
        <v>791</v>
      </c>
      <c r="H54" s="26"/>
      <c r="I54" s="26"/>
      <c r="J54" s="32"/>
      <c r="K54" s="32"/>
      <c r="L54" s="32"/>
      <c r="M54" s="32"/>
      <c r="N54" s="32"/>
    </row>
    <row r="55" spans="1:14">
      <c r="A55" s="23"/>
      <c r="B55" s="35"/>
      <c r="C55" s="35"/>
      <c r="D55" s="35"/>
      <c r="E55" s="35"/>
      <c r="F55" s="35"/>
      <c r="G55" s="32" t="s">
        <v>792</v>
      </c>
      <c r="H55" s="26"/>
      <c r="I55" s="26"/>
      <c r="J55" s="36"/>
      <c r="K55" s="36"/>
      <c r="L55" s="36"/>
      <c r="M55" s="36"/>
      <c r="N55" s="36"/>
    </row>
    <row r="56" spans="1:14">
      <c r="A56" s="23"/>
      <c r="B56" s="35"/>
      <c r="C56" s="35"/>
      <c r="D56" s="35"/>
      <c r="E56" s="35"/>
      <c r="F56" s="35"/>
      <c r="G56" s="32"/>
      <c r="H56" s="26"/>
      <c r="I56" s="26"/>
      <c r="J56" s="36"/>
      <c r="K56" s="36"/>
      <c r="L56" s="36"/>
      <c r="M56" s="36"/>
      <c r="N56" s="36"/>
    </row>
    <row r="57" ht="14.25" spans="1:14">
      <c r="A57" s="27">
        <v>1.5</v>
      </c>
      <c r="B57" s="24"/>
      <c r="C57" s="24"/>
      <c r="D57" s="28" t="s">
        <v>158</v>
      </c>
      <c r="E57" s="29" t="s">
        <v>779</v>
      </c>
      <c r="F57" s="30" t="s">
        <v>780</v>
      </c>
      <c r="G57" s="36" t="s">
        <v>800</v>
      </c>
      <c r="H57" s="26" t="s">
        <v>130</v>
      </c>
      <c r="I57" s="41">
        <v>193.32</v>
      </c>
      <c r="J57" s="36"/>
      <c r="K57" s="36"/>
      <c r="L57" s="36"/>
      <c r="M57" s="36">
        <v>1800</v>
      </c>
      <c r="N57" s="31">
        <f>SUM(I57*M57)</f>
        <v>347976</v>
      </c>
    </row>
    <row r="58" spans="1:14">
      <c r="A58" s="23"/>
      <c r="B58" s="24" t="s">
        <v>801</v>
      </c>
      <c r="C58" s="24"/>
      <c r="D58" s="24"/>
      <c r="E58" s="24"/>
      <c r="F58" s="24"/>
      <c r="G58" s="32" t="s">
        <v>783</v>
      </c>
      <c r="H58" s="26"/>
      <c r="I58" s="26"/>
      <c r="J58" s="36"/>
      <c r="K58" s="36"/>
      <c r="L58" s="36"/>
      <c r="M58" s="36"/>
      <c r="N58" s="36"/>
    </row>
    <row r="59" ht="42.75" spans="1:14">
      <c r="A59" s="23"/>
      <c r="B59" s="24" t="s">
        <v>801</v>
      </c>
      <c r="C59" s="24"/>
      <c r="D59" s="24"/>
      <c r="E59" s="24"/>
      <c r="F59" s="24"/>
      <c r="G59" s="33" t="s">
        <v>802</v>
      </c>
      <c r="H59" s="26"/>
      <c r="I59" s="26"/>
      <c r="J59" s="36"/>
      <c r="K59" s="36"/>
      <c r="L59" s="36"/>
      <c r="M59" s="36"/>
      <c r="N59" s="36"/>
    </row>
    <row r="60" spans="1:14">
      <c r="A60" s="23"/>
      <c r="B60" s="24" t="s">
        <v>801</v>
      </c>
      <c r="C60" s="24"/>
      <c r="D60" s="24"/>
      <c r="E60" s="24"/>
      <c r="F60" s="24"/>
      <c r="G60" s="33" t="s">
        <v>785</v>
      </c>
      <c r="H60" s="26"/>
      <c r="I60" s="26"/>
      <c r="J60" s="36"/>
      <c r="K60" s="36"/>
      <c r="L60" s="36"/>
      <c r="M60" s="36"/>
      <c r="N60" s="36"/>
    </row>
    <row r="61" spans="1:14">
      <c r="A61" s="23"/>
      <c r="B61" s="24" t="s">
        <v>801</v>
      </c>
      <c r="C61" s="24"/>
      <c r="D61" s="24"/>
      <c r="E61" s="24"/>
      <c r="F61" s="24"/>
      <c r="G61" s="32" t="s">
        <v>803</v>
      </c>
      <c r="H61" s="26"/>
      <c r="I61" s="26"/>
      <c r="J61" s="36"/>
      <c r="K61" s="36"/>
      <c r="L61" s="36"/>
      <c r="M61" s="36"/>
      <c r="N61" s="36"/>
    </row>
    <row r="62" spans="1:14">
      <c r="A62" s="23"/>
      <c r="B62" s="24" t="s">
        <v>801</v>
      </c>
      <c r="C62" s="24"/>
      <c r="D62" s="24"/>
      <c r="E62" s="24"/>
      <c r="F62" s="24"/>
      <c r="G62" s="32" t="s">
        <v>787</v>
      </c>
      <c r="H62" s="26"/>
      <c r="I62" s="26"/>
      <c r="J62" s="36"/>
      <c r="K62" s="36"/>
      <c r="L62" s="36"/>
      <c r="M62" s="36"/>
      <c r="N62" s="36"/>
    </row>
    <row r="63" spans="1:14">
      <c r="A63" s="23"/>
      <c r="B63" s="24" t="s">
        <v>801</v>
      </c>
      <c r="C63" s="24"/>
      <c r="D63" s="24"/>
      <c r="E63" s="24"/>
      <c r="F63" s="24"/>
      <c r="G63" s="34" t="s">
        <v>788</v>
      </c>
      <c r="H63" s="26"/>
      <c r="I63" s="26"/>
      <c r="J63" s="36"/>
      <c r="K63" s="36"/>
      <c r="L63" s="36"/>
      <c r="M63" s="36"/>
      <c r="N63" s="36"/>
    </row>
    <row r="64" spans="1:14">
      <c r="A64" s="23"/>
      <c r="B64" s="24" t="s">
        <v>801</v>
      </c>
      <c r="C64" s="24"/>
      <c r="D64" s="24"/>
      <c r="E64" s="24"/>
      <c r="F64" s="24"/>
      <c r="G64" s="34" t="s">
        <v>789</v>
      </c>
      <c r="H64" s="26"/>
      <c r="I64" s="26"/>
      <c r="J64" s="42"/>
      <c r="K64" s="42"/>
      <c r="L64" s="42"/>
      <c r="M64" s="42"/>
      <c r="N64" s="42"/>
    </row>
    <row r="65" spans="1:14">
      <c r="A65" s="23"/>
      <c r="B65" s="24"/>
      <c r="C65" s="24"/>
      <c r="D65" s="24"/>
      <c r="E65" s="24"/>
      <c r="F65" s="24"/>
      <c r="G65" s="32" t="s">
        <v>790</v>
      </c>
      <c r="H65" s="26"/>
      <c r="I65" s="26"/>
      <c r="J65" s="42"/>
      <c r="K65" s="42"/>
      <c r="L65" s="42"/>
      <c r="M65" s="42"/>
      <c r="N65" s="42"/>
    </row>
    <row r="66" spans="1:14">
      <c r="A66" s="23"/>
      <c r="B66" s="24"/>
      <c r="C66" s="24"/>
      <c r="D66" s="24"/>
      <c r="E66" s="24"/>
      <c r="F66" s="24"/>
      <c r="G66" s="32" t="s">
        <v>791</v>
      </c>
      <c r="H66" s="26"/>
      <c r="I66" s="26"/>
      <c r="J66" s="42"/>
      <c r="K66" s="42"/>
      <c r="L66" s="42"/>
      <c r="M66" s="42"/>
      <c r="N66" s="42"/>
    </row>
    <row r="67" spans="1:14">
      <c r="A67" s="23"/>
      <c r="B67" s="24"/>
      <c r="C67" s="24"/>
      <c r="D67" s="24"/>
      <c r="E67" s="24"/>
      <c r="F67" s="24"/>
      <c r="G67" s="32" t="s">
        <v>792</v>
      </c>
      <c r="H67" s="26"/>
      <c r="I67" s="26"/>
      <c r="J67" s="42"/>
      <c r="K67" s="42"/>
      <c r="L67" s="42"/>
      <c r="M67" s="42"/>
      <c r="N67" s="42"/>
    </row>
    <row r="68" spans="1:14">
      <c r="A68" s="23"/>
      <c r="B68" s="24"/>
      <c r="C68" s="24"/>
      <c r="D68" s="24"/>
      <c r="E68" s="24"/>
      <c r="F68" s="24"/>
      <c r="G68" s="42"/>
      <c r="H68" s="26"/>
      <c r="I68" s="26"/>
      <c r="J68" s="42"/>
      <c r="K68" s="42"/>
      <c r="L68" s="42"/>
      <c r="M68" s="42"/>
      <c r="N68" s="42"/>
    </row>
    <row r="69" ht="14.25" spans="1:14">
      <c r="A69" s="27">
        <v>1.6</v>
      </c>
      <c r="B69" s="24"/>
      <c r="C69" s="24"/>
      <c r="D69" s="28" t="s">
        <v>158</v>
      </c>
      <c r="E69" s="29" t="s">
        <v>804</v>
      </c>
      <c r="F69" s="30" t="s">
        <v>805</v>
      </c>
      <c r="G69" s="36" t="s">
        <v>806</v>
      </c>
      <c r="H69" s="26"/>
      <c r="I69" s="41"/>
      <c r="J69" s="36"/>
      <c r="K69" s="36"/>
      <c r="L69" s="36"/>
      <c r="M69" s="36"/>
      <c r="N69" s="36"/>
    </row>
    <row r="70" ht="42.75" spans="1:14">
      <c r="A70" s="23"/>
      <c r="B70" s="24"/>
      <c r="C70" s="24"/>
      <c r="D70" s="24"/>
      <c r="E70" s="24"/>
      <c r="F70" s="24"/>
      <c r="G70" s="43" t="s">
        <v>807</v>
      </c>
      <c r="H70" s="26"/>
      <c r="I70" s="26"/>
      <c r="J70" s="36"/>
      <c r="K70" s="36"/>
      <c r="L70" s="36"/>
      <c r="M70" s="36"/>
      <c r="N70" s="36"/>
    </row>
    <row r="71" spans="1:14">
      <c r="A71" s="23"/>
      <c r="B71" s="24"/>
      <c r="C71" s="24"/>
      <c r="D71" s="24"/>
      <c r="E71" s="24"/>
      <c r="F71" s="24"/>
      <c r="G71" s="32" t="s">
        <v>808</v>
      </c>
      <c r="H71" s="26"/>
      <c r="I71" s="26"/>
      <c r="J71" s="36"/>
      <c r="K71" s="36"/>
      <c r="L71" s="36"/>
      <c r="M71" s="36"/>
      <c r="N71" s="36"/>
    </row>
    <row r="72" spans="1:14">
      <c r="A72" s="23"/>
      <c r="B72" s="24"/>
      <c r="C72" s="24"/>
      <c r="D72" s="24"/>
      <c r="E72" s="24"/>
      <c r="F72" s="24"/>
      <c r="G72" s="32" t="s">
        <v>809</v>
      </c>
      <c r="H72" s="26"/>
      <c r="I72" s="26"/>
      <c r="J72" s="36"/>
      <c r="K72" s="36"/>
      <c r="L72" s="36"/>
      <c r="M72" s="36"/>
      <c r="N72" s="36"/>
    </row>
    <row r="73" spans="1:14">
      <c r="A73" s="23"/>
      <c r="B73" s="24"/>
      <c r="C73" s="24"/>
      <c r="D73" s="24"/>
      <c r="E73" s="24"/>
      <c r="F73" s="24"/>
      <c r="G73" s="32" t="s">
        <v>810</v>
      </c>
      <c r="H73" s="26"/>
      <c r="I73" s="26"/>
      <c r="J73" s="36"/>
      <c r="K73" s="36"/>
      <c r="L73" s="36"/>
      <c r="M73" s="36"/>
      <c r="N73" s="36"/>
    </row>
    <row r="74" spans="1:14">
      <c r="A74" s="23"/>
      <c r="B74" s="24"/>
      <c r="C74" s="24"/>
      <c r="D74" s="24"/>
      <c r="E74" s="24"/>
      <c r="F74" s="24"/>
      <c r="G74" s="32" t="s">
        <v>811</v>
      </c>
      <c r="H74" s="26"/>
      <c r="I74" s="26"/>
      <c r="J74" s="36"/>
      <c r="K74" s="36"/>
      <c r="L74" s="36"/>
      <c r="M74" s="36"/>
      <c r="N74" s="36"/>
    </row>
    <row r="75" spans="1:14">
      <c r="A75" s="23"/>
      <c r="B75" s="24"/>
      <c r="C75" s="24"/>
      <c r="D75" s="24"/>
      <c r="E75" s="24"/>
      <c r="F75" s="24"/>
      <c r="G75" s="32" t="s">
        <v>812</v>
      </c>
      <c r="H75" s="26"/>
      <c r="I75" s="26"/>
      <c r="J75" s="36"/>
      <c r="K75" s="36"/>
      <c r="L75" s="36"/>
      <c r="M75" s="36"/>
      <c r="N75" s="36"/>
    </row>
    <row r="76" spans="1:14">
      <c r="A76" s="23"/>
      <c r="B76" s="24"/>
      <c r="C76" s="24"/>
      <c r="D76" s="24"/>
      <c r="E76" s="24"/>
      <c r="F76" s="24"/>
      <c r="G76" s="32" t="s">
        <v>813</v>
      </c>
      <c r="H76" s="26"/>
      <c r="I76" s="26"/>
      <c r="J76" s="36"/>
      <c r="K76" s="36"/>
      <c r="L76" s="36"/>
      <c r="M76" s="36"/>
      <c r="N76" s="36"/>
    </row>
    <row r="77" spans="1:14">
      <c r="A77" s="23"/>
      <c r="B77" s="24"/>
      <c r="C77" s="24"/>
      <c r="D77" s="24"/>
      <c r="E77" s="24"/>
      <c r="F77" s="24"/>
      <c r="G77" s="32" t="s">
        <v>814</v>
      </c>
      <c r="H77" s="26"/>
      <c r="I77" s="26"/>
      <c r="J77" s="36"/>
      <c r="K77" s="36"/>
      <c r="L77" s="36"/>
      <c r="M77" s="36"/>
      <c r="N77" s="36"/>
    </row>
    <row r="78" spans="1:14">
      <c r="A78" s="23"/>
      <c r="B78" s="24"/>
      <c r="C78" s="24"/>
      <c r="D78" s="24"/>
      <c r="E78" s="24"/>
      <c r="F78" s="24"/>
      <c r="G78" s="32" t="s">
        <v>792</v>
      </c>
      <c r="H78" s="26"/>
      <c r="I78" s="26"/>
      <c r="J78" s="36"/>
      <c r="K78" s="36"/>
      <c r="L78" s="36"/>
      <c r="M78" s="36"/>
      <c r="N78" s="36"/>
    </row>
    <row r="79" spans="1:14">
      <c r="A79" s="23"/>
      <c r="B79" s="24" t="s">
        <v>209</v>
      </c>
      <c r="C79" s="24"/>
      <c r="D79" s="24"/>
      <c r="E79" s="24"/>
      <c r="F79" s="24"/>
      <c r="G79" s="44" t="s">
        <v>815</v>
      </c>
      <c r="H79" s="26" t="s">
        <v>130</v>
      </c>
      <c r="I79" s="41">
        <v>55</v>
      </c>
      <c r="J79" s="44"/>
      <c r="K79" s="44"/>
      <c r="L79" s="44"/>
      <c r="M79" s="44">
        <v>1800</v>
      </c>
      <c r="N79" s="31">
        <f t="shared" ref="N79:N81" si="0">SUM(I79*M79)</f>
        <v>99000</v>
      </c>
    </row>
    <row r="80" spans="1:14">
      <c r="A80" s="23"/>
      <c r="B80" s="24" t="s">
        <v>211</v>
      </c>
      <c r="C80" s="24"/>
      <c r="D80" s="24"/>
      <c r="E80" s="24"/>
      <c r="F80" s="24"/>
      <c r="G80" s="44" t="s">
        <v>816</v>
      </c>
      <c r="H80" s="26" t="s">
        <v>130</v>
      </c>
      <c r="I80" s="41">
        <v>5</v>
      </c>
      <c r="J80" s="44"/>
      <c r="K80" s="44"/>
      <c r="L80" s="44"/>
      <c r="M80" s="44">
        <v>2350</v>
      </c>
      <c r="N80" s="31">
        <f t="shared" si="0"/>
        <v>11750</v>
      </c>
    </row>
    <row r="81" spans="1:14">
      <c r="A81" s="23"/>
      <c r="B81" s="24" t="s">
        <v>213</v>
      </c>
      <c r="C81" s="24"/>
      <c r="D81" s="24"/>
      <c r="E81" s="24"/>
      <c r="F81" s="24"/>
      <c r="G81" s="44" t="s">
        <v>817</v>
      </c>
      <c r="H81" s="26" t="s">
        <v>130</v>
      </c>
      <c r="I81" s="41">
        <v>110</v>
      </c>
      <c r="J81" s="44"/>
      <c r="K81" s="44"/>
      <c r="L81" s="44"/>
      <c r="M81" s="44">
        <v>2550</v>
      </c>
      <c r="N81" s="31">
        <f t="shared" si="0"/>
        <v>280500</v>
      </c>
    </row>
    <row r="82" spans="1:14">
      <c r="A82" s="23"/>
      <c r="B82" s="24"/>
      <c r="C82" s="24"/>
      <c r="D82" s="24"/>
      <c r="E82" s="24"/>
      <c r="F82" s="24"/>
      <c r="G82" s="36"/>
      <c r="H82" s="26"/>
      <c r="I82" s="26"/>
      <c r="J82" s="36"/>
      <c r="K82" s="36"/>
      <c r="L82" s="36"/>
      <c r="M82" s="36"/>
      <c r="N82" s="36"/>
    </row>
    <row r="83" ht="14.25" spans="1:14">
      <c r="A83" s="27">
        <v>1.7</v>
      </c>
      <c r="B83" s="24"/>
      <c r="C83" s="24"/>
      <c r="D83" s="28" t="s">
        <v>158</v>
      </c>
      <c r="E83" s="29" t="s">
        <v>818</v>
      </c>
      <c r="F83" s="30" t="s">
        <v>819</v>
      </c>
      <c r="G83" s="36" t="s">
        <v>647</v>
      </c>
      <c r="H83" s="26"/>
      <c r="I83" s="41"/>
      <c r="J83" s="36"/>
      <c r="K83" s="36"/>
      <c r="L83" s="36"/>
      <c r="M83" s="36"/>
      <c r="N83" s="36"/>
    </row>
    <row r="84" spans="1:14">
      <c r="A84" s="23"/>
      <c r="B84" s="24" t="s">
        <v>801</v>
      </c>
      <c r="C84" s="24"/>
      <c r="D84" s="24"/>
      <c r="E84" s="24"/>
      <c r="F84" s="24"/>
      <c r="G84" s="36" t="s">
        <v>808</v>
      </c>
      <c r="H84" s="26"/>
      <c r="I84" s="26"/>
      <c r="J84" s="36"/>
      <c r="K84" s="36"/>
      <c r="L84" s="36"/>
      <c r="M84" s="36"/>
      <c r="N84" s="36"/>
    </row>
    <row r="85" spans="1:14">
      <c r="A85" s="23"/>
      <c r="B85" s="24" t="s">
        <v>801</v>
      </c>
      <c r="C85" s="24"/>
      <c r="D85" s="24"/>
      <c r="E85" s="24"/>
      <c r="F85" s="24"/>
      <c r="G85" s="36" t="s">
        <v>809</v>
      </c>
      <c r="H85" s="26"/>
      <c r="I85" s="26"/>
      <c r="J85" s="36"/>
      <c r="K85" s="36"/>
      <c r="L85" s="36"/>
      <c r="M85" s="36"/>
      <c r="N85" s="36"/>
    </row>
    <row r="86" spans="1:14">
      <c r="A86" s="23"/>
      <c r="B86" s="24" t="s">
        <v>801</v>
      </c>
      <c r="C86" s="24"/>
      <c r="D86" s="24"/>
      <c r="E86" s="24"/>
      <c r="F86" s="24"/>
      <c r="G86" s="36" t="s">
        <v>810</v>
      </c>
      <c r="H86" s="26"/>
      <c r="I86" s="26"/>
      <c r="J86" s="36"/>
      <c r="K86" s="36"/>
      <c r="L86" s="36"/>
      <c r="M86" s="36"/>
      <c r="N86" s="36"/>
    </row>
    <row r="87" spans="1:14">
      <c r="A87" s="23"/>
      <c r="B87" s="24" t="s">
        <v>801</v>
      </c>
      <c r="C87" s="24"/>
      <c r="D87" s="24"/>
      <c r="E87" s="24"/>
      <c r="F87" s="24"/>
      <c r="G87" s="36" t="s">
        <v>820</v>
      </c>
      <c r="H87" s="26"/>
      <c r="I87" s="26"/>
      <c r="J87" s="36"/>
      <c r="K87" s="36"/>
      <c r="L87" s="36"/>
      <c r="M87" s="36"/>
      <c r="N87" s="36"/>
    </row>
    <row r="88" ht="31.5" customHeight="1" spans="1:14">
      <c r="A88" s="23"/>
      <c r="B88" s="24" t="s">
        <v>801</v>
      </c>
      <c r="C88" s="24"/>
      <c r="D88" s="24"/>
      <c r="E88" s="24"/>
      <c r="F88" s="24"/>
      <c r="G88" s="36" t="s">
        <v>821</v>
      </c>
      <c r="H88" s="26"/>
      <c r="I88" s="26"/>
      <c r="J88" s="36"/>
      <c r="K88" s="36"/>
      <c r="L88" s="36"/>
      <c r="M88" s="36"/>
      <c r="N88" s="36"/>
    </row>
    <row r="89" spans="1:14">
      <c r="A89" s="23"/>
      <c r="B89" s="24" t="s">
        <v>801</v>
      </c>
      <c r="C89" s="24"/>
      <c r="D89" s="24"/>
      <c r="E89" s="24"/>
      <c r="F89" s="24"/>
      <c r="G89" s="36" t="s">
        <v>812</v>
      </c>
      <c r="H89" s="26"/>
      <c r="I89" s="26"/>
      <c r="J89" s="36"/>
      <c r="K89" s="36"/>
      <c r="L89" s="36"/>
      <c r="M89" s="36"/>
      <c r="N89" s="36"/>
    </row>
    <row r="90" spans="1:14">
      <c r="A90" s="23"/>
      <c r="B90" s="24" t="s">
        <v>801</v>
      </c>
      <c r="C90" s="24"/>
      <c r="D90" s="24"/>
      <c r="E90" s="24"/>
      <c r="F90" s="24"/>
      <c r="G90" s="36" t="s">
        <v>813</v>
      </c>
      <c r="H90" s="26"/>
      <c r="I90" s="26"/>
      <c r="J90" s="36"/>
      <c r="K90" s="36"/>
      <c r="L90" s="36"/>
      <c r="M90" s="36"/>
      <c r="N90" s="36"/>
    </row>
    <row r="91" spans="1:14">
      <c r="A91" s="23"/>
      <c r="B91" s="24"/>
      <c r="C91" s="24"/>
      <c r="D91" s="24"/>
      <c r="E91" s="24"/>
      <c r="F91" s="24"/>
      <c r="G91" s="32" t="s">
        <v>792</v>
      </c>
      <c r="H91" s="26"/>
      <c r="I91" s="26"/>
      <c r="J91" s="36"/>
      <c r="K91" s="36"/>
      <c r="L91" s="36"/>
      <c r="M91" s="36"/>
      <c r="N91" s="36"/>
    </row>
    <row r="92" spans="1:14">
      <c r="A92" s="23"/>
      <c r="B92" s="24" t="s">
        <v>209</v>
      </c>
      <c r="C92" s="24"/>
      <c r="D92" s="24"/>
      <c r="E92" s="24"/>
      <c r="F92" s="24"/>
      <c r="G92" s="44" t="s">
        <v>822</v>
      </c>
      <c r="H92" s="26" t="s">
        <v>130</v>
      </c>
      <c r="I92" s="41">
        <v>5</v>
      </c>
      <c r="J92" s="44"/>
      <c r="K92" s="44"/>
      <c r="L92" s="44"/>
      <c r="M92" s="44">
        <v>1800</v>
      </c>
      <c r="N92" s="31">
        <f t="shared" ref="N92:N94" si="1">SUM(I92*M92)</f>
        <v>9000</v>
      </c>
    </row>
    <row r="93" spans="1:14">
      <c r="A93" s="23"/>
      <c r="B93" s="24" t="s">
        <v>211</v>
      </c>
      <c r="C93" s="24"/>
      <c r="D93" s="24"/>
      <c r="E93" s="24"/>
      <c r="F93" s="24"/>
      <c r="G93" s="44" t="s">
        <v>823</v>
      </c>
      <c r="H93" s="26" t="s">
        <v>130</v>
      </c>
      <c r="I93" s="41">
        <v>5</v>
      </c>
      <c r="J93" s="44"/>
      <c r="K93" s="44"/>
      <c r="L93" s="44"/>
      <c r="M93" s="44">
        <v>2350</v>
      </c>
      <c r="N93" s="31">
        <f t="shared" si="1"/>
        <v>11750</v>
      </c>
    </row>
    <row r="94" spans="1:14">
      <c r="A94" s="23"/>
      <c r="B94" s="24" t="s">
        <v>213</v>
      </c>
      <c r="C94" s="24"/>
      <c r="D94" s="24"/>
      <c r="E94" s="24"/>
      <c r="F94" s="24"/>
      <c r="G94" s="44" t="s">
        <v>649</v>
      </c>
      <c r="H94" s="26" t="s">
        <v>130</v>
      </c>
      <c r="I94" s="41">
        <v>10</v>
      </c>
      <c r="J94" s="44"/>
      <c r="K94" s="44"/>
      <c r="L94" s="44"/>
      <c r="M94" s="44">
        <v>2550</v>
      </c>
      <c r="N94" s="31">
        <f t="shared" si="1"/>
        <v>25500</v>
      </c>
    </row>
    <row r="95" spans="1:14">
      <c r="A95" s="23"/>
      <c r="B95" s="24"/>
      <c r="C95" s="24"/>
      <c r="D95" s="24"/>
      <c r="E95" s="24"/>
      <c r="F95" s="24"/>
      <c r="G95" s="36"/>
      <c r="H95" s="26"/>
      <c r="I95" s="26"/>
      <c r="J95" s="36"/>
      <c r="K95" s="36"/>
      <c r="L95" s="36"/>
      <c r="M95" s="36"/>
      <c r="N95" s="36"/>
    </row>
    <row r="96" ht="14.25" spans="1:14">
      <c r="A96" s="27">
        <v>1.8</v>
      </c>
      <c r="B96" s="35" t="s">
        <v>209</v>
      </c>
      <c r="C96" s="35"/>
      <c r="D96" s="28" t="s">
        <v>158</v>
      </c>
      <c r="E96" s="29" t="s">
        <v>824</v>
      </c>
      <c r="F96" s="30" t="s">
        <v>165</v>
      </c>
      <c r="G96" s="36" t="s">
        <v>825</v>
      </c>
      <c r="H96" s="26" t="s">
        <v>130</v>
      </c>
      <c r="I96" s="41">
        <f>1288+130+82</f>
        <v>1500</v>
      </c>
      <c r="J96" s="36"/>
      <c r="K96" s="36"/>
      <c r="L96" s="36"/>
      <c r="M96" s="36">
        <v>750</v>
      </c>
      <c r="N96" s="31">
        <f>SUM(I96*M96)</f>
        <v>1125000</v>
      </c>
    </row>
    <row r="97" spans="1:14">
      <c r="A97" s="23"/>
      <c r="B97" s="24" t="s">
        <v>801</v>
      </c>
      <c r="C97" s="24"/>
      <c r="D97" s="24"/>
      <c r="E97" s="24"/>
      <c r="F97" s="24"/>
      <c r="G97" s="36" t="s">
        <v>826</v>
      </c>
      <c r="H97" s="45"/>
      <c r="I97" s="26"/>
      <c r="J97" s="36"/>
      <c r="K97" s="36"/>
      <c r="L97" s="36"/>
      <c r="M97" s="36"/>
      <c r="N97" s="36"/>
    </row>
    <row r="98" spans="1:14">
      <c r="A98" s="23"/>
      <c r="B98" s="24" t="s">
        <v>801</v>
      </c>
      <c r="C98" s="24"/>
      <c r="D98" s="24"/>
      <c r="E98" s="24"/>
      <c r="F98" s="24"/>
      <c r="G98" s="36" t="s">
        <v>827</v>
      </c>
      <c r="H98" s="45"/>
      <c r="I98" s="26"/>
      <c r="J98" s="36"/>
      <c r="K98" s="36"/>
      <c r="L98" s="36"/>
      <c r="M98" s="36"/>
      <c r="N98" s="36"/>
    </row>
    <row r="99" spans="1:14">
      <c r="A99" s="23"/>
      <c r="B99" s="24" t="s">
        <v>801</v>
      </c>
      <c r="C99" s="24"/>
      <c r="D99" s="24"/>
      <c r="E99" s="24"/>
      <c r="F99" s="24"/>
      <c r="G99" s="36" t="s">
        <v>828</v>
      </c>
      <c r="H99" s="45"/>
      <c r="I99" s="26"/>
      <c r="J99" s="36"/>
      <c r="K99" s="36"/>
      <c r="L99" s="36"/>
      <c r="M99" s="36"/>
      <c r="N99" s="36"/>
    </row>
    <row r="100" spans="1:14">
      <c r="A100" s="23"/>
      <c r="B100" s="24" t="s">
        <v>801</v>
      </c>
      <c r="C100" s="24"/>
      <c r="D100" s="24"/>
      <c r="E100" s="24"/>
      <c r="F100" s="24"/>
      <c r="G100" s="25" t="s">
        <v>829</v>
      </c>
      <c r="H100" s="45"/>
      <c r="I100" s="26"/>
      <c r="J100" s="25"/>
      <c r="K100" s="25"/>
      <c r="L100" s="25"/>
      <c r="M100" s="25"/>
      <c r="N100" s="25"/>
    </row>
    <row r="101" spans="1:14">
      <c r="A101" s="23"/>
      <c r="B101" s="24" t="s">
        <v>801</v>
      </c>
      <c r="C101" s="24"/>
      <c r="D101" s="24"/>
      <c r="E101" s="24"/>
      <c r="F101" s="24"/>
      <c r="G101" s="25" t="s">
        <v>810</v>
      </c>
      <c r="H101" s="45"/>
      <c r="I101" s="26"/>
      <c r="J101" s="25"/>
      <c r="K101" s="25"/>
      <c r="L101" s="25"/>
      <c r="M101" s="25"/>
      <c r="N101" s="25"/>
    </row>
    <row r="102" spans="1:14">
      <c r="A102" s="23"/>
      <c r="B102" s="24" t="s">
        <v>801</v>
      </c>
      <c r="C102" s="24"/>
      <c r="D102" s="24"/>
      <c r="E102" s="24"/>
      <c r="F102" s="24"/>
      <c r="G102" s="25" t="s">
        <v>830</v>
      </c>
      <c r="H102" s="45"/>
      <c r="I102" s="26"/>
      <c r="J102" s="25"/>
      <c r="K102" s="25"/>
      <c r="L102" s="25"/>
      <c r="M102" s="25"/>
      <c r="N102" s="25"/>
    </row>
    <row r="103" ht="28.5" spans="1:14">
      <c r="A103" s="23"/>
      <c r="B103" s="24" t="s">
        <v>801</v>
      </c>
      <c r="C103" s="24"/>
      <c r="D103" s="24"/>
      <c r="E103" s="24"/>
      <c r="F103" s="24"/>
      <c r="G103" s="25" t="s">
        <v>831</v>
      </c>
      <c r="H103" s="45"/>
      <c r="I103" s="26"/>
      <c r="J103" s="25"/>
      <c r="K103" s="25"/>
      <c r="L103" s="25"/>
      <c r="M103" s="25"/>
      <c r="N103" s="25"/>
    </row>
    <row r="104" spans="1:14">
      <c r="A104" s="23"/>
      <c r="B104" s="24" t="s">
        <v>801</v>
      </c>
      <c r="C104" s="24"/>
      <c r="D104" s="24"/>
      <c r="E104" s="24"/>
      <c r="F104" s="24"/>
      <c r="G104" s="25" t="s">
        <v>832</v>
      </c>
      <c r="H104" s="45"/>
      <c r="I104" s="26"/>
      <c r="J104" s="25"/>
      <c r="K104" s="25"/>
      <c r="L104" s="25"/>
      <c r="M104" s="25"/>
      <c r="N104" s="25"/>
    </row>
    <row r="105" spans="1:14">
      <c r="A105" s="23"/>
      <c r="B105" s="24" t="s">
        <v>801</v>
      </c>
      <c r="C105" s="24"/>
      <c r="D105" s="24"/>
      <c r="E105" s="24"/>
      <c r="F105" s="24"/>
      <c r="G105" s="25" t="s">
        <v>833</v>
      </c>
      <c r="H105" s="45"/>
      <c r="I105" s="26"/>
      <c r="J105" s="25"/>
      <c r="K105" s="25"/>
      <c r="L105" s="25"/>
      <c r="M105" s="25"/>
      <c r="N105" s="25"/>
    </row>
    <row r="106" spans="1:14">
      <c r="A106" s="23"/>
      <c r="B106" s="24" t="s">
        <v>801</v>
      </c>
      <c r="C106" s="24"/>
      <c r="D106" s="24"/>
      <c r="E106" s="24"/>
      <c r="F106" s="24"/>
      <c r="G106" s="25" t="s">
        <v>834</v>
      </c>
      <c r="H106" s="45"/>
      <c r="I106" s="26"/>
      <c r="J106" s="25"/>
      <c r="K106" s="25"/>
      <c r="L106" s="25"/>
      <c r="M106" s="25"/>
      <c r="N106" s="25"/>
    </row>
    <row r="107" spans="1:14">
      <c r="A107" s="23"/>
      <c r="B107" s="35"/>
      <c r="C107" s="35"/>
      <c r="D107" s="35"/>
      <c r="E107" s="35"/>
      <c r="F107" s="35"/>
      <c r="G107" s="25"/>
      <c r="H107" s="45"/>
      <c r="I107" s="26"/>
      <c r="J107" s="25"/>
      <c r="K107" s="25"/>
      <c r="L107" s="25"/>
      <c r="M107" s="25"/>
      <c r="N107" s="25"/>
    </row>
    <row r="108" spans="1:14">
      <c r="A108" s="23"/>
      <c r="B108" s="46" t="s">
        <v>211</v>
      </c>
      <c r="C108" s="46"/>
      <c r="D108" s="46"/>
      <c r="E108" s="46"/>
      <c r="F108" s="46"/>
      <c r="G108" s="36" t="s">
        <v>835</v>
      </c>
      <c r="H108" s="26" t="s">
        <v>130</v>
      </c>
      <c r="I108" s="41">
        <f>(73*3)+(32*3)+35</f>
        <v>350</v>
      </c>
      <c r="J108" s="36"/>
      <c r="K108" s="36"/>
      <c r="L108" s="36"/>
      <c r="M108" s="36">
        <v>650</v>
      </c>
      <c r="N108" s="31">
        <f>SUM(I108*M108)</f>
        <v>227500</v>
      </c>
    </row>
    <row r="109" spans="1:14">
      <c r="A109" s="23"/>
      <c r="B109" s="35"/>
      <c r="C109" s="35"/>
      <c r="D109" s="35"/>
      <c r="E109" s="35"/>
      <c r="F109" s="35"/>
      <c r="G109" s="25"/>
      <c r="H109" s="45"/>
      <c r="I109" s="26"/>
      <c r="J109" s="25"/>
      <c r="K109" s="25"/>
      <c r="L109" s="25"/>
      <c r="M109" s="25"/>
      <c r="N109" s="25"/>
    </row>
    <row r="110" ht="14.25" spans="1:14">
      <c r="A110" s="27">
        <v>1.9</v>
      </c>
      <c r="B110" s="35"/>
      <c r="C110" s="35"/>
      <c r="D110" s="28" t="s">
        <v>158</v>
      </c>
      <c r="E110" s="29" t="s">
        <v>836</v>
      </c>
      <c r="F110" s="30" t="s">
        <v>837</v>
      </c>
      <c r="G110" s="25" t="s">
        <v>838</v>
      </c>
      <c r="H110" s="26" t="s">
        <v>130</v>
      </c>
      <c r="I110" s="41">
        <v>1120</v>
      </c>
      <c r="J110" s="25"/>
      <c r="K110" s="25"/>
      <c r="L110" s="25"/>
      <c r="M110" s="25">
        <v>1750</v>
      </c>
      <c r="N110" s="31">
        <f>SUM(I110*M110)</f>
        <v>1960000</v>
      </c>
    </row>
    <row r="111" spans="1:14">
      <c r="A111" s="23"/>
      <c r="B111" s="24" t="s">
        <v>801</v>
      </c>
      <c r="C111" s="24"/>
      <c r="D111" s="24"/>
      <c r="E111" s="24"/>
      <c r="F111" s="24"/>
      <c r="G111" s="25" t="s">
        <v>839</v>
      </c>
      <c r="H111" s="45"/>
      <c r="I111" s="26"/>
      <c r="J111" s="25"/>
      <c r="K111" s="25"/>
      <c r="L111" s="25"/>
      <c r="M111" s="25"/>
      <c r="N111" s="25"/>
    </row>
    <row r="112" spans="1:14">
      <c r="A112" s="23"/>
      <c r="B112" s="24" t="s">
        <v>801</v>
      </c>
      <c r="C112" s="24"/>
      <c r="D112" s="24"/>
      <c r="E112" s="24"/>
      <c r="F112" s="24"/>
      <c r="G112" s="25" t="s">
        <v>840</v>
      </c>
      <c r="H112" s="45"/>
      <c r="I112" s="26"/>
      <c r="J112" s="25"/>
      <c r="K112" s="25"/>
      <c r="L112" s="25"/>
      <c r="M112" s="25"/>
      <c r="N112" s="25"/>
    </row>
    <row r="113" spans="1:14">
      <c r="A113" s="23"/>
      <c r="B113" s="24" t="s">
        <v>801</v>
      </c>
      <c r="C113" s="24"/>
      <c r="D113" s="24"/>
      <c r="E113" s="24"/>
      <c r="F113" s="24"/>
      <c r="G113" s="25" t="s">
        <v>841</v>
      </c>
      <c r="H113" s="26"/>
      <c r="I113" s="26"/>
      <c r="J113" s="25"/>
      <c r="K113" s="25"/>
      <c r="L113" s="25"/>
      <c r="M113" s="25"/>
      <c r="N113" s="25"/>
    </row>
    <row r="114" spans="1:14">
      <c r="A114" s="23"/>
      <c r="B114" s="24" t="s">
        <v>801</v>
      </c>
      <c r="C114" s="24"/>
      <c r="D114" s="24"/>
      <c r="E114" s="24"/>
      <c r="F114" s="24"/>
      <c r="G114" s="25" t="s">
        <v>842</v>
      </c>
      <c r="H114" s="26"/>
      <c r="I114" s="26"/>
      <c r="J114" s="25"/>
      <c r="K114" s="25"/>
      <c r="L114" s="25"/>
      <c r="M114" s="25"/>
      <c r="N114" s="25"/>
    </row>
    <row r="115" spans="1:14">
      <c r="A115" s="23"/>
      <c r="B115" s="24" t="s">
        <v>801</v>
      </c>
      <c r="C115" s="24"/>
      <c r="D115" s="24"/>
      <c r="E115" s="24"/>
      <c r="F115" s="24"/>
      <c r="G115" s="25" t="s">
        <v>843</v>
      </c>
      <c r="H115" s="26"/>
      <c r="I115" s="26"/>
      <c r="J115" s="25"/>
      <c r="K115" s="25"/>
      <c r="L115" s="25"/>
      <c r="M115" s="25"/>
      <c r="N115" s="25"/>
    </row>
    <row r="116" spans="1:14">
      <c r="A116" s="23"/>
      <c r="B116" s="24"/>
      <c r="C116" s="24"/>
      <c r="D116" s="24"/>
      <c r="E116" s="24"/>
      <c r="F116" s="24"/>
      <c r="G116" s="47"/>
      <c r="H116" s="26"/>
      <c r="I116" s="26"/>
      <c r="J116" s="47"/>
      <c r="K116" s="47"/>
      <c r="L116" s="47"/>
      <c r="M116" s="47"/>
      <c r="N116" s="47"/>
    </row>
    <row r="117" ht="14.25" spans="1:14">
      <c r="A117" s="48">
        <v>1.1</v>
      </c>
      <c r="B117" s="24"/>
      <c r="C117" s="24"/>
      <c r="D117" s="28" t="s">
        <v>158</v>
      </c>
      <c r="E117" s="29" t="s">
        <v>844</v>
      </c>
      <c r="F117" s="30" t="s">
        <v>845</v>
      </c>
      <c r="G117" s="25" t="s">
        <v>846</v>
      </c>
      <c r="H117" s="26"/>
      <c r="I117" s="41"/>
      <c r="J117" s="25"/>
      <c r="K117" s="25"/>
      <c r="L117" s="25"/>
      <c r="M117" s="25"/>
      <c r="N117" s="25"/>
    </row>
    <row r="118" ht="206.25" customHeight="1" spans="1:14">
      <c r="A118" s="24"/>
      <c r="B118" s="49" t="s">
        <v>801</v>
      </c>
      <c r="C118" s="49"/>
      <c r="D118" s="49"/>
      <c r="E118" s="49"/>
      <c r="F118" s="49"/>
      <c r="G118" s="50" t="s">
        <v>847</v>
      </c>
      <c r="H118" s="26"/>
      <c r="I118" s="26"/>
      <c r="J118" s="25"/>
      <c r="K118" s="25"/>
      <c r="L118" s="25"/>
      <c r="M118" s="25"/>
      <c r="N118" s="25"/>
    </row>
    <row r="119" ht="14.25" spans="1:14">
      <c r="A119" s="24"/>
      <c r="B119" s="49" t="s">
        <v>801</v>
      </c>
      <c r="C119" s="49"/>
      <c r="D119" s="49"/>
      <c r="E119" s="49"/>
      <c r="F119" s="49"/>
      <c r="G119" s="25" t="s">
        <v>848</v>
      </c>
      <c r="H119" s="26"/>
      <c r="I119" s="26"/>
      <c r="J119" s="25"/>
      <c r="K119" s="25"/>
      <c r="L119" s="25"/>
      <c r="M119" s="25"/>
      <c r="N119" s="25"/>
    </row>
    <row r="120" ht="14.25" spans="1:14">
      <c r="A120" s="24"/>
      <c r="B120" s="49" t="s">
        <v>801</v>
      </c>
      <c r="C120" s="49"/>
      <c r="D120" s="49"/>
      <c r="E120" s="49"/>
      <c r="F120" s="49"/>
      <c r="G120" s="25" t="s">
        <v>849</v>
      </c>
      <c r="H120" s="45"/>
      <c r="I120" s="26"/>
      <c r="J120" s="25"/>
      <c r="K120" s="25"/>
      <c r="L120" s="25"/>
      <c r="M120" s="25"/>
      <c r="N120" s="25"/>
    </row>
    <row r="121" ht="28.5" spans="1:14">
      <c r="A121" s="24"/>
      <c r="B121" s="49" t="s">
        <v>801</v>
      </c>
      <c r="C121" s="49"/>
      <c r="D121" s="49"/>
      <c r="E121" s="49"/>
      <c r="F121" s="49"/>
      <c r="G121" s="25" t="s">
        <v>850</v>
      </c>
      <c r="H121" s="45"/>
      <c r="I121" s="26"/>
      <c r="J121" s="25"/>
      <c r="K121" s="25"/>
      <c r="L121" s="25"/>
      <c r="M121" s="25"/>
      <c r="N121" s="25"/>
    </row>
    <row r="122" ht="14.25" spans="1:14">
      <c r="A122" s="24"/>
      <c r="B122" s="49"/>
      <c r="C122" s="49"/>
      <c r="D122" s="49"/>
      <c r="E122" s="49"/>
      <c r="F122" s="49"/>
      <c r="G122" s="25"/>
      <c r="H122" s="45"/>
      <c r="I122" s="26"/>
      <c r="J122" s="25"/>
      <c r="K122" s="25"/>
      <c r="L122" s="25"/>
      <c r="M122" s="25"/>
      <c r="N122" s="25"/>
    </row>
    <row r="123" spans="1:14">
      <c r="A123" s="24"/>
      <c r="B123" s="51" t="s">
        <v>209</v>
      </c>
      <c r="C123" s="51"/>
      <c r="D123" s="51"/>
      <c r="E123" s="51"/>
      <c r="F123" s="51"/>
      <c r="G123" s="36" t="s">
        <v>851</v>
      </c>
      <c r="H123" s="26" t="s">
        <v>130</v>
      </c>
      <c r="I123" s="41">
        <v>296</v>
      </c>
      <c r="J123" s="36"/>
      <c r="K123" s="36"/>
      <c r="L123" s="36"/>
      <c r="M123" s="36">
        <v>1800</v>
      </c>
      <c r="N123" s="31">
        <f>SUM(I123*M123)</f>
        <v>532800</v>
      </c>
    </row>
    <row r="124" ht="12.75" customHeight="1" spans="1:14">
      <c r="A124" s="24"/>
      <c r="B124" s="49"/>
      <c r="C124" s="49"/>
      <c r="D124" s="49"/>
      <c r="E124" s="49"/>
      <c r="F124" s="49"/>
      <c r="G124" s="25"/>
      <c r="H124" s="45"/>
      <c r="I124" s="26"/>
      <c r="J124" s="25"/>
      <c r="K124" s="25"/>
      <c r="L124" s="25"/>
      <c r="M124" s="25"/>
      <c r="N124" s="25"/>
    </row>
    <row r="125" spans="1:14">
      <c r="A125" s="48">
        <v>1.11</v>
      </c>
      <c r="B125" s="24"/>
      <c r="C125" s="24"/>
      <c r="D125" s="28" t="s">
        <v>158</v>
      </c>
      <c r="E125" s="29" t="s">
        <v>844</v>
      </c>
      <c r="F125" s="52" t="s">
        <v>845</v>
      </c>
      <c r="G125" s="25" t="s">
        <v>852</v>
      </c>
      <c r="H125" s="26" t="s">
        <v>130</v>
      </c>
      <c r="I125" s="41">
        <f>170+30</f>
        <v>200</v>
      </c>
      <c r="J125" s="25"/>
      <c r="K125" s="25"/>
      <c r="L125" s="25"/>
      <c r="M125" s="25">
        <v>2200</v>
      </c>
      <c r="N125" s="31">
        <f>SUM(I125*M125)</f>
        <v>440000</v>
      </c>
    </row>
    <row r="126" spans="1:14">
      <c r="A126" s="23"/>
      <c r="B126" s="24" t="s">
        <v>801</v>
      </c>
      <c r="C126" s="24"/>
      <c r="D126" s="24"/>
      <c r="E126" s="24"/>
      <c r="F126" s="24" t="s">
        <v>695</v>
      </c>
      <c r="G126" s="25" t="s">
        <v>853</v>
      </c>
      <c r="H126" s="26"/>
      <c r="I126" s="26"/>
      <c r="J126" s="25"/>
      <c r="K126" s="25"/>
      <c r="L126" s="25"/>
      <c r="M126" s="25"/>
      <c r="N126" s="25"/>
    </row>
    <row r="127" spans="1:14">
      <c r="A127" s="23"/>
      <c r="B127" s="24" t="s">
        <v>801</v>
      </c>
      <c r="C127" s="24"/>
      <c r="D127" s="24"/>
      <c r="E127" s="24"/>
      <c r="F127" s="24"/>
      <c r="G127" s="25" t="s">
        <v>854</v>
      </c>
      <c r="H127" s="26"/>
      <c r="I127" s="26"/>
      <c r="J127" s="25"/>
      <c r="K127" s="25"/>
      <c r="L127" s="25"/>
      <c r="M127" s="25"/>
      <c r="N127" s="25"/>
    </row>
    <row r="128" spans="1:14">
      <c r="A128" s="23"/>
      <c r="B128" s="24" t="s">
        <v>801</v>
      </c>
      <c r="C128" s="24"/>
      <c r="D128" s="24"/>
      <c r="E128" s="24"/>
      <c r="F128" s="24"/>
      <c r="G128" s="25" t="s">
        <v>855</v>
      </c>
      <c r="H128" s="26"/>
      <c r="I128" s="26"/>
      <c r="J128" s="25"/>
      <c r="K128" s="25"/>
      <c r="L128" s="25"/>
      <c r="M128" s="25"/>
      <c r="N128" s="25"/>
    </row>
    <row r="129" spans="1:14">
      <c r="A129" s="23"/>
      <c r="B129" s="24" t="s">
        <v>801</v>
      </c>
      <c r="C129" s="24"/>
      <c r="D129" s="24"/>
      <c r="E129" s="24"/>
      <c r="F129" s="24"/>
      <c r="G129" s="25" t="s">
        <v>856</v>
      </c>
      <c r="H129" s="26"/>
      <c r="I129" s="26"/>
      <c r="J129" s="25"/>
      <c r="K129" s="25"/>
      <c r="L129" s="25"/>
      <c r="M129" s="25"/>
      <c r="N129" s="25"/>
    </row>
    <row r="130" spans="1:14">
      <c r="A130" s="23"/>
      <c r="B130" s="24" t="s">
        <v>801</v>
      </c>
      <c r="C130" s="24"/>
      <c r="D130" s="24"/>
      <c r="E130" s="24"/>
      <c r="F130" s="24"/>
      <c r="G130" s="25" t="s">
        <v>857</v>
      </c>
      <c r="H130" s="26"/>
      <c r="I130" s="26"/>
      <c r="J130" s="25"/>
      <c r="K130" s="25"/>
      <c r="L130" s="25"/>
      <c r="M130" s="25"/>
      <c r="N130" s="25"/>
    </row>
    <row r="131" spans="1:14">
      <c r="A131" s="23"/>
      <c r="B131" s="51" t="s">
        <v>801</v>
      </c>
      <c r="C131" s="51"/>
      <c r="D131" s="51"/>
      <c r="E131" s="51"/>
      <c r="F131" s="51"/>
      <c r="G131" s="25" t="s">
        <v>858</v>
      </c>
      <c r="H131" s="26"/>
      <c r="I131" s="26"/>
      <c r="J131" s="25"/>
      <c r="K131" s="25"/>
      <c r="L131" s="25"/>
      <c r="M131" s="25"/>
      <c r="N131" s="25"/>
    </row>
    <row r="132" spans="1:14">
      <c r="A132" s="23"/>
      <c r="B132" s="51" t="s">
        <v>801</v>
      </c>
      <c r="C132" s="51"/>
      <c r="D132" s="51"/>
      <c r="E132" s="51"/>
      <c r="F132" s="51"/>
      <c r="G132" s="25" t="s">
        <v>859</v>
      </c>
      <c r="H132" s="26"/>
      <c r="I132" s="26"/>
      <c r="J132" s="25"/>
      <c r="K132" s="25"/>
      <c r="L132" s="25"/>
      <c r="M132" s="25"/>
      <c r="N132" s="25"/>
    </row>
    <row r="133" spans="1:14">
      <c r="A133" s="23"/>
      <c r="B133" s="51"/>
      <c r="C133" s="51"/>
      <c r="D133" s="51"/>
      <c r="E133" s="51"/>
      <c r="F133" s="51"/>
      <c r="G133" s="25"/>
      <c r="H133" s="26"/>
      <c r="I133" s="26"/>
      <c r="J133" s="25"/>
      <c r="K133" s="25"/>
      <c r="L133" s="25"/>
      <c r="M133" s="25"/>
      <c r="N133" s="25"/>
    </row>
    <row r="134" spans="1:14">
      <c r="A134" s="53">
        <v>1.12</v>
      </c>
      <c r="B134" s="24"/>
      <c r="C134" s="24"/>
      <c r="D134" s="54" t="s">
        <v>158</v>
      </c>
      <c r="E134" s="30" t="s">
        <v>289</v>
      </c>
      <c r="F134" s="55" t="s">
        <v>290</v>
      </c>
      <c r="G134" s="56" t="s">
        <v>860</v>
      </c>
      <c r="H134" s="57" t="s">
        <v>130</v>
      </c>
      <c r="I134" s="82">
        <v>50.02</v>
      </c>
      <c r="J134" s="25"/>
      <c r="K134" s="25"/>
      <c r="L134" s="25"/>
      <c r="M134" s="36">
        <v>1600</v>
      </c>
      <c r="N134" s="31">
        <f>SUM(I134*M134)</f>
        <v>80032</v>
      </c>
    </row>
    <row r="135" ht="71.25" spans="1:14">
      <c r="A135" s="58"/>
      <c r="B135" s="35"/>
      <c r="C135" s="35"/>
      <c r="D135" s="55"/>
      <c r="E135" s="55"/>
      <c r="F135" s="55"/>
      <c r="G135" s="32" t="s">
        <v>861</v>
      </c>
      <c r="H135" s="57"/>
      <c r="I135" s="25"/>
      <c r="J135" s="25"/>
      <c r="K135" s="25"/>
      <c r="L135" s="25"/>
      <c r="M135" s="36"/>
      <c r="N135" s="25"/>
    </row>
    <row r="136" spans="1:14">
      <c r="A136" s="58"/>
      <c r="B136" s="35"/>
      <c r="C136" s="35"/>
      <c r="D136" s="35"/>
      <c r="E136" s="35"/>
      <c r="F136" s="35"/>
      <c r="G136" s="25"/>
      <c r="H136" s="25"/>
      <c r="I136" s="25"/>
      <c r="J136" s="25"/>
      <c r="K136" s="25"/>
      <c r="L136" s="25"/>
      <c r="M136" s="36"/>
      <c r="N136" s="25"/>
    </row>
    <row r="137" ht="142.5" spans="1:14">
      <c r="A137" s="23">
        <v>1.13</v>
      </c>
      <c r="B137" s="35"/>
      <c r="C137" s="35"/>
      <c r="D137" s="59" t="s">
        <v>158</v>
      </c>
      <c r="E137" s="60" t="s">
        <v>178</v>
      </c>
      <c r="F137" s="55" t="s">
        <v>179</v>
      </c>
      <c r="G137" s="32" t="s">
        <v>285</v>
      </c>
      <c r="H137" s="59" t="s">
        <v>130</v>
      </c>
      <c r="I137" s="25">
        <v>100</v>
      </c>
      <c r="J137" s="25"/>
      <c r="K137" s="25"/>
      <c r="L137" s="25"/>
      <c r="M137" s="36">
        <v>1695</v>
      </c>
      <c r="N137" s="31">
        <f>SUM(I137*M137)</f>
        <v>169500</v>
      </c>
    </row>
    <row r="138" spans="1:14">
      <c r="A138" s="58"/>
      <c r="B138" s="35"/>
      <c r="C138" s="35"/>
      <c r="D138" s="35"/>
      <c r="E138" s="35"/>
      <c r="F138" s="35"/>
      <c r="G138" s="25" t="s">
        <v>862</v>
      </c>
      <c r="H138" s="25"/>
      <c r="I138" s="25"/>
      <c r="J138" s="25"/>
      <c r="K138" s="25"/>
      <c r="L138" s="25"/>
      <c r="M138" s="25"/>
      <c r="N138" s="25"/>
    </row>
    <row r="139" spans="1:14">
      <c r="A139" s="58"/>
      <c r="B139" s="35"/>
      <c r="C139" s="35"/>
      <c r="D139" s="35"/>
      <c r="E139" s="35"/>
      <c r="F139" s="35"/>
      <c r="G139" s="25"/>
      <c r="H139" s="25"/>
      <c r="I139" s="25"/>
      <c r="J139" s="25"/>
      <c r="K139" s="25"/>
      <c r="L139" s="25"/>
      <c r="M139" s="25"/>
      <c r="N139" s="25"/>
    </row>
    <row r="140" ht="71.25" spans="1:14">
      <c r="A140" s="23">
        <v>1.14</v>
      </c>
      <c r="B140" s="35"/>
      <c r="C140" s="35"/>
      <c r="D140" s="61" t="s">
        <v>158</v>
      </c>
      <c r="E140" s="61" t="s">
        <v>703</v>
      </c>
      <c r="F140" s="61" t="s">
        <v>863</v>
      </c>
      <c r="G140" s="32" t="s">
        <v>864</v>
      </c>
      <c r="H140" s="59" t="s">
        <v>63</v>
      </c>
      <c r="I140" s="25">
        <f>8*3</f>
        <v>24</v>
      </c>
      <c r="J140" s="25"/>
      <c r="K140" s="25"/>
      <c r="L140" s="25"/>
      <c r="M140" s="25">
        <v>1500</v>
      </c>
      <c r="N140" s="31">
        <f>SUM(I140*M140)</f>
        <v>36000</v>
      </c>
    </row>
    <row r="141" spans="1:14">
      <c r="A141" s="23"/>
      <c r="B141" s="51"/>
      <c r="C141" s="51"/>
      <c r="D141" s="51"/>
      <c r="E141" s="51"/>
      <c r="F141" s="51"/>
      <c r="G141" s="25"/>
      <c r="H141" s="26"/>
      <c r="I141" s="26"/>
      <c r="J141" s="25"/>
      <c r="K141" s="25"/>
      <c r="L141" s="25"/>
      <c r="M141" s="25"/>
      <c r="N141" s="25"/>
    </row>
    <row r="142" spans="1:14">
      <c r="A142" s="23" t="s">
        <v>69</v>
      </c>
      <c r="B142" s="51"/>
      <c r="C142" s="51"/>
      <c r="D142" s="51"/>
      <c r="E142" s="51"/>
      <c r="F142" s="51"/>
      <c r="G142" s="47" t="s">
        <v>865</v>
      </c>
      <c r="H142" s="26"/>
      <c r="I142" s="26"/>
      <c r="J142" s="25"/>
      <c r="K142" s="25"/>
      <c r="L142" s="25"/>
      <c r="M142" s="25"/>
      <c r="N142" s="25"/>
    </row>
    <row r="143" spans="1:14">
      <c r="A143" s="23"/>
      <c r="B143" s="51"/>
      <c r="C143" s="51"/>
      <c r="D143" s="51"/>
      <c r="E143" s="51"/>
      <c r="F143" s="51"/>
      <c r="G143" s="25"/>
      <c r="H143" s="26"/>
      <c r="I143" s="26"/>
      <c r="J143" s="25"/>
      <c r="K143" s="25"/>
      <c r="L143" s="25"/>
      <c r="M143" s="25"/>
      <c r="N143" s="25"/>
    </row>
    <row r="144" spans="1:14">
      <c r="A144" s="62">
        <v>2.1</v>
      </c>
      <c r="B144" s="51"/>
      <c r="C144" s="51"/>
      <c r="D144" s="51"/>
      <c r="E144" s="51"/>
      <c r="F144" s="51"/>
      <c r="G144" s="63" t="s">
        <v>866</v>
      </c>
      <c r="H144" s="26" t="s">
        <v>130</v>
      </c>
      <c r="I144" s="41">
        <f>20+80</f>
        <v>100</v>
      </c>
      <c r="J144" s="25"/>
      <c r="K144" s="25"/>
      <c r="L144" s="25"/>
      <c r="M144" s="36">
        <v>2050</v>
      </c>
      <c r="N144" s="31">
        <f>SUM(I144*M144)</f>
        <v>205000</v>
      </c>
    </row>
    <row r="145" ht="28.5" spans="1:14">
      <c r="A145" s="23"/>
      <c r="B145" s="51"/>
      <c r="C145" s="51"/>
      <c r="D145" s="51"/>
      <c r="E145" s="51"/>
      <c r="F145" s="51"/>
      <c r="G145" s="64" t="s">
        <v>867</v>
      </c>
      <c r="H145" s="26"/>
      <c r="I145" s="26"/>
      <c r="J145" s="25"/>
      <c r="K145" s="25"/>
      <c r="L145" s="25"/>
      <c r="M145" s="36"/>
      <c r="N145" s="25"/>
    </row>
    <row r="146" ht="28.5" spans="1:14">
      <c r="A146" s="23"/>
      <c r="B146" s="51"/>
      <c r="C146" s="51"/>
      <c r="D146" s="51"/>
      <c r="E146" s="51"/>
      <c r="F146" s="51"/>
      <c r="G146" s="64" t="s">
        <v>868</v>
      </c>
      <c r="H146" s="26"/>
      <c r="I146" s="26"/>
      <c r="J146" s="25"/>
      <c r="K146" s="25"/>
      <c r="L146" s="25"/>
      <c r="M146" s="36"/>
      <c r="N146" s="25"/>
    </row>
    <row r="147" ht="28.5" spans="1:14">
      <c r="A147" s="23"/>
      <c r="B147" s="51"/>
      <c r="C147" s="51"/>
      <c r="D147" s="51"/>
      <c r="E147" s="51"/>
      <c r="F147" s="51"/>
      <c r="G147" s="64" t="s">
        <v>869</v>
      </c>
      <c r="H147" s="26"/>
      <c r="I147" s="26"/>
      <c r="J147" s="25"/>
      <c r="K147" s="25"/>
      <c r="L147" s="25"/>
      <c r="M147" s="36"/>
      <c r="N147" s="25"/>
    </row>
    <row r="148" spans="1:14">
      <c r="A148" s="23"/>
      <c r="B148" s="51"/>
      <c r="C148" s="51"/>
      <c r="D148" s="51"/>
      <c r="E148" s="51"/>
      <c r="F148" s="51"/>
      <c r="G148" s="64" t="s">
        <v>870</v>
      </c>
      <c r="H148" s="26"/>
      <c r="I148" s="26"/>
      <c r="J148" s="25"/>
      <c r="K148" s="25"/>
      <c r="L148" s="25"/>
      <c r="M148" s="36"/>
      <c r="N148" s="25"/>
    </row>
    <row r="149" ht="28.5" spans="1:14">
      <c r="A149" s="23"/>
      <c r="B149" s="51"/>
      <c r="C149" s="51"/>
      <c r="D149" s="51"/>
      <c r="E149" s="51"/>
      <c r="F149" s="51"/>
      <c r="G149" s="64" t="s">
        <v>871</v>
      </c>
      <c r="H149" s="26"/>
      <c r="I149" s="26"/>
      <c r="J149" s="25"/>
      <c r="K149" s="25"/>
      <c r="L149" s="25"/>
      <c r="M149" s="36"/>
      <c r="N149" s="25"/>
    </row>
    <row r="150" ht="28.5" spans="1:14">
      <c r="A150" s="23"/>
      <c r="B150" s="51"/>
      <c r="C150" s="51"/>
      <c r="D150" s="51"/>
      <c r="E150" s="51"/>
      <c r="F150" s="51"/>
      <c r="G150" s="64" t="s">
        <v>872</v>
      </c>
      <c r="H150" s="26"/>
      <c r="I150" s="26"/>
      <c r="J150" s="25"/>
      <c r="K150" s="25"/>
      <c r="L150" s="25"/>
      <c r="M150" s="36"/>
      <c r="N150" s="25"/>
    </row>
    <row r="151" ht="28.5" spans="1:14">
      <c r="A151" s="23"/>
      <c r="B151" s="51"/>
      <c r="C151" s="51"/>
      <c r="D151" s="51"/>
      <c r="E151" s="51"/>
      <c r="F151" s="51"/>
      <c r="G151" s="64" t="s">
        <v>873</v>
      </c>
      <c r="H151" s="26"/>
      <c r="I151" s="26"/>
      <c r="J151" s="25"/>
      <c r="K151" s="25"/>
      <c r="L151" s="25"/>
      <c r="M151" s="36"/>
      <c r="N151" s="25"/>
    </row>
    <row r="152" spans="1:14">
      <c r="A152" s="23"/>
      <c r="B152" s="51"/>
      <c r="C152" s="51"/>
      <c r="D152" s="51"/>
      <c r="E152" s="51"/>
      <c r="F152" s="51"/>
      <c r="G152" s="64" t="s">
        <v>874</v>
      </c>
      <c r="H152" s="26"/>
      <c r="I152" s="26"/>
      <c r="J152" s="25"/>
      <c r="K152" s="25"/>
      <c r="L152" s="25"/>
      <c r="M152" s="36"/>
      <c r="N152" s="25"/>
    </row>
    <row r="153" spans="1:14">
      <c r="A153" s="23"/>
      <c r="B153" s="51"/>
      <c r="C153" s="51"/>
      <c r="D153" s="51"/>
      <c r="E153" s="51"/>
      <c r="F153" s="51"/>
      <c r="G153" s="64" t="s">
        <v>875</v>
      </c>
      <c r="H153" s="26"/>
      <c r="I153" s="26"/>
      <c r="J153" s="25"/>
      <c r="K153" s="25"/>
      <c r="L153" s="25"/>
      <c r="M153" s="36"/>
      <c r="N153" s="25"/>
    </row>
    <row r="154" spans="1:14">
      <c r="A154" s="23"/>
      <c r="B154" s="51"/>
      <c r="C154" s="51"/>
      <c r="D154" s="51"/>
      <c r="E154" s="51"/>
      <c r="F154" s="51"/>
      <c r="G154" s="25" t="s">
        <v>876</v>
      </c>
      <c r="H154" s="26"/>
      <c r="I154" s="26"/>
      <c r="J154" s="25"/>
      <c r="K154" s="25"/>
      <c r="L154" s="25"/>
      <c r="M154" s="36"/>
      <c r="N154" s="25"/>
    </row>
    <row r="155" spans="1:14">
      <c r="A155" s="23"/>
      <c r="B155" s="51"/>
      <c r="C155" s="51"/>
      <c r="D155" s="51"/>
      <c r="E155" s="51"/>
      <c r="F155" s="51"/>
      <c r="G155" s="25"/>
      <c r="H155" s="26"/>
      <c r="I155" s="26"/>
      <c r="J155" s="25"/>
      <c r="K155" s="25"/>
      <c r="L155" s="25"/>
      <c r="M155" s="36"/>
      <c r="N155" s="25"/>
    </row>
    <row r="156" spans="1:14">
      <c r="A156" s="62">
        <v>2.2</v>
      </c>
      <c r="B156" s="51"/>
      <c r="C156" s="51"/>
      <c r="D156" s="51"/>
      <c r="E156" s="51"/>
      <c r="F156" s="51"/>
      <c r="G156" s="65" t="s">
        <v>536</v>
      </c>
      <c r="H156" s="26" t="s">
        <v>130</v>
      </c>
      <c r="I156" s="41">
        <v>2000</v>
      </c>
      <c r="J156" s="25"/>
      <c r="K156" s="25"/>
      <c r="L156" s="25"/>
      <c r="M156" s="36">
        <v>475</v>
      </c>
      <c r="N156" s="31">
        <f>SUM(I156*M156)</f>
        <v>950000</v>
      </c>
    </row>
    <row r="157" spans="1:14">
      <c r="A157" s="23"/>
      <c r="B157" s="51"/>
      <c r="C157" s="51"/>
      <c r="D157" s="51"/>
      <c r="E157" s="51"/>
      <c r="F157" s="51"/>
      <c r="G157" s="32" t="s">
        <v>877</v>
      </c>
      <c r="H157" s="26"/>
      <c r="I157" s="26"/>
      <c r="J157" s="25"/>
      <c r="K157" s="25"/>
      <c r="L157" s="25"/>
      <c r="M157" s="36"/>
      <c r="N157" s="25"/>
    </row>
    <row r="158" spans="1:14">
      <c r="A158" s="23"/>
      <c r="B158" s="51"/>
      <c r="C158" s="51"/>
      <c r="D158" s="51"/>
      <c r="E158" s="51"/>
      <c r="F158" s="51"/>
      <c r="G158" s="33" t="s">
        <v>878</v>
      </c>
      <c r="H158" s="26"/>
      <c r="I158" s="26"/>
      <c r="J158" s="25"/>
      <c r="K158" s="25"/>
      <c r="L158" s="25"/>
      <c r="M158" s="36"/>
      <c r="N158" s="25"/>
    </row>
    <row r="159" spans="1:14">
      <c r="A159" s="23"/>
      <c r="B159" s="51"/>
      <c r="C159" s="51"/>
      <c r="D159" s="51"/>
      <c r="E159" s="51"/>
      <c r="F159" s="51"/>
      <c r="G159" s="33" t="s">
        <v>879</v>
      </c>
      <c r="H159" s="26"/>
      <c r="I159" s="26"/>
      <c r="J159" s="25"/>
      <c r="K159" s="25"/>
      <c r="L159" s="25"/>
      <c r="M159" s="36"/>
      <c r="N159" s="25"/>
    </row>
    <row r="160" spans="1:14">
      <c r="A160" s="23"/>
      <c r="B160" s="51"/>
      <c r="C160" s="51"/>
      <c r="D160" s="51"/>
      <c r="E160" s="51"/>
      <c r="F160" s="51"/>
      <c r="G160" s="33" t="s">
        <v>880</v>
      </c>
      <c r="H160" s="26"/>
      <c r="I160" s="26"/>
      <c r="J160" s="25"/>
      <c r="K160" s="25"/>
      <c r="L160" s="25"/>
      <c r="M160" s="36"/>
      <c r="N160" s="25"/>
    </row>
    <row r="161" spans="1:14">
      <c r="A161" s="23"/>
      <c r="B161" s="51"/>
      <c r="C161" s="51"/>
      <c r="D161" s="51"/>
      <c r="E161" s="51"/>
      <c r="F161" s="51"/>
      <c r="G161" s="33" t="s">
        <v>881</v>
      </c>
      <c r="H161" s="26"/>
      <c r="I161" s="26"/>
      <c r="J161" s="25"/>
      <c r="K161" s="25"/>
      <c r="L161" s="25"/>
      <c r="M161" s="25"/>
      <c r="N161" s="25"/>
    </row>
    <row r="162" spans="1:14">
      <c r="A162" s="23"/>
      <c r="B162" s="51"/>
      <c r="C162" s="51"/>
      <c r="D162" s="51"/>
      <c r="E162" s="51"/>
      <c r="F162" s="51"/>
      <c r="G162" s="33" t="s">
        <v>882</v>
      </c>
      <c r="H162" s="26"/>
      <c r="I162" s="26"/>
      <c r="J162" s="25"/>
      <c r="K162" s="25"/>
      <c r="L162" s="25"/>
      <c r="M162" s="25"/>
      <c r="N162" s="25"/>
    </row>
    <row r="163" spans="1:14">
      <c r="A163" s="23"/>
      <c r="B163" s="51"/>
      <c r="C163" s="51"/>
      <c r="D163" s="51"/>
      <c r="E163" s="51"/>
      <c r="F163" s="51"/>
      <c r="G163" s="33" t="s">
        <v>883</v>
      </c>
      <c r="H163" s="26"/>
      <c r="I163" s="26"/>
      <c r="J163" s="25"/>
      <c r="K163" s="25"/>
      <c r="L163" s="25"/>
      <c r="M163" s="25"/>
      <c r="N163" s="25"/>
    </row>
    <row r="164" spans="1:14">
      <c r="A164" s="23"/>
      <c r="B164" s="51"/>
      <c r="C164" s="51"/>
      <c r="D164" s="51"/>
      <c r="E164" s="51"/>
      <c r="F164" s="51"/>
      <c r="G164" s="33"/>
      <c r="H164" s="26"/>
      <c r="I164" s="26"/>
      <c r="J164" s="25"/>
      <c r="K164" s="25"/>
      <c r="L164" s="25"/>
      <c r="M164" s="25"/>
      <c r="N164" s="25"/>
    </row>
    <row r="165" ht="156.75" spans="1:14">
      <c r="A165" s="23">
        <v>2.3</v>
      </c>
      <c r="B165" s="51"/>
      <c r="C165" s="51"/>
      <c r="D165" s="61" t="s">
        <v>884</v>
      </c>
      <c r="E165" s="61" t="s">
        <v>885</v>
      </c>
      <c r="F165" s="61" t="s">
        <v>886</v>
      </c>
      <c r="G165" s="32" t="s">
        <v>887</v>
      </c>
      <c r="H165" s="59" t="s">
        <v>130</v>
      </c>
      <c r="I165" s="24">
        <v>10</v>
      </c>
      <c r="J165" s="25"/>
      <c r="K165" s="25"/>
      <c r="L165" s="25"/>
      <c r="M165" s="25">
        <v>2400</v>
      </c>
      <c r="N165" s="31">
        <f>SUM(I165*M165)</f>
        <v>24000</v>
      </c>
    </row>
    <row r="166" spans="1:14">
      <c r="A166" s="23"/>
      <c r="B166" s="51"/>
      <c r="C166" s="51"/>
      <c r="D166" s="61"/>
      <c r="E166" s="61"/>
      <c r="F166" s="61"/>
      <c r="G166" s="32"/>
      <c r="H166" s="59"/>
      <c r="I166" s="24"/>
      <c r="J166" s="25"/>
      <c r="K166" s="25"/>
      <c r="L166" s="25"/>
      <c r="M166" s="25"/>
      <c r="N166" s="25"/>
    </row>
    <row r="167" spans="1:14">
      <c r="A167" s="23"/>
      <c r="B167" s="51"/>
      <c r="C167" s="51"/>
      <c r="D167" s="61"/>
      <c r="E167" s="61"/>
      <c r="F167" s="61"/>
      <c r="G167" s="32"/>
      <c r="H167" s="59"/>
      <c r="I167" s="24"/>
      <c r="J167" s="25"/>
      <c r="K167" s="25"/>
      <c r="L167" s="25"/>
      <c r="M167" s="25"/>
      <c r="N167" s="25"/>
    </row>
    <row r="168" spans="1:14">
      <c r="A168" s="23">
        <v>2.4</v>
      </c>
      <c r="B168" s="66"/>
      <c r="C168" s="67"/>
      <c r="D168" s="67"/>
      <c r="E168" s="67" t="s">
        <v>410</v>
      </c>
      <c r="F168" s="67" t="s">
        <v>411</v>
      </c>
      <c r="G168" s="68" t="s">
        <v>412</v>
      </c>
      <c r="H168" s="69" t="s">
        <v>63</v>
      </c>
      <c r="I168" s="83">
        <v>80</v>
      </c>
      <c r="J168" s="83">
        <v>5</v>
      </c>
      <c r="K168" s="83">
        <f t="shared" ref="K168:K169" si="2">SUM(I168:J168)</f>
        <v>85</v>
      </c>
      <c r="L168" s="84">
        <v>7500</v>
      </c>
      <c r="M168" s="67">
        <v>3500</v>
      </c>
      <c r="N168" s="31">
        <f>SUM(I168*M168)</f>
        <v>280000</v>
      </c>
    </row>
    <row r="169" ht="44.25" spans="1:14">
      <c r="A169" s="23"/>
      <c r="B169" s="66"/>
      <c r="C169" s="67"/>
      <c r="D169" s="67"/>
      <c r="E169" s="67"/>
      <c r="F169" s="69"/>
      <c r="G169" s="70" t="s">
        <v>888</v>
      </c>
      <c r="H169" s="69"/>
      <c r="I169" s="83"/>
      <c r="J169" s="83"/>
      <c r="K169" s="83">
        <f t="shared" si="2"/>
        <v>0</v>
      </c>
      <c r="L169" s="83"/>
      <c r="M169" s="67"/>
      <c r="N169" s="25"/>
    </row>
    <row r="170" ht="15.75" spans="1:14">
      <c r="A170" s="71"/>
      <c r="B170" s="72"/>
      <c r="C170" s="72"/>
      <c r="D170" s="72"/>
      <c r="E170" s="72"/>
      <c r="F170" s="72"/>
      <c r="G170" s="73"/>
      <c r="H170" s="73"/>
      <c r="I170" s="73"/>
      <c r="J170" s="73"/>
      <c r="K170" s="73"/>
      <c r="L170" s="73"/>
      <c r="M170" s="73"/>
      <c r="N170" s="73"/>
    </row>
    <row r="171" ht="15.75" spans="1:14">
      <c r="A171" s="74"/>
      <c r="B171" s="75"/>
      <c r="C171" s="75"/>
      <c r="D171" s="75"/>
      <c r="E171" s="75"/>
      <c r="F171" s="75"/>
      <c r="G171" s="76" t="s">
        <v>889</v>
      </c>
      <c r="H171" s="76"/>
      <c r="I171" s="76"/>
      <c r="J171" s="76"/>
      <c r="K171" s="76"/>
      <c r="L171" s="76"/>
      <c r="M171" s="76"/>
      <c r="N171" s="85">
        <f>SUM(N8:N170)</f>
        <v>7975686.5</v>
      </c>
    </row>
    <row r="172" spans="1:15">
      <c r="A172" s="77"/>
      <c r="B172" s="78"/>
      <c r="C172" s="78"/>
      <c r="D172" s="78"/>
      <c r="E172" s="78"/>
      <c r="F172" s="78"/>
      <c r="G172" s="79"/>
      <c r="H172" s="79"/>
      <c r="I172" s="79"/>
      <c r="J172" s="79"/>
      <c r="K172" s="79"/>
      <c r="L172" s="79"/>
      <c r="M172" s="79"/>
      <c r="N172" s="79"/>
      <c r="O172" s="86"/>
    </row>
    <row r="173" ht="14.25" spans="1:14">
      <c r="A173" s="6"/>
      <c r="B173" s="6"/>
      <c r="C173" s="6"/>
      <c r="D173" s="6"/>
      <c r="E173" s="6"/>
      <c r="F173" s="6"/>
      <c r="G173" s="6"/>
      <c r="H173" s="6"/>
      <c r="I173" s="6"/>
      <c r="J173" s="79"/>
      <c r="K173" s="79"/>
      <c r="L173" s="79"/>
      <c r="M173" s="79"/>
      <c r="N173" s="79"/>
    </row>
    <row r="174" ht="14.25" spans="1:9">
      <c r="A174" s="6"/>
      <c r="B174" s="6"/>
      <c r="C174" s="6"/>
      <c r="D174" s="6"/>
      <c r="E174" s="6"/>
      <c r="F174" s="6"/>
      <c r="G174" s="6"/>
      <c r="H174" s="6"/>
      <c r="I174" s="6"/>
    </row>
    <row r="176" ht="14.25" spans="1:9">
      <c r="A176" s="6"/>
      <c r="B176" s="6"/>
      <c r="C176" s="6"/>
      <c r="D176" s="6"/>
      <c r="E176" s="6"/>
      <c r="F176" s="6"/>
      <c r="G176" s="6"/>
      <c r="H176" s="6"/>
      <c r="I176" s="6"/>
    </row>
    <row r="178" ht="14.25" spans="1:9">
      <c r="A178" s="6"/>
      <c r="B178" s="6"/>
      <c r="C178" s="6"/>
      <c r="D178" s="6"/>
      <c r="E178" s="6"/>
      <c r="F178" s="6"/>
      <c r="G178" s="6"/>
      <c r="H178" s="6"/>
      <c r="I178" s="6"/>
    </row>
    <row r="180" s="2" customFormat="1" spans="1:14">
      <c r="A180" s="80"/>
      <c r="B180" s="81"/>
      <c r="C180" s="81"/>
      <c r="I180" s="87"/>
      <c r="J180" s="87"/>
      <c r="K180" s="87"/>
      <c r="L180" s="87"/>
      <c r="M180" s="87"/>
      <c r="N180" s="87"/>
    </row>
  </sheetData>
  <mergeCells count="2">
    <mergeCell ref="A1:N1"/>
    <mergeCell ref="A3:N3"/>
  </mergeCell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PH2-summary</vt:lpstr>
      <vt:lpstr>0 Overall</vt:lpstr>
      <vt:lpstr>welcome zone</vt:lpstr>
      <vt:lpstr>fine dine &amp; live kitchen</vt:lpstr>
      <vt:lpstr>tea lounge</vt:lpstr>
      <vt:lpstr>sports &amp; relax lounge</vt:lpstr>
      <vt:lpstr>SPA</vt:lpstr>
      <vt:lpstr>Water Lounge</vt:lpstr>
      <vt:lpstr>CIVIL-WET WORK</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cp:lastModifiedBy>
  <dcterms:created xsi:type="dcterms:W3CDTF">2020-07-31T09:51:00Z</dcterms:created>
  <dcterms:modified xsi:type="dcterms:W3CDTF">2024-07-05T11:35:52Z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9ACBBEA512E24E8492175577485DB419_13</vt:lpwstr>
  </property>
  <property fmtid="{D5CDD505-2E9C-101B-9397-08002B2CF9AE}" pid="3" name="KSOProductBuildVer">
    <vt:lpwstr>1033-12.2.0.17119</vt:lpwstr>
  </property>
</Properties>
</file>