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20" firstSheet="1" activeTab="2"/>
  </bookViews>
  <sheets>
    <sheet name="Sheet2" sheetId="4" state="hidden" r:id="rId1"/>
    <sheet name="Summary" sheetId="5" r:id="rId2"/>
    <sheet name="Capex" sheetId="3" r:id="rId3"/>
    <sheet name="Sheet1" sheetId="1" state="hidden" r:id="rId4"/>
  </sheets>
  <definedNames>
    <definedName name="__xlnm.Print_Area" localSheetId="2">#REF!</definedName>
    <definedName name="__xlnm.Print_Area">#REF!</definedName>
    <definedName name="_xlnm._FilterDatabase" localSheetId="2" hidden="1">Capex!$AG$1:$AG$75</definedName>
    <definedName name="_xlnm.Print_Area" localSheetId="2">Capex!$A$1:$AJ$75</definedName>
    <definedName name="_xlnm.Print_Titles" localSheetId="2">Capex!$A:$B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0" i="3" l="1"/>
  <c r="Y60" i="3" l="1"/>
  <c r="Y59" i="3"/>
  <c r="Y57" i="3"/>
  <c r="Y50" i="3"/>
  <c r="Y49" i="3"/>
  <c r="Y48" i="3"/>
  <c r="Y40" i="3"/>
  <c r="Y39" i="3"/>
  <c r="Y38" i="3"/>
  <c r="Y37" i="3"/>
  <c r="Y36" i="3"/>
  <c r="Y35" i="3"/>
  <c r="Y34" i="3"/>
  <c r="Y33" i="3"/>
  <c r="Y32" i="3"/>
  <c r="Y31" i="3"/>
  <c r="Y30" i="3"/>
  <c r="Y29" i="3"/>
  <c r="Y24" i="3"/>
  <c r="Y21" i="3"/>
  <c r="Y11" i="3"/>
  <c r="Y9" i="3"/>
  <c r="P57" i="3" l="1"/>
  <c r="L67" i="3"/>
  <c r="T2" i="3" l="1"/>
  <c r="U2" i="3" s="1"/>
  <c r="L2" i="3"/>
  <c r="M2" i="3" s="1"/>
  <c r="AG2" i="3"/>
  <c r="O6" i="3"/>
  <c r="Y2" i="3"/>
  <c r="P2" i="3"/>
  <c r="Q2" i="3" s="1"/>
  <c r="AC67" i="3"/>
  <c r="AH66" i="3"/>
  <c r="AD66" i="3"/>
  <c r="AH65" i="3"/>
  <c r="AD65" i="3"/>
  <c r="AD67" i="3" s="1"/>
  <c r="AC62" i="3"/>
  <c r="AH61" i="3"/>
  <c r="AD61" i="3"/>
  <c r="AD60" i="3"/>
  <c r="AD59" i="3"/>
  <c r="AH58" i="3"/>
  <c r="AG57" i="3"/>
  <c r="AH57" i="3" s="1"/>
  <c r="AD57" i="3"/>
  <c r="AC54" i="3"/>
  <c r="AD53" i="3"/>
  <c r="AH52" i="3"/>
  <c r="AD52" i="3"/>
  <c r="AD51" i="3"/>
  <c r="AD50" i="3"/>
  <c r="AD49" i="3"/>
  <c r="AD48" i="3"/>
  <c r="AD47" i="3"/>
  <c r="AD46" i="3"/>
  <c r="AD45" i="3"/>
  <c r="AC42" i="3"/>
  <c r="AD41" i="3"/>
  <c r="AD40" i="3"/>
  <c r="AD39" i="3"/>
  <c r="AD38" i="3"/>
  <c r="AD37" i="3"/>
  <c r="AD36" i="3"/>
  <c r="AD35" i="3"/>
  <c r="AD34" i="3"/>
  <c r="AD33" i="3"/>
  <c r="AD32" i="3"/>
  <c r="AD31" i="3"/>
  <c r="AD30" i="3"/>
  <c r="AD29" i="3"/>
  <c r="AC26" i="3"/>
  <c r="AD25" i="3"/>
  <c r="AD24" i="3"/>
  <c r="AD23" i="3"/>
  <c r="AD22" i="3"/>
  <c r="AD21" i="3"/>
  <c r="AC18" i="3"/>
  <c r="AH17" i="3"/>
  <c r="AD17" i="3"/>
  <c r="AH16" i="3"/>
  <c r="AD16" i="3"/>
  <c r="AH15" i="3"/>
  <c r="AD15" i="3"/>
  <c r="AH14" i="3"/>
  <c r="AD14" i="3"/>
  <c r="AH13" i="3"/>
  <c r="AD13" i="3"/>
  <c r="AD12" i="3"/>
  <c r="AD11" i="3"/>
  <c r="AH10" i="3"/>
  <c r="AD10" i="3"/>
  <c r="AD9" i="3"/>
  <c r="AD2" i="3"/>
  <c r="T67" i="3"/>
  <c r="Z66" i="3"/>
  <c r="U66" i="3"/>
  <c r="U65" i="3"/>
  <c r="T62" i="3"/>
  <c r="Z61" i="3"/>
  <c r="U61" i="3"/>
  <c r="U60" i="3"/>
  <c r="U59" i="3"/>
  <c r="Z58" i="3"/>
  <c r="Z57" i="3"/>
  <c r="U57" i="3"/>
  <c r="T54" i="3"/>
  <c r="U53" i="3"/>
  <c r="Z52" i="3"/>
  <c r="U52" i="3"/>
  <c r="U51" i="3"/>
  <c r="U50" i="3"/>
  <c r="Z49" i="3"/>
  <c r="U49" i="3"/>
  <c r="U48" i="3"/>
  <c r="Z47" i="3"/>
  <c r="U47" i="3"/>
  <c r="U46" i="3"/>
  <c r="U45" i="3"/>
  <c r="T42" i="3"/>
  <c r="U41" i="3"/>
  <c r="Z40" i="3"/>
  <c r="U40" i="3"/>
  <c r="Z39" i="3"/>
  <c r="U39" i="3"/>
  <c r="Z38" i="3"/>
  <c r="U38" i="3"/>
  <c r="Z37" i="3"/>
  <c r="U37" i="3"/>
  <c r="U36" i="3"/>
  <c r="U35" i="3"/>
  <c r="U34" i="3"/>
  <c r="Z33" i="3"/>
  <c r="U33" i="3"/>
  <c r="U32" i="3"/>
  <c r="U31" i="3"/>
  <c r="U30" i="3"/>
  <c r="U29" i="3"/>
  <c r="T26" i="3"/>
  <c r="U25" i="3"/>
  <c r="U24" i="3"/>
  <c r="U23" i="3"/>
  <c r="U22" i="3"/>
  <c r="U21" i="3"/>
  <c r="T18" i="3"/>
  <c r="Z17" i="3"/>
  <c r="U17" i="3"/>
  <c r="Z16" i="3"/>
  <c r="U16" i="3"/>
  <c r="Z15" i="3"/>
  <c r="U15" i="3"/>
  <c r="Z14" i="3"/>
  <c r="U14" i="3"/>
  <c r="Z13" i="3"/>
  <c r="U13" i="3"/>
  <c r="U12" i="3"/>
  <c r="U11" i="3"/>
  <c r="Z10" i="3"/>
  <c r="U10" i="3"/>
  <c r="U9" i="3"/>
  <c r="Q66" i="3"/>
  <c r="M66" i="3"/>
  <c r="M65" i="3"/>
  <c r="P65" i="3" s="1"/>
  <c r="L62" i="3"/>
  <c r="Q61" i="3"/>
  <c r="M61" i="3"/>
  <c r="M60" i="3"/>
  <c r="P60" i="3" s="1"/>
  <c r="Q60" i="3" s="1"/>
  <c r="M59" i="3"/>
  <c r="Q58" i="3"/>
  <c r="Q57" i="3"/>
  <c r="M57" i="3"/>
  <c r="L54" i="3"/>
  <c r="M53" i="3"/>
  <c r="Q52" i="3"/>
  <c r="M52" i="3"/>
  <c r="M51" i="3"/>
  <c r="M50" i="3"/>
  <c r="Q49" i="3"/>
  <c r="M49" i="3"/>
  <c r="M48" i="3"/>
  <c r="Q47" i="3"/>
  <c r="M47" i="3"/>
  <c r="M46" i="3"/>
  <c r="M45" i="3"/>
  <c r="L42" i="3"/>
  <c r="M41" i="3"/>
  <c r="Q40" i="3"/>
  <c r="M40" i="3"/>
  <c r="Q39" i="3"/>
  <c r="M39" i="3"/>
  <c r="Q38" i="3"/>
  <c r="M38" i="3"/>
  <c r="Q37" i="3"/>
  <c r="M37" i="3"/>
  <c r="M36" i="3"/>
  <c r="M35" i="3"/>
  <c r="M34" i="3"/>
  <c r="Q33" i="3"/>
  <c r="M33" i="3"/>
  <c r="M32" i="3"/>
  <c r="M31" i="3"/>
  <c r="M30" i="3"/>
  <c r="M29" i="3"/>
  <c r="L26" i="3"/>
  <c r="M25" i="3"/>
  <c r="M24" i="3"/>
  <c r="M23" i="3"/>
  <c r="M22" i="3"/>
  <c r="M21" i="3"/>
  <c r="L18" i="3"/>
  <c r="Q17" i="3"/>
  <c r="M17" i="3"/>
  <c r="Q16" i="3"/>
  <c r="M16" i="3"/>
  <c r="Q15" i="3"/>
  <c r="M15" i="3"/>
  <c r="Q14" i="3"/>
  <c r="M14" i="3"/>
  <c r="Q13" i="3"/>
  <c r="M13" i="3"/>
  <c r="M12" i="3"/>
  <c r="M11" i="3"/>
  <c r="Q10" i="3"/>
  <c r="M10" i="3"/>
  <c r="M9" i="3"/>
  <c r="U26" i="3" l="1"/>
  <c r="AD62" i="3"/>
  <c r="AE39" i="3"/>
  <c r="AH67" i="3"/>
  <c r="N52" i="3"/>
  <c r="AE32" i="3"/>
  <c r="Y45" i="3"/>
  <c r="Z45" i="3" s="1"/>
  <c r="AG45" i="3"/>
  <c r="AG53" i="3"/>
  <c r="AG40" i="3"/>
  <c r="AH40" i="3" s="1"/>
  <c r="AG32" i="3"/>
  <c r="AG21" i="3"/>
  <c r="AG9" i="3"/>
  <c r="AG46" i="3"/>
  <c r="AG33" i="3"/>
  <c r="AH33" i="3" s="1"/>
  <c r="AG51" i="3"/>
  <c r="AG39" i="3"/>
  <c r="AH39" i="3" s="1"/>
  <c r="AG31" i="3"/>
  <c r="AG12" i="3"/>
  <c r="AG37" i="3"/>
  <c r="AH37" i="3" s="1"/>
  <c r="AG35" i="3"/>
  <c r="AG23" i="3"/>
  <c r="AG50" i="3"/>
  <c r="AG38" i="3"/>
  <c r="AH38" i="3" s="1"/>
  <c r="AG30" i="3"/>
  <c r="AG11" i="3"/>
  <c r="AG49" i="3"/>
  <c r="AH49" i="3" s="1"/>
  <c r="AG29" i="3"/>
  <c r="AG24" i="3"/>
  <c r="AG41" i="3"/>
  <c r="AG48" i="3"/>
  <c r="AG36" i="3"/>
  <c r="AG25" i="3"/>
  <c r="AG47" i="3"/>
  <c r="AH47" i="3" s="1"/>
  <c r="AG34" i="3"/>
  <c r="AG22" i="3"/>
  <c r="AD54" i="3"/>
  <c r="AD42" i="3"/>
  <c r="AD18" i="3"/>
  <c r="U67" i="3"/>
  <c r="V48" i="3"/>
  <c r="V41" i="3"/>
  <c r="V17" i="3"/>
  <c r="V9" i="3"/>
  <c r="V38" i="3"/>
  <c r="V45" i="3"/>
  <c r="V13" i="3"/>
  <c r="V60" i="3"/>
  <c r="V11" i="3"/>
  <c r="V39" i="3"/>
  <c r="V53" i="3"/>
  <c r="M67" i="3"/>
  <c r="V52" i="3"/>
  <c r="V59" i="3"/>
  <c r="AE14" i="3"/>
  <c r="AC70" i="3"/>
  <c r="AC3" i="3" s="1"/>
  <c r="AC4" i="3" s="1"/>
  <c r="AE36" i="3"/>
  <c r="AE46" i="3"/>
  <c r="AE49" i="3"/>
  <c r="T70" i="3"/>
  <c r="T3" i="3" s="1"/>
  <c r="T4" i="3" s="1"/>
  <c r="AE24" i="3"/>
  <c r="AE40" i="3"/>
  <c r="AE59" i="3"/>
  <c r="AE65" i="3"/>
  <c r="N32" i="3"/>
  <c r="U18" i="3"/>
  <c r="AE52" i="3"/>
  <c r="AE30" i="3"/>
  <c r="AE53" i="3"/>
  <c r="N59" i="3"/>
  <c r="U42" i="3"/>
  <c r="V14" i="3"/>
  <c r="V15" i="3"/>
  <c r="V50" i="3"/>
  <c r="AE34" i="3"/>
  <c r="AE41" i="3"/>
  <c r="AE47" i="3"/>
  <c r="V47" i="3"/>
  <c r="AE12" i="3"/>
  <c r="AE16" i="3"/>
  <c r="AD26" i="3"/>
  <c r="AE60" i="3"/>
  <c r="U62" i="3"/>
  <c r="AE38" i="3"/>
  <c r="AE51" i="3"/>
  <c r="N40" i="3"/>
  <c r="O40" i="3" s="1"/>
  <c r="AE57" i="3"/>
  <c r="AH45" i="3"/>
  <c r="AE45" i="3"/>
  <c r="AH2" i="3"/>
  <c r="AH60" i="3"/>
  <c r="AG67" i="3"/>
  <c r="AE10" i="3"/>
  <c r="AE22" i="3"/>
  <c r="AE11" i="3"/>
  <c r="AE15" i="3"/>
  <c r="AE21" i="3"/>
  <c r="AE25" i="3"/>
  <c r="AE31" i="3"/>
  <c r="AE35" i="3"/>
  <c r="AE50" i="3"/>
  <c r="AE9" i="3"/>
  <c r="AE13" i="3"/>
  <c r="AE17" i="3"/>
  <c r="AE23" i="3"/>
  <c r="AE29" i="3"/>
  <c r="AE33" i="3"/>
  <c r="AE37" i="3"/>
  <c r="AE48" i="3"/>
  <c r="Z65" i="3"/>
  <c r="Z67" i="3" s="1"/>
  <c r="Y67" i="3"/>
  <c r="V22" i="3"/>
  <c r="V16" i="3"/>
  <c r="V30" i="3"/>
  <c r="V49" i="3"/>
  <c r="Z2" i="3"/>
  <c r="V24" i="3"/>
  <c r="V36" i="3"/>
  <c r="U54" i="3"/>
  <c r="V65" i="3"/>
  <c r="V10" i="3"/>
  <c r="V34" i="3"/>
  <c r="V21" i="3"/>
  <c r="V23" i="3"/>
  <c r="V25" i="3"/>
  <c r="V29" i="3"/>
  <c r="V31" i="3"/>
  <c r="V33" i="3"/>
  <c r="V35" i="3"/>
  <c r="V37" i="3"/>
  <c r="V32" i="3"/>
  <c r="V51" i="3"/>
  <c r="V40" i="3"/>
  <c r="V46" i="3"/>
  <c r="V12" i="3"/>
  <c r="V57" i="3"/>
  <c r="M26" i="3"/>
  <c r="N46" i="3"/>
  <c r="M42" i="3"/>
  <c r="N36" i="3"/>
  <c r="M62" i="3"/>
  <c r="N12" i="3"/>
  <c r="N16" i="3"/>
  <c r="O16" i="3" s="1"/>
  <c r="N51" i="3"/>
  <c r="N30" i="3"/>
  <c r="N34" i="3"/>
  <c r="N38" i="3"/>
  <c r="N24" i="3"/>
  <c r="M18" i="3"/>
  <c r="L70" i="3"/>
  <c r="L3" i="3" s="1"/>
  <c r="L4" i="3" s="1"/>
  <c r="N39" i="3"/>
  <c r="N14" i="3"/>
  <c r="O14" i="3" s="1"/>
  <c r="M54" i="3"/>
  <c r="N49" i="3"/>
  <c r="O49" i="3" s="1"/>
  <c r="N53" i="3"/>
  <c r="P67" i="3"/>
  <c r="Q65" i="3"/>
  <c r="Q67" i="3" s="1"/>
  <c r="N57" i="3"/>
  <c r="N10" i="3"/>
  <c r="O10" i="3" s="1"/>
  <c r="N22" i="3"/>
  <c r="N45" i="3"/>
  <c r="P45" i="3"/>
  <c r="N65" i="3"/>
  <c r="N41" i="3"/>
  <c r="N47" i="3"/>
  <c r="N60" i="3"/>
  <c r="N9" i="3"/>
  <c r="N11" i="3"/>
  <c r="N13" i="3"/>
  <c r="O13" i="3" s="1"/>
  <c r="N15" i="3"/>
  <c r="O15" i="3" s="1"/>
  <c r="N17" i="3"/>
  <c r="O17" i="3" s="1"/>
  <c r="N21" i="3"/>
  <c r="N23" i="3"/>
  <c r="N25" i="3"/>
  <c r="N29" i="3"/>
  <c r="N31" i="3"/>
  <c r="N33" i="3"/>
  <c r="O33" i="3" s="1"/>
  <c r="N35" i="3"/>
  <c r="N37" i="3"/>
  <c r="N48" i="3"/>
  <c r="N50" i="3"/>
  <c r="G7" i="5"/>
  <c r="V7" i="5"/>
  <c r="X7" i="5"/>
  <c r="U7" i="5"/>
  <c r="AD70" i="3" l="1"/>
  <c r="AD3" i="3" s="1"/>
  <c r="AD4" i="3" s="1"/>
  <c r="U70" i="3"/>
  <c r="U3" i="3" s="1"/>
  <c r="U4" i="3" s="1"/>
  <c r="Z60" i="3"/>
  <c r="M70" i="3"/>
  <c r="M3" i="3" s="1"/>
  <c r="M4" i="3" s="1"/>
  <c r="Q45" i="3"/>
  <c r="E7" i="5"/>
  <c r="G8" i="5"/>
  <c r="F8" i="5"/>
  <c r="E8" i="5"/>
  <c r="F7" i="5" l="1"/>
  <c r="T5" i="5"/>
  <c r="U5" i="5" s="1"/>
  <c r="E6" i="5"/>
  <c r="G6" i="5"/>
  <c r="U6" i="5"/>
  <c r="X6" i="5" s="1"/>
  <c r="W6" i="5"/>
  <c r="V6" i="5" s="1"/>
  <c r="F6" i="5" l="1"/>
  <c r="D6" i="5" l="1"/>
  <c r="D7" i="5"/>
  <c r="D8" i="5"/>
  <c r="D5" i="5"/>
  <c r="H58" i="3"/>
  <c r="H57" i="3"/>
  <c r="H2" i="3"/>
  <c r="AH51" i="3" l="1"/>
  <c r="AH48" i="3"/>
  <c r="AH35" i="3"/>
  <c r="Y41" i="3"/>
  <c r="Z41" i="3" s="1"/>
  <c r="Z30" i="3"/>
  <c r="Y25" i="3"/>
  <c r="Z25" i="3" s="1"/>
  <c r="Y12" i="3"/>
  <c r="Z9" i="3"/>
  <c r="Y51" i="3"/>
  <c r="Z51" i="3" s="1"/>
  <c r="AH31" i="3"/>
  <c r="AH12" i="3"/>
  <c r="Z34" i="3"/>
  <c r="AH41" i="3"/>
  <c r="AH34" i="3"/>
  <c r="AH25" i="3"/>
  <c r="Z50" i="3"/>
  <c r="Z36" i="3"/>
  <c r="Z24" i="3"/>
  <c r="AH23" i="3"/>
  <c r="AH53" i="3"/>
  <c r="AH50" i="3"/>
  <c r="AH30" i="3"/>
  <c r="Y53" i="3"/>
  <c r="Z53" i="3" s="1"/>
  <c r="Y46" i="3"/>
  <c r="Z32" i="3"/>
  <c r="Z11" i="3"/>
  <c r="AG59" i="3"/>
  <c r="AH24" i="3"/>
  <c r="AH21" i="3"/>
  <c r="AH11" i="3"/>
  <c r="Z48" i="3"/>
  <c r="Y22" i="3"/>
  <c r="Z22" i="3" s="1"/>
  <c r="AH36" i="3"/>
  <c r="Z35" i="3"/>
  <c r="Y23" i="3"/>
  <c r="Z23" i="3" s="1"/>
  <c r="AH32" i="3"/>
  <c r="Z31" i="3"/>
  <c r="P35" i="3"/>
  <c r="Q35" i="3" s="1"/>
  <c r="P31" i="3"/>
  <c r="Q31" i="3" s="1"/>
  <c r="P12" i="3"/>
  <c r="Q12" i="3" s="1"/>
  <c r="P48" i="3"/>
  <c r="Q48" i="3" s="1"/>
  <c r="P24" i="3"/>
  <c r="Q24" i="3" s="1"/>
  <c r="P29" i="3"/>
  <c r="P36" i="3"/>
  <c r="Q36" i="3" s="1"/>
  <c r="P11" i="3"/>
  <c r="Q11" i="3" s="1"/>
  <c r="P34" i="3"/>
  <c r="Q34" i="3" s="1"/>
  <c r="P30" i="3"/>
  <c r="Q30" i="3" s="1"/>
  <c r="P9" i="3"/>
  <c r="P59" i="3"/>
  <c r="P32" i="3"/>
  <c r="Q32" i="3" s="1"/>
  <c r="P51" i="3"/>
  <c r="Q51" i="3" s="1"/>
  <c r="P41" i="3"/>
  <c r="Q41" i="3" s="1"/>
  <c r="P23" i="3"/>
  <c r="Q23" i="3" s="1"/>
  <c r="P25" i="3"/>
  <c r="Q25" i="3" s="1"/>
  <c r="P50" i="3"/>
  <c r="Q50" i="3" s="1"/>
  <c r="P46" i="3"/>
  <c r="P22" i="3"/>
  <c r="Q22" i="3" s="1"/>
  <c r="P53" i="3"/>
  <c r="Q53" i="3" s="1"/>
  <c r="P21" i="3"/>
  <c r="H50" i="3"/>
  <c r="Z59" i="3" l="1"/>
  <c r="Z62" i="3" s="1"/>
  <c r="Y62" i="3"/>
  <c r="AH59" i="3"/>
  <c r="AH62" i="3" s="1"/>
  <c r="AG62" i="3"/>
  <c r="Y18" i="3"/>
  <c r="Z12" i="3"/>
  <c r="Z18" i="3" s="1"/>
  <c r="AH46" i="3"/>
  <c r="AH54" i="3" s="1"/>
  <c r="AG54" i="3"/>
  <c r="Z29" i="3"/>
  <c r="Z42" i="3" s="1"/>
  <c r="Y42" i="3"/>
  <c r="Z21" i="3"/>
  <c r="Z26" i="3" s="1"/>
  <c r="Y26" i="3"/>
  <c r="AH9" i="3"/>
  <c r="AH18" i="3" s="1"/>
  <c r="AG18" i="3"/>
  <c r="AG42" i="3"/>
  <c r="AH29" i="3"/>
  <c r="AH42" i="3" s="1"/>
  <c r="Z46" i="3"/>
  <c r="Z54" i="3" s="1"/>
  <c r="Y54" i="3"/>
  <c r="AG26" i="3"/>
  <c r="AH22" i="3"/>
  <c r="AH26" i="3" s="1"/>
  <c r="Q59" i="3"/>
  <c r="Q62" i="3" s="1"/>
  <c r="P62" i="3"/>
  <c r="P18" i="3"/>
  <c r="Q9" i="3"/>
  <c r="Q18" i="3" s="1"/>
  <c r="Q29" i="3"/>
  <c r="Q42" i="3" s="1"/>
  <c r="P42" i="3"/>
  <c r="P26" i="3"/>
  <c r="Q21" i="3"/>
  <c r="Q26" i="3" s="1"/>
  <c r="Q46" i="3"/>
  <c r="Q54" i="3" s="1"/>
  <c r="P54" i="3"/>
  <c r="H23" i="3"/>
  <c r="E60" i="3"/>
  <c r="H60" i="3" s="1"/>
  <c r="E59" i="3"/>
  <c r="E47" i="3"/>
  <c r="AG70" i="3" l="1"/>
  <c r="AG3" i="3" s="1"/>
  <c r="Z70" i="3"/>
  <c r="Z3" i="3" s="1"/>
  <c r="Z4" i="3" s="1"/>
  <c r="AH70" i="3"/>
  <c r="AH3" i="3" s="1"/>
  <c r="Y70" i="3"/>
  <c r="Y3" i="3" s="1"/>
  <c r="Y78" i="3" s="1"/>
  <c r="Y79" i="3" s="1"/>
  <c r="Q70" i="3"/>
  <c r="Q3" i="3" s="1"/>
  <c r="Q4" i="3" s="1"/>
  <c r="P70" i="3"/>
  <c r="P3" i="3" s="1"/>
  <c r="I58" i="3"/>
  <c r="AH4" i="3" l="1"/>
  <c r="AH78" i="3"/>
  <c r="AH79" i="3" s="1"/>
  <c r="P4" i="3"/>
  <c r="I6" i="5"/>
  <c r="Y4" i="3"/>
  <c r="I7" i="5"/>
  <c r="AG4" i="3"/>
  <c r="I8" i="5"/>
  <c r="H25" i="3"/>
  <c r="H22" i="3"/>
  <c r="H36" i="3"/>
  <c r="H35" i="3"/>
  <c r="H21" i="3"/>
  <c r="H12" i="3"/>
  <c r="H11" i="3"/>
  <c r="H9" i="3"/>
  <c r="J7" i="5" l="1"/>
  <c r="K7" i="5"/>
  <c r="J8" i="5"/>
  <c r="K8" i="5"/>
  <c r="J6" i="5"/>
  <c r="K6" i="5"/>
  <c r="H41" i="3"/>
  <c r="I2" i="3"/>
  <c r="H30" i="3" l="1"/>
  <c r="H32" i="3"/>
  <c r="H59" i="3"/>
  <c r="H51" i="3"/>
  <c r="H29" i="3"/>
  <c r="H31" i="3"/>
  <c r="H48" i="3"/>
  <c r="H46" i="3"/>
  <c r="H53" i="3"/>
  <c r="H24" i="3"/>
  <c r="H34" i="3"/>
  <c r="D9" i="1"/>
  <c r="D10" i="1"/>
  <c r="D12" i="1"/>
  <c r="D13" i="1"/>
  <c r="D14" i="1"/>
  <c r="D8" i="1"/>
  <c r="D7" i="1"/>
  <c r="D6" i="1"/>
  <c r="C14" i="1"/>
  <c r="C13" i="1"/>
  <c r="C12" i="1"/>
  <c r="C11" i="1"/>
  <c r="C10" i="1"/>
  <c r="C9" i="1"/>
  <c r="C8" i="1"/>
  <c r="C7" i="1"/>
  <c r="C6" i="1"/>
  <c r="C10" i="4" l="1"/>
  <c r="C8" i="4"/>
  <c r="C7" i="4"/>
  <c r="C5" i="4"/>
  <c r="C4" i="4"/>
  <c r="E65" i="3" l="1"/>
  <c r="H65" i="3" s="1"/>
  <c r="E61" i="3"/>
  <c r="E57" i="3"/>
  <c r="E53" i="3"/>
  <c r="E52" i="3"/>
  <c r="E51" i="3"/>
  <c r="E50" i="3"/>
  <c r="E49" i="3"/>
  <c r="E48" i="3"/>
  <c r="E46" i="3"/>
  <c r="E45" i="3"/>
  <c r="E41" i="3"/>
  <c r="E40" i="3"/>
  <c r="E39" i="3"/>
  <c r="E38" i="3"/>
  <c r="E37" i="3"/>
  <c r="E36" i="3"/>
  <c r="E35" i="3"/>
  <c r="E34" i="3"/>
  <c r="E33" i="3"/>
  <c r="E32" i="3"/>
  <c r="E31" i="3"/>
  <c r="E30" i="3"/>
  <c r="E29" i="3"/>
  <c r="E25" i="3"/>
  <c r="E24" i="3"/>
  <c r="E23" i="3"/>
  <c r="E22" i="3"/>
  <c r="E21" i="3"/>
  <c r="E17" i="3"/>
  <c r="E16" i="3"/>
  <c r="E15" i="3"/>
  <c r="E14" i="3"/>
  <c r="E13" i="3"/>
  <c r="E11" i="3"/>
  <c r="E10" i="3"/>
  <c r="E9" i="3"/>
  <c r="E66" i="3"/>
  <c r="H67" i="3" l="1"/>
  <c r="I65" i="3"/>
  <c r="D67" i="3"/>
  <c r="E67" i="3"/>
  <c r="D62" i="3"/>
  <c r="I48" i="3"/>
  <c r="I47" i="3"/>
  <c r="I39" i="3"/>
  <c r="I38" i="3"/>
  <c r="I37" i="3"/>
  <c r="I36" i="3"/>
  <c r="I35" i="3"/>
  <c r="I34" i="3"/>
  <c r="I32" i="3"/>
  <c r="I31" i="3"/>
  <c r="I30" i="3"/>
  <c r="D26" i="3"/>
  <c r="I22" i="3"/>
  <c r="I21" i="3"/>
  <c r="D18" i="3"/>
  <c r="I12" i="3"/>
  <c r="E12" i="3"/>
  <c r="I11" i="3"/>
  <c r="I60" i="3"/>
  <c r="E2" i="3"/>
  <c r="F57" i="3" s="1"/>
  <c r="F31" i="3" l="1"/>
  <c r="F14" i="3"/>
  <c r="F17" i="3"/>
  <c r="F11" i="3"/>
  <c r="F53" i="3"/>
  <c r="F47" i="3"/>
  <c r="F35" i="3"/>
  <c r="F60" i="3"/>
  <c r="F37" i="3"/>
  <c r="F24" i="3"/>
  <c r="F46" i="3"/>
  <c r="F33" i="3"/>
  <c r="F12" i="3"/>
  <c r="F41" i="3"/>
  <c r="F48" i="3"/>
  <c r="F29" i="3"/>
  <c r="F34" i="3"/>
  <c r="F49" i="3"/>
  <c r="F15" i="3"/>
  <c r="F23" i="3"/>
  <c r="F52" i="3"/>
  <c r="F65" i="3"/>
  <c r="F38" i="3"/>
  <c r="F59" i="3"/>
  <c r="F22" i="3"/>
  <c r="F21" i="3"/>
  <c r="F32" i="3"/>
  <c r="F51" i="3"/>
  <c r="F40" i="3"/>
  <c r="F50" i="3"/>
  <c r="F30" i="3"/>
  <c r="F36" i="3"/>
  <c r="F13" i="3"/>
  <c r="F10" i="3"/>
  <c r="F39" i="3"/>
  <c r="F16" i="3"/>
  <c r="F25" i="3"/>
  <c r="F45" i="3"/>
  <c r="F9" i="3"/>
  <c r="E62" i="3"/>
  <c r="D42" i="3"/>
  <c r="E26" i="3"/>
  <c r="I9" i="3"/>
  <c r="I29" i="3"/>
  <c r="D54" i="3"/>
  <c r="I24" i="3"/>
  <c r="H45" i="3"/>
  <c r="I52" i="3"/>
  <c r="I59" i="3"/>
  <c r="E18" i="3"/>
  <c r="E42" i="3"/>
  <c r="I53" i="3"/>
  <c r="A39" i="3"/>
  <c r="A40" i="3" s="1"/>
  <c r="A41" i="3" s="1"/>
  <c r="D70" i="3" l="1"/>
  <c r="D3" i="3" s="1"/>
  <c r="D4" i="3" s="1"/>
  <c r="I46" i="3"/>
  <c r="I41" i="3"/>
  <c r="I25" i="3"/>
  <c r="G10" i="3"/>
  <c r="G15" i="3"/>
  <c r="I15" i="3" s="1"/>
  <c r="G33" i="3"/>
  <c r="G40" i="3"/>
  <c r="I40" i="3" s="1"/>
  <c r="G17" i="3"/>
  <c r="I17" i="3" s="1"/>
  <c r="I51" i="3"/>
  <c r="I50" i="3"/>
  <c r="G14" i="3"/>
  <c r="I14" i="3" s="1"/>
  <c r="G13" i="3"/>
  <c r="I13" i="3" s="1"/>
  <c r="I23" i="3"/>
  <c r="G16" i="3"/>
  <c r="I16" i="3" s="1"/>
  <c r="I61" i="3"/>
  <c r="G49" i="3"/>
  <c r="I49" i="3" s="1"/>
  <c r="I57" i="3"/>
  <c r="I45" i="3"/>
  <c r="E54" i="3"/>
  <c r="E70" i="3" s="1"/>
  <c r="E3" i="3" s="1"/>
  <c r="E4" i="3" l="1"/>
  <c r="V5" i="5"/>
  <c r="H62" i="3"/>
  <c r="I62" i="3"/>
  <c r="I26" i="3"/>
  <c r="I10" i="3"/>
  <c r="I18" i="3" s="1"/>
  <c r="H18" i="3"/>
  <c r="H26" i="3"/>
  <c r="H54" i="3"/>
  <c r="I54" i="3"/>
  <c r="I33" i="3"/>
  <c r="I42" i="3" s="1"/>
  <c r="H42" i="3"/>
  <c r="I66" i="3"/>
  <c r="I67" i="3" s="1"/>
  <c r="X5" i="5" l="1"/>
  <c r="W5" i="5"/>
  <c r="I70" i="3"/>
  <c r="H70" i="3"/>
  <c r="H3" i="3" s="1"/>
  <c r="E5" i="5" l="1"/>
  <c r="E10" i="5" s="1"/>
  <c r="I5" i="5"/>
  <c r="F5" i="5"/>
  <c r="F10" i="5" s="1"/>
  <c r="G5" i="5"/>
  <c r="I3" i="3"/>
  <c r="I4" i="3" s="1"/>
  <c r="H4" i="3"/>
  <c r="I10" i="5" l="1"/>
  <c r="J5" i="5"/>
  <c r="J10" i="5" s="1"/>
  <c r="K5" i="5"/>
  <c r="D11" i="1"/>
  <c r="B14" i="1"/>
  <c r="B10" i="1"/>
  <c r="B11" i="1" s="1"/>
  <c r="B12" i="1" s="1"/>
  <c r="B13" i="1" s="1"/>
  <c r="B9" i="1"/>
</calcChain>
</file>

<file path=xl/sharedStrings.xml><?xml version="1.0" encoding="utf-8"?>
<sst xmlns="http://schemas.openxmlformats.org/spreadsheetml/2006/main" count="166" uniqueCount="122">
  <si>
    <t>Travel Food Services Private Limited</t>
  </si>
  <si>
    <t>Capex Budget</t>
  </si>
  <si>
    <t>Brand</t>
  </si>
  <si>
    <t>Area</t>
  </si>
  <si>
    <t>Sr No</t>
  </si>
  <si>
    <t>Capex with Taxes</t>
  </si>
  <si>
    <t>Area in Sq Ft</t>
  </si>
  <si>
    <t>Approved Budget</t>
  </si>
  <si>
    <t>Budget Per Sq Ft</t>
  </si>
  <si>
    <t xml:space="preserve">Budget </t>
  </si>
  <si>
    <t>Benchmark</t>
  </si>
  <si>
    <t>Budget</t>
  </si>
  <si>
    <t>Remark</t>
  </si>
  <si>
    <t>Sr. No.</t>
  </si>
  <si>
    <t>Items</t>
  </si>
  <si>
    <t>Amount with Tax</t>
  </si>
  <si>
    <t>Amount</t>
  </si>
  <si>
    <t>Rate / Sqft</t>
  </si>
  <si>
    <t>Rate / SqFt</t>
  </si>
  <si>
    <t>A:</t>
  </si>
  <si>
    <t>Consultants</t>
  </si>
  <si>
    <t>Interior Consultant</t>
  </si>
  <si>
    <t>Concept Consultant</t>
  </si>
  <si>
    <t>Kitchen Consultant</t>
  </si>
  <si>
    <t>MEP</t>
  </si>
  <si>
    <t>GAS</t>
  </si>
  <si>
    <t>PMC</t>
  </si>
  <si>
    <t>Lighting Consultant</t>
  </si>
  <si>
    <t>Acoustic Consultant</t>
  </si>
  <si>
    <t>Structure Consultant</t>
  </si>
  <si>
    <t>Total for section A:</t>
  </si>
  <si>
    <t>B:</t>
  </si>
  <si>
    <t>Interiors:</t>
  </si>
  <si>
    <t>Barricade</t>
  </si>
  <si>
    <t>Demolition</t>
  </si>
  <si>
    <t>Civil Work</t>
  </si>
  <si>
    <t>Interior Work</t>
  </si>
  <si>
    <t>MS Structure</t>
  </si>
  <si>
    <t>Total for section B:</t>
  </si>
  <si>
    <t>C:</t>
  </si>
  <si>
    <t>Services</t>
  </si>
  <si>
    <t>Fire Sprinkler System</t>
  </si>
  <si>
    <t>Fire Detection System</t>
  </si>
  <si>
    <t>CCTV System</t>
  </si>
  <si>
    <t>Plumbing Work</t>
  </si>
  <si>
    <t>Toilet Fixture</t>
  </si>
  <si>
    <t>Interior Electrical</t>
  </si>
  <si>
    <t>Air-Conditioning</t>
  </si>
  <si>
    <t>Ventilation System</t>
  </si>
  <si>
    <t>LPG Internal Pipeline</t>
  </si>
  <si>
    <t>Fire Extinguisher</t>
  </si>
  <si>
    <t>Fire Suppression System</t>
  </si>
  <si>
    <t>DG System</t>
  </si>
  <si>
    <t>RO Plant with Tanks and Pumps</t>
  </si>
  <si>
    <t>Total for section C:</t>
  </si>
  <si>
    <t>D:</t>
  </si>
  <si>
    <t>Decoration &amp; Other Fixture:</t>
  </si>
  <si>
    <t>Music System</t>
  </si>
  <si>
    <t>Decorative Items &amp; Artworks</t>
  </si>
  <si>
    <t>Loose Furniture</t>
  </si>
  <si>
    <t>Light fittings</t>
  </si>
  <si>
    <t>Lighting Automation</t>
  </si>
  <si>
    <t xml:space="preserve">Graphics </t>
  </si>
  <si>
    <t>Green Wall</t>
  </si>
  <si>
    <t>LCD / Screens.</t>
  </si>
  <si>
    <t>Miscellaneous</t>
  </si>
  <si>
    <t>Total for section E:</t>
  </si>
  <si>
    <t>E:</t>
  </si>
  <si>
    <t>Other's:</t>
  </si>
  <si>
    <t>IT</t>
  </si>
  <si>
    <t>Marketing</t>
  </si>
  <si>
    <t>SOE &amp; HR</t>
  </si>
  <si>
    <t>Asset Transfer</t>
  </si>
  <si>
    <t>F:</t>
  </si>
  <si>
    <t>Equipment's:</t>
  </si>
  <si>
    <t xml:space="preserve">Equipment's </t>
  </si>
  <si>
    <t>Equipment's for Bar</t>
  </si>
  <si>
    <t>Total for section F:</t>
  </si>
  <si>
    <t xml:space="preserve">Total approximate budget </t>
  </si>
  <si>
    <t xml:space="preserve">Delhi T1 Kiosk /Carts </t>
  </si>
  <si>
    <t xml:space="preserve">12 Kiosk +Seating </t>
  </si>
  <si>
    <t xml:space="preserve">Delhi outlets </t>
  </si>
  <si>
    <t>9 outlets+Central kitchen etc</t>
  </si>
  <si>
    <t>Chennai T2 Outlets</t>
  </si>
  <si>
    <t>Chennai T2 Lounge</t>
  </si>
  <si>
    <t>Hyderabad</t>
  </si>
  <si>
    <t>13 outlets</t>
  </si>
  <si>
    <t>35 outlets</t>
  </si>
  <si>
    <t>Self ordering Kiosk</t>
  </si>
  <si>
    <t>SOK added</t>
  </si>
  <si>
    <t>Bikanerwala- MOPA Goa</t>
  </si>
  <si>
    <t>Bikanerwala- Delhi T3D</t>
  </si>
  <si>
    <t>DIAL POS machines</t>
  </si>
  <si>
    <t>Manbhavan Thali/Bhagat Tarachand</t>
  </si>
  <si>
    <t>Nourish</t>
  </si>
  <si>
    <t>Mamagoto /Wanchai/Yum Yum Cha</t>
  </si>
  <si>
    <t>Biryani by Kilo /Sassy Begum/Kritunga</t>
  </si>
  <si>
    <t>Area (Sqm)</t>
  </si>
  <si>
    <t>Area (Sqft)</t>
  </si>
  <si>
    <t xml:space="preserve">Capex before Taxes </t>
  </si>
  <si>
    <t xml:space="preserve">Capex with Taxes </t>
  </si>
  <si>
    <t>Capex - Delhi T1</t>
  </si>
  <si>
    <t>Cost/Sqft before Taxes</t>
  </si>
  <si>
    <t>Bikanerwala MOPA Goa</t>
  </si>
  <si>
    <t>Nourish -Mumbai T1 Forecourt</t>
  </si>
  <si>
    <t>Capex amount given by Brand Team</t>
  </si>
  <si>
    <t xml:space="preserve">Outlet </t>
  </si>
  <si>
    <t>Benchmark outlet</t>
  </si>
  <si>
    <t>Total =</t>
  </si>
  <si>
    <t>Delhi T1 Food Court outlets</t>
  </si>
  <si>
    <t>Bercos - Delhi Domestic food court</t>
  </si>
  <si>
    <t>6% YOY escalation consider</t>
  </si>
  <si>
    <t>outlet opening date</t>
  </si>
  <si>
    <t>jan- feb 23</t>
  </si>
  <si>
    <t>Nourish -Mumbai T1</t>
  </si>
  <si>
    <t>Bercos -Delhi Domestic Food Court</t>
  </si>
  <si>
    <t xml:space="preserve">Reduced Capex Amounts given Finance Team </t>
  </si>
  <si>
    <t>Earlier Capex (R0)</t>
  </si>
  <si>
    <t>Note :</t>
  </si>
  <si>
    <t>No deviation in budget spend wrt line item will be allowed. The saving if any in each mentioned above line item will accrue to the overall saving and cannot be used for any other line item. In case the project team feels that they need some additional budget in another line item, the same will have to be approved by COO</t>
  </si>
  <si>
    <t>Wanchai by Kylin</t>
  </si>
  <si>
    <t>Biryani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</si>
</sst>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_);_(@_)"/>
    <numFmt numFmtId="165" formatCode="_(* #,##0_);_(* \(#,##0\);_(* &quot;-&quot;??_);_(@_)"/>
    <numFmt numFmtId="166" formatCode="_(* #,##0.00_);_(* \(#,##0.00\);_(* &quot;-&quot;??_);_(@_)"/>
    <numFmt numFmtId="167" formatCode="_ * #,##0_ ;_ * \-#,##0_ ;_ * &quot;-&quot;??_ ;_ @_ "/>
  </numFmts>
  <fonts count="12">
    <font>
      <sz val="11"/>
      <color theme="1"/>
      <name val="Calibri"/>
      <family val="2"/>
      <scheme val="minor"/>
    </font>
    <font>
      <b/>
      <sz val="11"/>
      <color theme="0"/>
      <name val="Calibri"/>
      <family val="2"/>
      <scheme val="minor"/>
    </font>
    <font>
      <b/>
      <sz val="15"/>
      <color theme="1"/>
      <name val="Calibri"/>
      <family val="2"/>
      <scheme val="minor"/>
    </font>
    <font>
      <sz val="11"/>
      <color theme="1"/>
      <name val="Calibri"/>
      <family val="2"/>
      <scheme val="minor"/>
    </font>
    <font>
      <sz val="10"/>
      <name val="Arial"/>
      <family val="2"/>
    </font>
    <font>
      <b/>
      <sz val="14"/>
      <name val="Book Antiqua"/>
      <family val="1"/>
    </font>
    <font>
      <sz val="10"/>
      <name val="Book Antiqua"/>
      <family val="1"/>
    </font>
    <font>
      <b/>
      <sz val="10"/>
      <name val="Book Antiqua"/>
      <family val="1"/>
    </font>
    <font>
      <sz val="10"/>
      <name val="Mangal"/>
      <family val="2"/>
    </font>
    <font>
      <b/>
      <sz val="11"/>
      <color theme="1"/>
      <name val="Calibri"/>
      <family val="2"/>
      <scheme val="minor"/>
    </font>
    <font>
      <b/>
      <u/>
      <sz val="16"/>
      <color theme="1"/>
      <name val="Calibri"/>
      <family val="2"/>
      <scheme val="minor"/>
    </font>
    <font>
      <sz val="10"/>
      <color theme="1"/>
      <name val="Book Antiqua"/>
      <family val="1"/>
    </font>
  </fonts>
  <fills count="8">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0">
    <xf numFmtId="0" fontId="0" fillId="0" borderId="0"/>
    <xf numFmtId="43" fontId="3" fillId="0" borderId="0" applyFont="0" applyFill="0" applyBorder="0" applyAlignment="0" applyProtection="0"/>
    <xf numFmtId="0" fontId="4" fillId="0" borderId="0"/>
    <xf numFmtId="0" fontId="3" fillId="0" borderId="0"/>
    <xf numFmtId="164" fontId="8"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145">
    <xf numFmtId="0" fontId="0" fillId="0" borderId="0" xfId="0"/>
    <xf numFmtId="0" fontId="2" fillId="0" borderId="0" xfId="0" applyFont="1"/>
    <xf numFmtId="0" fontId="1" fillId="2" borderId="2" xfId="0" applyFont="1" applyFill="1" applyBorder="1" applyAlignment="1">
      <alignment horizontal="center"/>
    </xf>
    <xf numFmtId="0" fontId="0" fillId="0" borderId="3" xfId="0" applyBorder="1" applyAlignment="1">
      <alignment horizontal="center"/>
    </xf>
    <xf numFmtId="0" fontId="0" fillId="0" borderId="4" xfId="0" applyBorder="1"/>
    <xf numFmtId="0" fontId="0" fillId="0" borderId="5" xfId="0" applyBorder="1"/>
    <xf numFmtId="0" fontId="0" fillId="0" borderId="6" xfId="0" applyBorder="1" applyAlignment="1">
      <alignment horizontal="center"/>
    </xf>
    <xf numFmtId="0" fontId="0" fillId="0" borderId="8" xfId="0" applyBorder="1" applyAlignment="1">
      <alignment horizontal="center"/>
    </xf>
    <xf numFmtId="0" fontId="6" fillId="0" borderId="0" xfId="3" applyFont="1" applyFill="1"/>
    <xf numFmtId="165" fontId="7" fillId="0" borderId="1" xfId="2" applyNumberFormat="1" applyFont="1" applyFill="1" applyBorder="1" applyAlignment="1">
      <alignment horizontal="center" vertical="center"/>
    </xf>
    <xf numFmtId="0" fontId="7" fillId="0" borderId="0" xfId="3" applyFont="1" applyFill="1"/>
    <xf numFmtId="0" fontId="6" fillId="0" borderId="0" xfId="3" applyFont="1" applyFill="1" applyBorder="1" applyAlignment="1">
      <alignment vertical="center"/>
    </xf>
    <xf numFmtId="167" fontId="0" fillId="0" borderId="0" xfId="1" applyNumberFormat="1" applyFont="1"/>
    <xf numFmtId="43" fontId="6" fillId="0" borderId="0" xfId="3" applyNumberFormat="1" applyFont="1" applyFill="1" applyBorder="1" applyAlignment="1">
      <alignment vertical="center"/>
    </xf>
    <xf numFmtId="0" fontId="9" fillId="7" borderId="1" xfId="0" applyFont="1" applyFill="1" applyBorder="1" applyAlignment="1">
      <alignment horizontal="center" vertical="center" wrapText="1"/>
    </xf>
    <xf numFmtId="0" fontId="0" fillId="0" borderId="1" xfId="0" applyBorder="1" applyAlignment="1">
      <alignment vertical="center" wrapText="1"/>
    </xf>
    <xf numFmtId="167" fontId="0" fillId="0" borderId="1" xfId="1" applyNumberFormat="1" applyFont="1" applyBorder="1" applyAlignment="1">
      <alignment vertical="center"/>
    </xf>
    <xf numFmtId="0" fontId="0" fillId="0" borderId="0" xfId="0" applyAlignment="1">
      <alignment vertical="center"/>
    </xf>
    <xf numFmtId="0" fontId="0" fillId="0" borderId="1" xfId="0" applyBorder="1" applyAlignment="1">
      <alignment vertical="center"/>
    </xf>
    <xf numFmtId="1" fontId="0" fillId="0" borderId="1" xfId="0" applyNumberFormat="1" applyBorder="1" applyAlignment="1">
      <alignment vertical="center"/>
    </xf>
    <xf numFmtId="167" fontId="0" fillId="0" borderId="1" xfId="0" applyNumberFormat="1" applyBorder="1" applyAlignment="1">
      <alignment vertical="center"/>
    </xf>
    <xf numFmtId="167" fontId="0" fillId="0" borderId="1" xfId="1" applyNumberFormat="1" applyFont="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0" fillId="0" borderId="6" xfId="0" applyBorder="1" applyAlignment="1">
      <alignment horizontal="center" vertical="center"/>
    </xf>
    <xf numFmtId="167" fontId="0" fillId="0" borderId="7" xfId="1" applyNumberFormat="1" applyFont="1" applyBorder="1" applyAlignment="1">
      <alignment vertical="center"/>
    </xf>
    <xf numFmtId="167" fontId="0" fillId="0" borderId="7"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9" fillId="7" borderId="8" xfId="0" applyFont="1" applyFill="1" applyBorder="1"/>
    <xf numFmtId="0" fontId="9" fillId="7" borderId="9" xfId="0" applyFont="1" applyFill="1" applyBorder="1"/>
    <xf numFmtId="167" fontId="9" fillId="7" borderId="9" xfId="0" applyNumberFormat="1" applyFont="1" applyFill="1" applyBorder="1"/>
    <xf numFmtId="0" fontId="9" fillId="7" borderId="10" xfId="0" applyFont="1" applyFill="1" applyBorder="1"/>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0" fillId="0" borderId="8" xfId="0" applyBorder="1"/>
    <xf numFmtId="0" fontId="0" fillId="0" borderId="9" xfId="0" applyBorder="1"/>
    <xf numFmtId="0" fontId="0" fillId="0" borderId="10" xfId="0" applyBorder="1"/>
    <xf numFmtId="0" fontId="10" fillId="0" borderId="0" xfId="0" applyFont="1"/>
    <xf numFmtId="14" fontId="0" fillId="0" borderId="0" xfId="0" applyNumberFormat="1" applyAlignment="1">
      <alignment vertical="center"/>
    </xf>
    <xf numFmtId="0" fontId="9" fillId="7" borderId="12" xfId="0" applyFont="1" applyFill="1" applyBorder="1" applyAlignment="1">
      <alignment horizontal="center" vertical="center" wrapText="1"/>
    </xf>
    <xf numFmtId="0" fontId="7" fillId="2" borderId="1" xfId="2" applyFont="1" applyFill="1" applyBorder="1" applyAlignment="1">
      <alignment horizontal="center" vertical="center"/>
    </xf>
    <xf numFmtId="166" fontId="7" fillId="0" borderId="1" xfId="2" applyNumberFormat="1" applyFont="1" applyFill="1" applyBorder="1" applyAlignment="1">
      <alignment horizontal="center" vertical="center"/>
    </xf>
    <xf numFmtId="43" fontId="7" fillId="0" borderId="1" xfId="2" applyNumberFormat="1" applyFont="1" applyFill="1" applyBorder="1" applyAlignment="1">
      <alignment horizontal="center" vertical="center"/>
    </xf>
    <xf numFmtId="0" fontId="7" fillId="3" borderId="1" xfId="2" applyFont="1" applyFill="1" applyBorder="1" applyAlignment="1">
      <alignment vertical="center"/>
    </xf>
    <xf numFmtId="0" fontId="7" fillId="2" borderId="1" xfId="2" applyFont="1" applyFill="1" applyBorder="1" applyAlignment="1">
      <alignment vertical="center"/>
    </xf>
    <xf numFmtId="166" fontId="7" fillId="3" borderId="1" xfId="2" applyNumberFormat="1" applyFont="1" applyFill="1" applyBorder="1" applyAlignment="1">
      <alignment horizontal="center" vertical="center"/>
    </xf>
    <xf numFmtId="0" fontId="6" fillId="0" borderId="1" xfId="2" applyFont="1" applyFill="1" applyBorder="1" applyAlignment="1">
      <alignment vertical="center"/>
    </xf>
    <xf numFmtId="0" fontId="6" fillId="2" borderId="1" xfId="2" applyFont="1" applyFill="1" applyBorder="1" applyAlignment="1">
      <alignment vertical="center"/>
    </xf>
    <xf numFmtId="165" fontId="6" fillId="0" borderId="1" xfId="2" applyNumberFormat="1" applyFont="1" applyFill="1" applyBorder="1" applyAlignment="1">
      <alignment vertical="center"/>
    </xf>
    <xf numFmtId="167" fontId="6" fillId="0" borderId="1" xfId="1" applyNumberFormat="1" applyFont="1" applyFill="1" applyBorder="1" applyAlignment="1">
      <alignment vertical="center"/>
    </xf>
    <xf numFmtId="165" fontId="6" fillId="4" borderId="1" xfId="3" applyNumberFormat="1" applyFont="1" applyFill="1" applyBorder="1" applyAlignment="1">
      <alignment vertical="center"/>
    </xf>
    <xf numFmtId="167" fontId="6" fillId="4" borderId="1" xfId="3" applyNumberFormat="1" applyFont="1" applyFill="1" applyBorder="1" applyAlignment="1">
      <alignment vertical="center"/>
    </xf>
    <xf numFmtId="166" fontId="6" fillId="0" borderId="1" xfId="3" applyNumberFormat="1" applyFont="1" applyFill="1" applyBorder="1" applyAlignment="1">
      <alignment vertical="center"/>
    </xf>
    <xf numFmtId="166" fontId="6" fillId="0" borderId="1" xfId="3" applyNumberFormat="1" applyFont="1" applyFill="1" applyBorder="1" applyAlignment="1">
      <alignment vertical="center" wrapText="1"/>
    </xf>
    <xf numFmtId="0" fontId="7" fillId="0" borderId="1" xfId="2" applyFont="1" applyFill="1" applyBorder="1" applyAlignment="1">
      <alignment vertical="center"/>
    </xf>
    <xf numFmtId="165" fontId="7" fillId="0" borderId="1" xfId="2" applyNumberFormat="1" applyFont="1" applyFill="1" applyBorder="1" applyAlignment="1">
      <alignment vertical="center"/>
    </xf>
    <xf numFmtId="167" fontId="7" fillId="0" borderId="1" xfId="1" applyNumberFormat="1" applyFont="1" applyFill="1" applyBorder="1" applyAlignment="1">
      <alignment vertical="center"/>
    </xf>
    <xf numFmtId="165" fontId="7" fillId="4" borderId="1" xfId="3" applyNumberFormat="1" applyFont="1" applyFill="1" applyBorder="1" applyAlignment="1">
      <alignment vertical="center"/>
    </xf>
    <xf numFmtId="165" fontId="7" fillId="4" borderId="1" xfId="2" applyNumberFormat="1" applyFont="1" applyFill="1" applyBorder="1" applyAlignment="1">
      <alignment vertical="center"/>
    </xf>
    <xf numFmtId="166" fontId="7" fillId="0" borderId="1" xfId="2" applyNumberFormat="1" applyFont="1" applyFill="1" applyBorder="1" applyAlignment="1">
      <alignment vertical="center"/>
    </xf>
    <xf numFmtId="166" fontId="6" fillId="4" borderId="1" xfId="3" applyNumberFormat="1" applyFont="1" applyFill="1" applyBorder="1" applyAlignment="1">
      <alignment vertical="center"/>
    </xf>
    <xf numFmtId="167" fontId="7" fillId="3" borderId="1" xfId="1" applyNumberFormat="1" applyFont="1" applyFill="1" applyBorder="1" applyAlignment="1">
      <alignment vertical="center"/>
    </xf>
    <xf numFmtId="166" fontId="7" fillId="3" borderId="1" xfId="2" applyNumberFormat="1" applyFont="1" applyFill="1" applyBorder="1" applyAlignment="1">
      <alignment vertical="center"/>
    </xf>
    <xf numFmtId="165" fontId="7" fillId="0" borderId="1" xfId="5" applyNumberFormat="1" applyFont="1" applyFill="1" applyBorder="1" applyAlignment="1">
      <alignment vertical="center"/>
    </xf>
    <xf numFmtId="165" fontId="7" fillId="4" borderId="1" xfId="5" applyNumberFormat="1" applyFont="1" applyFill="1" applyBorder="1" applyAlignment="1">
      <alignment vertical="center"/>
    </xf>
    <xf numFmtId="166" fontId="7" fillId="0" borderId="1" xfId="5" applyNumberFormat="1" applyFont="1" applyFill="1" applyBorder="1" applyAlignment="1">
      <alignment vertical="center"/>
    </xf>
    <xf numFmtId="166" fontId="7" fillId="4" borderId="1" xfId="5" applyNumberFormat="1" applyFont="1" applyFill="1" applyBorder="1" applyAlignment="1">
      <alignment vertical="center"/>
    </xf>
    <xf numFmtId="0" fontId="6" fillId="0" borderId="1" xfId="3" applyNumberFormat="1" applyFont="1" applyFill="1" applyBorder="1" applyAlignment="1">
      <alignment vertical="center" wrapText="1"/>
    </xf>
    <xf numFmtId="165" fontId="6" fillId="0" borderId="1" xfId="5" applyNumberFormat="1" applyFont="1" applyFill="1" applyBorder="1" applyAlignment="1">
      <alignment vertical="center"/>
    </xf>
    <xf numFmtId="165" fontId="6" fillId="0" borderId="1" xfId="5" applyNumberFormat="1" applyFont="1" applyFill="1" applyBorder="1" applyAlignment="1">
      <alignment vertical="center" wrapText="1"/>
    </xf>
    <xf numFmtId="165" fontId="6" fillId="0" borderId="1" xfId="5" applyNumberFormat="1" applyFont="1" applyFill="1" applyBorder="1" applyAlignment="1">
      <alignment horizontal="left" vertical="center" wrapText="1"/>
    </xf>
    <xf numFmtId="165" fontId="6" fillId="0" borderId="1" xfId="3" applyNumberFormat="1" applyFont="1" applyFill="1" applyBorder="1" applyAlignment="1">
      <alignment vertical="center"/>
    </xf>
    <xf numFmtId="165" fontId="7" fillId="3" borderId="1" xfId="2" applyNumberFormat="1" applyFont="1" applyFill="1" applyBorder="1" applyAlignment="1">
      <alignment vertical="center"/>
    </xf>
    <xf numFmtId="0" fontId="6" fillId="0" borderId="1" xfId="3" applyFont="1" applyFill="1" applyBorder="1" applyAlignment="1">
      <alignment vertical="center"/>
    </xf>
    <xf numFmtId="165" fontId="6" fillId="4" borderId="1" xfId="5" applyNumberFormat="1" applyFont="1" applyFill="1" applyBorder="1" applyAlignment="1">
      <alignment vertical="center"/>
    </xf>
    <xf numFmtId="43" fontId="6" fillId="4" borderId="1" xfId="3" applyNumberFormat="1" applyFont="1" applyFill="1" applyBorder="1" applyAlignment="1">
      <alignment vertical="center"/>
    </xf>
    <xf numFmtId="0" fontId="7" fillId="6" borderId="1" xfId="2" applyFont="1" applyFill="1" applyBorder="1" applyAlignment="1">
      <alignment vertical="center" wrapText="1"/>
    </xf>
    <xf numFmtId="0" fontId="7" fillId="2" borderId="1" xfId="2" applyFont="1" applyFill="1" applyBorder="1" applyAlignment="1">
      <alignment vertical="center" wrapText="1"/>
    </xf>
    <xf numFmtId="166" fontId="6" fillId="0" borderId="1" xfId="2" applyNumberFormat="1" applyFont="1" applyFill="1" applyBorder="1" applyAlignment="1">
      <alignment vertical="center"/>
    </xf>
    <xf numFmtId="0" fontId="7" fillId="2" borderId="11" xfId="2" applyFont="1" applyFill="1" applyBorder="1" applyAlignment="1">
      <alignment horizontal="center" vertical="center"/>
    </xf>
    <xf numFmtId="1" fontId="7" fillId="0" borderId="11" xfId="4" applyNumberFormat="1" applyFont="1" applyFill="1" applyBorder="1" applyAlignment="1">
      <alignment vertical="center"/>
    </xf>
    <xf numFmtId="1" fontId="7" fillId="0" borderId="11" xfId="2" applyNumberFormat="1" applyFont="1" applyFill="1" applyBorder="1" applyAlignment="1">
      <alignment horizontal="center" vertical="center"/>
    </xf>
    <xf numFmtId="1" fontId="7" fillId="4" borderId="11" xfId="4" applyNumberFormat="1" applyFont="1" applyFill="1" applyBorder="1" applyAlignment="1">
      <alignment vertical="center"/>
    </xf>
    <xf numFmtId="2" fontId="7" fillId="0" borderId="11" xfId="4" applyNumberFormat="1" applyFont="1" applyFill="1" applyBorder="1" applyAlignment="1">
      <alignment vertical="center"/>
    </xf>
    <xf numFmtId="0" fontId="9" fillId="7" borderId="3" xfId="0" applyFont="1" applyFill="1" applyBorder="1" applyAlignment="1">
      <alignment horizontal="center" vertical="center" wrapText="1"/>
    </xf>
    <xf numFmtId="167" fontId="0" fillId="0" borderId="6" xfId="1" applyNumberFormat="1" applyFont="1" applyBorder="1" applyAlignment="1">
      <alignment vertical="center"/>
    </xf>
    <xf numFmtId="167" fontId="9" fillId="7" borderId="8" xfId="1" applyNumberFormat="1" applyFont="1" applyFill="1" applyBorder="1"/>
    <xf numFmtId="167" fontId="9" fillId="7" borderId="10" xfId="1" applyNumberFormat="1" applyFont="1" applyFill="1" applyBorder="1"/>
    <xf numFmtId="0" fontId="7" fillId="0" borderId="1" xfId="2" applyFont="1" applyFill="1" applyBorder="1" applyAlignment="1">
      <alignment horizontal="center" vertical="center" wrapText="1"/>
    </xf>
    <xf numFmtId="0" fontId="7" fillId="0"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6" fillId="0" borderId="0" xfId="3" applyFont="1" applyFill="1" applyBorder="1" applyAlignment="1">
      <alignment vertical="center"/>
    </xf>
    <xf numFmtId="0" fontId="6" fillId="0" borderId="20" xfId="3" applyFont="1" applyFill="1" applyBorder="1" applyAlignment="1">
      <alignment vertical="center"/>
    </xf>
    <xf numFmtId="165" fontId="7" fillId="6" borderId="1" xfId="2" applyNumberFormat="1" applyFont="1" applyFill="1" applyBorder="1" applyAlignment="1">
      <alignment vertical="center" wrapText="1"/>
    </xf>
    <xf numFmtId="0" fontId="7" fillId="6" borderId="6" xfId="2" applyFont="1" applyFill="1" applyBorder="1" applyAlignment="1">
      <alignment horizontal="center" vertical="center" wrapText="1"/>
    </xf>
    <xf numFmtId="165" fontId="7" fillId="4" borderId="1" xfId="2" applyNumberFormat="1" applyFont="1" applyFill="1" applyBorder="1" applyAlignment="1">
      <alignment horizontal="center" vertical="center"/>
    </xf>
    <xf numFmtId="0" fontId="7" fillId="0" borderId="21" xfId="0" applyFont="1" applyBorder="1" applyAlignment="1">
      <alignment vertical="center"/>
    </xf>
    <xf numFmtId="0" fontId="0" fillId="0" borderId="20" xfId="0" applyBorder="1"/>
    <xf numFmtId="0" fontId="7" fillId="0" borderId="6" xfId="2" applyFont="1" applyFill="1" applyBorder="1" applyAlignment="1">
      <alignment horizontal="center" vertical="center"/>
    </xf>
    <xf numFmtId="1" fontId="7" fillId="0" borderId="1" xfId="4" applyNumberFormat="1" applyFont="1" applyFill="1" applyBorder="1" applyAlignment="1">
      <alignment vertical="center"/>
    </xf>
    <xf numFmtId="167" fontId="6" fillId="0" borderId="1" xfId="3" applyNumberFormat="1" applyFont="1" applyFill="1" applyBorder="1" applyAlignment="1">
      <alignment vertical="center"/>
    </xf>
    <xf numFmtId="165" fontId="7" fillId="0" borderId="1" xfId="3" applyNumberFormat="1" applyFont="1" applyFill="1" applyBorder="1" applyAlignment="1">
      <alignment vertical="center"/>
    </xf>
    <xf numFmtId="43" fontId="6" fillId="0" borderId="1" xfId="3" applyNumberFormat="1" applyFont="1" applyFill="1" applyBorder="1" applyAlignment="1">
      <alignment vertical="center"/>
    </xf>
    <xf numFmtId="0" fontId="7" fillId="2" borderId="22" xfId="2" applyFont="1" applyFill="1" applyBorder="1" applyAlignment="1">
      <alignment horizontal="center" vertical="center"/>
    </xf>
    <xf numFmtId="0" fontId="7" fillId="2" borderId="7" xfId="2" applyFont="1" applyFill="1" applyBorder="1" applyAlignment="1">
      <alignment horizontal="center" vertical="center"/>
    </xf>
    <xf numFmtId="0" fontId="7" fillId="0" borderId="6" xfId="2" applyFont="1" applyFill="1" applyBorder="1" applyAlignment="1">
      <alignment horizontal="center" vertical="center" wrapText="1"/>
    </xf>
    <xf numFmtId="0" fontId="7" fillId="3" borderId="6" xfId="2" applyFont="1" applyFill="1" applyBorder="1" applyAlignment="1">
      <alignment horizontal="center" vertical="center"/>
    </xf>
    <xf numFmtId="0" fontId="7" fillId="2" borderId="7" xfId="2" applyFont="1" applyFill="1" applyBorder="1" applyAlignment="1">
      <alignment vertical="center"/>
    </xf>
    <xf numFmtId="0" fontId="6" fillId="0" borderId="6" xfId="2" applyFont="1" applyFill="1" applyBorder="1" applyAlignment="1">
      <alignment horizontal="center" vertical="center"/>
    </xf>
    <xf numFmtId="0" fontId="6" fillId="2" borderId="7" xfId="2" applyFont="1" applyFill="1" applyBorder="1" applyAlignment="1">
      <alignment vertical="center"/>
    </xf>
    <xf numFmtId="0" fontId="7" fillId="2" borderId="7" xfId="2" applyFont="1" applyFill="1" applyBorder="1" applyAlignment="1">
      <alignment vertical="center" wrapText="1"/>
    </xf>
    <xf numFmtId="0" fontId="6" fillId="0" borderId="21" xfId="3" applyFont="1" applyFill="1" applyBorder="1" applyAlignment="1">
      <alignment vertical="center"/>
    </xf>
    <xf numFmtId="0" fontId="0" fillId="0" borderId="0" xfId="0" applyBorder="1"/>
    <xf numFmtId="0" fontId="9" fillId="6" borderId="3" xfId="0" applyFont="1" applyFill="1" applyBorder="1" applyAlignment="1">
      <alignment horizontal="center"/>
    </xf>
    <xf numFmtId="0" fontId="9" fillId="6" borderId="4" xfId="0" applyFont="1" applyFill="1" applyBorder="1" applyAlignment="1">
      <alignment horizontal="center"/>
    </xf>
    <xf numFmtId="0" fontId="9" fillId="6" borderId="5" xfId="0" applyFont="1" applyFill="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11" fillId="0" borderId="21" xfId="0" applyFont="1" applyBorder="1" applyAlignment="1">
      <alignment horizontal="left" vertical="top" wrapText="1"/>
    </xf>
    <xf numFmtId="0" fontId="11" fillId="0" borderId="0" xfId="0" applyFont="1" applyBorder="1" applyAlignment="1">
      <alignment horizontal="left" vertical="top" wrapText="1"/>
    </xf>
    <xf numFmtId="0" fontId="11" fillId="0" borderId="20" xfId="0" applyFont="1" applyBorder="1" applyAlignment="1">
      <alignment horizontal="left" vertical="top" wrapText="1"/>
    </xf>
    <xf numFmtId="0" fontId="11" fillId="0" borderId="19" xfId="0" applyFont="1" applyBorder="1" applyAlignment="1">
      <alignment horizontal="left" vertical="top" wrapText="1"/>
    </xf>
    <xf numFmtId="0" fontId="11" fillId="0" borderId="18" xfId="0" applyFont="1" applyBorder="1" applyAlignment="1">
      <alignment horizontal="left" vertical="top" wrapText="1"/>
    </xf>
    <xf numFmtId="0" fontId="11" fillId="0" borderId="17" xfId="0" applyFont="1" applyBorder="1" applyAlignment="1">
      <alignment horizontal="left" vertical="top" wrapText="1"/>
    </xf>
    <xf numFmtId="0" fontId="5" fillId="3" borderId="13" xfId="2" applyFont="1" applyFill="1" applyBorder="1" applyAlignment="1">
      <alignment horizontal="left" vertical="center"/>
    </xf>
    <xf numFmtId="0" fontId="5" fillId="3" borderId="14" xfId="2" applyFont="1" applyFill="1" applyBorder="1" applyAlignment="1">
      <alignment horizontal="left" vertical="center"/>
    </xf>
    <xf numFmtId="0" fontId="5" fillId="3" borderId="16" xfId="2" applyFont="1" applyFill="1" applyBorder="1" applyAlignment="1">
      <alignment horizontal="left" vertical="center"/>
    </xf>
    <xf numFmtId="0" fontId="5" fillId="0" borderId="16" xfId="2" applyFont="1" applyFill="1" applyBorder="1" applyAlignment="1">
      <alignment horizontal="left" vertical="center"/>
    </xf>
    <xf numFmtId="0" fontId="5" fillId="0" borderId="14" xfId="2" applyFont="1" applyFill="1" applyBorder="1" applyAlignment="1">
      <alignment horizontal="left" vertical="center"/>
    </xf>
    <xf numFmtId="0" fontId="5" fillId="3" borderId="15" xfId="2" applyFont="1" applyFill="1" applyBorder="1" applyAlignment="1">
      <alignment horizontal="left" vertical="center"/>
    </xf>
    <xf numFmtId="0" fontId="7" fillId="3" borderId="1" xfId="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1" xfId="2" applyFont="1" applyFill="1" applyBorder="1" applyAlignment="1">
      <alignment horizontal="center" vertical="center"/>
    </xf>
    <xf numFmtId="0" fontId="7" fillId="5"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7" fillId="0" borderId="23"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6" xfId="2" applyFont="1" applyFill="1" applyBorder="1" applyAlignment="1">
      <alignment horizontal="center" vertical="center"/>
    </xf>
    <xf numFmtId="0" fontId="7" fillId="3" borderId="6" xfId="2" applyFont="1" applyFill="1" applyBorder="1" applyAlignment="1">
      <alignment horizontal="center" vertical="center"/>
    </xf>
    <xf numFmtId="165" fontId="6" fillId="0" borderId="0" xfId="3" applyNumberFormat="1" applyFont="1" applyFill="1" applyBorder="1" applyAlignment="1">
      <alignment vertical="center"/>
    </xf>
    <xf numFmtId="9" fontId="6" fillId="0" borderId="0" xfId="9" applyFont="1" applyFill="1" applyBorder="1" applyAlignment="1">
      <alignment vertical="center"/>
    </xf>
  </cellXfs>
  <cellStyles count="10">
    <cellStyle name="Comma" xfId="1" builtinId="3"/>
    <cellStyle name="Comma 2" xfId="4"/>
    <cellStyle name="Comma 3" xfId="5"/>
    <cellStyle name="Comma 3 2" xfId="7"/>
    <cellStyle name="Comma 4" xfId="8"/>
    <cellStyle name="Comma 5" xfId="6"/>
    <cellStyle name="Normal" xfId="0" builtinId="0"/>
    <cellStyle name="Normal 2 10" xfId="2"/>
    <cellStyle name="Normal 9" xfId="3"/>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D10"/>
  <sheetViews>
    <sheetView workbookViewId="0">
      <selection activeCell="E15" sqref="E15"/>
    </sheetView>
  </sheetViews>
  <sheetFormatPr defaultRowHeight="15"/>
  <cols>
    <col min="1" max="1" width="19.7109375" bestFit="1" customWidth="1"/>
    <col min="2" max="2" width="16.7109375" bestFit="1" customWidth="1"/>
    <col min="3" max="3" width="15.28515625" bestFit="1" customWidth="1"/>
  </cols>
  <sheetData>
    <row r="3" spans="1:4">
      <c r="C3" t="s">
        <v>5</v>
      </c>
    </row>
    <row r="4" spans="1:4">
      <c r="A4" t="s">
        <v>79</v>
      </c>
      <c r="B4" t="s">
        <v>80</v>
      </c>
      <c r="C4" s="12">
        <f>2*10^7</f>
        <v>20000000</v>
      </c>
      <c r="D4">
        <v>2</v>
      </c>
    </row>
    <row r="5" spans="1:4">
      <c r="A5" t="s">
        <v>81</v>
      </c>
      <c r="B5" t="s">
        <v>82</v>
      </c>
      <c r="C5" s="12">
        <f>24*10^7</f>
        <v>240000000</v>
      </c>
      <c r="D5">
        <v>24</v>
      </c>
    </row>
    <row r="7" spans="1:4">
      <c r="A7" t="s">
        <v>83</v>
      </c>
      <c r="B7" t="s">
        <v>86</v>
      </c>
      <c r="C7" s="12">
        <f>(1.44+8.53)*10^7</f>
        <v>99699999.999999985</v>
      </c>
      <c r="D7">
        <v>9.9700000000000006</v>
      </c>
    </row>
    <row r="8" spans="1:4">
      <c r="A8" t="s">
        <v>84</v>
      </c>
      <c r="C8" s="12">
        <f>(18.31)*10^7</f>
        <v>183100000</v>
      </c>
      <c r="D8">
        <v>18.309999999999999</v>
      </c>
    </row>
    <row r="10" spans="1:4">
      <c r="A10" t="s">
        <v>85</v>
      </c>
      <c r="B10" t="s">
        <v>87</v>
      </c>
      <c r="C10" s="12">
        <f>54.47*10^7</f>
        <v>544700000</v>
      </c>
      <c r="D10">
        <v>54.47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
  <sheetViews>
    <sheetView zoomScale="74" workbookViewId="0">
      <selection activeCell="I17" sqref="I17"/>
    </sheetView>
  </sheetViews>
  <sheetFormatPr defaultRowHeight="15"/>
  <cols>
    <col min="1" max="1" width="7.28515625" customWidth="1"/>
    <col min="2" max="2" width="26.140625" customWidth="1"/>
    <col min="3" max="3" width="8" customWidth="1"/>
    <col min="4" max="4" width="8.42578125" customWidth="1"/>
    <col min="5" max="5" width="13.85546875" customWidth="1"/>
    <col min="6" max="6" width="13.5703125" customWidth="1"/>
    <col min="7" max="7" width="14.28515625" customWidth="1"/>
    <col min="8" max="8" width="3.140625" customWidth="1"/>
    <col min="9" max="9" width="14.28515625" customWidth="1"/>
    <col min="10" max="10" width="16" customWidth="1"/>
    <col min="11" max="11" width="12.42578125" bestFit="1" customWidth="1"/>
    <col min="12" max="18" width="3.140625" customWidth="1"/>
    <col min="19" max="19" width="33.7109375" hidden="1" customWidth="1"/>
    <col min="20" max="21" width="0" hidden="1" customWidth="1"/>
    <col min="22" max="23" width="14.28515625" hidden="1" customWidth="1"/>
    <col min="24" max="24" width="11.7109375" hidden="1" customWidth="1"/>
    <col min="25" max="25" width="10.85546875" hidden="1" customWidth="1"/>
  </cols>
  <sheetData>
    <row r="2" spans="1:25" ht="21.75" thickBot="1">
      <c r="A2" s="40" t="s">
        <v>109</v>
      </c>
    </row>
    <row r="3" spans="1:25" ht="15.75" thickBot="1">
      <c r="E3" s="119" t="s">
        <v>117</v>
      </c>
      <c r="F3" s="120"/>
      <c r="G3" s="121"/>
      <c r="I3" s="119" t="s">
        <v>116</v>
      </c>
      <c r="J3" s="120"/>
      <c r="K3" s="121"/>
      <c r="S3" s="116" t="s">
        <v>10</v>
      </c>
      <c r="T3" s="117"/>
      <c r="U3" s="117"/>
      <c r="V3" s="117"/>
      <c r="W3" s="117"/>
      <c r="X3" s="118"/>
    </row>
    <row r="4" spans="1:25" ht="37.5" customHeight="1">
      <c r="A4" s="22" t="s">
        <v>13</v>
      </c>
      <c r="B4" s="23" t="s">
        <v>106</v>
      </c>
      <c r="C4" s="24" t="s">
        <v>97</v>
      </c>
      <c r="D4" s="24" t="s">
        <v>98</v>
      </c>
      <c r="E4" s="24" t="s">
        <v>99</v>
      </c>
      <c r="F4" s="24" t="s">
        <v>100</v>
      </c>
      <c r="G4" s="25" t="s">
        <v>102</v>
      </c>
      <c r="I4" s="87" t="s">
        <v>99</v>
      </c>
      <c r="J4" s="24" t="s">
        <v>100</v>
      </c>
      <c r="K4" s="25" t="s">
        <v>102</v>
      </c>
      <c r="S4" s="35" t="s">
        <v>107</v>
      </c>
      <c r="T4" s="14" t="s">
        <v>97</v>
      </c>
      <c r="U4" s="14" t="s">
        <v>98</v>
      </c>
      <c r="V4" s="14" t="s">
        <v>99</v>
      </c>
      <c r="W4" s="14" t="s">
        <v>100</v>
      </c>
      <c r="X4" s="36" t="s">
        <v>102</v>
      </c>
      <c r="Y4" s="42" t="s">
        <v>112</v>
      </c>
    </row>
    <row r="5" spans="1:25" s="17" customFormat="1" ht="35.25" customHeight="1">
      <c r="A5" s="26">
        <v>1</v>
      </c>
      <c r="B5" s="15" t="s">
        <v>93</v>
      </c>
      <c r="C5" s="21">
        <v>58</v>
      </c>
      <c r="D5" s="21">
        <f>C5*10.764</f>
        <v>624.31200000000001</v>
      </c>
      <c r="E5" s="16">
        <f>Capex!H3</f>
        <v>12509552.475254238</v>
      </c>
      <c r="F5" s="16">
        <f>E5*1.18</f>
        <v>14761271.9208</v>
      </c>
      <c r="G5" s="27">
        <f>E5/D5</f>
        <v>20037.34106545163</v>
      </c>
      <c r="I5" s="88">
        <f>Capex!H3</f>
        <v>12509552.475254238</v>
      </c>
      <c r="J5" s="16">
        <f>I5*1.18</f>
        <v>14761271.9208</v>
      </c>
      <c r="K5" s="27">
        <f>I5/D5</f>
        <v>20037.34106545163</v>
      </c>
      <c r="S5" s="29" t="s">
        <v>103</v>
      </c>
      <c r="T5" s="19">
        <f>Capex!D2/10.764</f>
        <v>165.38</v>
      </c>
      <c r="U5" s="19">
        <f>T5*10.764</f>
        <v>1780.1503199999997</v>
      </c>
      <c r="V5" s="16">
        <f>Capex!E3</f>
        <v>17608291.198467799</v>
      </c>
      <c r="W5" s="16">
        <f>V5*1.18</f>
        <v>20777783.614192002</v>
      </c>
      <c r="X5" s="27">
        <f>V5/U5</f>
        <v>9891.4630976039152</v>
      </c>
    </row>
    <row r="6" spans="1:25" s="17" customFormat="1" ht="35.25" customHeight="1">
      <c r="A6" s="26">
        <v>2</v>
      </c>
      <c r="B6" s="15" t="s">
        <v>94</v>
      </c>
      <c r="C6" s="21">
        <v>61</v>
      </c>
      <c r="D6" s="21">
        <f t="shared" ref="D6:D8" si="0">C6*10.764</f>
        <v>656.60399999999993</v>
      </c>
      <c r="E6" s="20">
        <f>D6*G6</f>
        <v>10671731.825459793</v>
      </c>
      <c r="F6" s="20">
        <f>E6*1.18</f>
        <v>12592643.554042555</v>
      </c>
      <c r="G6" s="28">
        <f>X6*1.12</f>
        <v>16252.919302136133</v>
      </c>
      <c r="I6" s="88">
        <f>Capex!P3</f>
        <v>8173128.1600000001</v>
      </c>
      <c r="J6" s="16">
        <f>I6*1.18</f>
        <v>9644291.2287999988</v>
      </c>
      <c r="K6" s="27">
        <f t="shared" ref="K6:K8" si="1">I6/D6</f>
        <v>12447.575951410594</v>
      </c>
      <c r="S6" s="29" t="s">
        <v>104</v>
      </c>
      <c r="T6" s="18">
        <v>47</v>
      </c>
      <c r="U6" s="19">
        <f>T6*10.764</f>
        <v>505.90799999999996</v>
      </c>
      <c r="V6" s="20">
        <f>W6/1.18</f>
        <v>7341501.6949152546</v>
      </c>
      <c r="W6" s="16">
        <f>8362972+300000</f>
        <v>8662972</v>
      </c>
      <c r="X6" s="28">
        <f>V6/U6</f>
        <v>14511.535091192975</v>
      </c>
      <c r="Y6" s="17" t="s">
        <v>113</v>
      </c>
    </row>
    <row r="7" spans="1:25" s="17" customFormat="1" ht="35.25" customHeight="1">
      <c r="A7" s="26">
        <v>3</v>
      </c>
      <c r="B7" s="15" t="s">
        <v>95</v>
      </c>
      <c r="C7" s="21">
        <v>55</v>
      </c>
      <c r="D7" s="21">
        <f t="shared" si="0"/>
        <v>592.02</v>
      </c>
      <c r="E7" s="20">
        <f>G7*D7</f>
        <v>8178571.992816505</v>
      </c>
      <c r="F7" s="20">
        <f>E7*1.18</f>
        <v>9650714.9515234753</v>
      </c>
      <c r="G7" s="27">
        <f>X7*1.18</f>
        <v>13814.688680815691</v>
      </c>
      <c r="I7" s="88">
        <f>Capex!Y3</f>
        <v>6543868</v>
      </c>
      <c r="J7" s="16">
        <f>I7*1.18</f>
        <v>7721764.2399999993</v>
      </c>
      <c r="K7" s="27">
        <f t="shared" si="1"/>
        <v>11053.457653457654</v>
      </c>
      <c r="S7" s="29" t="s">
        <v>110</v>
      </c>
      <c r="T7" s="18">
        <v>32</v>
      </c>
      <c r="U7" s="19">
        <f>T7*10.764</f>
        <v>344.44799999999998</v>
      </c>
      <c r="V7" s="20">
        <f>W7/1.18</f>
        <v>4032577.8701098328</v>
      </c>
      <c r="W7" s="16">
        <v>4758441.8867296027</v>
      </c>
      <c r="X7" s="28">
        <f>V7/U7</f>
        <v>11707.363288826857</v>
      </c>
      <c r="Y7" s="41">
        <v>44591</v>
      </c>
    </row>
    <row r="8" spans="1:25" s="17" customFormat="1" ht="35.25" customHeight="1">
      <c r="A8" s="26">
        <v>4</v>
      </c>
      <c r="B8" s="15" t="s">
        <v>96</v>
      </c>
      <c r="C8" s="21">
        <v>56</v>
      </c>
      <c r="D8" s="21">
        <f t="shared" si="0"/>
        <v>602.78399999999999</v>
      </c>
      <c r="E8" s="16">
        <f>8500000</f>
        <v>8500000</v>
      </c>
      <c r="F8" s="16">
        <f>E8*1.18</f>
        <v>10030000</v>
      </c>
      <c r="G8" s="27">
        <f>E8/D8</f>
        <v>14101.236927323884</v>
      </c>
      <c r="I8" s="88">
        <f>Capex!AG3</f>
        <v>8202212.0000000009</v>
      </c>
      <c r="J8" s="16">
        <f>I8*1.18</f>
        <v>9678610.1600000001</v>
      </c>
      <c r="K8" s="27">
        <f t="shared" si="1"/>
        <v>13607.215851781071</v>
      </c>
      <c r="S8" s="29" t="s">
        <v>105</v>
      </c>
      <c r="T8" s="18"/>
      <c r="U8" s="18"/>
      <c r="V8" s="18"/>
      <c r="W8" s="18"/>
      <c r="X8" s="30"/>
    </row>
    <row r="9" spans="1:25" s="17" customFormat="1">
      <c r="A9" s="29"/>
      <c r="B9" s="18"/>
      <c r="C9" s="18"/>
      <c r="D9" s="18"/>
      <c r="E9" s="18"/>
      <c r="F9" s="18"/>
      <c r="G9" s="30"/>
      <c r="I9" s="88"/>
      <c r="J9" s="16"/>
      <c r="K9" s="27"/>
      <c r="S9" s="29"/>
      <c r="T9" s="18"/>
      <c r="U9" s="18"/>
      <c r="V9" s="18"/>
      <c r="W9" s="18"/>
      <c r="X9" s="30"/>
    </row>
    <row r="10" spans="1:25" ht="15.75" thickBot="1">
      <c r="A10" s="31"/>
      <c r="B10" s="32" t="s">
        <v>108</v>
      </c>
      <c r="C10" s="32"/>
      <c r="D10" s="32"/>
      <c r="E10" s="33">
        <f>SUM(E5:E8)</f>
        <v>39859856.293530539</v>
      </c>
      <c r="F10" s="33">
        <f>SUM(F5:F8)</f>
        <v>47034630.426366031</v>
      </c>
      <c r="G10" s="34"/>
      <c r="I10" s="89">
        <f>SUM(I5:I9)</f>
        <v>35428760.635254242</v>
      </c>
      <c r="J10" s="89">
        <f>SUM(J5:J9)</f>
        <v>41805937.549599998</v>
      </c>
      <c r="K10" s="90"/>
      <c r="S10" s="37"/>
      <c r="T10" s="38"/>
      <c r="U10" s="38"/>
      <c r="V10" s="38"/>
      <c r="W10" s="38"/>
      <c r="X10" s="39"/>
    </row>
    <row r="12" spans="1:25">
      <c r="G12" t="s">
        <v>111</v>
      </c>
    </row>
  </sheetData>
  <mergeCells count="3">
    <mergeCell ref="S3:X3"/>
    <mergeCell ref="E3:G3"/>
    <mergeCell ref="I3:K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J79"/>
  <sheetViews>
    <sheetView tabSelected="1" view="pageBreakPreview" zoomScale="85" zoomScaleNormal="85" zoomScaleSheetLayoutView="85" workbookViewId="0">
      <pane xSplit="2" ySplit="7" topLeftCell="C8" activePane="bottomRight" state="frozen"/>
      <selection pane="topRight" activeCell="C1" sqref="C1"/>
      <selection pane="bottomLeft" activeCell="A8" sqref="A8"/>
      <selection pane="bottomRight" activeCell="AO19" sqref="AO19"/>
    </sheetView>
  </sheetViews>
  <sheetFormatPr defaultColWidth="9.140625" defaultRowHeight="13.5"/>
  <cols>
    <col min="1" max="1" width="5.5703125" style="11" customWidth="1"/>
    <col min="2" max="2" width="28.140625" style="11" customWidth="1"/>
    <col min="3" max="3" width="1.5703125" style="11" customWidth="1"/>
    <col min="4" max="4" width="13.7109375" style="11" hidden="1" customWidth="1"/>
    <col min="5" max="5" width="15" style="11" hidden="1" customWidth="1"/>
    <col min="6" max="6" width="10.140625" style="11" hidden="1" customWidth="1"/>
    <col min="7" max="7" width="8.7109375" style="11" hidden="1" customWidth="1"/>
    <col min="8" max="8" width="15.7109375" style="11" hidden="1" customWidth="1"/>
    <col min="9" max="9" width="15.28515625" style="11" hidden="1" customWidth="1"/>
    <col min="10" max="10" width="16.5703125" style="11" hidden="1" customWidth="1"/>
    <col min="11" max="11" width="1.5703125" style="11" hidden="1" customWidth="1"/>
    <col min="12" max="12" width="13.7109375" style="11" hidden="1" customWidth="1"/>
    <col min="13" max="13" width="15" style="11" hidden="1" customWidth="1"/>
    <col min="14" max="14" width="10.140625" style="11" hidden="1" customWidth="1"/>
    <col min="15" max="15" width="8.7109375" style="11" hidden="1" customWidth="1"/>
    <col min="16" max="16" width="15.7109375" style="11" hidden="1" customWidth="1"/>
    <col min="17" max="17" width="15.28515625" style="11" hidden="1" customWidth="1"/>
    <col min="18" max="18" width="16.5703125" style="11" hidden="1" customWidth="1"/>
    <col min="19" max="19" width="1.5703125" style="11" hidden="1" customWidth="1"/>
    <col min="20" max="20" width="13.7109375" style="11" hidden="1" customWidth="1"/>
    <col min="21" max="21" width="15" style="11" hidden="1" customWidth="1"/>
    <col min="22" max="22" width="10.140625" style="11" hidden="1" customWidth="1"/>
    <col min="23" max="23" width="1.5703125" style="11" hidden="1" customWidth="1"/>
    <col min="24" max="24" width="7" style="94" bestFit="1" customWidth="1"/>
    <col min="25" max="25" width="10.5703125" style="94" bestFit="1" customWidth="1"/>
    <col min="26" max="26" width="14.28515625" style="94" customWidth="1"/>
    <col min="27" max="27" width="16.5703125" style="11" hidden="1" customWidth="1"/>
    <col min="28" max="28" width="1.5703125" style="94" customWidth="1"/>
    <col min="29" max="29" width="13.7109375" style="11" hidden="1" customWidth="1"/>
    <col min="30" max="30" width="15" style="11" hidden="1" customWidth="1"/>
    <col min="31" max="31" width="10.140625" style="11" hidden="1" customWidth="1"/>
    <col min="32" max="32" width="8.7109375" style="94" customWidth="1"/>
    <col min="33" max="33" width="10.5703125" style="94" bestFit="1" customWidth="1"/>
    <col min="34" max="34" width="12" style="94" customWidth="1"/>
    <col min="35" max="35" width="9.140625" style="11" customWidth="1"/>
    <col min="36" max="36" width="1.5703125" style="11" customWidth="1"/>
    <col min="37" max="16384" width="9.140625" style="8"/>
  </cols>
  <sheetData>
    <row r="1" spans="1:36" ht="19.5" thickBot="1">
      <c r="A1" s="128" t="s">
        <v>101</v>
      </c>
      <c r="B1" s="129"/>
      <c r="C1" s="129"/>
      <c r="D1" s="129"/>
      <c r="E1" s="129"/>
      <c r="F1" s="129"/>
      <c r="G1" s="129"/>
      <c r="H1" s="129"/>
      <c r="I1" s="129"/>
      <c r="J1" s="129"/>
      <c r="K1" s="129"/>
      <c r="L1" s="129"/>
      <c r="M1" s="129"/>
      <c r="N1" s="129"/>
      <c r="O1" s="129"/>
      <c r="P1" s="129"/>
      <c r="Q1" s="129"/>
      <c r="R1" s="129"/>
      <c r="S1" s="129"/>
      <c r="T1" s="129"/>
      <c r="U1" s="129"/>
      <c r="V1" s="129"/>
      <c r="W1" s="130"/>
      <c r="X1" s="131"/>
      <c r="Y1" s="131"/>
      <c r="Z1" s="131"/>
      <c r="AA1" s="129"/>
      <c r="AB1" s="132"/>
      <c r="AC1" s="129"/>
      <c r="AD1" s="129"/>
      <c r="AE1" s="129"/>
      <c r="AF1" s="132"/>
      <c r="AG1" s="132"/>
      <c r="AH1" s="132"/>
      <c r="AI1" s="129"/>
      <c r="AJ1" s="133"/>
    </row>
    <row r="2" spans="1:36" ht="15">
      <c r="A2" s="139" t="s">
        <v>6</v>
      </c>
      <c r="B2" s="140"/>
      <c r="C2" s="82"/>
      <c r="D2" s="83">
        <v>1780.1503199999997</v>
      </c>
      <c r="E2" s="83">
        <f>D2</f>
        <v>1780.1503199999997</v>
      </c>
      <c r="F2" s="84"/>
      <c r="G2" s="85"/>
      <c r="H2" s="85">
        <f>58*10.764</f>
        <v>624.31200000000001</v>
      </c>
      <c r="I2" s="85">
        <f>H2</f>
        <v>624.31200000000001</v>
      </c>
      <c r="J2" s="86"/>
      <c r="K2" s="82"/>
      <c r="L2" s="83">
        <f>Summary!U6</f>
        <v>505.90799999999996</v>
      </c>
      <c r="M2" s="83">
        <f>L2</f>
        <v>505.90799999999996</v>
      </c>
      <c r="N2" s="84"/>
      <c r="O2" s="85"/>
      <c r="P2" s="85">
        <f>Summary!D6</f>
        <v>656.60399999999993</v>
      </c>
      <c r="Q2" s="85">
        <f>P2</f>
        <v>656.60399999999993</v>
      </c>
      <c r="R2" s="86"/>
      <c r="S2" s="82"/>
      <c r="T2" s="83">
        <f>Summary!U7</f>
        <v>344.44799999999998</v>
      </c>
      <c r="U2" s="83">
        <f>T2</f>
        <v>344.44799999999998</v>
      </c>
      <c r="V2" s="84"/>
      <c r="W2" s="82"/>
      <c r="X2" s="102"/>
      <c r="Y2" s="102">
        <f>Summary!D7</f>
        <v>592.02</v>
      </c>
      <c r="Z2" s="102">
        <f>Y2</f>
        <v>592.02</v>
      </c>
      <c r="AA2" s="86"/>
      <c r="AB2" s="82"/>
      <c r="AC2" s="83">
        <v>1780.1503199999997</v>
      </c>
      <c r="AD2" s="83">
        <f>AC2</f>
        <v>1780.1503199999997</v>
      </c>
      <c r="AE2" s="84"/>
      <c r="AF2" s="83"/>
      <c r="AG2" s="83">
        <f>Summary!D8</f>
        <v>602.78399999999999</v>
      </c>
      <c r="AH2" s="83">
        <f>AG2</f>
        <v>602.78399999999999</v>
      </c>
      <c r="AI2" s="86"/>
      <c r="AJ2" s="106"/>
    </row>
    <row r="3" spans="1:36" ht="15">
      <c r="A3" s="141" t="s">
        <v>7</v>
      </c>
      <c r="B3" s="136"/>
      <c r="C3" s="43"/>
      <c r="D3" s="9">
        <f>D70</f>
        <v>20777783.614192002</v>
      </c>
      <c r="E3" s="9">
        <f>E70</f>
        <v>17608291.198467799</v>
      </c>
      <c r="F3" s="9"/>
      <c r="G3" s="98"/>
      <c r="H3" s="98">
        <f>H70</f>
        <v>12509552.475254238</v>
      </c>
      <c r="I3" s="98">
        <f>I70</f>
        <v>14780271.9208</v>
      </c>
      <c r="J3" s="44"/>
      <c r="K3" s="43"/>
      <c r="L3" s="9">
        <f>L70</f>
        <v>8605186.4000000004</v>
      </c>
      <c r="M3" s="9">
        <f>M70</f>
        <v>7292530.8474576278</v>
      </c>
      <c r="N3" s="9"/>
      <c r="O3" s="98"/>
      <c r="P3" s="98">
        <f>P70</f>
        <v>8173128.1600000001</v>
      </c>
      <c r="Q3" s="98">
        <f>Q70</f>
        <v>9644291.2288000006</v>
      </c>
      <c r="R3" s="44"/>
      <c r="S3" s="43"/>
      <c r="T3" s="9">
        <f>T70</f>
        <v>0</v>
      </c>
      <c r="U3" s="9">
        <f>U70</f>
        <v>0</v>
      </c>
      <c r="V3" s="9"/>
      <c r="W3" s="43"/>
      <c r="X3" s="9"/>
      <c r="Y3" s="9">
        <f>Y70</f>
        <v>6543868</v>
      </c>
      <c r="Z3" s="9">
        <f>Z70</f>
        <v>7721764.2399999993</v>
      </c>
      <c r="AA3" s="44"/>
      <c r="AB3" s="43"/>
      <c r="AC3" s="9">
        <f>AC70</f>
        <v>0</v>
      </c>
      <c r="AD3" s="9">
        <f>AD70</f>
        <v>0</v>
      </c>
      <c r="AE3" s="9"/>
      <c r="AF3" s="9"/>
      <c r="AG3" s="9">
        <f>AG70</f>
        <v>8202212.0000000009</v>
      </c>
      <c r="AH3" s="9">
        <f>AH70</f>
        <v>9678610.1600000001</v>
      </c>
      <c r="AI3" s="44"/>
      <c r="AJ3" s="107"/>
    </row>
    <row r="4" spans="1:36" ht="15">
      <c r="A4" s="141" t="s">
        <v>8</v>
      </c>
      <c r="B4" s="136"/>
      <c r="C4" s="43"/>
      <c r="D4" s="45">
        <f>D3/D2</f>
        <v>11671.926455172619</v>
      </c>
      <c r="E4" s="45">
        <f>E3/E2</f>
        <v>9891.4630976039152</v>
      </c>
      <c r="F4" s="9"/>
      <c r="G4" s="98"/>
      <c r="H4" s="98">
        <f t="shared" ref="H4:I4" si="0">H3/H2</f>
        <v>20037.34106545163</v>
      </c>
      <c r="I4" s="98">
        <f t="shared" si="0"/>
        <v>23674.495958431042</v>
      </c>
      <c r="J4" s="44"/>
      <c r="K4" s="43"/>
      <c r="L4" s="45">
        <f>L3/L2</f>
        <v>17009.389849537863</v>
      </c>
      <c r="M4" s="45">
        <f>M3/M2</f>
        <v>14414.737160625307</v>
      </c>
      <c r="N4" s="9"/>
      <c r="O4" s="98"/>
      <c r="P4" s="98">
        <f t="shared" ref="P4:Q4" si="1">P3/P2</f>
        <v>12447.575951410594</v>
      </c>
      <c r="Q4" s="98">
        <f t="shared" si="1"/>
        <v>14688.139622664501</v>
      </c>
      <c r="R4" s="44"/>
      <c r="S4" s="43"/>
      <c r="T4" s="45">
        <f>T3/T2</f>
        <v>0</v>
      </c>
      <c r="U4" s="45">
        <f>U3/U2</f>
        <v>0</v>
      </c>
      <c r="V4" s="9"/>
      <c r="W4" s="43"/>
      <c r="X4" s="9"/>
      <c r="Y4" s="9">
        <f t="shared" ref="Y4:Z4" si="2">Y3/Y2</f>
        <v>11053.457653457654</v>
      </c>
      <c r="Z4" s="9">
        <f t="shared" si="2"/>
        <v>13043.08003108003</v>
      </c>
      <c r="AA4" s="44"/>
      <c r="AB4" s="43"/>
      <c r="AC4" s="45">
        <f>AC3/AC2</f>
        <v>0</v>
      </c>
      <c r="AD4" s="45">
        <f>AD3/AD2</f>
        <v>0</v>
      </c>
      <c r="AE4" s="9"/>
      <c r="AF4" s="9"/>
      <c r="AG4" s="9">
        <f t="shared" ref="AG4:AH4" si="3">AG3/AG2</f>
        <v>13607.215851781071</v>
      </c>
      <c r="AH4" s="9">
        <f t="shared" si="3"/>
        <v>16056.514705101663</v>
      </c>
      <c r="AI4" s="44"/>
      <c r="AJ4" s="107"/>
    </row>
    <row r="5" spans="1:36" ht="15">
      <c r="A5" s="142" t="s">
        <v>9</v>
      </c>
      <c r="B5" s="134"/>
      <c r="C5" s="43"/>
      <c r="D5" s="137" t="s">
        <v>10</v>
      </c>
      <c r="E5" s="137"/>
      <c r="F5" s="137"/>
      <c r="G5" s="134" t="s">
        <v>11</v>
      </c>
      <c r="H5" s="134"/>
      <c r="I5" s="134"/>
      <c r="J5" s="46"/>
      <c r="K5" s="43"/>
      <c r="L5" s="137" t="s">
        <v>10</v>
      </c>
      <c r="M5" s="137"/>
      <c r="N5" s="137"/>
      <c r="O5" s="134" t="s">
        <v>11</v>
      </c>
      <c r="P5" s="134"/>
      <c r="Q5" s="134"/>
      <c r="R5" s="46"/>
      <c r="S5" s="43"/>
      <c r="T5" s="137" t="s">
        <v>10</v>
      </c>
      <c r="U5" s="137"/>
      <c r="V5" s="137"/>
      <c r="W5" s="43"/>
      <c r="X5" s="134" t="s">
        <v>11</v>
      </c>
      <c r="Y5" s="134"/>
      <c r="Z5" s="134"/>
      <c r="AA5" s="46"/>
      <c r="AB5" s="43"/>
      <c r="AC5" s="137" t="s">
        <v>10</v>
      </c>
      <c r="AD5" s="137"/>
      <c r="AE5" s="137"/>
      <c r="AF5" s="134" t="s">
        <v>11</v>
      </c>
      <c r="AG5" s="134"/>
      <c r="AH5" s="134"/>
      <c r="AI5" s="46"/>
      <c r="AJ5" s="107"/>
    </row>
    <row r="6" spans="1:36" ht="15">
      <c r="A6" s="101"/>
      <c r="B6" s="92"/>
      <c r="C6" s="43"/>
      <c r="D6" s="135" t="s">
        <v>90</v>
      </c>
      <c r="E6" s="136"/>
      <c r="F6" s="136"/>
      <c r="G6" s="138" t="s">
        <v>91</v>
      </c>
      <c r="H6" s="138"/>
      <c r="I6" s="138"/>
      <c r="J6" s="92" t="s">
        <v>12</v>
      </c>
      <c r="K6" s="43"/>
      <c r="L6" s="135" t="s">
        <v>114</v>
      </c>
      <c r="M6" s="136"/>
      <c r="N6" s="136"/>
      <c r="O6" s="138" t="str">
        <f>Summary!B6</f>
        <v>Nourish</v>
      </c>
      <c r="P6" s="138"/>
      <c r="Q6" s="138"/>
      <c r="R6" s="92" t="s">
        <v>12</v>
      </c>
      <c r="S6" s="43"/>
      <c r="T6" s="135" t="s">
        <v>115</v>
      </c>
      <c r="U6" s="136"/>
      <c r="V6" s="136"/>
      <c r="W6" s="43"/>
      <c r="X6" s="135" t="s">
        <v>120</v>
      </c>
      <c r="Y6" s="135"/>
      <c r="Z6" s="135"/>
      <c r="AA6" s="92" t="s">
        <v>12</v>
      </c>
      <c r="AB6" s="43"/>
      <c r="AC6" s="135" t="s">
        <v>90</v>
      </c>
      <c r="AD6" s="136"/>
      <c r="AE6" s="136"/>
      <c r="AF6" s="135" t="s">
        <v>121</v>
      </c>
      <c r="AG6" s="135"/>
      <c r="AH6" s="135"/>
      <c r="AI6" s="92" t="s">
        <v>12</v>
      </c>
      <c r="AJ6" s="107"/>
    </row>
    <row r="7" spans="1:36" ht="30">
      <c r="A7" s="108" t="s">
        <v>13</v>
      </c>
      <c r="B7" s="92" t="s">
        <v>14</v>
      </c>
      <c r="C7" s="43"/>
      <c r="D7" s="91" t="s">
        <v>15</v>
      </c>
      <c r="E7" s="92" t="s">
        <v>16</v>
      </c>
      <c r="F7" s="91" t="s">
        <v>17</v>
      </c>
      <c r="G7" s="93" t="s">
        <v>18</v>
      </c>
      <c r="H7" s="93" t="s">
        <v>16</v>
      </c>
      <c r="I7" s="93" t="s">
        <v>15</v>
      </c>
      <c r="J7" s="92"/>
      <c r="K7" s="43"/>
      <c r="L7" s="91" t="s">
        <v>15</v>
      </c>
      <c r="M7" s="92" t="s">
        <v>16</v>
      </c>
      <c r="N7" s="91" t="s">
        <v>17</v>
      </c>
      <c r="O7" s="93" t="s">
        <v>18</v>
      </c>
      <c r="P7" s="93" t="s">
        <v>16</v>
      </c>
      <c r="Q7" s="93" t="s">
        <v>15</v>
      </c>
      <c r="R7" s="92"/>
      <c r="S7" s="43"/>
      <c r="T7" s="91" t="s">
        <v>15</v>
      </c>
      <c r="U7" s="92" t="s">
        <v>16</v>
      </c>
      <c r="V7" s="91" t="s">
        <v>17</v>
      </c>
      <c r="W7" s="43"/>
      <c r="X7" s="91" t="s">
        <v>18</v>
      </c>
      <c r="Y7" s="91" t="s">
        <v>16</v>
      </c>
      <c r="Z7" s="91" t="s">
        <v>15</v>
      </c>
      <c r="AA7" s="92"/>
      <c r="AB7" s="43"/>
      <c r="AC7" s="91" t="s">
        <v>15</v>
      </c>
      <c r="AD7" s="92" t="s">
        <v>16</v>
      </c>
      <c r="AE7" s="91" t="s">
        <v>17</v>
      </c>
      <c r="AF7" s="91" t="s">
        <v>18</v>
      </c>
      <c r="AG7" s="91" t="s">
        <v>16</v>
      </c>
      <c r="AH7" s="91" t="s">
        <v>15</v>
      </c>
      <c r="AI7" s="92"/>
      <c r="AJ7" s="107"/>
    </row>
    <row r="8" spans="1:36" ht="15">
      <c r="A8" s="109" t="s">
        <v>19</v>
      </c>
      <c r="B8" s="46" t="s">
        <v>20</v>
      </c>
      <c r="C8" s="47"/>
      <c r="D8" s="46"/>
      <c r="E8" s="46"/>
      <c r="F8" s="46"/>
      <c r="G8" s="48"/>
      <c r="H8" s="48"/>
      <c r="I8" s="48"/>
      <c r="J8" s="48"/>
      <c r="K8" s="47"/>
      <c r="L8" s="46"/>
      <c r="M8" s="46"/>
      <c r="N8" s="46"/>
      <c r="O8" s="48"/>
      <c r="P8" s="48"/>
      <c r="Q8" s="48"/>
      <c r="R8" s="48"/>
      <c r="S8" s="47"/>
      <c r="T8" s="46"/>
      <c r="U8" s="46"/>
      <c r="V8" s="46"/>
      <c r="W8" s="47"/>
      <c r="X8" s="48"/>
      <c r="Y8" s="48"/>
      <c r="Z8" s="48"/>
      <c r="AA8" s="48"/>
      <c r="AB8" s="47"/>
      <c r="AC8" s="46"/>
      <c r="AD8" s="46"/>
      <c r="AE8" s="46"/>
      <c r="AF8" s="48"/>
      <c r="AG8" s="48"/>
      <c r="AH8" s="48"/>
      <c r="AI8" s="48"/>
      <c r="AJ8" s="110"/>
    </row>
    <row r="9" spans="1:36">
      <c r="A9" s="111">
        <v>1</v>
      </c>
      <c r="B9" s="49" t="s">
        <v>21</v>
      </c>
      <c r="C9" s="50"/>
      <c r="D9" s="51">
        <v>283577.59999999998</v>
      </c>
      <c r="E9" s="51">
        <f t="shared" ref="E9:E17" si="4">D9/118%</f>
        <v>240320</v>
      </c>
      <c r="F9" s="52">
        <f>E9/E$2</f>
        <v>134.99983529480815</v>
      </c>
      <c r="G9" s="53">
        <v>600</v>
      </c>
      <c r="H9" s="54">
        <f>G9*$H$2</f>
        <v>374587.2</v>
      </c>
      <c r="I9" s="53">
        <f>H9*118%</f>
        <v>442012.89600000001</v>
      </c>
      <c r="J9" s="55"/>
      <c r="K9" s="50"/>
      <c r="L9" s="51">
        <v>107380</v>
      </c>
      <c r="M9" s="51">
        <f t="shared" ref="M9:M17" si="5">L9/118%</f>
        <v>91000</v>
      </c>
      <c r="N9" s="52">
        <f>M9/M$2</f>
        <v>179.8746017062391</v>
      </c>
      <c r="O9" s="53">
        <v>300</v>
      </c>
      <c r="P9" s="54">
        <f>O9*$H$2</f>
        <v>187293.6</v>
      </c>
      <c r="Q9" s="53">
        <f>P9*118%</f>
        <v>221006.448</v>
      </c>
      <c r="R9" s="55"/>
      <c r="S9" s="50"/>
      <c r="T9" s="51"/>
      <c r="U9" s="51">
        <f t="shared" ref="U9:U17" si="6">T9/118%</f>
        <v>0</v>
      </c>
      <c r="V9" s="52">
        <f>U9/U$2</f>
        <v>0</v>
      </c>
      <c r="W9" s="50"/>
      <c r="X9" s="74">
        <v>300</v>
      </c>
      <c r="Y9" s="103">
        <f>X9*$Y$2</f>
        <v>177606</v>
      </c>
      <c r="Z9" s="74">
        <f>Y9*118%</f>
        <v>209575.08</v>
      </c>
      <c r="AA9" s="55"/>
      <c r="AB9" s="50"/>
      <c r="AC9" s="51">
        <v>0</v>
      </c>
      <c r="AD9" s="51">
        <f t="shared" ref="AD9:AD17" si="7">AC9/118%</f>
        <v>0</v>
      </c>
      <c r="AE9" s="52">
        <f>AD9/AD$2</f>
        <v>0</v>
      </c>
      <c r="AF9" s="74">
        <v>350</v>
      </c>
      <c r="AG9" s="103">
        <f>AF9*$AG$2</f>
        <v>210974.4</v>
      </c>
      <c r="AH9" s="74">
        <f>AG9*118%</f>
        <v>248949.79199999999</v>
      </c>
      <c r="AI9" s="55"/>
      <c r="AJ9" s="112"/>
    </row>
    <row r="10" spans="1:36">
      <c r="A10" s="111">
        <v>2</v>
      </c>
      <c r="B10" s="49" t="s">
        <v>22</v>
      </c>
      <c r="C10" s="50"/>
      <c r="D10" s="51">
        <v>0</v>
      </c>
      <c r="E10" s="51">
        <f t="shared" si="4"/>
        <v>0</v>
      </c>
      <c r="F10" s="52">
        <f t="shared" ref="F10:F17" si="8">E10/E$2</f>
        <v>0</v>
      </c>
      <c r="G10" s="53">
        <f t="shared" ref="G10" si="9">F10</f>
        <v>0</v>
      </c>
      <c r="H10" s="53">
        <v>0</v>
      </c>
      <c r="I10" s="53">
        <f t="shared" ref="I10:I17" si="10">H10*118%</f>
        <v>0</v>
      </c>
      <c r="J10" s="56"/>
      <c r="K10" s="50"/>
      <c r="L10" s="51"/>
      <c r="M10" s="51">
        <f t="shared" si="5"/>
        <v>0</v>
      </c>
      <c r="N10" s="52">
        <f t="shared" ref="N10:N17" si="11">M10/M$2</f>
        <v>0</v>
      </c>
      <c r="O10" s="53">
        <f t="shared" ref="O10" si="12">N10</f>
        <v>0</v>
      </c>
      <c r="P10" s="53">
        <v>0</v>
      </c>
      <c r="Q10" s="53">
        <f t="shared" ref="Q10:Q17" si="13">P10*118%</f>
        <v>0</v>
      </c>
      <c r="R10" s="56"/>
      <c r="S10" s="50"/>
      <c r="T10" s="51"/>
      <c r="U10" s="51">
        <f t="shared" si="6"/>
        <v>0</v>
      </c>
      <c r="V10" s="52">
        <f t="shared" ref="V10:V17" si="14">U10/U$2</f>
        <v>0</v>
      </c>
      <c r="W10" s="50"/>
      <c r="X10" s="74">
        <v>0</v>
      </c>
      <c r="Y10" s="74">
        <v>0</v>
      </c>
      <c r="Z10" s="74">
        <f t="shared" ref="Z10:Z17" si="15">Y10*118%</f>
        <v>0</v>
      </c>
      <c r="AA10" s="56"/>
      <c r="AB10" s="50"/>
      <c r="AC10" s="51">
        <v>0</v>
      </c>
      <c r="AD10" s="51">
        <f t="shared" si="7"/>
        <v>0</v>
      </c>
      <c r="AE10" s="52">
        <f t="shared" ref="AE10:AE17" si="16">AD10/AD$2</f>
        <v>0</v>
      </c>
      <c r="AF10" s="74">
        <v>0</v>
      </c>
      <c r="AG10" s="74">
        <v>0</v>
      </c>
      <c r="AH10" s="74">
        <f t="shared" ref="AH10:AH17" si="17">AG10*118%</f>
        <v>0</v>
      </c>
      <c r="AI10" s="56"/>
      <c r="AJ10" s="112"/>
    </row>
    <row r="11" spans="1:36">
      <c r="A11" s="111">
        <v>3</v>
      </c>
      <c r="B11" s="49" t="s">
        <v>23</v>
      </c>
      <c r="C11" s="50"/>
      <c r="D11" s="51">
        <v>0</v>
      </c>
      <c r="E11" s="51">
        <f t="shared" si="4"/>
        <v>0</v>
      </c>
      <c r="F11" s="52">
        <f t="shared" si="8"/>
        <v>0</v>
      </c>
      <c r="G11" s="53">
        <v>50</v>
      </c>
      <c r="H11" s="54">
        <f>G11*$H$2</f>
        <v>31215.600000000002</v>
      </c>
      <c r="I11" s="53">
        <f t="shared" si="10"/>
        <v>36834.408000000003</v>
      </c>
      <c r="J11" s="56"/>
      <c r="K11" s="50"/>
      <c r="L11" s="51"/>
      <c r="M11" s="51">
        <f t="shared" si="5"/>
        <v>0</v>
      </c>
      <c r="N11" s="52">
        <f t="shared" si="11"/>
        <v>0</v>
      </c>
      <c r="O11" s="53">
        <v>50</v>
      </c>
      <c r="P11" s="54">
        <f>O11*$H$2</f>
        <v>31215.600000000002</v>
      </c>
      <c r="Q11" s="53">
        <f t="shared" si="13"/>
        <v>36834.408000000003</v>
      </c>
      <c r="R11" s="56"/>
      <c r="S11" s="50"/>
      <c r="T11" s="51"/>
      <c r="U11" s="51">
        <f t="shared" si="6"/>
        <v>0</v>
      </c>
      <c r="V11" s="52">
        <f t="shared" si="14"/>
        <v>0</v>
      </c>
      <c r="W11" s="50"/>
      <c r="X11" s="74">
        <v>50</v>
      </c>
      <c r="Y11" s="103">
        <f>X11*$Y$2</f>
        <v>29601</v>
      </c>
      <c r="Z11" s="74">
        <f t="shared" si="15"/>
        <v>34929.18</v>
      </c>
      <c r="AA11" s="56"/>
      <c r="AB11" s="50"/>
      <c r="AC11" s="51">
        <v>0</v>
      </c>
      <c r="AD11" s="51">
        <f t="shared" si="7"/>
        <v>0</v>
      </c>
      <c r="AE11" s="52">
        <f t="shared" si="16"/>
        <v>0</v>
      </c>
      <c r="AF11" s="74">
        <v>50</v>
      </c>
      <c r="AG11" s="103">
        <f t="shared" ref="AG11:AG12" si="18">AF11*$AG$2</f>
        <v>30139.200000000001</v>
      </c>
      <c r="AH11" s="74">
        <f t="shared" si="17"/>
        <v>35564.256000000001</v>
      </c>
      <c r="AI11" s="56"/>
      <c r="AJ11" s="112"/>
    </row>
    <row r="12" spans="1:36">
      <c r="A12" s="111">
        <v>4</v>
      </c>
      <c r="B12" s="49" t="s">
        <v>24</v>
      </c>
      <c r="C12" s="50"/>
      <c r="D12" s="51">
        <v>0</v>
      </c>
      <c r="E12" s="51">
        <f t="shared" si="4"/>
        <v>0</v>
      </c>
      <c r="F12" s="52">
        <f t="shared" si="8"/>
        <v>0</v>
      </c>
      <c r="G12" s="53">
        <v>100</v>
      </c>
      <c r="H12" s="54">
        <f>G12*$H$2</f>
        <v>62431.200000000004</v>
      </c>
      <c r="I12" s="53">
        <f t="shared" si="10"/>
        <v>73668.816000000006</v>
      </c>
      <c r="J12" s="55"/>
      <c r="K12" s="50"/>
      <c r="L12" s="51">
        <v>46020</v>
      </c>
      <c r="M12" s="51">
        <f t="shared" si="5"/>
        <v>39000</v>
      </c>
      <c r="N12" s="52">
        <f t="shared" si="11"/>
        <v>77.08911501695961</v>
      </c>
      <c r="O12" s="53">
        <v>100</v>
      </c>
      <c r="P12" s="54">
        <f>O12*$H$2</f>
        <v>62431.200000000004</v>
      </c>
      <c r="Q12" s="53">
        <f t="shared" si="13"/>
        <v>73668.816000000006</v>
      </c>
      <c r="R12" s="55"/>
      <c r="S12" s="50"/>
      <c r="T12" s="51"/>
      <c r="U12" s="51">
        <f t="shared" si="6"/>
        <v>0</v>
      </c>
      <c r="V12" s="52">
        <f t="shared" si="14"/>
        <v>0</v>
      </c>
      <c r="W12" s="50"/>
      <c r="X12" s="74">
        <v>0</v>
      </c>
      <c r="Y12" s="103">
        <f>X12*$H$2</f>
        <v>0</v>
      </c>
      <c r="Z12" s="74">
        <f t="shared" si="15"/>
        <v>0</v>
      </c>
      <c r="AA12" s="55"/>
      <c r="AB12" s="50"/>
      <c r="AC12" s="51">
        <v>0</v>
      </c>
      <c r="AD12" s="51">
        <f t="shared" si="7"/>
        <v>0</v>
      </c>
      <c r="AE12" s="52">
        <f t="shared" si="16"/>
        <v>0</v>
      </c>
      <c r="AF12" s="74">
        <v>0</v>
      </c>
      <c r="AG12" s="103">
        <f t="shared" si="18"/>
        <v>0</v>
      </c>
      <c r="AH12" s="74">
        <f t="shared" si="17"/>
        <v>0</v>
      </c>
      <c r="AI12" s="55"/>
      <c r="AJ12" s="112"/>
    </row>
    <row r="13" spans="1:36">
      <c r="A13" s="111">
        <v>5</v>
      </c>
      <c r="B13" s="49" t="s">
        <v>25</v>
      </c>
      <c r="C13" s="50"/>
      <c r="D13" s="51">
        <v>0</v>
      </c>
      <c r="E13" s="51">
        <f t="shared" si="4"/>
        <v>0</v>
      </c>
      <c r="F13" s="52">
        <f t="shared" si="8"/>
        <v>0</v>
      </c>
      <c r="G13" s="53">
        <f t="shared" ref="G13:G17" si="19">F13</f>
        <v>0</v>
      </c>
      <c r="H13" s="53">
        <v>0</v>
      </c>
      <c r="I13" s="53">
        <f t="shared" si="10"/>
        <v>0</v>
      </c>
      <c r="J13" s="55"/>
      <c r="K13" s="50"/>
      <c r="L13" s="51"/>
      <c r="M13" s="51">
        <f t="shared" si="5"/>
        <v>0</v>
      </c>
      <c r="N13" s="52">
        <f t="shared" si="11"/>
        <v>0</v>
      </c>
      <c r="O13" s="53">
        <f t="shared" ref="O13:O17" si="20">N13</f>
        <v>0</v>
      </c>
      <c r="P13" s="53">
        <v>0</v>
      </c>
      <c r="Q13" s="53">
        <f t="shared" si="13"/>
        <v>0</v>
      </c>
      <c r="R13" s="55"/>
      <c r="S13" s="50"/>
      <c r="T13" s="51"/>
      <c r="U13" s="51">
        <f t="shared" si="6"/>
        <v>0</v>
      </c>
      <c r="V13" s="52">
        <f t="shared" si="14"/>
        <v>0</v>
      </c>
      <c r="W13" s="50"/>
      <c r="X13" s="74">
        <v>0</v>
      </c>
      <c r="Y13" s="74">
        <v>0</v>
      </c>
      <c r="Z13" s="74">
        <f t="shared" si="15"/>
        <v>0</v>
      </c>
      <c r="AA13" s="55"/>
      <c r="AB13" s="50"/>
      <c r="AC13" s="51">
        <v>0</v>
      </c>
      <c r="AD13" s="51">
        <f t="shared" si="7"/>
        <v>0</v>
      </c>
      <c r="AE13" s="52">
        <f t="shared" si="16"/>
        <v>0</v>
      </c>
      <c r="AF13" s="74">
        <v>0</v>
      </c>
      <c r="AG13" s="74">
        <v>0</v>
      </c>
      <c r="AH13" s="74">
        <f t="shared" si="17"/>
        <v>0</v>
      </c>
      <c r="AI13" s="55"/>
      <c r="AJ13" s="112"/>
    </row>
    <row r="14" spans="1:36">
      <c r="A14" s="111">
        <v>6</v>
      </c>
      <c r="B14" s="49" t="s">
        <v>26</v>
      </c>
      <c r="C14" s="50"/>
      <c r="D14" s="51">
        <v>0</v>
      </c>
      <c r="E14" s="51">
        <f t="shared" si="4"/>
        <v>0</v>
      </c>
      <c r="F14" s="52">
        <f t="shared" si="8"/>
        <v>0</v>
      </c>
      <c r="G14" s="53">
        <f t="shared" si="19"/>
        <v>0</v>
      </c>
      <c r="H14" s="53">
        <v>0</v>
      </c>
      <c r="I14" s="53">
        <f t="shared" si="10"/>
        <v>0</v>
      </c>
      <c r="J14" s="56"/>
      <c r="K14" s="50"/>
      <c r="L14" s="51"/>
      <c r="M14" s="51">
        <f t="shared" si="5"/>
        <v>0</v>
      </c>
      <c r="N14" s="52">
        <f t="shared" si="11"/>
        <v>0</v>
      </c>
      <c r="O14" s="53">
        <f t="shared" si="20"/>
        <v>0</v>
      </c>
      <c r="P14" s="53">
        <v>0</v>
      </c>
      <c r="Q14" s="53">
        <f t="shared" si="13"/>
        <v>0</v>
      </c>
      <c r="R14" s="56"/>
      <c r="S14" s="50"/>
      <c r="T14" s="51"/>
      <c r="U14" s="51">
        <f t="shared" si="6"/>
        <v>0</v>
      </c>
      <c r="V14" s="52">
        <f t="shared" si="14"/>
        <v>0</v>
      </c>
      <c r="W14" s="50"/>
      <c r="X14" s="74">
        <v>0</v>
      </c>
      <c r="Y14" s="74">
        <v>0</v>
      </c>
      <c r="Z14" s="74">
        <f t="shared" si="15"/>
        <v>0</v>
      </c>
      <c r="AA14" s="56"/>
      <c r="AB14" s="50"/>
      <c r="AC14" s="51">
        <v>0</v>
      </c>
      <c r="AD14" s="51">
        <f t="shared" si="7"/>
        <v>0</v>
      </c>
      <c r="AE14" s="52">
        <f t="shared" si="16"/>
        <v>0</v>
      </c>
      <c r="AF14" s="74">
        <v>0</v>
      </c>
      <c r="AG14" s="74">
        <v>0</v>
      </c>
      <c r="AH14" s="74">
        <f t="shared" si="17"/>
        <v>0</v>
      </c>
      <c r="AI14" s="56"/>
      <c r="AJ14" s="112"/>
    </row>
    <row r="15" spans="1:36">
      <c r="A15" s="111">
        <v>7</v>
      </c>
      <c r="B15" s="49" t="s">
        <v>27</v>
      </c>
      <c r="C15" s="50"/>
      <c r="D15" s="51">
        <v>0</v>
      </c>
      <c r="E15" s="51">
        <f t="shared" si="4"/>
        <v>0</v>
      </c>
      <c r="F15" s="52">
        <f t="shared" si="8"/>
        <v>0</v>
      </c>
      <c r="G15" s="53">
        <f t="shared" si="19"/>
        <v>0</v>
      </c>
      <c r="H15" s="53">
        <v>0</v>
      </c>
      <c r="I15" s="53">
        <f t="shared" si="10"/>
        <v>0</v>
      </c>
      <c r="J15" s="55"/>
      <c r="K15" s="50"/>
      <c r="L15" s="51"/>
      <c r="M15" s="51">
        <f t="shared" si="5"/>
        <v>0</v>
      </c>
      <c r="N15" s="52">
        <f t="shared" si="11"/>
        <v>0</v>
      </c>
      <c r="O15" s="53">
        <f t="shared" si="20"/>
        <v>0</v>
      </c>
      <c r="P15" s="53">
        <v>0</v>
      </c>
      <c r="Q15" s="53">
        <f t="shared" si="13"/>
        <v>0</v>
      </c>
      <c r="R15" s="55"/>
      <c r="S15" s="50"/>
      <c r="T15" s="51"/>
      <c r="U15" s="51">
        <f t="shared" si="6"/>
        <v>0</v>
      </c>
      <c r="V15" s="52">
        <f t="shared" si="14"/>
        <v>0</v>
      </c>
      <c r="W15" s="50"/>
      <c r="X15" s="74">
        <v>0</v>
      </c>
      <c r="Y15" s="74">
        <v>0</v>
      </c>
      <c r="Z15" s="74">
        <f t="shared" si="15"/>
        <v>0</v>
      </c>
      <c r="AA15" s="55"/>
      <c r="AB15" s="50"/>
      <c r="AC15" s="51">
        <v>0</v>
      </c>
      <c r="AD15" s="51">
        <f t="shared" si="7"/>
        <v>0</v>
      </c>
      <c r="AE15" s="52">
        <f t="shared" si="16"/>
        <v>0</v>
      </c>
      <c r="AF15" s="74">
        <v>0</v>
      </c>
      <c r="AG15" s="74">
        <v>0</v>
      </c>
      <c r="AH15" s="74">
        <f t="shared" si="17"/>
        <v>0</v>
      </c>
      <c r="AI15" s="55"/>
      <c r="AJ15" s="112"/>
    </row>
    <row r="16" spans="1:36">
      <c r="A16" s="111">
        <v>8</v>
      </c>
      <c r="B16" s="49" t="s">
        <v>28</v>
      </c>
      <c r="C16" s="50"/>
      <c r="D16" s="51">
        <v>0</v>
      </c>
      <c r="E16" s="51">
        <f t="shared" si="4"/>
        <v>0</v>
      </c>
      <c r="F16" s="52">
        <f t="shared" si="8"/>
        <v>0</v>
      </c>
      <c r="G16" s="53">
        <f t="shared" si="19"/>
        <v>0</v>
      </c>
      <c r="H16" s="53">
        <v>0</v>
      </c>
      <c r="I16" s="53">
        <f t="shared" si="10"/>
        <v>0</v>
      </c>
      <c r="J16" s="55"/>
      <c r="K16" s="50"/>
      <c r="L16" s="51"/>
      <c r="M16" s="51">
        <f t="shared" si="5"/>
        <v>0</v>
      </c>
      <c r="N16" s="52">
        <f t="shared" si="11"/>
        <v>0</v>
      </c>
      <c r="O16" s="53">
        <f t="shared" si="20"/>
        <v>0</v>
      </c>
      <c r="P16" s="53">
        <v>0</v>
      </c>
      <c r="Q16" s="53">
        <f t="shared" si="13"/>
        <v>0</v>
      </c>
      <c r="R16" s="55"/>
      <c r="S16" s="50"/>
      <c r="T16" s="51"/>
      <c r="U16" s="51">
        <f t="shared" si="6"/>
        <v>0</v>
      </c>
      <c r="V16" s="52">
        <f t="shared" si="14"/>
        <v>0</v>
      </c>
      <c r="W16" s="50"/>
      <c r="X16" s="74">
        <v>0</v>
      </c>
      <c r="Y16" s="74">
        <v>0</v>
      </c>
      <c r="Z16" s="74">
        <f t="shared" si="15"/>
        <v>0</v>
      </c>
      <c r="AA16" s="55"/>
      <c r="AB16" s="50"/>
      <c r="AC16" s="51">
        <v>0</v>
      </c>
      <c r="AD16" s="51">
        <f t="shared" si="7"/>
        <v>0</v>
      </c>
      <c r="AE16" s="52">
        <f t="shared" si="16"/>
        <v>0</v>
      </c>
      <c r="AF16" s="74">
        <v>0</v>
      </c>
      <c r="AG16" s="74">
        <v>0</v>
      </c>
      <c r="AH16" s="74">
        <f t="shared" si="17"/>
        <v>0</v>
      </c>
      <c r="AI16" s="55"/>
      <c r="AJ16" s="112"/>
    </row>
    <row r="17" spans="1:36">
      <c r="A17" s="111">
        <v>9</v>
      </c>
      <c r="B17" s="49" t="s">
        <v>29</v>
      </c>
      <c r="C17" s="50"/>
      <c r="D17" s="51">
        <v>0</v>
      </c>
      <c r="E17" s="51">
        <f t="shared" si="4"/>
        <v>0</v>
      </c>
      <c r="F17" s="52">
        <f t="shared" si="8"/>
        <v>0</v>
      </c>
      <c r="G17" s="53">
        <f t="shared" si="19"/>
        <v>0</v>
      </c>
      <c r="H17" s="53">
        <v>25000</v>
      </c>
      <c r="I17" s="53">
        <f t="shared" si="10"/>
        <v>29500</v>
      </c>
      <c r="J17" s="55"/>
      <c r="K17" s="50"/>
      <c r="L17" s="51"/>
      <c r="M17" s="51">
        <f t="shared" si="5"/>
        <v>0</v>
      </c>
      <c r="N17" s="52">
        <f t="shared" si="11"/>
        <v>0</v>
      </c>
      <c r="O17" s="53">
        <f t="shared" si="20"/>
        <v>0</v>
      </c>
      <c r="P17" s="53">
        <v>0</v>
      </c>
      <c r="Q17" s="53">
        <f t="shared" si="13"/>
        <v>0</v>
      </c>
      <c r="R17" s="55"/>
      <c r="S17" s="50"/>
      <c r="T17" s="51"/>
      <c r="U17" s="51">
        <f t="shared" si="6"/>
        <v>0</v>
      </c>
      <c r="V17" s="52">
        <f t="shared" si="14"/>
        <v>0</v>
      </c>
      <c r="W17" s="50"/>
      <c r="X17" s="74">
        <v>0</v>
      </c>
      <c r="Y17" s="74">
        <v>0</v>
      </c>
      <c r="Z17" s="74">
        <f t="shared" si="15"/>
        <v>0</v>
      </c>
      <c r="AA17" s="55"/>
      <c r="AB17" s="50"/>
      <c r="AC17" s="51">
        <v>0</v>
      </c>
      <c r="AD17" s="51">
        <f t="shared" si="7"/>
        <v>0</v>
      </c>
      <c r="AE17" s="52">
        <f t="shared" si="16"/>
        <v>0</v>
      </c>
      <c r="AF17" s="74">
        <v>0</v>
      </c>
      <c r="AG17" s="74">
        <v>25000</v>
      </c>
      <c r="AH17" s="74">
        <f t="shared" si="17"/>
        <v>29500</v>
      </c>
      <c r="AI17" s="55"/>
      <c r="AJ17" s="112"/>
    </row>
    <row r="18" spans="1:36" s="10" customFormat="1" ht="15">
      <c r="A18" s="101"/>
      <c r="B18" s="57" t="s">
        <v>30</v>
      </c>
      <c r="C18" s="47"/>
      <c r="D18" s="58">
        <f>SUM(D9:D17)</f>
        <v>283577.59999999998</v>
      </c>
      <c r="E18" s="58">
        <f>SUM(E9:E17)</f>
        <v>240320</v>
      </c>
      <c r="F18" s="59"/>
      <c r="G18" s="60"/>
      <c r="H18" s="61">
        <f>SUM(H9:H17)</f>
        <v>493234</v>
      </c>
      <c r="I18" s="61">
        <f>SUM(I9:I17)</f>
        <v>582016.12</v>
      </c>
      <c r="J18" s="62"/>
      <c r="K18" s="47"/>
      <c r="L18" s="58">
        <f>SUM(L9:L17)</f>
        <v>153400</v>
      </c>
      <c r="M18" s="58">
        <f>SUM(M9:M17)</f>
        <v>130000</v>
      </c>
      <c r="N18" s="59"/>
      <c r="O18" s="60"/>
      <c r="P18" s="61">
        <f>SUM(P9:P17)</f>
        <v>280940.40000000002</v>
      </c>
      <c r="Q18" s="61">
        <f>SUM(Q9:Q17)</f>
        <v>331509.67200000002</v>
      </c>
      <c r="R18" s="62"/>
      <c r="S18" s="47"/>
      <c r="T18" s="58">
        <f>SUM(T9:T17)</f>
        <v>0</v>
      </c>
      <c r="U18" s="58">
        <f>SUM(U9:U17)</f>
        <v>0</v>
      </c>
      <c r="V18" s="59"/>
      <c r="W18" s="47"/>
      <c r="X18" s="104"/>
      <c r="Y18" s="58">
        <f>SUM(Y9:Y17)</f>
        <v>207207</v>
      </c>
      <c r="Z18" s="58">
        <f>SUM(Z9:Z17)</f>
        <v>244504.25999999998</v>
      </c>
      <c r="AA18" s="62"/>
      <c r="AB18" s="47"/>
      <c r="AC18" s="58">
        <f>SUM(AC9:AC17)</f>
        <v>0</v>
      </c>
      <c r="AD18" s="58">
        <f>SUM(AD9:AD17)</f>
        <v>0</v>
      </c>
      <c r="AE18" s="59"/>
      <c r="AF18" s="104"/>
      <c r="AG18" s="58">
        <f>SUM(AG9:AG17)</f>
        <v>266113.59999999998</v>
      </c>
      <c r="AH18" s="58">
        <f>SUM(AH9:AH17)</f>
        <v>314014.04800000001</v>
      </c>
      <c r="AI18" s="62"/>
      <c r="AJ18" s="110"/>
    </row>
    <row r="19" spans="1:36" ht="15">
      <c r="A19" s="101"/>
      <c r="B19" s="57"/>
      <c r="C19" s="47"/>
      <c r="D19" s="57"/>
      <c r="E19" s="57"/>
      <c r="F19" s="59"/>
      <c r="G19" s="63"/>
      <c r="H19" s="63"/>
      <c r="I19" s="63"/>
      <c r="J19" s="55"/>
      <c r="K19" s="47"/>
      <c r="L19" s="57"/>
      <c r="M19" s="57"/>
      <c r="N19" s="59"/>
      <c r="O19" s="63"/>
      <c r="P19" s="63"/>
      <c r="Q19" s="63"/>
      <c r="R19" s="55"/>
      <c r="S19" s="47"/>
      <c r="T19" s="57"/>
      <c r="U19" s="57"/>
      <c r="V19" s="59"/>
      <c r="W19" s="47"/>
      <c r="X19" s="55"/>
      <c r="Y19" s="55"/>
      <c r="Z19" s="55"/>
      <c r="AA19" s="55"/>
      <c r="AB19" s="47"/>
      <c r="AC19" s="57"/>
      <c r="AD19" s="57"/>
      <c r="AE19" s="59"/>
      <c r="AF19" s="55"/>
      <c r="AG19" s="55"/>
      <c r="AH19" s="55"/>
      <c r="AI19" s="55"/>
      <c r="AJ19" s="110"/>
    </row>
    <row r="20" spans="1:36" ht="15">
      <c r="A20" s="109" t="s">
        <v>31</v>
      </c>
      <c r="B20" s="46" t="s">
        <v>32</v>
      </c>
      <c r="C20" s="47"/>
      <c r="D20" s="46"/>
      <c r="E20" s="46"/>
      <c r="F20" s="64"/>
      <c r="G20" s="65"/>
      <c r="H20" s="65"/>
      <c r="I20" s="65"/>
      <c r="J20" s="65"/>
      <c r="K20" s="47"/>
      <c r="L20" s="46"/>
      <c r="M20" s="46"/>
      <c r="N20" s="64"/>
      <c r="O20" s="65"/>
      <c r="P20" s="65"/>
      <c r="Q20" s="65"/>
      <c r="R20" s="65"/>
      <c r="S20" s="47"/>
      <c r="T20" s="46"/>
      <c r="U20" s="46"/>
      <c r="V20" s="64"/>
      <c r="W20" s="47"/>
      <c r="X20" s="65"/>
      <c r="Y20" s="65"/>
      <c r="Z20" s="65"/>
      <c r="AA20" s="65"/>
      <c r="AB20" s="47"/>
      <c r="AC20" s="46"/>
      <c r="AD20" s="46"/>
      <c r="AE20" s="64"/>
      <c r="AF20" s="65"/>
      <c r="AG20" s="65"/>
      <c r="AH20" s="65"/>
      <c r="AI20" s="65"/>
      <c r="AJ20" s="110"/>
    </row>
    <row r="21" spans="1:36">
      <c r="A21" s="111">
        <v>1</v>
      </c>
      <c r="B21" s="49" t="s">
        <v>33</v>
      </c>
      <c r="C21" s="50"/>
      <c r="D21" s="51">
        <v>0</v>
      </c>
      <c r="E21" s="51">
        <f t="shared" ref="E21:E25" si="21">D21/118%</f>
        <v>0</v>
      </c>
      <c r="F21" s="52">
        <f t="shared" ref="F21:F25" si="22">E21/E$2</f>
        <v>0</v>
      </c>
      <c r="G21" s="53">
        <v>200</v>
      </c>
      <c r="H21" s="54">
        <f>G21*$H$2</f>
        <v>124862.40000000001</v>
      </c>
      <c r="I21" s="53">
        <f t="shared" ref="I21:I25" si="23">H21*118%</f>
        <v>147337.63200000001</v>
      </c>
      <c r="J21" s="55"/>
      <c r="K21" s="50"/>
      <c r="L21" s="51">
        <v>168150</v>
      </c>
      <c r="M21" s="51">
        <f t="shared" ref="M21:M25" si="24">L21/118%</f>
        <v>142500</v>
      </c>
      <c r="N21" s="52">
        <f t="shared" ref="N21:N25" si="25">M21/M$2</f>
        <v>281.67176640812164</v>
      </c>
      <c r="O21" s="53">
        <v>200</v>
      </c>
      <c r="P21" s="54">
        <f>O21*$H$2</f>
        <v>124862.40000000001</v>
      </c>
      <c r="Q21" s="53">
        <f t="shared" ref="Q21:Q25" si="26">P21*118%</f>
        <v>147337.63200000001</v>
      </c>
      <c r="R21" s="55"/>
      <c r="S21" s="50"/>
      <c r="T21" s="51"/>
      <c r="U21" s="51">
        <f t="shared" ref="U21:U25" si="27">T21/118%</f>
        <v>0</v>
      </c>
      <c r="V21" s="52">
        <f t="shared" ref="V21:V25" si="28">U21/U$2</f>
        <v>0</v>
      </c>
      <c r="W21" s="50"/>
      <c r="X21" s="74">
        <v>120</v>
      </c>
      <c r="Y21" s="103">
        <f>X21*$Y$2</f>
        <v>71042.399999999994</v>
      </c>
      <c r="Z21" s="74">
        <f t="shared" ref="Z21:Z25" si="29">Y21*118%</f>
        <v>83830.031999999992</v>
      </c>
      <c r="AA21" s="55"/>
      <c r="AB21" s="50"/>
      <c r="AC21" s="51">
        <v>0</v>
      </c>
      <c r="AD21" s="51">
        <f t="shared" ref="AD21:AD25" si="30">AC21/118%</f>
        <v>0</v>
      </c>
      <c r="AE21" s="52">
        <f t="shared" ref="AE21:AE25" si="31">AD21/AD$2</f>
        <v>0</v>
      </c>
      <c r="AF21" s="74">
        <v>120</v>
      </c>
      <c r="AG21" s="103">
        <f t="shared" ref="AG21:AG25" si="32">AF21*$AG$2</f>
        <v>72334.080000000002</v>
      </c>
      <c r="AH21" s="74">
        <f t="shared" ref="AH21:AH25" si="33">AG21*118%</f>
        <v>85354.214399999997</v>
      </c>
      <c r="AI21" s="55"/>
      <c r="AJ21" s="112"/>
    </row>
    <row r="22" spans="1:36">
      <c r="A22" s="111">
        <v>2</v>
      </c>
      <c r="B22" s="49" t="s">
        <v>34</v>
      </c>
      <c r="C22" s="50"/>
      <c r="D22" s="51">
        <v>0</v>
      </c>
      <c r="E22" s="51">
        <f t="shared" si="21"/>
        <v>0</v>
      </c>
      <c r="F22" s="52">
        <f t="shared" si="22"/>
        <v>0</v>
      </c>
      <c r="G22" s="53">
        <v>0</v>
      </c>
      <c r="H22" s="54">
        <f>G22*$H$2</f>
        <v>0</v>
      </c>
      <c r="I22" s="53">
        <f t="shared" si="23"/>
        <v>0</v>
      </c>
      <c r="J22" s="55"/>
      <c r="K22" s="50"/>
      <c r="L22" s="51"/>
      <c r="M22" s="51">
        <f t="shared" si="24"/>
        <v>0</v>
      </c>
      <c r="N22" s="52">
        <f t="shared" si="25"/>
        <v>0</v>
      </c>
      <c r="O22" s="53">
        <v>0</v>
      </c>
      <c r="P22" s="54">
        <f>O22*$H$2</f>
        <v>0</v>
      </c>
      <c r="Q22" s="53">
        <f t="shared" si="26"/>
        <v>0</v>
      </c>
      <c r="R22" s="55"/>
      <c r="S22" s="50"/>
      <c r="T22" s="51"/>
      <c r="U22" s="51">
        <f t="shared" si="27"/>
        <v>0</v>
      </c>
      <c r="V22" s="52">
        <f t="shared" si="28"/>
        <v>0</v>
      </c>
      <c r="W22" s="50"/>
      <c r="X22" s="74">
        <v>0</v>
      </c>
      <c r="Y22" s="103">
        <f>X22*$H$2</f>
        <v>0</v>
      </c>
      <c r="Z22" s="74">
        <f t="shared" si="29"/>
        <v>0</v>
      </c>
      <c r="AA22" s="55"/>
      <c r="AB22" s="50"/>
      <c r="AC22" s="51">
        <v>0</v>
      </c>
      <c r="AD22" s="51">
        <f t="shared" si="30"/>
        <v>0</v>
      </c>
      <c r="AE22" s="52">
        <f t="shared" si="31"/>
        <v>0</v>
      </c>
      <c r="AF22" s="74">
        <v>0</v>
      </c>
      <c r="AG22" s="103">
        <f t="shared" si="32"/>
        <v>0</v>
      </c>
      <c r="AH22" s="74">
        <f t="shared" si="33"/>
        <v>0</v>
      </c>
      <c r="AI22" s="55"/>
      <c r="AJ22" s="112"/>
    </row>
    <row r="23" spans="1:36">
      <c r="A23" s="111">
        <v>3</v>
      </c>
      <c r="B23" s="49" t="s">
        <v>35</v>
      </c>
      <c r="C23" s="50"/>
      <c r="D23" s="51">
        <v>331108</v>
      </c>
      <c r="E23" s="51">
        <f t="shared" si="21"/>
        <v>280600</v>
      </c>
      <c r="F23" s="52">
        <f t="shared" si="22"/>
        <v>157.62713791495992</v>
      </c>
      <c r="G23" s="53">
        <v>200</v>
      </c>
      <c r="H23" s="54">
        <f>G23*$H$2</f>
        <v>124862.40000000001</v>
      </c>
      <c r="I23" s="53">
        <f t="shared" si="23"/>
        <v>147337.63200000001</v>
      </c>
      <c r="J23" s="55"/>
      <c r="K23" s="50"/>
      <c r="L23" s="51"/>
      <c r="M23" s="51">
        <f t="shared" si="24"/>
        <v>0</v>
      </c>
      <c r="N23" s="52">
        <f t="shared" si="25"/>
        <v>0</v>
      </c>
      <c r="O23" s="53">
        <v>0</v>
      </c>
      <c r="P23" s="54">
        <f>O23*$H$2</f>
        <v>0</v>
      </c>
      <c r="Q23" s="53">
        <f t="shared" si="26"/>
        <v>0</v>
      </c>
      <c r="R23" s="55"/>
      <c r="S23" s="50"/>
      <c r="T23" s="51"/>
      <c r="U23" s="51">
        <f t="shared" si="27"/>
        <v>0</v>
      </c>
      <c r="V23" s="52">
        <f t="shared" si="28"/>
        <v>0</v>
      </c>
      <c r="W23" s="50"/>
      <c r="X23" s="74">
        <v>0</v>
      </c>
      <c r="Y23" s="103">
        <f>X23*$H$2</f>
        <v>0</v>
      </c>
      <c r="Z23" s="74">
        <f t="shared" si="29"/>
        <v>0</v>
      </c>
      <c r="AA23" s="55"/>
      <c r="AB23" s="50"/>
      <c r="AC23" s="51">
        <v>0</v>
      </c>
      <c r="AD23" s="51">
        <f t="shared" si="30"/>
        <v>0</v>
      </c>
      <c r="AE23" s="52">
        <f t="shared" si="31"/>
        <v>0</v>
      </c>
      <c r="AF23" s="74">
        <v>0</v>
      </c>
      <c r="AG23" s="103">
        <f t="shared" si="32"/>
        <v>0</v>
      </c>
      <c r="AH23" s="74">
        <f t="shared" si="33"/>
        <v>0</v>
      </c>
      <c r="AI23" s="55"/>
      <c r="AJ23" s="112"/>
    </row>
    <row r="24" spans="1:36">
      <c r="A24" s="111">
        <v>4</v>
      </c>
      <c r="B24" s="49" t="s">
        <v>36</v>
      </c>
      <c r="C24" s="50"/>
      <c r="D24" s="51">
        <v>7275136.5999999996</v>
      </c>
      <c r="E24" s="51">
        <f t="shared" si="21"/>
        <v>6165370</v>
      </c>
      <c r="F24" s="52">
        <f t="shared" si="22"/>
        <v>3463.3985291758963</v>
      </c>
      <c r="G24" s="53">
        <v>6000</v>
      </c>
      <c r="H24" s="54">
        <f>G24*$H$2</f>
        <v>3745872</v>
      </c>
      <c r="I24" s="53">
        <f t="shared" si="23"/>
        <v>4420128.96</v>
      </c>
      <c r="J24" s="56"/>
      <c r="K24" s="50"/>
      <c r="L24" s="51">
        <v>2017357.5</v>
      </c>
      <c r="M24" s="51">
        <f t="shared" si="24"/>
        <v>1709625</v>
      </c>
      <c r="N24" s="52">
        <f t="shared" si="25"/>
        <v>3379.3199554069124</v>
      </c>
      <c r="O24" s="53">
        <v>3200</v>
      </c>
      <c r="P24" s="54">
        <f>O24*$H$2</f>
        <v>1997798.4000000001</v>
      </c>
      <c r="Q24" s="53">
        <f t="shared" si="26"/>
        <v>2357402.1120000002</v>
      </c>
      <c r="R24" s="56"/>
      <c r="S24" s="50"/>
      <c r="T24" s="51"/>
      <c r="U24" s="51">
        <f t="shared" si="27"/>
        <v>0</v>
      </c>
      <c r="V24" s="52">
        <f t="shared" si="28"/>
        <v>0</v>
      </c>
      <c r="W24" s="50"/>
      <c r="X24" s="74">
        <v>3000</v>
      </c>
      <c r="Y24" s="103">
        <f>X24*$Y$2</f>
        <v>1776060</v>
      </c>
      <c r="Z24" s="74">
        <f t="shared" si="29"/>
        <v>2095750.7999999998</v>
      </c>
      <c r="AA24" s="56"/>
      <c r="AB24" s="50"/>
      <c r="AC24" s="51">
        <v>0</v>
      </c>
      <c r="AD24" s="51">
        <f t="shared" si="30"/>
        <v>0</v>
      </c>
      <c r="AE24" s="52">
        <f t="shared" si="31"/>
        <v>0</v>
      </c>
      <c r="AF24" s="74">
        <v>3500</v>
      </c>
      <c r="AG24" s="103">
        <f t="shared" si="32"/>
        <v>2109744</v>
      </c>
      <c r="AH24" s="74">
        <f t="shared" si="33"/>
        <v>2489497.92</v>
      </c>
      <c r="AI24" s="56"/>
      <c r="AJ24" s="112"/>
    </row>
    <row r="25" spans="1:36">
      <c r="A25" s="111">
        <v>5</v>
      </c>
      <c r="B25" s="49" t="s">
        <v>37</v>
      </c>
      <c r="C25" s="50"/>
      <c r="D25" s="51">
        <v>0</v>
      </c>
      <c r="E25" s="51">
        <f t="shared" si="21"/>
        <v>0</v>
      </c>
      <c r="F25" s="52">
        <f t="shared" si="22"/>
        <v>0</v>
      </c>
      <c r="G25" s="53">
        <v>200</v>
      </c>
      <c r="H25" s="54">
        <f>G25*$H$2</f>
        <v>124862.40000000001</v>
      </c>
      <c r="I25" s="53">
        <f t="shared" si="23"/>
        <v>147337.63200000001</v>
      </c>
      <c r="J25" s="55"/>
      <c r="K25" s="50"/>
      <c r="L25" s="51">
        <v>0</v>
      </c>
      <c r="M25" s="51">
        <f t="shared" si="24"/>
        <v>0</v>
      </c>
      <c r="N25" s="52">
        <f t="shared" si="25"/>
        <v>0</v>
      </c>
      <c r="O25" s="53">
        <v>0</v>
      </c>
      <c r="P25" s="54">
        <f>O25*$H$2</f>
        <v>0</v>
      </c>
      <c r="Q25" s="53">
        <f t="shared" si="26"/>
        <v>0</v>
      </c>
      <c r="R25" s="55"/>
      <c r="S25" s="50"/>
      <c r="T25" s="51"/>
      <c r="U25" s="51">
        <f t="shared" si="27"/>
        <v>0</v>
      </c>
      <c r="V25" s="52">
        <f t="shared" si="28"/>
        <v>0</v>
      </c>
      <c r="W25" s="50"/>
      <c r="X25" s="74">
        <v>0</v>
      </c>
      <c r="Y25" s="103">
        <f>X25*$H$2</f>
        <v>0</v>
      </c>
      <c r="Z25" s="74">
        <f t="shared" si="29"/>
        <v>0</v>
      </c>
      <c r="AA25" s="55"/>
      <c r="AB25" s="50"/>
      <c r="AC25" s="51">
        <v>0</v>
      </c>
      <c r="AD25" s="51">
        <f t="shared" si="30"/>
        <v>0</v>
      </c>
      <c r="AE25" s="52">
        <f t="shared" si="31"/>
        <v>0</v>
      </c>
      <c r="AF25" s="74">
        <v>0</v>
      </c>
      <c r="AG25" s="103">
        <f t="shared" si="32"/>
        <v>0</v>
      </c>
      <c r="AH25" s="74">
        <f t="shared" si="33"/>
        <v>0</v>
      </c>
      <c r="AI25" s="55"/>
      <c r="AJ25" s="112"/>
    </row>
    <row r="26" spans="1:36" s="10" customFormat="1" ht="15">
      <c r="A26" s="101"/>
      <c r="B26" s="57" t="s">
        <v>38</v>
      </c>
      <c r="C26" s="47"/>
      <c r="D26" s="66">
        <f>SUM(D21:D25)</f>
        <v>7606244.5999999996</v>
      </c>
      <c r="E26" s="66">
        <f>SUM(E21:E25)</f>
        <v>6445970</v>
      </c>
      <c r="F26" s="59"/>
      <c r="G26" s="60"/>
      <c r="H26" s="67">
        <f>SUM(H21:H25)</f>
        <v>4120459.1999999997</v>
      </c>
      <c r="I26" s="67">
        <f>SUM(I21:I25)</f>
        <v>4862141.8560000006</v>
      </c>
      <c r="J26" s="68"/>
      <c r="K26" s="47"/>
      <c r="L26" s="66">
        <f>SUM(L21:L25)</f>
        <v>2185507.5</v>
      </c>
      <c r="M26" s="66">
        <f>SUM(M21:M25)</f>
        <v>1852125</v>
      </c>
      <c r="N26" s="59"/>
      <c r="O26" s="60"/>
      <c r="P26" s="67">
        <f>SUM(P21:P25)</f>
        <v>2122660.8000000003</v>
      </c>
      <c r="Q26" s="67">
        <f>SUM(Q21:Q25)</f>
        <v>2504739.7440000004</v>
      </c>
      <c r="R26" s="68"/>
      <c r="S26" s="47"/>
      <c r="T26" s="66">
        <f>SUM(T21:T25)</f>
        <v>0</v>
      </c>
      <c r="U26" s="66">
        <f>SUM(U21:U25)</f>
        <v>0</v>
      </c>
      <c r="V26" s="59"/>
      <c r="W26" s="47"/>
      <c r="X26" s="104"/>
      <c r="Y26" s="66">
        <f>SUM(Y21:Y25)</f>
        <v>1847102.4</v>
      </c>
      <c r="Z26" s="66">
        <f>SUM(Z21:Z25)</f>
        <v>2179580.8319999999</v>
      </c>
      <c r="AA26" s="68"/>
      <c r="AB26" s="47"/>
      <c r="AC26" s="66">
        <f>SUM(AC21:AC25)</f>
        <v>0</v>
      </c>
      <c r="AD26" s="66">
        <f>SUM(AD21:AD25)</f>
        <v>0</v>
      </c>
      <c r="AE26" s="59"/>
      <c r="AF26" s="104"/>
      <c r="AG26" s="66">
        <f>SUM(AG21:AG25)</f>
        <v>2182078.08</v>
      </c>
      <c r="AH26" s="66">
        <f>SUM(AH21:AH25)</f>
        <v>2574852.1343999999</v>
      </c>
      <c r="AI26" s="68"/>
      <c r="AJ26" s="110"/>
    </row>
    <row r="27" spans="1:36" ht="15">
      <c r="A27" s="111"/>
      <c r="B27" s="57"/>
      <c r="C27" s="47"/>
      <c r="D27" s="57"/>
      <c r="E27" s="57"/>
      <c r="F27" s="59"/>
      <c r="G27" s="69"/>
      <c r="H27" s="69"/>
      <c r="I27" s="69"/>
      <c r="J27" s="68"/>
      <c r="K27" s="47"/>
      <c r="L27" s="57"/>
      <c r="M27" s="57"/>
      <c r="N27" s="59"/>
      <c r="O27" s="69"/>
      <c r="P27" s="69"/>
      <c r="Q27" s="69"/>
      <c r="R27" s="68"/>
      <c r="S27" s="47"/>
      <c r="T27" s="57"/>
      <c r="U27" s="57"/>
      <c r="V27" s="59"/>
      <c r="W27" s="47"/>
      <c r="X27" s="68"/>
      <c r="Y27" s="68"/>
      <c r="Z27" s="68"/>
      <c r="AA27" s="68"/>
      <c r="AB27" s="47"/>
      <c r="AC27" s="57"/>
      <c r="AD27" s="57"/>
      <c r="AE27" s="59"/>
      <c r="AF27" s="68"/>
      <c r="AG27" s="68"/>
      <c r="AH27" s="68"/>
      <c r="AI27" s="68"/>
      <c r="AJ27" s="110"/>
    </row>
    <row r="28" spans="1:36" ht="15">
      <c r="A28" s="109" t="s">
        <v>39</v>
      </c>
      <c r="B28" s="46" t="s">
        <v>40</v>
      </c>
      <c r="C28" s="47"/>
      <c r="D28" s="46"/>
      <c r="E28" s="46"/>
      <c r="F28" s="64"/>
      <c r="G28" s="65"/>
      <c r="H28" s="65"/>
      <c r="I28" s="65"/>
      <c r="J28" s="65"/>
      <c r="K28" s="47"/>
      <c r="L28" s="46"/>
      <c r="M28" s="46"/>
      <c r="N28" s="64"/>
      <c r="O28" s="65"/>
      <c r="P28" s="65"/>
      <c r="Q28" s="65"/>
      <c r="R28" s="65"/>
      <c r="S28" s="47"/>
      <c r="T28" s="46"/>
      <c r="U28" s="46"/>
      <c r="V28" s="64"/>
      <c r="W28" s="47"/>
      <c r="X28" s="65"/>
      <c r="Y28" s="65"/>
      <c r="Z28" s="65"/>
      <c r="AA28" s="65"/>
      <c r="AB28" s="47"/>
      <c r="AC28" s="46"/>
      <c r="AD28" s="46"/>
      <c r="AE28" s="64"/>
      <c r="AF28" s="65"/>
      <c r="AG28" s="65"/>
      <c r="AH28" s="65"/>
      <c r="AI28" s="65"/>
      <c r="AJ28" s="110"/>
    </row>
    <row r="29" spans="1:36">
      <c r="A29" s="111">
        <v>1</v>
      </c>
      <c r="B29" s="49" t="s">
        <v>41</v>
      </c>
      <c r="C29" s="50"/>
      <c r="D29" s="51">
        <v>0</v>
      </c>
      <c r="E29" s="51">
        <f t="shared" ref="E29:E41" si="34">D29/118%</f>
        <v>0</v>
      </c>
      <c r="F29" s="52">
        <f t="shared" ref="F29:F41" si="35">E29/E$2</f>
        <v>0</v>
      </c>
      <c r="G29" s="53">
        <v>300</v>
      </c>
      <c r="H29" s="53">
        <f>G29*$H$2</f>
        <v>187293.6</v>
      </c>
      <c r="I29" s="53">
        <f t="shared" ref="I29:I41" si="36">H29*118%</f>
        <v>221006.448</v>
      </c>
      <c r="J29" s="55"/>
      <c r="K29" s="50"/>
      <c r="L29" s="51"/>
      <c r="M29" s="51">
        <f t="shared" ref="M29:M41" si="37">L29/118%</f>
        <v>0</v>
      </c>
      <c r="N29" s="52">
        <f t="shared" ref="N29:N41" si="38">M29/M$2</f>
        <v>0</v>
      </c>
      <c r="O29" s="53">
        <v>150</v>
      </c>
      <c r="P29" s="53">
        <f>O29*$H$2</f>
        <v>93646.8</v>
      </c>
      <c r="Q29" s="53">
        <f t="shared" ref="Q29:Q41" si="39">P29*118%</f>
        <v>110503.224</v>
      </c>
      <c r="R29" s="55"/>
      <c r="S29" s="50"/>
      <c r="T29" s="51"/>
      <c r="U29" s="51">
        <f t="shared" ref="U29:U41" si="40">T29/118%</f>
        <v>0</v>
      </c>
      <c r="V29" s="52">
        <f t="shared" ref="V29:V41" si="41">U29/U$2</f>
        <v>0</v>
      </c>
      <c r="W29" s="50"/>
      <c r="X29" s="74">
        <v>150</v>
      </c>
      <c r="Y29" s="74">
        <f t="shared" ref="Y29:Y40" si="42">X29*$Y$2</f>
        <v>88803</v>
      </c>
      <c r="Z29" s="74">
        <f t="shared" ref="Z29:Z41" si="43">Y29*118%</f>
        <v>104787.54</v>
      </c>
      <c r="AA29" s="55"/>
      <c r="AB29" s="50"/>
      <c r="AC29" s="51">
        <v>0</v>
      </c>
      <c r="AD29" s="51">
        <f t="shared" ref="AD29:AD41" si="44">AC29/118%</f>
        <v>0</v>
      </c>
      <c r="AE29" s="52">
        <f t="shared" ref="AE29:AE41" si="45">AD29/AD$2</f>
        <v>0</v>
      </c>
      <c r="AF29" s="74">
        <v>150</v>
      </c>
      <c r="AG29" s="103">
        <f t="shared" ref="AG29:AG41" si="46">AF29*$AG$2</f>
        <v>90417.600000000006</v>
      </c>
      <c r="AH29" s="74">
        <f t="shared" ref="AH29:AH41" si="47">AG29*118%</f>
        <v>106692.768</v>
      </c>
      <c r="AI29" s="55"/>
      <c r="AJ29" s="112"/>
    </row>
    <row r="30" spans="1:36">
      <c r="A30" s="111">
        <v>2</v>
      </c>
      <c r="B30" s="49" t="s">
        <v>42</v>
      </c>
      <c r="C30" s="50"/>
      <c r="D30" s="51">
        <v>0</v>
      </c>
      <c r="E30" s="51">
        <f t="shared" si="34"/>
        <v>0</v>
      </c>
      <c r="F30" s="52">
        <f t="shared" si="35"/>
        <v>0</v>
      </c>
      <c r="G30" s="53">
        <v>250</v>
      </c>
      <c r="H30" s="53">
        <f>G30*$H$2</f>
        <v>156078</v>
      </c>
      <c r="I30" s="53">
        <f t="shared" si="36"/>
        <v>184172.03999999998</v>
      </c>
      <c r="J30" s="55"/>
      <c r="K30" s="50"/>
      <c r="L30" s="51"/>
      <c r="M30" s="51">
        <f t="shared" si="37"/>
        <v>0</v>
      </c>
      <c r="N30" s="52">
        <f t="shared" si="38"/>
        <v>0</v>
      </c>
      <c r="O30" s="53">
        <v>150</v>
      </c>
      <c r="P30" s="53">
        <f>O30*$H$2</f>
        <v>93646.8</v>
      </c>
      <c r="Q30" s="53">
        <f t="shared" si="39"/>
        <v>110503.224</v>
      </c>
      <c r="R30" s="55"/>
      <c r="S30" s="50"/>
      <c r="T30" s="51"/>
      <c r="U30" s="51">
        <f t="shared" si="40"/>
        <v>0</v>
      </c>
      <c r="V30" s="52">
        <f t="shared" si="41"/>
        <v>0</v>
      </c>
      <c r="W30" s="50"/>
      <c r="X30" s="74">
        <v>150</v>
      </c>
      <c r="Y30" s="74">
        <f t="shared" si="42"/>
        <v>88803</v>
      </c>
      <c r="Z30" s="74">
        <f t="shared" si="43"/>
        <v>104787.54</v>
      </c>
      <c r="AA30" s="55"/>
      <c r="AB30" s="50"/>
      <c r="AC30" s="51">
        <v>0</v>
      </c>
      <c r="AD30" s="51">
        <f t="shared" si="44"/>
        <v>0</v>
      </c>
      <c r="AE30" s="52">
        <f t="shared" si="45"/>
        <v>0</v>
      </c>
      <c r="AF30" s="74">
        <v>200</v>
      </c>
      <c r="AG30" s="103">
        <f t="shared" si="46"/>
        <v>120556.8</v>
      </c>
      <c r="AH30" s="74">
        <f t="shared" si="47"/>
        <v>142257.024</v>
      </c>
      <c r="AI30" s="55"/>
      <c r="AJ30" s="112"/>
    </row>
    <row r="31" spans="1:36">
      <c r="A31" s="111">
        <v>3</v>
      </c>
      <c r="B31" s="49" t="s">
        <v>43</v>
      </c>
      <c r="C31" s="50"/>
      <c r="D31" s="51">
        <v>123321.48</v>
      </c>
      <c r="E31" s="51">
        <f t="shared" si="34"/>
        <v>104509.72881355933</v>
      </c>
      <c r="F31" s="52">
        <f t="shared" si="35"/>
        <v>58.708372905024866</v>
      </c>
      <c r="G31" s="53">
        <v>250</v>
      </c>
      <c r="H31" s="54">
        <f>G31*$H$2</f>
        <v>156078</v>
      </c>
      <c r="I31" s="53">
        <f t="shared" si="36"/>
        <v>184172.03999999998</v>
      </c>
      <c r="J31" s="55"/>
      <c r="K31" s="50"/>
      <c r="L31" s="51"/>
      <c r="M31" s="51">
        <f t="shared" si="37"/>
        <v>0</v>
      </c>
      <c r="N31" s="52">
        <f t="shared" si="38"/>
        <v>0</v>
      </c>
      <c r="O31" s="53">
        <v>180</v>
      </c>
      <c r="P31" s="54">
        <f>O31*$H$2</f>
        <v>112376.16</v>
      </c>
      <c r="Q31" s="53">
        <f t="shared" si="39"/>
        <v>132603.8688</v>
      </c>
      <c r="R31" s="55"/>
      <c r="S31" s="50"/>
      <c r="T31" s="51"/>
      <c r="U31" s="51">
        <f t="shared" si="40"/>
        <v>0</v>
      </c>
      <c r="V31" s="52">
        <f t="shared" si="41"/>
        <v>0</v>
      </c>
      <c r="W31" s="50"/>
      <c r="X31" s="74">
        <v>180</v>
      </c>
      <c r="Y31" s="103">
        <f t="shared" si="42"/>
        <v>106563.59999999999</v>
      </c>
      <c r="Z31" s="74">
        <f t="shared" si="43"/>
        <v>125745.04799999998</v>
      </c>
      <c r="AA31" s="55"/>
      <c r="AB31" s="50"/>
      <c r="AC31" s="51">
        <v>0</v>
      </c>
      <c r="AD31" s="51">
        <f t="shared" si="44"/>
        <v>0</v>
      </c>
      <c r="AE31" s="52">
        <f t="shared" si="45"/>
        <v>0</v>
      </c>
      <c r="AF31" s="74">
        <v>180</v>
      </c>
      <c r="AG31" s="103">
        <f t="shared" si="46"/>
        <v>108501.12</v>
      </c>
      <c r="AH31" s="74">
        <f t="shared" si="47"/>
        <v>128031.32159999998</v>
      </c>
      <c r="AI31" s="55"/>
      <c r="AJ31" s="112"/>
    </row>
    <row r="32" spans="1:36">
      <c r="A32" s="111">
        <v>4</v>
      </c>
      <c r="B32" s="49" t="s">
        <v>44</v>
      </c>
      <c r="C32" s="50"/>
      <c r="D32" s="51">
        <v>472000</v>
      </c>
      <c r="E32" s="51">
        <f t="shared" si="34"/>
        <v>400000</v>
      </c>
      <c r="F32" s="52">
        <f t="shared" si="35"/>
        <v>224.70012532424792</v>
      </c>
      <c r="G32" s="53">
        <v>800</v>
      </c>
      <c r="H32" s="54">
        <f>G32*$H$2</f>
        <v>499449.60000000003</v>
      </c>
      <c r="I32" s="53">
        <f t="shared" si="36"/>
        <v>589350.52800000005</v>
      </c>
      <c r="J32" s="70"/>
      <c r="K32" s="50"/>
      <c r="L32" s="51">
        <v>198299</v>
      </c>
      <c r="M32" s="51">
        <f t="shared" si="37"/>
        <v>168050</v>
      </c>
      <c r="N32" s="52">
        <f t="shared" si="38"/>
        <v>332.17501996410419</v>
      </c>
      <c r="O32" s="53">
        <v>300</v>
      </c>
      <c r="P32" s="54">
        <f>O32*$H$2</f>
        <v>187293.6</v>
      </c>
      <c r="Q32" s="53">
        <f t="shared" si="39"/>
        <v>221006.448</v>
      </c>
      <c r="R32" s="70"/>
      <c r="S32" s="50"/>
      <c r="T32" s="51"/>
      <c r="U32" s="51">
        <f t="shared" si="40"/>
        <v>0</v>
      </c>
      <c r="V32" s="52">
        <f t="shared" si="41"/>
        <v>0</v>
      </c>
      <c r="W32" s="50"/>
      <c r="X32" s="74">
        <v>300</v>
      </c>
      <c r="Y32" s="103">
        <f t="shared" si="42"/>
        <v>177606</v>
      </c>
      <c r="Z32" s="74">
        <f t="shared" si="43"/>
        <v>209575.08</v>
      </c>
      <c r="AA32" s="70"/>
      <c r="AB32" s="50"/>
      <c r="AC32" s="51">
        <v>0</v>
      </c>
      <c r="AD32" s="51">
        <f t="shared" si="44"/>
        <v>0</v>
      </c>
      <c r="AE32" s="52">
        <f t="shared" si="45"/>
        <v>0</v>
      </c>
      <c r="AF32" s="74">
        <v>700</v>
      </c>
      <c r="AG32" s="103">
        <f t="shared" si="46"/>
        <v>421948.8</v>
      </c>
      <c r="AH32" s="74">
        <f t="shared" si="47"/>
        <v>497899.58399999997</v>
      </c>
      <c r="AI32" s="70"/>
      <c r="AJ32" s="112"/>
    </row>
    <row r="33" spans="1:36">
      <c r="A33" s="111">
        <v>5</v>
      </c>
      <c r="B33" s="49" t="s">
        <v>45</v>
      </c>
      <c r="C33" s="50"/>
      <c r="D33" s="51">
        <v>0</v>
      </c>
      <c r="E33" s="51">
        <f t="shared" si="34"/>
        <v>0</v>
      </c>
      <c r="F33" s="52">
        <f t="shared" si="35"/>
        <v>0</v>
      </c>
      <c r="G33" s="53">
        <f t="shared" ref="G33" si="48">F33</f>
        <v>0</v>
      </c>
      <c r="H33" s="53">
        <v>0</v>
      </c>
      <c r="I33" s="53">
        <f t="shared" si="36"/>
        <v>0</v>
      </c>
      <c r="J33" s="56"/>
      <c r="K33" s="50"/>
      <c r="L33" s="51"/>
      <c r="M33" s="51">
        <f t="shared" si="37"/>
        <v>0</v>
      </c>
      <c r="N33" s="52">
        <f t="shared" si="38"/>
        <v>0</v>
      </c>
      <c r="O33" s="53">
        <f t="shared" ref="O33" si="49">N33</f>
        <v>0</v>
      </c>
      <c r="P33" s="53">
        <v>0</v>
      </c>
      <c r="Q33" s="53">
        <f t="shared" si="39"/>
        <v>0</v>
      </c>
      <c r="R33" s="56"/>
      <c r="S33" s="50"/>
      <c r="T33" s="51"/>
      <c r="U33" s="51">
        <f t="shared" si="40"/>
        <v>0</v>
      </c>
      <c r="V33" s="52">
        <f t="shared" si="41"/>
        <v>0</v>
      </c>
      <c r="W33" s="50"/>
      <c r="X33" s="74">
        <v>0</v>
      </c>
      <c r="Y33" s="74">
        <f t="shared" si="42"/>
        <v>0</v>
      </c>
      <c r="Z33" s="74">
        <f t="shared" si="43"/>
        <v>0</v>
      </c>
      <c r="AA33" s="56"/>
      <c r="AB33" s="50"/>
      <c r="AC33" s="51">
        <v>0</v>
      </c>
      <c r="AD33" s="51">
        <f t="shared" si="44"/>
        <v>0</v>
      </c>
      <c r="AE33" s="52">
        <f t="shared" si="45"/>
        <v>0</v>
      </c>
      <c r="AF33" s="74">
        <v>0</v>
      </c>
      <c r="AG33" s="103">
        <f t="shared" si="46"/>
        <v>0</v>
      </c>
      <c r="AH33" s="74">
        <f t="shared" si="47"/>
        <v>0</v>
      </c>
      <c r="AI33" s="56"/>
      <c r="AJ33" s="112"/>
    </row>
    <row r="34" spans="1:36">
      <c r="A34" s="111">
        <v>6</v>
      </c>
      <c r="B34" s="49" t="s">
        <v>46</v>
      </c>
      <c r="C34" s="50"/>
      <c r="D34" s="51">
        <v>1477188.9</v>
      </c>
      <c r="E34" s="51">
        <f t="shared" si="34"/>
        <v>1251855</v>
      </c>
      <c r="F34" s="52">
        <f t="shared" si="35"/>
        <v>703.22993846946599</v>
      </c>
      <c r="G34" s="53">
        <v>1800</v>
      </c>
      <c r="H34" s="54">
        <f>G34*$H$2</f>
        <v>1123761.6000000001</v>
      </c>
      <c r="I34" s="53">
        <f t="shared" si="36"/>
        <v>1326038.6880000001</v>
      </c>
      <c r="J34" s="55"/>
      <c r="K34" s="50"/>
      <c r="L34" s="51">
        <v>722954.14</v>
      </c>
      <c r="M34" s="51">
        <f t="shared" si="37"/>
        <v>612673</v>
      </c>
      <c r="N34" s="52">
        <f t="shared" si="38"/>
        <v>1211.0363939688641</v>
      </c>
      <c r="O34" s="53">
        <v>900</v>
      </c>
      <c r="P34" s="54">
        <f>O34*$H$2</f>
        <v>561880.80000000005</v>
      </c>
      <c r="Q34" s="53">
        <f t="shared" si="39"/>
        <v>663019.34400000004</v>
      </c>
      <c r="R34" s="55"/>
      <c r="S34" s="50"/>
      <c r="T34" s="51"/>
      <c r="U34" s="51">
        <f t="shared" si="40"/>
        <v>0</v>
      </c>
      <c r="V34" s="52">
        <f t="shared" si="41"/>
        <v>0</v>
      </c>
      <c r="W34" s="50"/>
      <c r="X34" s="74">
        <v>900</v>
      </c>
      <c r="Y34" s="103">
        <f t="shared" si="42"/>
        <v>532818</v>
      </c>
      <c r="Z34" s="74">
        <f t="shared" si="43"/>
        <v>628725.24</v>
      </c>
      <c r="AA34" s="55"/>
      <c r="AB34" s="50"/>
      <c r="AC34" s="51">
        <v>0</v>
      </c>
      <c r="AD34" s="51">
        <f t="shared" si="44"/>
        <v>0</v>
      </c>
      <c r="AE34" s="52">
        <f t="shared" si="45"/>
        <v>0</v>
      </c>
      <c r="AF34" s="74">
        <v>1200</v>
      </c>
      <c r="AG34" s="103">
        <f t="shared" si="46"/>
        <v>723340.80000000005</v>
      </c>
      <c r="AH34" s="74">
        <f t="shared" si="47"/>
        <v>853542.14399999997</v>
      </c>
      <c r="AI34" s="55"/>
      <c r="AJ34" s="112"/>
    </row>
    <row r="35" spans="1:36">
      <c r="A35" s="111">
        <v>7</v>
      </c>
      <c r="B35" s="49" t="s">
        <v>47</v>
      </c>
      <c r="C35" s="50"/>
      <c r="D35" s="51">
        <v>3463521.84</v>
      </c>
      <c r="E35" s="51">
        <f t="shared" si="34"/>
        <v>2935188</v>
      </c>
      <c r="F35" s="52">
        <f t="shared" si="35"/>
        <v>1648.8427786255716</v>
      </c>
      <c r="G35" s="53">
        <v>1300</v>
      </c>
      <c r="H35" s="54">
        <f>G35*$H$2</f>
        <v>811605.6</v>
      </c>
      <c r="I35" s="53">
        <f t="shared" si="36"/>
        <v>957694.60799999989</v>
      </c>
      <c r="J35" s="55"/>
      <c r="K35" s="50"/>
      <c r="L35" s="51">
        <v>1185390.24</v>
      </c>
      <c r="M35" s="51">
        <f t="shared" si="37"/>
        <v>1004568</v>
      </c>
      <c r="N35" s="52">
        <f t="shared" si="38"/>
        <v>1985.6732844706944</v>
      </c>
      <c r="O35" s="53">
        <v>900</v>
      </c>
      <c r="P35" s="54">
        <f>O35*$H$2</f>
        <v>561880.80000000005</v>
      </c>
      <c r="Q35" s="53">
        <f t="shared" si="39"/>
        <v>663019.34400000004</v>
      </c>
      <c r="R35" s="55"/>
      <c r="S35" s="50"/>
      <c r="T35" s="51"/>
      <c r="U35" s="51">
        <f t="shared" si="40"/>
        <v>0</v>
      </c>
      <c r="V35" s="52">
        <f t="shared" si="41"/>
        <v>0</v>
      </c>
      <c r="W35" s="50"/>
      <c r="X35" s="74">
        <v>1000</v>
      </c>
      <c r="Y35" s="103">
        <f t="shared" si="42"/>
        <v>592020</v>
      </c>
      <c r="Z35" s="74">
        <f t="shared" si="43"/>
        <v>698583.6</v>
      </c>
      <c r="AA35" s="55"/>
      <c r="AB35" s="50"/>
      <c r="AC35" s="51">
        <v>0</v>
      </c>
      <c r="AD35" s="51">
        <f t="shared" si="44"/>
        <v>0</v>
      </c>
      <c r="AE35" s="52">
        <f t="shared" si="45"/>
        <v>0</v>
      </c>
      <c r="AF35" s="74">
        <v>1100</v>
      </c>
      <c r="AG35" s="103">
        <f t="shared" si="46"/>
        <v>663062.4</v>
      </c>
      <c r="AH35" s="74">
        <f t="shared" si="47"/>
        <v>782413.63199999998</v>
      </c>
      <c r="AI35" s="55"/>
      <c r="AJ35" s="112"/>
    </row>
    <row r="36" spans="1:36" ht="15" customHeight="1">
      <c r="A36" s="111">
        <v>8</v>
      </c>
      <c r="B36" s="49" t="s">
        <v>48</v>
      </c>
      <c r="C36" s="50"/>
      <c r="D36" s="51"/>
      <c r="E36" s="51">
        <f t="shared" si="34"/>
        <v>0</v>
      </c>
      <c r="F36" s="52">
        <f t="shared" si="35"/>
        <v>0</v>
      </c>
      <c r="G36" s="53">
        <v>900</v>
      </c>
      <c r="H36" s="54">
        <f>G36*$H$2</f>
        <v>561880.80000000005</v>
      </c>
      <c r="I36" s="53">
        <f t="shared" si="36"/>
        <v>663019.34400000004</v>
      </c>
      <c r="J36" s="55"/>
      <c r="K36" s="50"/>
      <c r="L36" s="51"/>
      <c r="M36" s="51">
        <f t="shared" si="37"/>
        <v>0</v>
      </c>
      <c r="N36" s="52">
        <f t="shared" si="38"/>
        <v>0</v>
      </c>
      <c r="O36" s="53">
        <v>800</v>
      </c>
      <c r="P36" s="54">
        <f>O36*$H$2</f>
        <v>499449.60000000003</v>
      </c>
      <c r="Q36" s="53">
        <f t="shared" si="39"/>
        <v>589350.52800000005</v>
      </c>
      <c r="R36" s="55"/>
      <c r="S36" s="50"/>
      <c r="T36" s="51"/>
      <c r="U36" s="51">
        <f t="shared" si="40"/>
        <v>0</v>
      </c>
      <c r="V36" s="52">
        <f t="shared" si="41"/>
        <v>0</v>
      </c>
      <c r="W36" s="50"/>
      <c r="X36" s="74">
        <v>900</v>
      </c>
      <c r="Y36" s="103">
        <f t="shared" si="42"/>
        <v>532818</v>
      </c>
      <c r="Z36" s="74">
        <f t="shared" si="43"/>
        <v>628725.24</v>
      </c>
      <c r="AA36" s="55"/>
      <c r="AB36" s="50"/>
      <c r="AC36" s="51"/>
      <c r="AD36" s="51">
        <f t="shared" si="44"/>
        <v>0</v>
      </c>
      <c r="AE36" s="52">
        <f t="shared" si="45"/>
        <v>0</v>
      </c>
      <c r="AF36" s="74">
        <v>900</v>
      </c>
      <c r="AG36" s="103">
        <f t="shared" si="46"/>
        <v>542505.6</v>
      </c>
      <c r="AH36" s="74">
        <f t="shared" si="47"/>
        <v>640156.60799999989</v>
      </c>
      <c r="AI36" s="55"/>
      <c r="AJ36" s="112"/>
    </row>
    <row r="37" spans="1:36">
      <c r="A37" s="111">
        <v>9</v>
      </c>
      <c r="B37" s="49" t="s">
        <v>49</v>
      </c>
      <c r="C37" s="50"/>
      <c r="D37" s="51">
        <v>71633.08</v>
      </c>
      <c r="E37" s="51">
        <f t="shared" si="34"/>
        <v>60706.000000000007</v>
      </c>
      <c r="F37" s="52">
        <f t="shared" si="35"/>
        <v>34.101614519834492</v>
      </c>
      <c r="G37" s="53">
        <v>0</v>
      </c>
      <c r="H37" s="53">
        <v>0</v>
      </c>
      <c r="I37" s="53">
        <f t="shared" si="36"/>
        <v>0</v>
      </c>
      <c r="J37" s="55"/>
      <c r="K37" s="50"/>
      <c r="L37" s="51">
        <v>113209.2</v>
      </c>
      <c r="M37" s="51">
        <f t="shared" si="37"/>
        <v>95940</v>
      </c>
      <c r="N37" s="52">
        <f t="shared" si="38"/>
        <v>189.63922294172065</v>
      </c>
      <c r="O37" s="53">
        <v>0</v>
      </c>
      <c r="P37" s="53">
        <v>0</v>
      </c>
      <c r="Q37" s="53">
        <f t="shared" si="39"/>
        <v>0</v>
      </c>
      <c r="R37" s="55"/>
      <c r="S37" s="50"/>
      <c r="T37" s="51"/>
      <c r="U37" s="51">
        <f t="shared" si="40"/>
        <v>0</v>
      </c>
      <c r="V37" s="52">
        <f t="shared" si="41"/>
        <v>0</v>
      </c>
      <c r="W37" s="50"/>
      <c r="X37" s="74">
        <v>0</v>
      </c>
      <c r="Y37" s="74">
        <f t="shared" si="42"/>
        <v>0</v>
      </c>
      <c r="Z37" s="74">
        <f t="shared" si="43"/>
        <v>0</v>
      </c>
      <c r="AA37" s="55"/>
      <c r="AB37" s="50"/>
      <c r="AC37" s="51">
        <v>0</v>
      </c>
      <c r="AD37" s="51">
        <f t="shared" si="44"/>
        <v>0</v>
      </c>
      <c r="AE37" s="52">
        <f t="shared" si="45"/>
        <v>0</v>
      </c>
      <c r="AF37" s="74">
        <v>0</v>
      </c>
      <c r="AG37" s="103">
        <f t="shared" si="46"/>
        <v>0</v>
      </c>
      <c r="AH37" s="74">
        <f t="shared" si="47"/>
        <v>0</v>
      </c>
      <c r="AI37" s="55"/>
      <c r="AJ37" s="112"/>
    </row>
    <row r="38" spans="1:36">
      <c r="A38" s="111">
        <v>10</v>
      </c>
      <c r="B38" s="49" t="s">
        <v>50</v>
      </c>
      <c r="C38" s="50"/>
      <c r="D38" s="51">
        <v>682247.67999999993</v>
      </c>
      <c r="E38" s="51">
        <f t="shared" si="34"/>
        <v>578176</v>
      </c>
      <c r="F38" s="52">
        <f t="shared" si="35"/>
        <v>324.79054914868095</v>
      </c>
      <c r="G38" s="53">
        <v>80</v>
      </c>
      <c r="H38" s="53">
        <v>28416.959999999999</v>
      </c>
      <c r="I38" s="53">
        <f t="shared" si="36"/>
        <v>33532.012799999997</v>
      </c>
      <c r="J38" s="55"/>
      <c r="K38" s="50"/>
      <c r="L38" s="51">
        <v>26432</v>
      </c>
      <c r="M38" s="51">
        <f t="shared" si="37"/>
        <v>22400</v>
      </c>
      <c r="N38" s="52">
        <f t="shared" si="38"/>
        <v>44.276825035381933</v>
      </c>
      <c r="O38" s="53">
        <v>80</v>
      </c>
      <c r="P38" s="53">
        <v>28416.959999999999</v>
      </c>
      <c r="Q38" s="53">
        <f t="shared" si="39"/>
        <v>33532.012799999997</v>
      </c>
      <c r="R38" s="55"/>
      <c r="S38" s="50"/>
      <c r="T38" s="51"/>
      <c r="U38" s="51">
        <f t="shared" si="40"/>
        <v>0</v>
      </c>
      <c r="V38" s="52">
        <f t="shared" si="41"/>
        <v>0</v>
      </c>
      <c r="W38" s="50"/>
      <c r="X38" s="74">
        <v>80</v>
      </c>
      <c r="Y38" s="74">
        <f t="shared" si="42"/>
        <v>47361.599999999999</v>
      </c>
      <c r="Z38" s="74">
        <f t="shared" si="43"/>
        <v>55886.687999999995</v>
      </c>
      <c r="AA38" s="55"/>
      <c r="AB38" s="50"/>
      <c r="AC38" s="51">
        <v>0</v>
      </c>
      <c r="AD38" s="51">
        <f t="shared" si="44"/>
        <v>0</v>
      </c>
      <c r="AE38" s="52">
        <f t="shared" si="45"/>
        <v>0</v>
      </c>
      <c r="AF38" s="74">
        <v>80</v>
      </c>
      <c r="AG38" s="103">
        <f t="shared" si="46"/>
        <v>48222.720000000001</v>
      </c>
      <c r="AH38" s="74">
        <f t="shared" si="47"/>
        <v>56902.809600000001</v>
      </c>
      <c r="AI38" s="55"/>
      <c r="AJ38" s="112"/>
    </row>
    <row r="39" spans="1:36">
      <c r="A39" s="111">
        <f>+A38+1</f>
        <v>11</v>
      </c>
      <c r="B39" s="49" t="s">
        <v>51</v>
      </c>
      <c r="C39" s="50"/>
      <c r="D39" s="51">
        <v>67979.8</v>
      </c>
      <c r="E39" s="51">
        <f t="shared" si="34"/>
        <v>57610.000000000007</v>
      </c>
      <c r="F39" s="52">
        <f t="shared" si="35"/>
        <v>32.362435549824809</v>
      </c>
      <c r="G39" s="53">
        <v>0</v>
      </c>
      <c r="H39" s="53">
        <v>0</v>
      </c>
      <c r="I39" s="53">
        <f t="shared" si="36"/>
        <v>0</v>
      </c>
      <c r="J39" s="55"/>
      <c r="K39" s="50"/>
      <c r="L39" s="51"/>
      <c r="M39" s="51">
        <f t="shared" si="37"/>
        <v>0</v>
      </c>
      <c r="N39" s="52">
        <f t="shared" si="38"/>
        <v>0</v>
      </c>
      <c r="O39" s="53">
        <v>0</v>
      </c>
      <c r="P39" s="53">
        <v>0</v>
      </c>
      <c r="Q39" s="53">
        <f t="shared" si="39"/>
        <v>0</v>
      </c>
      <c r="R39" s="55"/>
      <c r="S39" s="50"/>
      <c r="T39" s="51"/>
      <c r="U39" s="51">
        <f t="shared" si="40"/>
        <v>0</v>
      </c>
      <c r="V39" s="52">
        <f t="shared" si="41"/>
        <v>0</v>
      </c>
      <c r="W39" s="50"/>
      <c r="X39" s="74">
        <v>0</v>
      </c>
      <c r="Y39" s="74">
        <f t="shared" si="42"/>
        <v>0</v>
      </c>
      <c r="Z39" s="74">
        <f t="shared" si="43"/>
        <v>0</v>
      </c>
      <c r="AA39" s="55"/>
      <c r="AB39" s="50"/>
      <c r="AC39" s="51">
        <v>0</v>
      </c>
      <c r="AD39" s="51">
        <f t="shared" si="44"/>
        <v>0</v>
      </c>
      <c r="AE39" s="52">
        <f t="shared" si="45"/>
        <v>0</v>
      </c>
      <c r="AF39" s="74">
        <v>0</v>
      </c>
      <c r="AG39" s="103">
        <f t="shared" si="46"/>
        <v>0</v>
      </c>
      <c r="AH39" s="74">
        <f t="shared" si="47"/>
        <v>0</v>
      </c>
      <c r="AI39" s="55"/>
      <c r="AJ39" s="112"/>
    </row>
    <row r="40" spans="1:36">
      <c r="A40" s="111">
        <f>+A39+1</f>
        <v>12</v>
      </c>
      <c r="B40" s="49" t="s">
        <v>52</v>
      </c>
      <c r="C40" s="50"/>
      <c r="D40" s="51">
        <v>0</v>
      </c>
      <c r="E40" s="51">
        <f t="shared" si="34"/>
        <v>0</v>
      </c>
      <c r="F40" s="52">
        <f t="shared" si="35"/>
        <v>0</v>
      </c>
      <c r="G40" s="53">
        <f t="shared" ref="G40" si="50">F40</f>
        <v>0</v>
      </c>
      <c r="H40" s="53">
        <v>0</v>
      </c>
      <c r="I40" s="53">
        <f t="shared" si="36"/>
        <v>0</v>
      </c>
      <c r="J40" s="55"/>
      <c r="K40" s="50"/>
      <c r="L40" s="51"/>
      <c r="M40" s="51">
        <f t="shared" si="37"/>
        <v>0</v>
      </c>
      <c r="N40" s="52">
        <f t="shared" si="38"/>
        <v>0</v>
      </c>
      <c r="O40" s="53">
        <f t="shared" ref="O40" si="51">N40</f>
        <v>0</v>
      </c>
      <c r="P40" s="53">
        <v>0</v>
      </c>
      <c r="Q40" s="53">
        <f t="shared" si="39"/>
        <v>0</v>
      </c>
      <c r="R40" s="55"/>
      <c r="S40" s="50"/>
      <c r="T40" s="51"/>
      <c r="U40" s="51">
        <f t="shared" si="40"/>
        <v>0</v>
      </c>
      <c r="V40" s="52">
        <f t="shared" si="41"/>
        <v>0</v>
      </c>
      <c r="W40" s="50"/>
      <c r="X40" s="74">
        <v>0</v>
      </c>
      <c r="Y40" s="74">
        <f t="shared" si="42"/>
        <v>0</v>
      </c>
      <c r="Z40" s="74">
        <f t="shared" si="43"/>
        <v>0</v>
      </c>
      <c r="AA40" s="55"/>
      <c r="AB40" s="50"/>
      <c r="AC40" s="51">
        <v>0</v>
      </c>
      <c r="AD40" s="51">
        <f t="shared" si="44"/>
        <v>0</v>
      </c>
      <c r="AE40" s="52">
        <f t="shared" si="45"/>
        <v>0</v>
      </c>
      <c r="AF40" s="74">
        <v>0</v>
      </c>
      <c r="AG40" s="103">
        <f t="shared" si="46"/>
        <v>0</v>
      </c>
      <c r="AH40" s="74">
        <f t="shared" si="47"/>
        <v>0</v>
      </c>
      <c r="AI40" s="55"/>
      <c r="AJ40" s="112"/>
    </row>
    <row r="41" spans="1:36">
      <c r="A41" s="111">
        <f>+A40+1</f>
        <v>13</v>
      </c>
      <c r="B41" s="49" t="s">
        <v>53</v>
      </c>
      <c r="C41" s="50"/>
      <c r="D41" s="51">
        <v>0</v>
      </c>
      <c r="E41" s="51">
        <f t="shared" si="34"/>
        <v>0</v>
      </c>
      <c r="F41" s="52">
        <f t="shared" si="35"/>
        <v>0</v>
      </c>
      <c r="G41" s="53">
        <v>0</v>
      </c>
      <c r="H41" s="54">
        <f>G41*$H$2</f>
        <v>0</v>
      </c>
      <c r="I41" s="53">
        <f t="shared" si="36"/>
        <v>0</v>
      </c>
      <c r="J41" s="55"/>
      <c r="K41" s="50"/>
      <c r="L41" s="51">
        <v>0</v>
      </c>
      <c r="M41" s="51">
        <f t="shared" si="37"/>
        <v>0</v>
      </c>
      <c r="N41" s="52">
        <f t="shared" si="38"/>
        <v>0</v>
      </c>
      <c r="O41" s="53">
        <v>0</v>
      </c>
      <c r="P41" s="54">
        <f>O41*$H$2</f>
        <v>0</v>
      </c>
      <c r="Q41" s="53">
        <f t="shared" si="39"/>
        <v>0</v>
      </c>
      <c r="R41" s="55"/>
      <c r="S41" s="50"/>
      <c r="T41" s="51"/>
      <c r="U41" s="51">
        <f t="shared" si="40"/>
        <v>0</v>
      </c>
      <c r="V41" s="52">
        <f t="shared" si="41"/>
        <v>0</v>
      </c>
      <c r="W41" s="50"/>
      <c r="X41" s="74">
        <v>0</v>
      </c>
      <c r="Y41" s="103">
        <f>X41*$H$2</f>
        <v>0</v>
      </c>
      <c r="Z41" s="74">
        <f t="shared" si="43"/>
        <v>0</v>
      </c>
      <c r="AA41" s="55"/>
      <c r="AB41" s="50"/>
      <c r="AC41" s="51">
        <v>0</v>
      </c>
      <c r="AD41" s="51">
        <f t="shared" si="44"/>
        <v>0</v>
      </c>
      <c r="AE41" s="52">
        <f t="shared" si="45"/>
        <v>0</v>
      </c>
      <c r="AF41" s="74">
        <v>0</v>
      </c>
      <c r="AG41" s="103">
        <f t="shared" si="46"/>
        <v>0</v>
      </c>
      <c r="AH41" s="74">
        <f t="shared" si="47"/>
        <v>0</v>
      </c>
      <c r="AI41" s="55"/>
      <c r="AJ41" s="112"/>
    </row>
    <row r="42" spans="1:36" s="10" customFormat="1" ht="15">
      <c r="A42" s="101"/>
      <c r="B42" s="57" t="s">
        <v>54</v>
      </c>
      <c r="C42" s="47"/>
      <c r="D42" s="66">
        <f>SUM(D29:D41)</f>
        <v>6357892.7799999993</v>
      </c>
      <c r="E42" s="66">
        <f>SUM(E29:E41)</f>
        <v>5388044.7288135588</v>
      </c>
      <c r="F42" s="59"/>
      <c r="G42" s="60"/>
      <c r="H42" s="67">
        <f>SUM(H29:H41)</f>
        <v>3524564.16</v>
      </c>
      <c r="I42" s="67">
        <f>SUM(I29:I41)</f>
        <v>4158985.7088000001</v>
      </c>
      <c r="J42" s="68"/>
      <c r="K42" s="47"/>
      <c r="L42" s="66">
        <f>SUM(L29:L41)</f>
        <v>2246284.58</v>
      </c>
      <c r="M42" s="66">
        <f>SUM(M29:M41)</f>
        <v>1903631</v>
      </c>
      <c r="N42" s="59"/>
      <c r="O42" s="60"/>
      <c r="P42" s="67">
        <f>SUM(P29:P41)</f>
        <v>2138591.52</v>
      </c>
      <c r="Q42" s="67">
        <f>SUM(Q29:Q41)</f>
        <v>2523537.9936000002</v>
      </c>
      <c r="R42" s="68"/>
      <c r="S42" s="47"/>
      <c r="T42" s="66">
        <f>SUM(T29:T41)</f>
        <v>0</v>
      </c>
      <c r="U42" s="66">
        <f>SUM(U29:U41)</f>
        <v>0</v>
      </c>
      <c r="V42" s="59"/>
      <c r="W42" s="47"/>
      <c r="X42" s="104"/>
      <c r="Y42" s="66">
        <f>SUM(Y29:Y41)</f>
        <v>2166793.2000000002</v>
      </c>
      <c r="Z42" s="66">
        <f>SUM(Z29:Z41)</f>
        <v>2556815.9759999998</v>
      </c>
      <c r="AA42" s="68"/>
      <c r="AB42" s="47"/>
      <c r="AC42" s="66">
        <f>SUM(AC29:AC41)</f>
        <v>0</v>
      </c>
      <c r="AD42" s="66">
        <f>SUM(AD29:AD41)</f>
        <v>0</v>
      </c>
      <c r="AE42" s="59"/>
      <c r="AF42" s="104"/>
      <c r="AG42" s="66">
        <f>SUM(AG29:AG41)</f>
        <v>2718555.8400000003</v>
      </c>
      <c r="AH42" s="66">
        <f>SUM(AH29:AH41)</f>
        <v>3207895.8912</v>
      </c>
      <c r="AI42" s="68"/>
      <c r="AJ42" s="110"/>
    </row>
    <row r="43" spans="1:36" ht="15">
      <c r="A43" s="101"/>
      <c r="B43" s="57"/>
      <c r="C43" s="47"/>
      <c r="D43" s="57"/>
      <c r="E43" s="57"/>
      <c r="F43" s="59"/>
      <c r="G43" s="63"/>
      <c r="H43" s="63"/>
      <c r="I43" s="63"/>
      <c r="J43" s="55"/>
      <c r="K43" s="47"/>
      <c r="L43" s="57"/>
      <c r="M43" s="57"/>
      <c r="N43" s="59"/>
      <c r="O43" s="63"/>
      <c r="P43" s="63"/>
      <c r="Q43" s="63"/>
      <c r="R43" s="55"/>
      <c r="S43" s="47"/>
      <c r="T43" s="57"/>
      <c r="U43" s="57"/>
      <c r="V43" s="59"/>
      <c r="W43" s="47"/>
      <c r="X43" s="55"/>
      <c r="Y43" s="55"/>
      <c r="Z43" s="55"/>
      <c r="AA43" s="55"/>
      <c r="AB43" s="47"/>
      <c r="AC43" s="57"/>
      <c r="AD43" s="57"/>
      <c r="AE43" s="59"/>
      <c r="AF43" s="55"/>
      <c r="AG43" s="55"/>
      <c r="AH43" s="55"/>
      <c r="AI43" s="55"/>
      <c r="AJ43" s="110"/>
    </row>
    <row r="44" spans="1:36" ht="15">
      <c r="A44" s="109" t="s">
        <v>55</v>
      </c>
      <c r="B44" s="46" t="s">
        <v>56</v>
      </c>
      <c r="C44" s="47"/>
      <c r="D44" s="46"/>
      <c r="E44" s="46"/>
      <c r="F44" s="64"/>
      <c r="G44" s="65"/>
      <c r="H44" s="65"/>
      <c r="I44" s="65"/>
      <c r="J44" s="65"/>
      <c r="K44" s="47"/>
      <c r="L44" s="46"/>
      <c r="M44" s="46"/>
      <c r="N44" s="64"/>
      <c r="O44" s="65"/>
      <c r="P44" s="65"/>
      <c r="Q44" s="65"/>
      <c r="R44" s="65"/>
      <c r="S44" s="47"/>
      <c r="T44" s="46"/>
      <c r="U44" s="46"/>
      <c r="V44" s="64"/>
      <c r="W44" s="47"/>
      <c r="X44" s="65"/>
      <c r="Y44" s="65"/>
      <c r="Z44" s="65"/>
      <c r="AA44" s="65"/>
      <c r="AB44" s="47"/>
      <c r="AC44" s="46"/>
      <c r="AD44" s="46"/>
      <c r="AE44" s="64"/>
      <c r="AF44" s="65"/>
      <c r="AG44" s="65"/>
      <c r="AH44" s="65"/>
      <c r="AI44" s="65"/>
      <c r="AJ44" s="110"/>
    </row>
    <row r="45" spans="1:36">
      <c r="A45" s="111">
        <v>1</v>
      </c>
      <c r="B45" s="49" t="s">
        <v>57</v>
      </c>
      <c r="C45" s="50"/>
      <c r="D45" s="51">
        <v>357098.15419199993</v>
      </c>
      <c r="E45" s="51">
        <f t="shared" ref="E45:E53" si="52">D45/118%</f>
        <v>302625.55439999996</v>
      </c>
      <c r="F45" s="52">
        <f t="shared" ref="F45:F53" si="53">E45/E$2</f>
        <v>170</v>
      </c>
      <c r="G45" s="53"/>
      <c r="H45" s="53">
        <f t="shared" ref="H45" si="54">G45*H$2</f>
        <v>0</v>
      </c>
      <c r="I45" s="53">
        <f t="shared" ref="I45:I53" si="55">H45*118%</f>
        <v>0</v>
      </c>
      <c r="J45" s="71"/>
      <c r="K45" s="50"/>
      <c r="L45" s="51"/>
      <c r="M45" s="51">
        <f t="shared" ref="M45:M46" si="56">L45/118%</f>
        <v>0</v>
      </c>
      <c r="N45" s="52">
        <f t="shared" ref="N45:N53" si="57">M45/M$2</f>
        <v>0</v>
      </c>
      <c r="O45" s="53"/>
      <c r="P45" s="53">
        <f t="shared" ref="P45" si="58">O45*P$2</f>
        <v>0</v>
      </c>
      <c r="Q45" s="53">
        <f t="shared" ref="Q45:Q53" si="59">P45*118%</f>
        <v>0</v>
      </c>
      <c r="R45" s="71"/>
      <c r="S45" s="50"/>
      <c r="T45" s="51"/>
      <c r="U45" s="51">
        <f t="shared" ref="U45:U46" si="60">T45/118%</f>
        <v>0</v>
      </c>
      <c r="V45" s="52">
        <f t="shared" ref="V45:V53" si="61">U45/U$2</f>
        <v>0</v>
      </c>
      <c r="W45" s="50"/>
      <c r="X45" s="74"/>
      <c r="Y45" s="74">
        <f t="shared" ref="Y45" si="62">X45*Y$2</f>
        <v>0</v>
      </c>
      <c r="Z45" s="74">
        <f t="shared" ref="Z45:Z53" si="63">Y45*118%</f>
        <v>0</v>
      </c>
      <c r="AA45" s="71"/>
      <c r="AB45" s="50"/>
      <c r="AC45" s="51"/>
      <c r="AD45" s="51">
        <f t="shared" ref="AD45:AD46" si="64">AC45/118%</f>
        <v>0</v>
      </c>
      <c r="AE45" s="52">
        <f t="shared" ref="AE45:AE53" si="65">AD45/AD$2</f>
        <v>0</v>
      </c>
      <c r="AF45" s="74"/>
      <c r="AG45" s="74">
        <f t="shared" ref="AG45" si="66">AF45*AG$2</f>
        <v>0</v>
      </c>
      <c r="AH45" s="74">
        <f t="shared" ref="AH45:AH53" si="67">AG45*118%</f>
        <v>0</v>
      </c>
      <c r="AI45" s="71"/>
      <c r="AJ45" s="112"/>
    </row>
    <row r="46" spans="1:36">
      <c r="A46" s="111">
        <v>2</v>
      </c>
      <c r="B46" s="49" t="s">
        <v>58</v>
      </c>
      <c r="C46" s="50"/>
      <c r="D46" s="51">
        <v>0</v>
      </c>
      <c r="E46" s="51">
        <f t="shared" si="52"/>
        <v>0</v>
      </c>
      <c r="F46" s="52">
        <f t="shared" si="53"/>
        <v>0</v>
      </c>
      <c r="G46" s="53">
        <v>100</v>
      </c>
      <c r="H46" s="54">
        <f>G46*$H$2</f>
        <v>62431.200000000004</v>
      </c>
      <c r="I46" s="53">
        <f t="shared" si="55"/>
        <v>73668.816000000006</v>
      </c>
      <c r="J46" s="72"/>
      <c r="K46" s="50"/>
      <c r="L46" s="51"/>
      <c r="M46" s="51">
        <f t="shared" si="56"/>
        <v>0</v>
      </c>
      <c r="N46" s="52">
        <f t="shared" si="57"/>
        <v>0</v>
      </c>
      <c r="O46" s="53">
        <v>0</v>
      </c>
      <c r="P46" s="54">
        <f>O46*$H$2</f>
        <v>0</v>
      </c>
      <c r="Q46" s="53">
        <f t="shared" si="59"/>
        <v>0</v>
      </c>
      <c r="R46" s="72"/>
      <c r="S46" s="50"/>
      <c r="T46" s="51"/>
      <c r="U46" s="51">
        <f t="shared" si="60"/>
        <v>0</v>
      </c>
      <c r="V46" s="52">
        <f t="shared" si="61"/>
        <v>0</v>
      </c>
      <c r="W46" s="50"/>
      <c r="X46" s="74">
        <v>0</v>
      </c>
      <c r="Y46" s="103">
        <f>X46*$H$2</f>
        <v>0</v>
      </c>
      <c r="Z46" s="74">
        <f t="shared" si="63"/>
        <v>0</v>
      </c>
      <c r="AA46" s="72"/>
      <c r="AB46" s="50"/>
      <c r="AC46" s="51"/>
      <c r="AD46" s="51">
        <f t="shared" si="64"/>
        <v>0</v>
      </c>
      <c r="AE46" s="52">
        <f t="shared" si="65"/>
        <v>0</v>
      </c>
      <c r="AF46" s="74">
        <v>0</v>
      </c>
      <c r="AG46" s="103">
        <f t="shared" ref="AG46:AG51" si="68">AF46*$AG$2</f>
        <v>0</v>
      </c>
      <c r="AH46" s="74">
        <f t="shared" si="67"/>
        <v>0</v>
      </c>
      <c r="AI46" s="72"/>
      <c r="AJ46" s="112"/>
    </row>
    <row r="47" spans="1:36">
      <c r="A47" s="111">
        <v>3</v>
      </c>
      <c r="B47" s="49" t="s">
        <v>59</v>
      </c>
      <c r="C47" s="50"/>
      <c r="D47" s="51">
        <v>995134.12</v>
      </c>
      <c r="E47" s="51">
        <f>D47/118%</f>
        <v>843334</v>
      </c>
      <c r="F47" s="52">
        <f t="shared" si="53"/>
        <v>473.74313872549828</v>
      </c>
      <c r="G47" s="53"/>
      <c r="H47" s="54">
        <v>0</v>
      </c>
      <c r="I47" s="53">
        <f t="shared" si="55"/>
        <v>0</v>
      </c>
      <c r="J47" s="71"/>
      <c r="K47" s="50"/>
      <c r="L47" s="51"/>
      <c r="M47" s="51">
        <f>L47/118%</f>
        <v>0</v>
      </c>
      <c r="N47" s="52">
        <f t="shared" si="57"/>
        <v>0</v>
      </c>
      <c r="O47" s="53"/>
      <c r="P47" s="54">
        <v>0</v>
      </c>
      <c r="Q47" s="53">
        <f t="shared" si="59"/>
        <v>0</v>
      </c>
      <c r="R47" s="71"/>
      <c r="S47" s="50"/>
      <c r="T47" s="51"/>
      <c r="U47" s="51">
        <f>T47/118%</f>
        <v>0</v>
      </c>
      <c r="V47" s="52">
        <f t="shared" si="61"/>
        <v>0</v>
      </c>
      <c r="W47" s="50"/>
      <c r="X47" s="74"/>
      <c r="Y47" s="103">
        <v>0</v>
      </c>
      <c r="Z47" s="74">
        <f t="shared" si="63"/>
        <v>0</v>
      </c>
      <c r="AA47" s="71"/>
      <c r="AB47" s="50"/>
      <c r="AC47" s="51"/>
      <c r="AD47" s="51">
        <f>AC47/118%</f>
        <v>0</v>
      </c>
      <c r="AE47" s="52">
        <f t="shared" si="65"/>
        <v>0</v>
      </c>
      <c r="AF47" s="74"/>
      <c r="AG47" s="103">
        <f t="shared" si="68"/>
        <v>0</v>
      </c>
      <c r="AH47" s="74">
        <f t="shared" si="67"/>
        <v>0</v>
      </c>
      <c r="AI47" s="71"/>
      <c r="AJ47" s="112"/>
    </row>
    <row r="48" spans="1:36">
      <c r="A48" s="111">
        <v>4</v>
      </c>
      <c r="B48" s="49" t="s">
        <v>60</v>
      </c>
      <c r="C48" s="50"/>
      <c r="D48" s="51">
        <v>248690.9</v>
      </c>
      <c r="E48" s="51">
        <f t="shared" si="52"/>
        <v>210755</v>
      </c>
      <c r="F48" s="52">
        <f t="shared" si="53"/>
        <v>118.39168728177968</v>
      </c>
      <c r="G48" s="53">
        <v>300</v>
      </c>
      <c r="H48" s="54">
        <f>G48*$H$2</f>
        <v>187293.6</v>
      </c>
      <c r="I48" s="53">
        <f t="shared" si="55"/>
        <v>221006.448</v>
      </c>
      <c r="J48" s="72"/>
      <c r="K48" s="50"/>
      <c r="L48" s="51">
        <v>80000</v>
      </c>
      <c r="M48" s="51">
        <f t="shared" ref="M48:M53" si="69">L48/118%</f>
        <v>67796.610169491527</v>
      </c>
      <c r="N48" s="52">
        <f t="shared" si="57"/>
        <v>134.00976100297194</v>
      </c>
      <c r="O48" s="53">
        <v>120</v>
      </c>
      <c r="P48" s="54">
        <f>O48*$H$2</f>
        <v>74917.440000000002</v>
      </c>
      <c r="Q48" s="53">
        <f t="shared" si="59"/>
        <v>88402.579199999993</v>
      </c>
      <c r="R48" s="72"/>
      <c r="S48" s="50"/>
      <c r="T48" s="51"/>
      <c r="U48" s="51">
        <f t="shared" ref="U48:U53" si="70">T48/118%</f>
        <v>0</v>
      </c>
      <c r="V48" s="52">
        <f t="shared" si="61"/>
        <v>0</v>
      </c>
      <c r="W48" s="50"/>
      <c r="X48" s="74">
        <v>120</v>
      </c>
      <c r="Y48" s="103">
        <f t="shared" ref="Y48:Y50" si="71">X48*$Y$2</f>
        <v>71042.399999999994</v>
      </c>
      <c r="Z48" s="74">
        <f t="shared" si="63"/>
        <v>83830.031999999992</v>
      </c>
      <c r="AA48" s="72"/>
      <c r="AB48" s="50"/>
      <c r="AC48" s="51"/>
      <c r="AD48" s="51">
        <f t="shared" ref="AD48:AD53" si="72">AC48/118%</f>
        <v>0</v>
      </c>
      <c r="AE48" s="52">
        <f t="shared" si="65"/>
        <v>0</v>
      </c>
      <c r="AF48" s="74">
        <v>120</v>
      </c>
      <c r="AG48" s="103">
        <f t="shared" si="68"/>
        <v>72334.080000000002</v>
      </c>
      <c r="AH48" s="74">
        <f t="shared" si="67"/>
        <v>85354.214399999997</v>
      </c>
      <c r="AI48" s="72"/>
      <c r="AJ48" s="112"/>
    </row>
    <row r="49" spans="1:36">
      <c r="A49" s="111">
        <v>5</v>
      </c>
      <c r="B49" s="49" t="s">
        <v>61</v>
      </c>
      <c r="C49" s="50"/>
      <c r="D49" s="51">
        <v>0</v>
      </c>
      <c r="E49" s="51">
        <f t="shared" si="52"/>
        <v>0</v>
      </c>
      <c r="F49" s="52">
        <f t="shared" si="53"/>
        <v>0</v>
      </c>
      <c r="G49" s="53">
        <f t="shared" ref="G49" si="73">F49</f>
        <v>0</v>
      </c>
      <c r="H49" s="53">
        <v>0</v>
      </c>
      <c r="I49" s="53">
        <f t="shared" si="55"/>
        <v>0</v>
      </c>
      <c r="J49" s="71"/>
      <c r="K49" s="50"/>
      <c r="L49" s="51"/>
      <c r="M49" s="51">
        <f t="shared" si="69"/>
        <v>0</v>
      </c>
      <c r="N49" s="52">
        <f t="shared" si="57"/>
        <v>0</v>
      </c>
      <c r="O49" s="53">
        <f t="shared" ref="O49" si="74">N49</f>
        <v>0</v>
      </c>
      <c r="P49" s="53">
        <v>0</v>
      </c>
      <c r="Q49" s="53">
        <f t="shared" si="59"/>
        <v>0</v>
      </c>
      <c r="R49" s="71"/>
      <c r="S49" s="50"/>
      <c r="T49" s="51"/>
      <c r="U49" s="51">
        <f t="shared" si="70"/>
        <v>0</v>
      </c>
      <c r="V49" s="52">
        <f t="shared" si="61"/>
        <v>0</v>
      </c>
      <c r="W49" s="50"/>
      <c r="X49" s="74">
        <v>0</v>
      </c>
      <c r="Y49" s="74">
        <f t="shared" si="71"/>
        <v>0</v>
      </c>
      <c r="Z49" s="74">
        <f t="shared" si="63"/>
        <v>0</v>
      </c>
      <c r="AA49" s="71"/>
      <c r="AB49" s="50"/>
      <c r="AC49" s="51"/>
      <c r="AD49" s="51">
        <f t="shared" si="72"/>
        <v>0</v>
      </c>
      <c r="AE49" s="52">
        <f t="shared" si="65"/>
        <v>0</v>
      </c>
      <c r="AF49" s="74">
        <v>0</v>
      </c>
      <c r="AG49" s="103">
        <f t="shared" si="68"/>
        <v>0</v>
      </c>
      <c r="AH49" s="74">
        <f t="shared" si="67"/>
        <v>0</v>
      </c>
      <c r="AI49" s="71"/>
      <c r="AJ49" s="112"/>
    </row>
    <row r="50" spans="1:36">
      <c r="A50" s="111">
        <v>6</v>
      </c>
      <c r="B50" s="49" t="s">
        <v>62</v>
      </c>
      <c r="C50" s="50"/>
      <c r="D50" s="51">
        <v>0</v>
      </c>
      <c r="E50" s="51">
        <f t="shared" si="52"/>
        <v>0</v>
      </c>
      <c r="F50" s="52">
        <f t="shared" si="53"/>
        <v>0</v>
      </c>
      <c r="G50" s="53"/>
      <c r="H50" s="54">
        <f>G50*$H$2</f>
        <v>0</v>
      </c>
      <c r="I50" s="53">
        <f t="shared" si="55"/>
        <v>0</v>
      </c>
      <c r="J50" s="71"/>
      <c r="K50" s="50"/>
      <c r="L50" s="51"/>
      <c r="M50" s="51">
        <f t="shared" si="69"/>
        <v>0</v>
      </c>
      <c r="N50" s="52">
        <f t="shared" si="57"/>
        <v>0</v>
      </c>
      <c r="O50" s="53"/>
      <c r="P50" s="54">
        <f>O50*$H$2</f>
        <v>0</v>
      </c>
      <c r="Q50" s="53">
        <f t="shared" si="59"/>
        <v>0</v>
      </c>
      <c r="R50" s="71"/>
      <c r="S50" s="50"/>
      <c r="T50" s="51"/>
      <c r="U50" s="51">
        <f t="shared" si="70"/>
        <v>0</v>
      </c>
      <c r="V50" s="52">
        <f t="shared" si="61"/>
        <v>0</v>
      </c>
      <c r="W50" s="50"/>
      <c r="X50" s="74"/>
      <c r="Y50" s="103">
        <f t="shared" si="71"/>
        <v>0</v>
      </c>
      <c r="Z50" s="74">
        <f t="shared" si="63"/>
        <v>0</v>
      </c>
      <c r="AA50" s="71"/>
      <c r="AB50" s="50"/>
      <c r="AC50" s="51"/>
      <c r="AD50" s="51">
        <f t="shared" si="72"/>
        <v>0</v>
      </c>
      <c r="AE50" s="52">
        <f t="shared" si="65"/>
        <v>0</v>
      </c>
      <c r="AF50" s="74"/>
      <c r="AG50" s="103">
        <f t="shared" si="68"/>
        <v>0</v>
      </c>
      <c r="AH50" s="74">
        <f t="shared" si="67"/>
        <v>0</v>
      </c>
      <c r="AI50" s="71"/>
      <c r="AJ50" s="112"/>
    </row>
    <row r="51" spans="1:36">
      <c r="A51" s="111">
        <v>7</v>
      </c>
      <c r="B51" s="49" t="s">
        <v>63</v>
      </c>
      <c r="C51" s="50"/>
      <c r="D51" s="51">
        <v>0</v>
      </c>
      <c r="E51" s="51">
        <f t="shared" si="52"/>
        <v>0</v>
      </c>
      <c r="F51" s="52">
        <f t="shared" si="53"/>
        <v>0</v>
      </c>
      <c r="G51" s="53"/>
      <c r="H51" s="54">
        <f>G51*$H$2</f>
        <v>0</v>
      </c>
      <c r="I51" s="53">
        <f t="shared" si="55"/>
        <v>0</v>
      </c>
      <c r="J51" s="73"/>
      <c r="K51" s="50"/>
      <c r="L51" s="51"/>
      <c r="M51" s="51">
        <f t="shared" si="69"/>
        <v>0</v>
      </c>
      <c r="N51" s="52">
        <f t="shared" si="57"/>
        <v>0</v>
      </c>
      <c r="O51" s="53"/>
      <c r="P51" s="54">
        <f>O51*$H$2</f>
        <v>0</v>
      </c>
      <c r="Q51" s="53">
        <f t="shared" si="59"/>
        <v>0</v>
      </c>
      <c r="R51" s="73"/>
      <c r="S51" s="50"/>
      <c r="T51" s="51"/>
      <c r="U51" s="51">
        <f t="shared" si="70"/>
        <v>0</v>
      </c>
      <c r="V51" s="52">
        <f t="shared" si="61"/>
        <v>0</v>
      </c>
      <c r="W51" s="50"/>
      <c r="X51" s="74"/>
      <c r="Y51" s="103">
        <f>X51*$H$2</f>
        <v>0</v>
      </c>
      <c r="Z51" s="74">
        <f t="shared" si="63"/>
        <v>0</v>
      </c>
      <c r="AA51" s="73"/>
      <c r="AB51" s="50"/>
      <c r="AC51" s="51"/>
      <c r="AD51" s="51">
        <f t="shared" si="72"/>
        <v>0</v>
      </c>
      <c r="AE51" s="52">
        <f t="shared" si="65"/>
        <v>0</v>
      </c>
      <c r="AF51" s="74"/>
      <c r="AG51" s="103">
        <f t="shared" si="68"/>
        <v>0</v>
      </c>
      <c r="AH51" s="74">
        <f t="shared" si="67"/>
        <v>0</v>
      </c>
      <c r="AI51" s="73"/>
      <c r="AJ51" s="112"/>
    </row>
    <row r="52" spans="1:36">
      <c r="A52" s="111">
        <v>8</v>
      </c>
      <c r="B52" s="49" t="s">
        <v>64</v>
      </c>
      <c r="C52" s="50"/>
      <c r="D52" s="51">
        <v>0</v>
      </c>
      <c r="E52" s="51">
        <f t="shared" si="52"/>
        <v>0</v>
      </c>
      <c r="F52" s="52">
        <f t="shared" si="53"/>
        <v>0</v>
      </c>
      <c r="G52" s="53"/>
      <c r="H52" s="53">
        <v>180000</v>
      </c>
      <c r="I52" s="53">
        <f t="shared" si="55"/>
        <v>212400</v>
      </c>
      <c r="J52" s="55"/>
      <c r="K52" s="50"/>
      <c r="L52" s="51"/>
      <c r="M52" s="51">
        <f t="shared" si="69"/>
        <v>0</v>
      </c>
      <c r="N52" s="52">
        <f t="shared" si="57"/>
        <v>0</v>
      </c>
      <c r="O52" s="53"/>
      <c r="P52" s="53">
        <v>0</v>
      </c>
      <c r="Q52" s="53">
        <f t="shared" si="59"/>
        <v>0</v>
      </c>
      <c r="R52" s="55"/>
      <c r="S52" s="50"/>
      <c r="T52" s="51"/>
      <c r="U52" s="51">
        <f t="shared" si="70"/>
        <v>0</v>
      </c>
      <c r="V52" s="52">
        <f t="shared" si="61"/>
        <v>0</v>
      </c>
      <c r="W52" s="50"/>
      <c r="X52" s="74"/>
      <c r="Y52" s="74">
        <v>180000</v>
      </c>
      <c r="Z52" s="74">
        <f t="shared" si="63"/>
        <v>212400</v>
      </c>
      <c r="AA52" s="55"/>
      <c r="AB52" s="50"/>
      <c r="AC52" s="51"/>
      <c r="AD52" s="51">
        <f t="shared" si="72"/>
        <v>0</v>
      </c>
      <c r="AE52" s="52">
        <f t="shared" si="65"/>
        <v>0</v>
      </c>
      <c r="AF52" s="74"/>
      <c r="AG52" s="74">
        <v>180000</v>
      </c>
      <c r="AH52" s="74">
        <f t="shared" si="67"/>
        <v>212400</v>
      </c>
      <c r="AI52" s="55"/>
      <c r="AJ52" s="112"/>
    </row>
    <row r="53" spans="1:36" ht="15">
      <c r="A53" s="111">
        <v>9</v>
      </c>
      <c r="B53" s="49" t="s">
        <v>65</v>
      </c>
      <c r="C53" s="50"/>
      <c r="D53" s="51">
        <v>62214.32</v>
      </c>
      <c r="E53" s="51">
        <f t="shared" si="52"/>
        <v>52724</v>
      </c>
      <c r="F53" s="52">
        <f t="shared" si="53"/>
        <v>29.61772351898912</v>
      </c>
      <c r="G53" s="53">
        <v>100</v>
      </c>
      <c r="H53" s="54">
        <f>G53*$H$2</f>
        <v>62431.200000000004</v>
      </c>
      <c r="I53" s="53">
        <f t="shared" si="55"/>
        <v>73668.816000000006</v>
      </c>
      <c r="J53" s="71"/>
      <c r="K53" s="50"/>
      <c r="L53" s="58">
        <v>162214.32</v>
      </c>
      <c r="M53" s="51">
        <f t="shared" si="69"/>
        <v>137469.76271186443</v>
      </c>
      <c r="N53" s="52">
        <f t="shared" si="57"/>
        <v>271.72877818074522</v>
      </c>
      <c r="O53" s="53">
        <v>100</v>
      </c>
      <c r="P53" s="54">
        <f>O53*$H$2</f>
        <v>62431.200000000004</v>
      </c>
      <c r="Q53" s="53">
        <f t="shared" si="59"/>
        <v>73668.816000000006</v>
      </c>
      <c r="R53" s="71"/>
      <c r="S53" s="50"/>
      <c r="T53" s="51"/>
      <c r="U53" s="51">
        <f t="shared" si="70"/>
        <v>0</v>
      </c>
      <c r="V53" s="52">
        <f t="shared" si="61"/>
        <v>0</v>
      </c>
      <c r="W53" s="50"/>
      <c r="X53" s="74">
        <v>0</v>
      </c>
      <c r="Y53" s="103">
        <f>X53*$H$2</f>
        <v>0</v>
      </c>
      <c r="Z53" s="74">
        <f t="shared" si="63"/>
        <v>0</v>
      </c>
      <c r="AA53" s="71"/>
      <c r="AB53" s="50"/>
      <c r="AC53" s="51"/>
      <c r="AD53" s="51">
        <f t="shared" si="72"/>
        <v>0</v>
      </c>
      <c r="AE53" s="52">
        <f t="shared" si="65"/>
        <v>0</v>
      </c>
      <c r="AF53" s="74">
        <v>0</v>
      </c>
      <c r="AG53" s="103">
        <f>AF53*$AG$2</f>
        <v>0</v>
      </c>
      <c r="AH53" s="74">
        <f t="shared" si="67"/>
        <v>0</v>
      </c>
      <c r="AI53" s="71"/>
      <c r="AJ53" s="112"/>
    </row>
    <row r="54" spans="1:36" s="10" customFormat="1" ht="15">
      <c r="A54" s="101"/>
      <c r="B54" s="57" t="s">
        <v>66</v>
      </c>
      <c r="C54" s="47"/>
      <c r="D54" s="66">
        <f>SUM(D45:D53)</f>
        <v>1663137.4941919998</v>
      </c>
      <c r="E54" s="66">
        <f>SUM(E45:E53)</f>
        <v>1409438.5544</v>
      </c>
      <c r="F54" s="59"/>
      <c r="G54" s="60"/>
      <c r="H54" s="67">
        <f>SUM(H45:H53)</f>
        <v>492156.00000000006</v>
      </c>
      <c r="I54" s="67">
        <f>SUM(I45:I53)</f>
        <v>580744.08000000007</v>
      </c>
      <c r="J54" s="66"/>
      <c r="K54" s="47"/>
      <c r="L54" s="66">
        <f>SUM(L45:L53)</f>
        <v>242214.32</v>
      </c>
      <c r="M54" s="66">
        <f>SUM(M45:M53)</f>
        <v>205266.37288135596</v>
      </c>
      <c r="N54" s="59"/>
      <c r="O54" s="60"/>
      <c r="P54" s="67">
        <f>SUM(P45:P53)</f>
        <v>137348.64000000001</v>
      </c>
      <c r="Q54" s="67">
        <f>SUM(Q45:Q53)</f>
        <v>162071.3952</v>
      </c>
      <c r="R54" s="66"/>
      <c r="S54" s="47"/>
      <c r="T54" s="66">
        <f>SUM(T45:T53)</f>
        <v>0</v>
      </c>
      <c r="U54" s="66">
        <f>SUM(U45:U53)</f>
        <v>0</v>
      </c>
      <c r="V54" s="59"/>
      <c r="W54" s="47"/>
      <c r="X54" s="104"/>
      <c r="Y54" s="66">
        <f>SUM(Y45:Y53)</f>
        <v>251042.4</v>
      </c>
      <c r="Z54" s="66">
        <f>SUM(Z45:Z53)</f>
        <v>296230.03200000001</v>
      </c>
      <c r="AA54" s="66"/>
      <c r="AB54" s="47"/>
      <c r="AC54" s="66">
        <f>SUM(AC45:AC53)</f>
        <v>0</v>
      </c>
      <c r="AD54" s="66">
        <f>SUM(AD45:AD53)</f>
        <v>0</v>
      </c>
      <c r="AE54" s="59"/>
      <c r="AF54" s="104"/>
      <c r="AG54" s="66">
        <f>SUM(AG45:AG53)</f>
        <v>252334.08000000002</v>
      </c>
      <c r="AH54" s="66">
        <f>SUM(AH45:AH53)</f>
        <v>297754.2144</v>
      </c>
      <c r="AI54" s="66"/>
      <c r="AJ54" s="110"/>
    </row>
    <row r="55" spans="1:36">
      <c r="A55" s="111"/>
      <c r="B55" s="49"/>
      <c r="C55" s="50"/>
      <c r="D55" s="74"/>
      <c r="E55" s="74"/>
      <c r="F55" s="52"/>
      <c r="G55" s="53"/>
      <c r="H55" s="53"/>
      <c r="I55" s="53"/>
      <c r="J55" s="71"/>
      <c r="K55" s="50"/>
      <c r="L55" s="74"/>
      <c r="M55" s="74"/>
      <c r="N55" s="52"/>
      <c r="O55" s="53"/>
      <c r="P55" s="53"/>
      <c r="Q55" s="53"/>
      <c r="R55" s="71"/>
      <c r="S55" s="50"/>
      <c r="T55" s="74"/>
      <c r="U55" s="74"/>
      <c r="V55" s="52"/>
      <c r="W55" s="50"/>
      <c r="X55" s="74"/>
      <c r="Y55" s="74"/>
      <c r="Z55" s="74"/>
      <c r="AA55" s="71"/>
      <c r="AB55" s="50"/>
      <c r="AC55" s="74"/>
      <c r="AD55" s="74"/>
      <c r="AE55" s="52"/>
      <c r="AF55" s="74"/>
      <c r="AG55" s="74"/>
      <c r="AH55" s="74"/>
      <c r="AI55" s="71"/>
      <c r="AJ55" s="112"/>
    </row>
    <row r="56" spans="1:36" ht="15">
      <c r="A56" s="109" t="s">
        <v>67</v>
      </c>
      <c r="B56" s="46" t="s">
        <v>68</v>
      </c>
      <c r="C56" s="47"/>
      <c r="D56" s="75"/>
      <c r="E56" s="75"/>
      <c r="F56" s="64"/>
      <c r="G56" s="75"/>
      <c r="H56" s="75"/>
      <c r="I56" s="75"/>
      <c r="J56" s="75"/>
      <c r="K56" s="47"/>
      <c r="L56" s="75"/>
      <c r="M56" s="75"/>
      <c r="N56" s="64"/>
      <c r="O56" s="75"/>
      <c r="P56" s="75"/>
      <c r="Q56" s="75"/>
      <c r="R56" s="75"/>
      <c r="S56" s="47"/>
      <c r="T56" s="75"/>
      <c r="U56" s="75"/>
      <c r="V56" s="64"/>
      <c r="W56" s="47"/>
      <c r="X56" s="75"/>
      <c r="Y56" s="75"/>
      <c r="Z56" s="75"/>
      <c r="AA56" s="75"/>
      <c r="AB56" s="47"/>
      <c r="AC56" s="75"/>
      <c r="AD56" s="75"/>
      <c r="AE56" s="64"/>
      <c r="AF56" s="75"/>
      <c r="AG56" s="75"/>
      <c r="AH56" s="75"/>
      <c r="AI56" s="75"/>
      <c r="AJ56" s="110"/>
    </row>
    <row r="57" spans="1:36" ht="40.5">
      <c r="A57" s="111">
        <v>1</v>
      </c>
      <c r="B57" s="49" t="s">
        <v>69</v>
      </c>
      <c r="C57" s="50"/>
      <c r="D57" s="51">
        <v>330400</v>
      </c>
      <c r="E57" s="51">
        <f t="shared" ref="E57:E61" si="75">D57/118%</f>
        <v>280000</v>
      </c>
      <c r="F57" s="52">
        <f t="shared" ref="F57:F60" si="76">E57/E$2</f>
        <v>157.29008772697355</v>
      </c>
      <c r="G57" s="53">
        <v>1</v>
      </c>
      <c r="H57" s="53">
        <f>(330000+16112)</f>
        <v>346112</v>
      </c>
      <c r="I57" s="53">
        <f t="shared" ref="I57:I61" si="77">H57*118%</f>
        <v>408412.15999999997</v>
      </c>
      <c r="J57" s="72" t="s">
        <v>92</v>
      </c>
      <c r="K57" s="50"/>
      <c r="L57" s="51"/>
      <c r="M57" s="51">
        <f t="shared" ref="M57" si="78">L57/118%</f>
        <v>0</v>
      </c>
      <c r="N57" s="52">
        <f t="shared" ref="N57" si="79">M57/M$2</f>
        <v>0</v>
      </c>
      <c r="O57" s="53">
        <v>1</v>
      </c>
      <c r="P57" s="53">
        <f>(310000+16112)</f>
        <v>326112</v>
      </c>
      <c r="Q57" s="53">
        <f t="shared" ref="Q57" si="80">P57*118%</f>
        <v>384812.16</v>
      </c>
      <c r="R57" s="72"/>
      <c r="S57" s="50"/>
      <c r="T57" s="51"/>
      <c r="U57" s="51">
        <f t="shared" ref="U57" si="81">T57/118%</f>
        <v>0</v>
      </c>
      <c r="V57" s="52">
        <f t="shared" ref="V57" si="82">U57/U$2</f>
        <v>0</v>
      </c>
      <c r="W57" s="50"/>
      <c r="X57" s="74">
        <v>1</v>
      </c>
      <c r="Y57" s="74">
        <f>(330000+16112)</f>
        <v>346112</v>
      </c>
      <c r="Z57" s="74">
        <f t="shared" ref="Z57" si="83">Y57*118%</f>
        <v>408412.15999999997</v>
      </c>
      <c r="AA57" s="72" t="s">
        <v>92</v>
      </c>
      <c r="AB57" s="50"/>
      <c r="AC57" s="51"/>
      <c r="AD57" s="51">
        <f t="shared" ref="AD57" si="84">AC57/118%</f>
        <v>0</v>
      </c>
      <c r="AE57" s="52">
        <f t="shared" ref="AE57" si="85">AD57/AD$2</f>
        <v>0</v>
      </c>
      <c r="AF57" s="74">
        <v>1</v>
      </c>
      <c r="AG57" s="74">
        <f>(330000+16112)</f>
        <v>346112</v>
      </c>
      <c r="AH57" s="74">
        <f t="shared" ref="AH57" si="86">AG57*118%</f>
        <v>408412.15999999997</v>
      </c>
      <c r="AI57" s="72" t="s">
        <v>92</v>
      </c>
      <c r="AJ57" s="112"/>
    </row>
    <row r="58" spans="1:36">
      <c r="A58" s="111">
        <v>2</v>
      </c>
      <c r="B58" s="49" t="s">
        <v>88</v>
      </c>
      <c r="C58" s="50"/>
      <c r="D58" s="76"/>
      <c r="E58" s="51">
        <v>0</v>
      </c>
      <c r="F58" s="52"/>
      <c r="G58" s="53">
        <v>1</v>
      </c>
      <c r="H58" s="53">
        <f>190000</f>
        <v>190000</v>
      </c>
      <c r="I58" s="53">
        <f>H58*128%</f>
        <v>243200</v>
      </c>
      <c r="J58" s="72" t="s">
        <v>89</v>
      </c>
      <c r="K58" s="50"/>
      <c r="L58" s="76"/>
      <c r="M58" s="51">
        <v>0</v>
      </c>
      <c r="N58" s="52"/>
      <c r="O58" s="53">
        <v>0</v>
      </c>
      <c r="P58" s="53">
        <v>0</v>
      </c>
      <c r="Q58" s="53">
        <f>P58*128%</f>
        <v>0</v>
      </c>
      <c r="R58" s="72"/>
      <c r="S58" s="50"/>
      <c r="T58" s="76"/>
      <c r="U58" s="51">
        <v>0</v>
      </c>
      <c r="V58" s="52"/>
      <c r="W58" s="50"/>
      <c r="X58" s="74">
        <v>0</v>
      </c>
      <c r="Y58" s="74">
        <v>0</v>
      </c>
      <c r="Z58" s="74">
        <f>Y58*128%</f>
        <v>0</v>
      </c>
      <c r="AA58" s="72" t="s">
        <v>89</v>
      </c>
      <c r="AB58" s="50"/>
      <c r="AC58" s="76"/>
      <c r="AD58" s="51">
        <v>0</v>
      </c>
      <c r="AE58" s="52"/>
      <c r="AF58" s="74">
        <v>0</v>
      </c>
      <c r="AG58" s="74">
        <v>0</v>
      </c>
      <c r="AH58" s="74">
        <f>AG58*128%</f>
        <v>0</v>
      </c>
      <c r="AI58" s="72"/>
      <c r="AJ58" s="112"/>
    </row>
    <row r="59" spans="1:36">
      <c r="A59" s="111">
        <v>3</v>
      </c>
      <c r="B59" s="49" t="s">
        <v>70</v>
      </c>
      <c r="C59" s="50"/>
      <c r="D59" s="51">
        <v>259600</v>
      </c>
      <c r="E59" s="51">
        <f>D59/118%</f>
        <v>220000</v>
      </c>
      <c r="F59" s="52">
        <f t="shared" si="76"/>
        <v>123.58506892833637</v>
      </c>
      <c r="G59" s="53">
        <v>350</v>
      </c>
      <c r="H59" s="54">
        <f>G59*$H$2</f>
        <v>218509.2</v>
      </c>
      <c r="I59" s="53">
        <f t="shared" si="77"/>
        <v>257840.856</v>
      </c>
      <c r="J59" s="71"/>
      <c r="K59" s="50"/>
      <c r="L59" s="51">
        <v>334835</v>
      </c>
      <c r="M59" s="51">
        <f>L59/118%</f>
        <v>283758.4745762712</v>
      </c>
      <c r="N59" s="52">
        <f t="shared" ref="N59:N60" si="87">M59/M$2</f>
        <v>560.88947906787644</v>
      </c>
      <c r="O59" s="53">
        <v>400</v>
      </c>
      <c r="P59" s="54">
        <f>O59*$H$2</f>
        <v>249724.80000000002</v>
      </c>
      <c r="Q59" s="53">
        <f t="shared" ref="Q59:Q61" si="88">P59*118%</f>
        <v>294675.26400000002</v>
      </c>
      <c r="R59" s="71"/>
      <c r="S59" s="50"/>
      <c r="T59" s="51"/>
      <c r="U59" s="51">
        <f>T59/118%</f>
        <v>0</v>
      </c>
      <c r="V59" s="52">
        <f t="shared" ref="V59:V60" si="89">U59/U$2</f>
        <v>0</v>
      </c>
      <c r="W59" s="50"/>
      <c r="X59" s="74">
        <v>300</v>
      </c>
      <c r="Y59" s="103">
        <f t="shared" ref="Y59:Y60" si="90">X59*$Y$2</f>
        <v>177606</v>
      </c>
      <c r="Z59" s="74">
        <f t="shared" ref="Z59:Z61" si="91">Y59*118%</f>
        <v>209575.08</v>
      </c>
      <c r="AA59" s="71"/>
      <c r="AB59" s="50"/>
      <c r="AC59" s="51"/>
      <c r="AD59" s="51">
        <f>AC59/118%</f>
        <v>0</v>
      </c>
      <c r="AE59" s="52">
        <f t="shared" ref="AE59:AE60" si="92">AD59/AD$2</f>
        <v>0</v>
      </c>
      <c r="AF59" s="74">
        <v>400</v>
      </c>
      <c r="AG59" s="103">
        <f>AF59*$H$2</f>
        <v>249724.80000000002</v>
      </c>
      <c r="AH59" s="74">
        <f t="shared" ref="AH59:AH61" si="93">AG59*118%</f>
        <v>294675.26400000002</v>
      </c>
      <c r="AI59" s="71"/>
      <c r="AJ59" s="112"/>
    </row>
    <row r="60" spans="1:36">
      <c r="A60" s="111">
        <v>4</v>
      </c>
      <c r="B60" s="49" t="s">
        <v>71</v>
      </c>
      <c r="C60" s="50"/>
      <c r="D60" s="51">
        <v>297000</v>
      </c>
      <c r="E60" s="51">
        <f>D60/118%</f>
        <v>251694.9152542373</v>
      </c>
      <c r="F60" s="52">
        <f t="shared" si="76"/>
        <v>141.38969750275771</v>
      </c>
      <c r="G60" s="53"/>
      <c r="H60" s="53">
        <f>E60</f>
        <v>251694.9152542373</v>
      </c>
      <c r="I60" s="53">
        <f t="shared" si="77"/>
        <v>297000</v>
      </c>
      <c r="J60" s="55"/>
      <c r="K60" s="50"/>
      <c r="L60" s="51">
        <v>249511</v>
      </c>
      <c r="M60" s="51">
        <f>L60/118%</f>
        <v>211450</v>
      </c>
      <c r="N60" s="52">
        <f t="shared" si="87"/>
        <v>417.96136847015669</v>
      </c>
      <c r="O60" s="53"/>
      <c r="P60" s="53">
        <f>M60</f>
        <v>211450</v>
      </c>
      <c r="Q60" s="53">
        <f t="shared" si="88"/>
        <v>249511</v>
      </c>
      <c r="R60" s="55"/>
      <c r="S60" s="50"/>
      <c r="T60" s="51"/>
      <c r="U60" s="51">
        <f>T60/118%</f>
        <v>0</v>
      </c>
      <c r="V60" s="52">
        <f t="shared" si="89"/>
        <v>0</v>
      </c>
      <c r="W60" s="50"/>
      <c r="X60" s="74">
        <v>250</v>
      </c>
      <c r="Y60" s="103">
        <f t="shared" si="90"/>
        <v>148005</v>
      </c>
      <c r="Z60" s="74">
        <f t="shared" si="91"/>
        <v>174645.9</v>
      </c>
      <c r="AA60" s="55"/>
      <c r="AB60" s="50"/>
      <c r="AC60" s="51"/>
      <c r="AD60" s="51">
        <f>AC60/118%</f>
        <v>0</v>
      </c>
      <c r="AE60" s="52">
        <f t="shared" si="92"/>
        <v>0</v>
      </c>
      <c r="AF60" s="74">
        <v>300</v>
      </c>
      <c r="AG60" s="103">
        <f>AF60*$H$2</f>
        <v>187293.6</v>
      </c>
      <c r="AH60" s="74">
        <f t="shared" si="93"/>
        <v>221006.448</v>
      </c>
      <c r="AI60" s="55"/>
      <c r="AJ60" s="112"/>
    </row>
    <row r="61" spans="1:36">
      <c r="A61" s="111">
        <v>5</v>
      </c>
      <c r="B61" s="49" t="s">
        <v>72</v>
      </c>
      <c r="C61" s="50"/>
      <c r="D61" s="51"/>
      <c r="E61" s="51">
        <f t="shared" si="75"/>
        <v>0</v>
      </c>
      <c r="F61" s="52"/>
      <c r="G61" s="53"/>
      <c r="H61" s="53">
        <v>0</v>
      </c>
      <c r="I61" s="53">
        <f t="shared" si="77"/>
        <v>0</v>
      </c>
      <c r="J61" s="71"/>
      <c r="K61" s="50"/>
      <c r="L61" s="51"/>
      <c r="M61" s="51">
        <f t="shared" ref="M61" si="94">L61/118%</f>
        <v>0</v>
      </c>
      <c r="N61" s="52"/>
      <c r="O61" s="53"/>
      <c r="P61" s="53">
        <v>0</v>
      </c>
      <c r="Q61" s="53">
        <f t="shared" si="88"/>
        <v>0</v>
      </c>
      <c r="R61" s="71"/>
      <c r="S61" s="50"/>
      <c r="T61" s="51"/>
      <c r="U61" s="51">
        <f t="shared" ref="U61" si="95">T61/118%</f>
        <v>0</v>
      </c>
      <c r="V61" s="52"/>
      <c r="W61" s="50"/>
      <c r="X61" s="74"/>
      <c r="Y61" s="74">
        <v>0</v>
      </c>
      <c r="Z61" s="74">
        <f t="shared" si="91"/>
        <v>0</v>
      </c>
      <c r="AA61" s="71"/>
      <c r="AB61" s="50"/>
      <c r="AC61" s="51"/>
      <c r="AD61" s="51">
        <f t="shared" ref="AD61" si="96">AC61/118%</f>
        <v>0</v>
      </c>
      <c r="AE61" s="52"/>
      <c r="AF61" s="74"/>
      <c r="AG61" s="74">
        <v>0</v>
      </c>
      <c r="AH61" s="74">
        <f t="shared" si="93"/>
        <v>0</v>
      </c>
      <c r="AI61" s="71"/>
      <c r="AJ61" s="112"/>
    </row>
    <row r="62" spans="1:36" s="10" customFormat="1" ht="15">
      <c r="A62" s="101"/>
      <c r="B62" s="57" t="s">
        <v>66</v>
      </c>
      <c r="C62" s="47"/>
      <c r="D62" s="66">
        <f>SUM(D57:D61)</f>
        <v>887000</v>
      </c>
      <c r="E62" s="66">
        <f>SUM(E57:E61)</f>
        <v>751694.91525423736</v>
      </c>
      <c r="F62" s="59"/>
      <c r="G62" s="60"/>
      <c r="H62" s="67">
        <f>SUM(H57:H61)</f>
        <v>1006316.1152542373</v>
      </c>
      <c r="I62" s="67">
        <f>SUM(I57:I61)</f>
        <v>1206453.0159999998</v>
      </c>
      <c r="J62" s="66"/>
      <c r="K62" s="47"/>
      <c r="L62" s="66">
        <f>SUM(L57:L61)</f>
        <v>584346</v>
      </c>
      <c r="M62" s="66">
        <f>SUM(M57:M61)</f>
        <v>495208.4745762712</v>
      </c>
      <c r="N62" s="59"/>
      <c r="O62" s="60"/>
      <c r="P62" s="67">
        <f>SUM(P57:P61)</f>
        <v>787286.8</v>
      </c>
      <c r="Q62" s="67">
        <f>SUM(Q57:Q61)</f>
        <v>928998.424</v>
      </c>
      <c r="R62" s="66"/>
      <c r="S62" s="47"/>
      <c r="T62" s="66">
        <f>SUM(T57:T61)</f>
        <v>0</v>
      </c>
      <c r="U62" s="66">
        <f>SUM(U57:U61)</f>
        <v>0</v>
      </c>
      <c r="V62" s="59"/>
      <c r="W62" s="47"/>
      <c r="X62" s="104"/>
      <c r="Y62" s="66">
        <f>SUM(Y57:Y61)</f>
        <v>671723</v>
      </c>
      <c r="Z62" s="66">
        <f>SUM(Z57:Z61)</f>
        <v>792633.14</v>
      </c>
      <c r="AA62" s="66"/>
      <c r="AB62" s="47"/>
      <c r="AC62" s="66">
        <f>SUM(AC57:AC61)</f>
        <v>0</v>
      </c>
      <c r="AD62" s="66">
        <f>SUM(AD57:AD61)</f>
        <v>0</v>
      </c>
      <c r="AE62" s="59"/>
      <c r="AF62" s="104"/>
      <c r="AG62" s="66">
        <f>SUM(AG57:AG61)</f>
        <v>783130.4</v>
      </c>
      <c r="AH62" s="66">
        <f>SUM(AH57:AH61)</f>
        <v>924093.87199999997</v>
      </c>
      <c r="AI62" s="66"/>
      <c r="AJ62" s="110"/>
    </row>
    <row r="63" spans="1:36">
      <c r="A63" s="111"/>
      <c r="B63" s="49"/>
      <c r="C63" s="50"/>
      <c r="D63" s="51"/>
      <c r="E63" s="51"/>
      <c r="F63" s="52"/>
      <c r="G63" s="77"/>
      <c r="H63" s="77"/>
      <c r="I63" s="77"/>
      <c r="J63" s="71"/>
      <c r="K63" s="50"/>
      <c r="L63" s="51"/>
      <c r="M63" s="51"/>
      <c r="N63" s="52"/>
      <c r="O63" s="77"/>
      <c r="P63" s="77"/>
      <c r="Q63" s="77"/>
      <c r="R63" s="71"/>
      <c r="S63" s="50"/>
      <c r="T63" s="51"/>
      <c r="U63" s="51"/>
      <c r="V63" s="52"/>
      <c r="W63" s="50"/>
      <c r="X63" s="71"/>
      <c r="Y63" s="71"/>
      <c r="Z63" s="71"/>
      <c r="AA63" s="71"/>
      <c r="AB63" s="50"/>
      <c r="AC63" s="51"/>
      <c r="AD63" s="51"/>
      <c r="AE63" s="52"/>
      <c r="AF63" s="71"/>
      <c r="AG63" s="71"/>
      <c r="AH63" s="71"/>
      <c r="AI63" s="71"/>
      <c r="AJ63" s="112"/>
    </row>
    <row r="64" spans="1:36" ht="15">
      <c r="A64" s="109" t="s">
        <v>73</v>
      </c>
      <c r="B64" s="46" t="s">
        <v>74</v>
      </c>
      <c r="C64" s="47"/>
      <c r="D64" s="75"/>
      <c r="E64" s="75"/>
      <c r="F64" s="64"/>
      <c r="G64" s="75"/>
      <c r="H64" s="75"/>
      <c r="I64" s="75"/>
      <c r="J64" s="75"/>
      <c r="K64" s="47"/>
      <c r="L64" s="75"/>
      <c r="M64" s="75"/>
      <c r="N64" s="64"/>
      <c r="O64" s="75"/>
      <c r="P64" s="75"/>
      <c r="Q64" s="75"/>
      <c r="R64" s="75"/>
      <c r="S64" s="47"/>
      <c r="T64" s="75"/>
      <c r="U64" s="75"/>
      <c r="V64" s="64"/>
      <c r="W64" s="47"/>
      <c r="X64" s="75"/>
      <c r="Y64" s="75"/>
      <c r="Z64" s="75"/>
      <c r="AA64" s="75"/>
      <c r="AB64" s="47"/>
      <c r="AC64" s="75"/>
      <c r="AD64" s="75"/>
      <c r="AE64" s="64"/>
      <c r="AF64" s="75"/>
      <c r="AG64" s="75"/>
      <c r="AH64" s="75"/>
      <c r="AI64" s="75"/>
      <c r="AJ64" s="110"/>
    </row>
    <row r="65" spans="1:36">
      <c r="A65" s="111">
        <v>1</v>
      </c>
      <c r="B65" s="49" t="s">
        <v>75</v>
      </c>
      <c r="C65" s="50"/>
      <c r="D65" s="51">
        <v>3979931.1399999997</v>
      </c>
      <c r="E65" s="51">
        <f t="shared" ref="E65" si="97">D65/118%</f>
        <v>3372823</v>
      </c>
      <c r="F65" s="52">
        <f>E65/E$2</f>
        <v>1894.6843769912648</v>
      </c>
      <c r="G65" s="78"/>
      <c r="H65" s="53">
        <f>E65-500000</f>
        <v>2872823</v>
      </c>
      <c r="I65" s="53">
        <f t="shared" ref="I65:I66" si="98">H65*118%</f>
        <v>3389931.1399999997</v>
      </c>
      <c r="J65" s="72"/>
      <c r="K65" s="50"/>
      <c r="L65" s="51">
        <v>3193434</v>
      </c>
      <c r="M65" s="51">
        <f t="shared" ref="M65" si="99">L65/118%</f>
        <v>2706300</v>
      </c>
      <c r="N65" s="52">
        <f>M65/M$2</f>
        <v>5349.3915889845593</v>
      </c>
      <c r="O65" s="78"/>
      <c r="P65" s="53">
        <f>M65</f>
        <v>2706300</v>
      </c>
      <c r="Q65" s="53">
        <f t="shared" ref="Q65:Q66" si="100">P65*118%</f>
        <v>3193434</v>
      </c>
      <c r="R65" s="72"/>
      <c r="S65" s="50"/>
      <c r="T65" s="51"/>
      <c r="U65" s="51">
        <f t="shared" ref="U65" si="101">T65/118%</f>
        <v>0</v>
      </c>
      <c r="V65" s="52">
        <f>U65/U$2</f>
        <v>0</v>
      </c>
      <c r="W65" s="50"/>
      <c r="X65" s="105"/>
      <c r="Y65" s="74">
        <v>1400000</v>
      </c>
      <c r="Z65" s="74">
        <f t="shared" ref="Z65:Z66" si="102">Y65*118%</f>
        <v>1652000</v>
      </c>
      <c r="AA65" s="72"/>
      <c r="AB65" s="50"/>
      <c r="AC65" s="51"/>
      <c r="AD65" s="51">
        <f t="shared" ref="AD65" si="103">AC65/118%</f>
        <v>0</v>
      </c>
      <c r="AE65" s="52">
        <f>AD65/AD$2</f>
        <v>0</v>
      </c>
      <c r="AF65" s="105"/>
      <c r="AG65" s="74">
        <v>2000000</v>
      </c>
      <c r="AH65" s="74">
        <f t="shared" ref="AH65:AH66" si="104">AG65*118%</f>
        <v>2360000</v>
      </c>
      <c r="AI65" s="72"/>
      <c r="AJ65" s="112"/>
    </row>
    <row r="66" spans="1:36">
      <c r="A66" s="111">
        <v>2</v>
      </c>
      <c r="B66" s="49" t="s">
        <v>76</v>
      </c>
      <c r="C66" s="50"/>
      <c r="D66" s="51"/>
      <c r="E66" s="51">
        <f t="shared" ref="E66" si="105">D66/115%</f>
        <v>0</v>
      </c>
      <c r="F66" s="52"/>
      <c r="G66" s="53"/>
      <c r="H66" s="53"/>
      <c r="I66" s="53">
        <f t="shared" si="98"/>
        <v>0</v>
      </c>
      <c r="J66" s="71"/>
      <c r="K66" s="50"/>
      <c r="L66" s="51"/>
      <c r="M66" s="51">
        <f t="shared" ref="M66" si="106">L66/115%</f>
        <v>0</v>
      </c>
      <c r="N66" s="52"/>
      <c r="O66" s="53"/>
      <c r="P66" s="53"/>
      <c r="Q66" s="53">
        <f t="shared" si="100"/>
        <v>0</v>
      </c>
      <c r="R66" s="71"/>
      <c r="S66" s="50"/>
      <c r="T66" s="51"/>
      <c r="U66" s="51">
        <f t="shared" ref="U66" si="107">T66/115%</f>
        <v>0</v>
      </c>
      <c r="V66" s="52"/>
      <c r="W66" s="50"/>
      <c r="X66" s="74"/>
      <c r="Y66" s="74"/>
      <c r="Z66" s="74">
        <f t="shared" si="102"/>
        <v>0</v>
      </c>
      <c r="AA66" s="71"/>
      <c r="AB66" s="50"/>
      <c r="AC66" s="51"/>
      <c r="AD66" s="51">
        <f t="shared" ref="AD66" si="108">AC66/115%</f>
        <v>0</v>
      </c>
      <c r="AE66" s="52"/>
      <c r="AF66" s="74"/>
      <c r="AG66" s="74"/>
      <c r="AH66" s="74">
        <f t="shared" si="104"/>
        <v>0</v>
      </c>
      <c r="AI66" s="71"/>
      <c r="AJ66" s="112"/>
    </row>
    <row r="67" spans="1:36" s="10" customFormat="1" ht="15">
      <c r="A67" s="101"/>
      <c r="B67" s="57" t="s">
        <v>77</v>
      </c>
      <c r="C67" s="47"/>
      <c r="D67" s="66">
        <f>SUM(D65:D66)</f>
        <v>3979931.1399999997</v>
      </c>
      <c r="E67" s="66">
        <f>SUM(E65:E66)</f>
        <v>3372823</v>
      </c>
      <c r="F67" s="59"/>
      <c r="G67" s="60"/>
      <c r="H67" s="67">
        <f>SUM(H65:H66)</f>
        <v>2872823</v>
      </c>
      <c r="I67" s="67">
        <f>SUM(I65:I66)</f>
        <v>3389931.1399999997</v>
      </c>
      <c r="J67" s="66"/>
      <c r="K67" s="47"/>
      <c r="L67" s="66">
        <f>SUM(L65:L66)</f>
        <v>3193434</v>
      </c>
      <c r="M67" s="66">
        <f>SUM(M65:M66)</f>
        <v>2706300</v>
      </c>
      <c r="N67" s="59"/>
      <c r="O67" s="60"/>
      <c r="P67" s="67">
        <f>SUM(P65:P66)</f>
        <v>2706300</v>
      </c>
      <c r="Q67" s="67">
        <f>SUM(Q65:Q66)</f>
        <v>3193434</v>
      </c>
      <c r="R67" s="66"/>
      <c r="S67" s="47"/>
      <c r="T67" s="66">
        <f>SUM(T65:T66)</f>
        <v>0</v>
      </c>
      <c r="U67" s="66">
        <f>SUM(U65:U66)</f>
        <v>0</v>
      </c>
      <c r="V67" s="59"/>
      <c r="W67" s="47"/>
      <c r="X67" s="104"/>
      <c r="Y67" s="66">
        <f>SUM(Y65:Y66)</f>
        <v>1400000</v>
      </c>
      <c r="Z67" s="66">
        <f>SUM(Z65:Z66)</f>
        <v>1652000</v>
      </c>
      <c r="AA67" s="66"/>
      <c r="AB67" s="47"/>
      <c r="AC67" s="66">
        <f>SUM(AC65:AC66)</f>
        <v>0</v>
      </c>
      <c r="AD67" s="66">
        <f>SUM(AD65:AD66)</f>
        <v>0</v>
      </c>
      <c r="AE67" s="59"/>
      <c r="AF67" s="104"/>
      <c r="AG67" s="66">
        <f>SUM(AG65:AG66)</f>
        <v>2000000</v>
      </c>
      <c r="AH67" s="66">
        <f>SUM(AH65:AH66)</f>
        <v>2360000</v>
      </c>
      <c r="AI67" s="66"/>
      <c r="AJ67" s="110"/>
    </row>
    <row r="68" spans="1:36" ht="15">
      <c r="A68" s="111"/>
      <c r="B68" s="57"/>
      <c r="C68" s="47"/>
      <c r="D68" s="58"/>
      <c r="E68" s="58"/>
      <c r="F68" s="58"/>
      <c r="G68" s="61"/>
      <c r="H68" s="61"/>
      <c r="I68" s="61"/>
      <c r="J68" s="58"/>
      <c r="K68" s="47"/>
      <c r="L68" s="58"/>
      <c r="M68" s="58"/>
      <c r="N68" s="58"/>
      <c r="O68" s="61"/>
      <c r="P68" s="61"/>
      <c r="Q68" s="61"/>
      <c r="R68" s="58"/>
      <c r="S68" s="47"/>
      <c r="T68" s="58"/>
      <c r="U68" s="58"/>
      <c r="V68" s="58"/>
      <c r="W68" s="47"/>
      <c r="X68" s="58"/>
      <c r="Y68" s="58"/>
      <c r="Z68" s="58"/>
      <c r="AA68" s="58"/>
      <c r="AB68" s="47"/>
      <c r="AC68" s="58"/>
      <c r="AD68" s="58"/>
      <c r="AE68" s="58"/>
      <c r="AF68" s="58"/>
      <c r="AG68" s="58"/>
      <c r="AH68" s="58"/>
      <c r="AI68" s="58"/>
      <c r="AJ68" s="110"/>
    </row>
    <row r="69" spans="1:36" ht="15">
      <c r="A69" s="111"/>
      <c r="B69" s="57"/>
      <c r="C69" s="47"/>
      <c r="D69" s="58"/>
      <c r="E69" s="58"/>
      <c r="F69" s="58"/>
      <c r="G69" s="61"/>
      <c r="H69" s="61"/>
      <c r="I69" s="61"/>
      <c r="J69" s="58"/>
      <c r="K69" s="47"/>
      <c r="L69" s="58"/>
      <c r="M69" s="58"/>
      <c r="N69" s="58"/>
      <c r="O69" s="61"/>
      <c r="P69" s="61"/>
      <c r="Q69" s="61"/>
      <c r="R69" s="58"/>
      <c r="S69" s="47"/>
      <c r="T69" s="58"/>
      <c r="U69" s="58"/>
      <c r="V69" s="58"/>
      <c r="W69" s="47"/>
      <c r="X69" s="58"/>
      <c r="Y69" s="58"/>
      <c r="Z69" s="58"/>
      <c r="AA69" s="58"/>
      <c r="AB69" s="47"/>
      <c r="AC69" s="58"/>
      <c r="AD69" s="58"/>
      <c r="AE69" s="58"/>
      <c r="AF69" s="58"/>
      <c r="AG69" s="58"/>
      <c r="AH69" s="58"/>
      <c r="AI69" s="58"/>
      <c r="AJ69" s="110"/>
    </row>
    <row r="70" spans="1:36" ht="15">
      <c r="A70" s="97"/>
      <c r="B70" s="79" t="s">
        <v>78</v>
      </c>
      <c r="C70" s="80"/>
      <c r="D70" s="96">
        <f>D18+D26+D42+D54+D62+D67</f>
        <v>20777783.614192002</v>
      </c>
      <c r="E70" s="96">
        <f>E18+E26+E42+E54+E62+E67</f>
        <v>17608291.198467799</v>
      </c>
      <c r="F70" s="96"/>
      <c r="G70" s="96"/>
      <c r="H70" s="96">
        <f>H18+H26+H42+H54+H62+H67</f>
        <v>12509552.475254238</v>
      </c>
      <c r="I70" s="96">
        <f>I18+I26+I42+I54+I62+I67</f>
        <v>14780271.9208</v>
      </c>
      <c r="J70" s="96"/>
      <c r="K70" s="80"/>
      <c r="L70" s="96">
        <f>L18+L26+L42+L54+L62+L67</f>
        <v>8605186.4000000004</v>
      </c>
      <c r="M70" s="96">
        <f>M18+M26+M42+M54+M62+M67</f>
        <v>7292530.8474576278</v>
      </c>
      <c r="N70" s="96"/>
      <c r="O70" s="96"/>
      <c r="P70" s="96">
        <f>P18+P26+P42+P54+P62+P67</f>
        <v>8173128.1600000001</v>
      </c>
      <c r="Q70" s="96">
        <f>Q18+Q26+Q42+Q54+Q62+Q67</f>
        <v>9644291.2288000006</v>
      </c>
      <c r="R70" s="96"/>
      <c r="S70" s="80"/>
      <c r="T70" s="96">
        <f>T18+T26+T42+T54+T62+T67</f>
        <v>0</v>
      </c>
      <c r="U70" s="96">
        <f>U18+U26+U42+U54+U62+U67</f>
        <v>0</v>
      </c>
      <c r="V70" s="96"/>
      <c r="W70" s="80"/>
      <c r="X70" s="96"/>
      <c r="Y70" s="96">
        <f>Y18+Y26+Y42+Y54+Y62+Y67</f>
        <v>6543868</v>
      </c>
      <c r="Z70" s="96">
        <f>Z18+Z26+Z42+Z54+Z62+Z67</f>
        <v>7721764.2399999993</v>
      </c>
      <c r="AA70" s="96"/>
      <c r="AB70" s="80"/>
      <c r="AC70" s="96">
        <f>AC18+AC26+AC42+AC54+AC62+AC67</f>
        <v>0</v>
      </c>
      <c r="AD70" s="96">
        <f>AD18+AD26+AD42+AD54+AD62+AD67</f>
        <v>0</v>
      </c>
      <c r="AE70" s="96"/>
      <c r="AF70" s="96"/>
      <c r="AG70" s="96">
        <f>AG18+AG26+AG42+AG54+AG62+AG67</f>
        <v>8202212.0000000009</v>
      </c>
      <c r="AH70" s="96">
        <f>AH18+AH26+AH42+AH54+AH62+AH67</f>
        <v>9678610.1600000001</v>
      </c>
      <c r="AI70" s="96"/>
      <c r="AJ70" s="113"/>
    </row>
    <row r="71" spans="1:36">
      <c r="A71" s="111"/>
      <c r="B71" s="49"/>
      <c r="C71" s="50"/>
      <c r="D71" s="51"/>
      <c r="E71" s="51"/>
      <c r="F71" s="81"/>
      <c r="G71" s="53"/>
      <c r="H71" s="63"/>
      <c r="I71" s="53"/>
      <c r="J71" s="71"/>
      <c r="K71" s="50"/>
      <c r="L71" s="51"/>
      <c r="M71" s="51"/>
      <c r="N71" s="81"/>
      <c r="O71" s="53"/>
      <c r="P71" s="63"/>
      <c r="Q71" s="53"/>
      <c r="R71" s="71"/>
      <c r="S71" s="50"/>
      <c r="T71" s="51"/>
      <c r="U71" s="51"/>
      <c r="V71" s="81"/>
      <c r="W71" s="50"/>
      <c r="X71" s="74"/>
      <c r="Y71" s="55"/>
      <c r="Z71" s="74"/>
      <c r="AA71" s="71"/>
      <c r="AB71" s="50"/>
      <c r="AC71" s="51"/>
      <c r="AD71" s="51"/>
      <c r="AE71" s="81"/>
      <c r="AF71" s="74"/>
      <c r="AG71" s="55"/>
      <c r="AH71" s="74"/>
      <c r="AI71" s="71"/>
      <c r="AJ71" s="112"/>
    </row>
    <row r="72" spans="1:36">
      <c r="A72" s="114"/>
      <c r="B72" s="94"/>
      <c r="C72" s="94"/>
      <c r="D72" s="94"/>
      <c r="E72" s="94"/>
      <c r="F72" s="94"/>
      <c r="G72" s="94"/>
      <c r="H72" s="94"/>
      <c r="I72" s="13"/>
      <c r="J72" s="94"/>
      <c r="K72" s="94"/>
      <c r="L72" s="94"/>
      <c r="M72" s="94"/>
      <c r="N72" s="94"/>
      <c r="O72" s="94"/>
      <c r="P72" s="94"/>
      <c r="Q72" s="13"/>
      <c r="R72" s="94"/>
      <c r="S72" s="94"/>
      <c r="T72" s="94"/>
      <c r="U72" s="94"/>
      <c r="V72" s="94"/>
      <c r="W72" s="94"/>
      <c r="Z72" s="13"/>
      <c r="AA72" s="94"/>
      <c r="AC72" s="94"/>
      <c r="AD72" s="94"/>
      <c r="AE72" s="94"/>
      <c r="AH72" s="13"/>
      <c r="AI72" s="94"/>
      <c r="AJ72" s="95"/>
    </row>
    <row r="73" spans="1:36" ht="15">
      <c r="A73" s="99" t="s">
        <v>118</v>
      </c>
      <c r="B73" s="115"/>
      <c r="C73" s="115"/>
      <c r="D73" s="100"/>
      <c r="E73" s="115"/>
      <c r="F73" s="115"/>
      <c r="G73" s="115"/>
      <c r="H73" s="115"/>
      <c r="I73" s="115"/>
      <c r="J73" s="115"/>
      <c r="K73" s="95"/>
      <c r="L73" s="94"/>
      <c r="M73" s="94"/>
      <c r="N73" s="94"/>
      <c r="O73" s="94"/>
      <c r="P73" s="94"/>
      <c r="Q73" s="94"/>
      <c r="R73" s="94"/>
      <c r="S73" s="94"/>
      <c r="T73" s="94"/>
      <c r="U73" s="94"/>
      <c r="V73" s="94"/>
      <c r="W73" s="94"/>
      <c r="AA73" s="94"/>
      <c r="AB73" s="115"/>
      <c r="AC73" s="94"/>
      <c r="AD73" s="94"/>
      <c r="AE73" s="94"/>
      <c r="AI73" s="94"/>
      <c r="AJ73" s="95"/>
    </row>
    <row r="74" spans="1:36" ht="13.5" customHeight="1">
      <c r="A74" s="122" t="s">
        <v>119</v>
      </c>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4"/>
    </row>
    <row r="75" spans="1:36" ht="15" customHeight="1" thickBot="1">
      <c r="A75" s="125"/>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7"/>
    </row>
    <row r="77" spans="1:36" ht="15">
      <c r="Y77" s="9">
        <v>7270690.5600000005</v>
      </c>
      <c r="Z77" s="9">
        <v>8579414.860799998</v>
      </c>
      <c r="AA77" s="44"/>
      <c r="AB77" s="43"/>
      <c r="AC77" s="9">
        <v>0</v>
      </c>
      <c r="AD77" s="9">
        <v>0</v>
      </c>
      <c r="AE77" s="9"/>
      <c r="AF77" s="9"/>
      <c r="AG77" s="9">
        <v>8493280.3200000003</v>
      </c>
      <c r="AH77" s="9">
        <v>10022070.7776</v>
      </c>
    </row>
    <row r="78" spans="1:36">
      <c r="Y78" s="143">
        <f>Y77-Y3</f>
        <v>726822.56000000052</v>
      </c>
      <c r="AH78" s="143">
        <f>AH77-AH3</f>
        <v>343460.61759999953</v>
      </c>
    </row>
    <row r="79" spans="1:36">
      <c r="Y79" s="144">
        <f>Y78/Y77</f>
        <v>9.9966097305618312E-2</v>
      </c>
      <c r="AH79" s="144">
        <f>AH78/AH77</f>
        <v>3.427042426877059E-2</v>
      </c>
    </row>
  </sheetData>
  <mergeCells count="22">
    <mergeCell ref="D6:F6"/>
    <mergeCell ref="G6:I6"/>
    <mergeCell ref="A2:B2"/>
    <mergeCell ref="A3:B3"/>
    <mergeCell ref="A4:B4"/>
    <mergeCell ref="A5:B5"/>
    <mergeCell ref="A74:AJ75"/>
    <mergeCell ref="A1:AJ1"/>
    <mergeCell ref="X5:Z5"/>
    <mergeCell ref="T6:V6"/>
    <mergeCell ref="X6:Z6"/>
    <mergeCell ref="AC5:AE5"/>
    <mergeCell ref="AF5:AH5"/>
    <mergeCell ref="AC6:AE6"/>
    <mergeCell ref="AF6:AH6"/>
    <mergeCell ref="L5:N5"/>
    <mergeCell ref="O5:Q5"/>
    <mergeCell ref="L6:N6"/>
    <mergeCell ref="O6:Q6"/>
    <mergeCell ref="T5:V5"/>
    <mergeCell ref="D5:F5"/>
    <mergeCell ref="G5:I5"/>
  </mergeCells>
  <printOptions horizontalCentered="1" verticalCentered="1"/>
  <pageMargins left="0" right="0" top="0.55118110236220474" bottom="0.35433070866141736" header="0.31496062992125984" footer="0.31496062992125984"/>
  <pageSetup paperSize="9" scale="69" orientation="portrait" r:id="rId1"/>
  <ignoredErrors>
    <ignoredError sqref="I58 Z58 Y2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selection activeCell="C23" sqref="C23"/>
    </sheetView>
  </sheetViews>
  <sheetFormatPr defaultRowHeight="15"/>
  <cols>
    <col min="1" max="1" width="4.5703125" customWidth="1"/>
    <col min="3" max="3" width="37.5703125" bestFit="1" customWidth="1"/>
  </cols>
  <sheetData>
    <row r="1" spans="2:4" ht="19.5">
      <c r="B1" s="1" t="s">
        <v>0</v>
      </c>
    </row>
    <row r="2" spans="2:4">
      <c r="B2" t="s">
        <v>1</v>
      </c>
    </row>
    <row r="5" spans="2:4" ht="15.75" thickBot="1">
      <c r="B5" s="2" t="s">
        <v>4</v>
      </c>
      <c r="C5" s="2" t="s">
        <v>2</v>
      </c>
      <c r="D5" s="2" t="s">
        <v>3</v>
      </c>
    </row>
    <row r="6" spans="2:4" ht="15.75" thickBot="1">
      <c r="B6" s="3">
        <v>1</v>
      </c>
      <c r="C6" s="4" t="e">
        <f>#REF!</f>
        <v>#REF!</v>
      </c>
      <c r="D6" s="5" t="e">
        <f>#REF!</f>
        <v>#REF!</v>
      </c>
    </row>
    <row r="7" spans="2:4" ht="15.75" thickBot="1">
      <c r="B7" s="6">
        <v>2</v>
      </c>
      <c r="C7" s="4" t="e">
        <f>#REF!</f>
        <v>#REF!</v>
      </c>
      <c r="D7" s="5" t="e">
        <f>#REF!</f>
        <v>#REF!</v>
      </c>
    </row>
    <row r="8" spans="2:4" ht="15.75" thickBot="1">
      <c r="B8" s="6">
        <v>3</v>
      </c>
      <c r="C8" s="4" t="e">
        <f>#REF!</f>
        <v>#REF!</v>
      </c>
      <c r="D8" s="5" t="e">
        <f>#REF!</f>
        <v>#REF!</v>
      </c>
    </row>
    <row r="9" spans="2:4" ht="15.75" thickBot="1">
      <c r="B9" s="6">
        <f>B8+1</f>
        <v>4</v>
      </c>
      <c r="C9" s="4" t="e">
        <f>#REF!</f>
        <v>#REF!</v>
      </c>
      <c r="D9" s="5" t="e">
        <f>#REF!</f>
        <v>#REF!</v>
      </c>
    </row>
    <row r="10" spans="2:4" ht="15.75" thickBot="1">
      <c r="B10" s="6">
        <f t="shared" ref="B10:B14" si="0">B9+1</f>
        <v>5</v>
      </c>
      <c r="C10" s="4" t="e">
        <f>#REF!</f>
        <v>#REF!</v>
      </c>
      <c r="D10" s="5" t="e">
        <f>#REF!</f>
        <v>#REF!</v>
      </c>
    </row>
    <row r="11" spans="2:4" ht="15.75" thickBot="1">
      <c r="B11" s="6">
        <f t="shared" si="0"/>
        <v>6</v>
      </c>
      <c r="C11" s="4" t="e">
        <f>#REF!</f>
        <v>#REF!</v>
      </c>
      <c r="D11" s="5" t="e">
        <f>#REF!</f>
        <v>#REF!</v>
      </c>
    </row>
    <row r="12" spans="2:4" ht="15.75" thickBot="1">
      <c r="B12" s="6">
        <f t="shared" si="0"/>
        <v>7</v>
      </c>
      <c r="C12" s="4" t="e">
        <f>#REF!</f>
        <v>#REF!</v>
      </c>
      <c r="D12" s="5" t="e">
        <f>#REF!</f>
        <v>#REF!</v>
      </c>
    </row>
    <row r="13" spans="2:4" ht="15.75" thickBot="1">
      <c r="B13" s="6">
        <f t="shared" si="0"/>
        <v>8</v>
      </c>
      <c r="C13" s="4" t="e">
        <f>#REF!</f>
        <v>#REF!</v>
      </c>
      <c r="D13" s="5" t="e">
        <f>#REF!</f>
        <v>#REF!</v>
      </c>
    </row>
    <row r="14" spans="2:4" ht="15.75" thickBot="1">
      <c r="B14" s="7">
        <f t="shared" si="0"/>
        <v>9</v>
      </c>
      <c r="C14" s="4" t="e">
        <f>#REF!</f>
        <v>#REF!</v>
      </c>
      <c r="D14" s="5" t="e">
        <f>#REF!</f>
        <v>#REF!</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5E005595-9CE1-472F-A969-A31B3362F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6F88AF-D596-4EAA-9ED2-33C4A90A2273}">
  <ds:schemaRefs>
    <ds:schemaRef ds:uri="http://schemas.microsoft.com/sharepoint/v3/contenttype/forms"/>
  </ds:schemaRefs>
</ds:datastoreItem>
</file>

<file path=customXml/itemProps3.xml><?xml version="1.0" encoding="utf-8"?>
<ds:datastoreItem xmlns:ds="http://schemas.openxmlformats.org/officeDocument/2006/customXml" ds:itemID="{A87A3B59-ECC1-449A-8D54-9C144E8B6FF9}">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93f5a7a4-2ad1-46b6-8cf3-ba87f7d66d3e"/>
    <ds:schemaRef ds:uri="1edca550-45ec-413d-b410-eb5899b756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Sheet2</vt:lpstr>
      <vt:lpstr>Summary</vt:lpstr>
      <vt:lpstr>Capex</vt:lpstr>
      <vt:lpstr>Sheet1</vt:lpstr>
      <vt:lpstr>Capex!Print_Area</vt:lpstr>
      <vt:lpstr>Capex!Print_Titles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2024-12-02T13:23:37Z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