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travelfoodservices-my.sharepoint.com/personal/sunil_sharma_travelfoodservices_com/Documents/Desktop/"/>
    </mc:Choice>
  </mc:AlternateContent>
  <xr:revisionPtr revIDLastSave="8" documentId="11_D0F1D440A6A32F1E9B3CB521E7C6CA6A3D0905CC" xr6:coauthVersionLast="47" xr6:coauthVersionMax="47" xr10:uidLastSave="{FCF8FFF5-8F37-4DC4-A4A3-D132AF452D5C}"/>
  <bookViews>
    <workbookView xWindow="-120" yWindow="-120" windowWidth="20730" windowHeight="11040" activeTab="5" xr2:uid="{00000000-000D-0000-FFFF-FFFF00000000}"/>
  </bookViews>
  <sheets>
    <sheet name="SUMMARY" sheetId="14" r:id="rId1"/>
    <sheet name="Karim's" sheetId="10" r:id="rId2"/>
    <sheet name="MB Karim's" sheetId="19" r:id="rId3"/>
    <sheet name="Noodle" sheetId="16" r:id="rId4"/>
    <sheet name="MB Noodles" sheetId="20" r:id="rId5"/>
    <sheet name="GIANIS" sheetId="18" r:id="rId6"/>
    <sheet name="MB Gianis's" sheetId="21" r:id="rId7"/>
    <sheet name=" Common area" sheetId="22" r:id="rId8"/>
    <sheet name="MB Common Area" sheetId="23" r:id="rId9"/>
  </sheets>
  <externalReferences>
    <externalReference r:id="rId10"/>
    <externalReference r:id="rId11"/>
  </externalReferences>
  <definedNames>
    <definedName name="_xlnm._FilterDatabase" localSheetId="5" hidden="1">GIANIS!$A$3:$H$444</definedName>
    <definedName name="_xlnm._FilterDatabase" localSheetId="1" hidden="1">'Karim''s'!$A$3:$H$474</definedName>
    <definedName name="_xlnm._FilterDatabase" localSheetId="3" hidden="1">Noodle!$A$3:$H$468</definedName>
    <definedName name="Excel_BuiltIn_Print_Area_5" localSheetId="5">'[1]1.PANEL &amp; DB'!#REF!</definedName>
    <definedName name="Excel_BuiltIn_Print_Area_5" localSheetId="3">'[1]1.PANEL &amp; DB'!#REF!</definedName>
    <definedName name="Excel_BuiltIn_Print_Area_5">'[1]1.PANEL &amp; DB'!#REF!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16" l="1"/>
  <c r="D34" i="14"/>
  <c r="K98" i="23" l="1"/>
  <c r="K99" i="23"/>
  <c r="K100" i="23"/>
  <c r="K101" i="23"/>
  <c r="K104" i="23" s="1"/>
  <c r="G41" i="22" s="1"/>
  <c r="I41" i="22" s="1"/>
  <c r="K102" i="23"/>
  <c r="K103" i="23"/>
  <c r="K97" i="23"/>
  <c r="K69" i="23"/>
  <c r="G25" i="22" s="1"/>
  <c r="I25" i="22" s="1"/>
  <c r="K93" i="23"/>
  <c r="K92" i="23"/>
  <c r="H317" i="19"/>
  <c r="F390" i="10" s="1"/>
  <c r="I390" i="10" s="1"/>
  <c r="E317" i="19"/>
  <c r="E242" i="21"/>
  <c r="H242" i="21" s="1"/>
  <c r="F383" i="18" s="1"/>
  <c r="I383" i="18" s="1"/>
  <c r="H239" i="21"/>
  <c r="F380" i="18" s="1"/>
  <c r="I380" i="18" s="1"/>
  <c r="I377" i="18"/>
  <c r="I146" i="18"/>
  <c r="I145" i="18"/>
  <c r="I159" i="18"/>
  <c r="I158" i="18"/>
  <c r="I160" i="18" s="1"/>
  <c r="D29" i="14" s="1"/>
  <c r="I34" i="18"/>
  <c r="I471" i="16"/>
  <c r="I470" i="16"/>
  <c r="F217" i="16"/>
  <c r="E183" i="20"/>
  <c r="H183" i="20" s="1"/>
  <c r="E182" i="20"/>
  <c r="H182" i="20" s="1"/>
  <c r="E181" i="20"/>
  <c r="H181" i="20" s="1"/>
  <c r="E180" i="20"/>
  <c r="H180" i="20" s="1"/>
  <c r="E179" i="20"/>
  <c r="H179" i="20" s="1"/>
  <c r="E178" i="20"/>
  <c r="H178" i="20" s="1"/>
  <c r="E177" i="20"/>
  <c r="H177" i="20" s="1"/>
  <c r="E176" i="20"/>
  <c r="H176" i="20" s="1"/>
  <c r="E175" i="20"/>
  <c r="H175" i="20" s="1"/>
  <c r="E174" i="20"/>
  <c r="H174" i="20" s="1"/>
  <c r="E173" i="20"/>
  <c r="H173" i="20" s="1"/>
  <c r="E172" i="20"/>
  <c r="H172" i="20" s="1"/>
  <c r="I477" i="10"/>
  <c r="I476" i="10"/>
  <c r="I478" i="10" s="1"/>
  <c r="F107" i="19"/>
  <c r="E107" i="19"/>
  <c r="E234" i="21"/>
  <c r="H234" i="21" s="1"/>
  <c r="E235" i="21"/>
  <c r="H235" i="21"/>
  <c r="H172" i="21"/>
  <c r="E172" i="21"/>
  <c r="H171" i="21"/>
  <c r="E171" i="21"/>
  <c r="H170" i="21"/>
  <c r="E170" i="21"/>
  <c r="H167" i="21"/>
  <c r="E167" i="21"/>
  <c r="H166" i="21"/>
  <c r="E166" i="21"/>
  <c r="H165" i="21"/>
  <c r="E165" i="21"/>
  <c r="H164" i="21"/>
  <c r="E164" i="21"/>
  <c r="H163" i="21"/>
  <c r="E163" i="21"/>
  <c r="H162" i="21"/>
  <c r="E162" i="21"/>
  <c r="H161" i="21"/>
  <c r="E161" i="21"/>
  <c r="H160" i="21"/>
  <c r="E160" i="21"/>
  <c r="H159" i="21"/>
  <c r="E159" i="21"/>
  <c r="H158" i="21"/>
  <c r="E158" i="21"/>
  <c r="H157" i="21"/>
  <c r="E157" i="21"/>
  <c r="E209" i="19"/>
  <c r="H209" i="19" s="1"/>
  <c r="E208" i="19"/>
  <c r="H208" i="19" s="1"/>
  <c r="E207" i="19"/>
  <c r="H207" i="19" s="1"/>
  <c r="F55" i="19"/>
  <c r="E55" i="19"/>
  <c r="F40" i="20"/>
  <c r="E40" i="20"/>
  <c r="I388" i="10"/>
  <c r="K89" i="23"/>
  <c r="G37" i="22" s="1"/>
  <c r="I37" i="22" s="1"/>
  <c r="H110" i="20"/>
  <c r="I89" i="16" s="1"/>
  <c r="I384" i="18" l="1"/>
  <c r="D31" i="14" s="1"/>
  <c r="I472" i="16"/>
  <c r="D23" i="14" s="1"/>
  <c r="K94" i="23"/>
  <c r="G39" i="22" s="1"/>
  <c r="I39" i="22" s="1"/>
  <c r="D13" i="14"/>
  <c r="H236" i="21"/>
  <c r="H184" i="20"/>
  <c r="F305" i="16" s="1"/>
  <c r="H173" i="21"/>
  <c r="H168" i="21"/>
  <c r="H40" i="20"/>
  <c r="F30" i="16" s="1"/>
  <c r="H210" i="19"/>
  <c r="F311" i="10" s="1"/>
  <c r="H55" i="19"/>
  <c r="F30" i="10" s="1"/>
  <c r="I30" i="10" s="1"/>
  <c r="I86" i="23"/>
  <c r="H86" i="23"/>
  <c r="I85" i="23"/>
  <c r="H85" i="23"/>
  <c r="I84" i="23"/>
  <c r="H84" i="23"/>
  <c r="H96" i="21"/>
  <c r="H95" i="21"/>
  <c r="H108" i="20"/>
  <c r="F87" i="16" s="1"/>
  <c r="I87" i="16" s="1"/>
  <c r="H138" i="19"/>
  <c r="F91" i="10" s="1"/>
  <c r="I91" i="10" s="1"/>
  <c r="K81" i="23"/>
  <c r="G33" i="22" s="1"/>
  <c r="I33" i="22" s="1"/>
  <c r="K79" i="23"/>
  <c r="G31" i="22" s="1"/>
  <c r="I31" i="22" s="1"/>
  <c r="K76" i="23"/>
  <c r="K75" i="23"/>
  <c r="K72" i="23"/>
  <c r="G27" i="22" s="1"/>
  <c r="I27" i="22" s="1"/>
  <c r="K66" i="23"/>
  <c r="K65" i="23"/>
  <c r="K62" i="23"/>
  <c r="G21" i="22" s="1"/>
  <c r="I21" i="22" s="1"/>
  <c r="K59" i="23"/>
  <c r="K58" i="23"/>
  <c r="K57" i="23"/>
  <c r="G18" i="22" s="1"/>
  <c r="I18" i="22" s="1"/>
  <c r="K53" i="23"/>
  <c r="H52" i="23"/>
  <c r="K52" i="23" s="1"/>
  <c r="H51" i="23"/>
  <c r="K51" i="23" s="1"/>
  <c r="K50" i="23"/>
  <c r="K49" i="23"/>
  <c r="I46" i="23"/>
  <c r="H46" i="23"/>
  <c r="I45" i="23"/>
  <c r="H45" i="23"/>
  <c r="K44" i="23"/>
  <c r="I39" i="23"/>
  <c r="K39" i="23" s="1"/>
  <c r="I38" i="23"/>
  <c r="K38" i="23" s="1"/>
  <c r="I37" i="23"/>
  <c r="K37" i="23" s="1"/>
  <c r="I36" i="23"/>
  <c r="K36" i="23" s="1"/>
  <c r="I33" i="23"/>
  <c r="K33" i="23" s="1"/>
  <c r="K34" i="23" s="1"/>
  <c r="I28" i="23"/>
  <c r="K28" i="23" s="1"/>
  <c r="I27" i="23"/>
  <c r="K27" i="23" s="1"/>
  <c r="I26" i="23"/>
  <c r="K26" i="23" s="1"/>
  <c r="I25" i="23"/>
  <c r="K25" i="23" s="1"/>
  <c r="I24" i="23"/>
  <c r="K24" i="23" s="1"/>
  <c r="I23" i="23"/>
  <c r="K23" i="23" s="1"/>
  <c r="I22" i="23"/>
  <c r="K22" i="23" s="1"/>
  <c r="I21" i="23"/>
  <c r="K21" i="23" s="1"/>
  <c r="I20" i="23"/>
  <c r="K20" i="23" s="1"/>
  <c r="K16" i="23"/>
  <c r="K15" i="23"/>
  <c r="K14" i="23"/>
  <c r="K11" i="23"/>
  <c r="G7" i="22" s="1"/>
  <c r="I7" i="22" s="1"/>
  <c r="I8" i="23"/>
  <c r="H8" i="23"/>
  <c r="I5" i="23"/>
  <c r="H5" i="23"/>
  <c r="I4" i="23"/>
  <c r="H4" i="23"/>
  <c r="I3" i="23"/>
  <c r="H3" i="23"/>
  <c r="K84" i="23" l="1"/>
  <c r="K86" i="23"/>
  <c r="H97" i="21"/>
  <c r="F87" i="18" s="1"/>
  <c r="I87" i="18" s="1"/>
  <c r="K85" i="23"/>
  <c r="K77" i="23"/>
  <c r="G29" i="22" s="1"/>
  <c r="I29" i="22" s="1"/>
  <c r="K8" i="23"/>
  <c r="K9" i="23" s="1"/>
  <c r="G5" i="22" s="1"/>
  <c r="I5" i="22" s="1"/>
  <c r="K17" i="23"/>
  <c r="G9" i="22" s="1"/>
  <c r="I9" i="22" s="1"/>
  <c r="K60" i="23"/>
  <c r="G19" i="22" s="1"/>
  <c r="I19" i="22" s="1"/>
  <c r="K46" i="23"/>
  <c r="K45" i="23"/>
  <c r="K5" i="23"/>
  <c r="K54" i="23"/>
  <c r="G15" i="22" s="1"/>
  <c r="I15" i="22" s="1"/>
  <c r="K67" i="23"/>
  <c r="G23" i="22" s="1"/>
  <c r="I23" i="22" s="1"/>
  <c r="K3" i="23"/>
  <c r="K4" i="23"/>
  <c r="K29" i="23"/>
  <c r="K30" i="23" s="1"/>
  <c r="K40" i="23"/>
  <c r="K41" i="23" s="1"/>
  <c r="K87" i="23" l="1"/>
  <c r="G35" i="22" s="1"/>
  <c r="I35" i="22" s="1"/>
  <c r="K6" i="23"/>
  <c r="G3" i="22" s="1"/>
  <c r="I3" i="22" s="1"/>
  <c r="K47" i="23"/>
  <c r="G13" i="22" s="1"/>
  <c r="I13" i="22" s="1"/>
  <c r="K42" i="23"/>
  <c r="G11" i="22" s="1"/>
  <c r="I11" i="22" s="1"/>
  <c r="I42" i="22" l="1"/>
  <c r="D33" i="14" s="1"/>
  <c r="E92" i="21"/>
  <c r="F92" i="21"/>
  <c r="E91" i="21"/>
  <c r="F91" i="21"/>
  <c r="H89" i="21"/>
  <c r="F83" i="18" s="1"/>
  <c r="I83" i="18" s="1"/>
  <c r="E87" i="21"/>
  <c r="H87" i="21" s="1"/>
  <c r="F81" i="18" s="1"/>
  <c r="I81" i="18" s="1"/>
  <c r="E85" i="21"/>
  <c r="H85" i="21" s="1"/>
  <c r="F79" i="18" s="1"/>
  <c r="I79" i="18" s="1"/>
  <c r="F83" i="21"/>
  <c r="E83" i="21"/>
  <c r="E76" i="21"/>
  <c r="H76" i="21" s="1"/>
  <c r="H75" i="21"/>
  <c r="H72" i="21"/>
  <c r="F69" i="18" s="1"/>
  <c r="I69" i="18" s="1"/>
  <c r="H68" i="21"/>
  <c r="H69" i="21"/>
  <c r="H67" i="21"/>
  <c r="F64" i="21"/>
  <c r="H64" i="21" s="1"/>
  <c r="F65" i="18" s="1"/>
  <c r="I65" i="18" s="1"/>
  <c r="H81" i="21"/>
  <c r="F75" i="18" s="1"/>
  <c r="I75" i="18" s="1"/>
  <c r="H79" i="21"/>
  <c r="F73" i="18" s="1"/>
  <c r="I73" i="18" s="1"/>
  <c r="H33" i="21"/>
  <c r="F28" i="18" s="1"/>
  <c r="I28" i="18" s="1"/>
  <c r="H31" i="21"/>
  <c r="E88" i="20"/>
  <c r="F88" i="20"/>
  <c r="F82" i="20"/>
  <c r="H82" i="20" s="1"/>
  <c r="F65" i="16" s="1"/>
  <c r="I65" i="16" s="1"/>
  <c r="H38" i="20"/>
  <c r="F28" i="16" s="1"/>
  <c r="H36" i="20"/>
  <c r="F26" i="16" s="1"/>
  <c r="D106" i="20"/>
  <c r="H106" i="20" s="1"/>
  <c r="F85" i="16" s="1"/>
  <c r="I85" i="16" s="1"/>
  <c r="F92" i="20"/>
  <c r="D90" i="20"/>
  <c r="H90" i="20" s="1"/>
  <c r="F73" i="16" s="1"/>
  <c r="I73" i="16" s="1"/>
  <c r="H101" i="20"/>
  <c r="H100" i="20"/>
  <c r="H99" i="20"/>
  <c r="H104" i="20"/>
  <c r="F83" i="16" s="1"/>
  <c r="I83" i="16" s="1"/>
  <c r="H96" i="20"/>
  <c r="F79" i="16" s="1"/>
  <c r="I79" i="16" s="1"/>
  <c r="H94" i="20"/>
  <c r="F77" i="16" s="1"/>
  <c r="I77" i="16" s="1"/>
  <c r="H86" i="20"/>
  <c r="F69" i="16" s="1"/>
  <c r="I69" i="16" s="1"/>
  <c r="H84" i="20"/>
  <c r="F67" i="16" s="1"/>
  <c r="I67" i="16" s="1"/>
  <c r="H136" i="19"/>
  <c r="F89" i="10" s="1"/>
  <c r="I89" i="10" s="1"/>
  <c r="H134" i="19"/>
  <c r="F87" i="10" s="1"/>
  <c r="I87" i="10" s="1"/>
  <c r="F131" i="19"/>
  <c r="H131" i="19" s="1"/>
  <c r="H130" i="19"/>
  <c r="H129" i="19"/>
  <c r="H128" i="19"/>
  <c r="H127" i="19"/>
  <c r="H124" i="19"/>
  <c r="F83" i="10" s="1"/>
  <c r="I83" i="10" s="1"/>
  <c r="H122" i="19"/>
  <c r="F81" i="10" s="1"/>
  <c r="I81" i="10" s="1"/>
  <c r="F120" i="19"/>
  <c r="E120" i="19"/>
  <c r="F118" i="19"/>
  <c r="E118" i="19"/>
  <c r="F115" i="19"/>
  <c r="H115" i="19" s="1"/>
  <c r="F114" i="19"/>
  <c r="H114" i="19" s="1"/>
  <c r="F113" i="19"/>
  <c r="E113" i="19"/>
  <c r="H111" i="19"/>
  <c r="F73" i="10" s="1"/>
  <c r="I73" i="10" s="1"/>
  <c r="H109" i="19"/>
  <c r="F71" i="10" s="1"/>
  <c r="I71" i="10" s="1"/>
  <c r="H107" i="19"/>
  <c r="F69" i="10" s="1"/>
  <c r="I69" i="10" s="1"/>
  <c r="F105" i="19"/>
  <c r="H105" i="19" s="1"/>
  <c r="F67" i="10" s="1"/>
  <c r="I67" i="10" s="1"/>
  <c r="E224" i="19"/>
  <c r="H224" i="19" s="1"/>
  <c r="E223" i="19"/>
  <c r="H223" i="19" s="1"/>
  <c r="E222" i="19"/>
  <c r="H222" i="19" s="1"/>
  <c r="E221" i="19"/>
  <c r="H221" i="19" s="1"/>
  <c r="E220" i="19"/>
  <c r="H220" i="19" s="1"/>
  <c r="E219" i="19"/>
  <c r="H219" i="19" s="1"/>
  <c r="E218" i="19"/>
  <c r="H218" i="19" s="1"/>
  <c r="E217" i="19"/>
  <c r="H217" i="19" s="1"/>
  <c r="E216" i="19"/>
  <c r="H216" i="19" s="1"/>
  <c r="F223" i="10"/>
  <c r="H68" i="19"/>
  <c r="H53" i="19"/>
  <c r="F28" i="10" s="1"/>
  <c r="F26" i="18" l="1"/>
  <c r="I26" i="18" s="1"/>
  <c r="H91" i="21"/>
  <c r="H92" i="21"/>
  <c r="H118" i="19"/>
  <c r="F77" i="10" s="1"/>
  <c r="I77" i="10" s="1"/>
  <c r="H132" i="19"/>
  <c r="I85" i="10" s="1"/>
  <c r="H83" i="21"/>
  <c r="F77" i="18" s="1"/>
  <c r="I77" i="18" s="1"/>
  <c r="H70" i="21"/>
  <c r="F67" i="18" s="1"/>
  <c r="I67" i="18" s="1"/>
  <c r="H77" i="21"/>
  <c r="I71" i="18" s="1"/>
  <c r="H102" i="20"/>
  <c r="I81" i="16" s="1"/>
  <c r="I91" i="16" s="1"/>
  <c r="D17" i="14" s="1"/>
  <c r="H88" i="20"/>
  <c r="F71" i="16" s="1"/>
  <c r="I71" i="16" s="1"/>
  <c r="H92" i="20"/>
  <c r="F75" i="16" s="1"/>
  <c r="I75" i="16" s="1"/>
  <c r="H120" i="19"/>
  <c r="F79" i="10" s="1"/>
  <c r="I79" i="10" s="1"/>
  <c r="H113" i="19"/>
  <c r="H116" i="19" s="1"/>
  <c r="F75" i="10" s="1"/>
  <c r="I75" i="10" s="1"/>
  <c r="H225" i="19"/>
  <c r="F325" i="10" s="1"/>
  <c r="I325" i="10" s="1"/>
  <c r="H51" i="19"/>
  <c r="F26" i="10" s="1"/>
  <c r="I26" i="10" s="1"/>
  <c r="I220" i="10"/>
  <c r="I221" i="10"/>
  <c r="I222" i="10"/>
  <c r="I223" i="10"/>
  <c r="I224" i="10"/>
  <c r="I225" i="10"/>
  <c r="I226" i="10"/>
  <c r="I227" i="10"/>
  <c r="I228" i="10"/>
  <c r="I229" i="10"/>
  <c r="I230" i="10"/>
  <c r="I231" i="10"/>
  <c r="I232" i="10"/>
  <c r="I233" i="10"/>
  <c r="I234" i="10"/>
  <c r="I235" i="10"/>
  <c r="I236" i="10"/>
  <c r="I237" i="10"/>
  <c r="I239" i="10"/>
  <c r="I240" i="10"/>
  <c r="I241" i="10"/>
  <c r="I242" i="10"/>
  <c r="I243" i="10"/>
  <c r="I244" i="10"/>
  <c r="I245" i="10"/>
  <c r="I246" i="10"/>
  <c r="I247" i="10"/>
  <c r="I248" i="10"/>
  <c r="I249" i="10"/>
  <c r="I250" i="10"/>
  <c r="I251" i="10"/>
  <c r="I252" i="10"/>
  <c r="I253" i="10"/>
  <c r="I255" i="10"/>
  <c r="I256" i="10"/>
  <c r="I257" i="10"/>
  <c r="I258" i="10"/>
  <c r="I259" i="10"/>
  <c r="I260" i="10"/>
  <c r="I261" i="10"/>
  <c r="I262" i="10"/>
  <c r="I263" i="10"/>
  <c r="I265" i="10"/>
  <c r="I266" i="10"/>
  <c r="I267" i="10"/>
  <c r="I268" i="10"/>
  <c r="I269" i="10"/>
  <c r="I270" i="10"/>
  <c r="I271" i="10"/>
  <c r="I272" i="10"/>
  <c r="I273" i="10"/>
  <c r="I274" i="10"/>
  <c r="I275" i="10"/>
  <c r="I276" i="10"/>
  <c r="I277" i="10"/>
  <c r="I278" i="10"/>
  <c r="I279" i="10"/>
  <c r="I280" i="10"/>
  <c r="I281" i="10"/>
  <c r="I282" i="10"/>
  <c r="I283" i="10"/>
  <c r="I284" i="10"/>
  <c r="I285" i="10"/>
  <c r="I286" i="10"/>
  <c r="I287" i="10"/>
  <c r="I289" i="10"/>
  <c r="I290" i="10"/>
  <c r="I291" i="10"/>
  <c r="I292" i="10"/>
  <c r="I293" i="10"/>
  <c r="I294" i="10"/>
  <c r="I295" i="10"/>
  <c r="I296" i="10"/>
  <c r="I297" i="10"/>
  <c r="I298" i="10"/>
  <c r="I300" i="10"/>
  <c r="I301" i="10"/>
  <c r="I302" i="10"/>
  <c r="I303" i="10"/>
  <c r="I304" i="10"/>
  <c r="I305" i="10"/>
  <c r="I306" i="10"/>
  <c r="I307" i="10"/>
  <c r="I308" i="10"/>
  <c r="I309" i="10"/>
  <c r="I310" i="10"/>
  <c r="I311" i="10"/>
  <c r="I312" i="10"/>
  <c r="I313" i="10"/>
  <c r="I314" i="10"/>
  <c r="I317" i="10"/>
  <c r="I319" i="10"/>
  <c r="I320" i="10"/>
  <c r="I321" i="10"/>
  <c r="I322" i="10"/>
  <c r="I323" i="10"/>
  <c r="I324" i="10"/>
  <c r="I326" i="10"/>
  <c r="I327" i="10"/>
  <c r="I328" i="10"/>
  <c r="I330" i="10"/>
  <c r="I331" i="10"/>
  <c r="I332" i="10"/>
  <c r="I333" i="10"/>
  <c r="I335" i="10"/>
  <c r="I336" i="10"/>
  <c r="I337" i="10"/>
  <c r="I338" i="10"/>
  <c r="I339" i="10"/>
  <c r="I342" i="10"/>
  <c r="I343" i="10"/>
  <c r="I344" i="10"/>
  <c r="I348" i="10"/>
  <c r="I349" i="10"/>
  <c r="I350" i="10"/>
  <c r="I351" i="10"/>
  <c r="I352" i="10"/>
  <c r="I354" i="10"/>
  <c r="I355" i="10"/>
  <c r="I356" i="10"/>
  <c r="I359" i="10"/>
  <c r="I360" i="10"/>
  <c r="I361" i="10"/>
  <c r="I362" i="10"/>
  <c r="I363" i="10"/>
  <c r="I364" i="10"/>
  <c r="I365" i="10"/>
  <c r="I366" i="10"/>
  <c r="I367" i="10"/>
  <c r="I368" i="10"/>
  <c r="I369" i="10"/>
  <c r="I370" i="10"/>
  <c r="I371" i="10"/>
  <c r="I372" i="10"/>
  <c r="I373" i="10"/>
  <c r="I376" i="10"/>
  <c r="I377" i="10"/>
  <c r="I379" i="10"/>
  <c r="I380" i="10"/>
  <c r="I381" i="10"/>
  <c r="I395" i="10"/>
  <c r="I396" i="10"/>
  <c r="I397" i="10"/>
  <c r="I398" i="10"/>
  <c r="I399" i="10"/>
  <c r="I400" i="10"/>
  <c r="I401" i="10"/>
  <c r="I402" i="10"/>
  <c r="I403" i="10"/>
  <c r="I404" i="10"/>
  <c r="I405" i="10"/>
  <c r="I406" i="10"/>
  <c r="I407" i="10"/>
  <c r="I408" i="10"/>
  <c r="I409" i="10"/>
  <c r="I410" i="10"/>
  <c r="I411" i="10"/>
  <c r="I412" i="10"/>
  <c r="I413" i="10"/>
  <c r="I414" i="10"/>
  <c r="I415" i="10"/>
  <c r="I416" i="10"/>
  <c r="I417" i="10"/>
  <c r="I418" i="10"/>
  <c r="I419" i="10"/>
  <c r="I420" i="10"/>
  <c r="I421" i="10"/>
  <c r="I422" i="10"/>
  <c r="I423" i="10"/>
  <c r="I424" i="10"/>
  <c r="I425" i="10"/>
  <c r="I426" i="10"/>
  <c r="I427" i="10"/>
  <c r="I428" i="10"/>
  <c r="I429" i="10"/>
  <c r="I430" i="10"/>
  <c r="I431" i="10"/>
  <c r="I432" i="10"/>
  <c r="I433" i="10"/>
  <c r="I434" i="10"/>
  <c r="I435" i="10"/>
  <c r="I436" i="10"/>
  <c r="I437" i="10"/>
  <c r="I438" i="10"/>
  <c r="I439" i="10"/>
  <c r="I440" i="10"/>
  <c r="I441" i="10"/>
  <c r="I442" i="10"/>
  <c r="I443" i="10"/>
  <c r="I444" i="10"/>
  <c r="I445" i="10"/>
  <c r="I446" i="10"/>
  <c r="I447" i="10"/>
  <c r="I448" i="10"/>
  <c r="I449" i="10"/>
  <c r="I450" i="10"/>
  <c r="I451" i="10"/>
  <c r="I452" i="10"/>
  <c r="I453" i="10"/>
  <c r="I454" i="10"/>
  <c r="I455" i="10"/>
  <c r="I456" i="10"/>
  <c r="I457" i="10"/>
  <c r="I458" i="10"/>
  <c r="I459" i="10"/>
  <c r="I460" i="10"/>
  <c r="I461" i="10"/>
  <c r="I462" i="10"/>
  <c r="I463" i="10"/>
  <c r="I464" i="10"/>
  <c r="I465" i="10"/>
  <c r="I466" i="10"/>
  <c r="I467" i="10"/>
  <c r="I468" i="10"/>
  <c r="I469" i="10"/>
  <c r="I470" i="10"/>
  <c r="I471" i="10"/>
  <c r="I472" i="10"/>
  <c r="I101" i="10"/>
  <c r="I102" i="10"/>
  <c r="I103" i="10"/>
  <c r="I104" i="10"/>
  <c r="I105" i="10"/>
  <c r="I106" i="10"/>
  <c r="I107" i="10"/>
  <c r="I108" i="10"/>
  <c r="I109" i="10"/>
  <c r="I110" i="10"/>
  <c r="I111" i="10"/>
  <c r="I112" i="10"/>
  <c r="I113" i="10"/>
  <c r="I114" i="10"/>
  <c r="I115" i="10"/>
  <c r="I116" i="10"/>
  <c r="I117" i="10"/>
  <c r="I118" i="10"/>
  <c r="I119" i="10"/>
  <c r="I120" i="10"/>
  <c r="I121" i="10"/>
  <c r="I123" i="10"/>
  <c r="I124" i="10"/>
  <c r="I125" i="10"/>
  <c r="I127" i="10"/>
  <c r="I128" i="10"/>
  <c r="I129" i="10"/>
  <c r="I130" i="10"/>
  <c r="I132" i="10"/>
  <c r="I134" i="10"/>
  <c r="I135" i="10"/>
  <c r="I136" i="10"/>
  <c r="I138" i="10"/>
  <c r="I141" i="10"/>
  <c r="I142" i="10"/>
  <c r="I143" i="10"/>
  <c r="I148" i="10"/>
  <c r="I149" i="10"/>
  <c r="I150" i="10"/>
  <c r="I153" i="10"/>
  <c r="I154" i="10"/>
  <c r="I155" i="10"/>
  <c r="I5" i="10"/>
  <c r="I6" i="10"/>
  <c r="I9" i="10"/>
  <c r="I11" i="10"/>
  <c r="I12" i="10"/>
  <c r="I13" i="10"/>
  <c r="I14" i="10"/>
  <c r="I17" i="10"/>
  <c r="I19" i="10"/>
  <c r="I21" i="10"/>
  <c r="I22" i="10"/>
  <c r="I24" i="10"/>
  <c r="I25" i="10"/>
  <c r="I27" i="10"/>
  <c r="I28" i="10"/>
  <c r="I29" i="10"/>
  <c r="I31" i="10"/>
  <c r="I32" i="10"/>
  <c r="I33" i="10"/>
  <c r="I34" i="10"/>
  <c r="I35" i="10"/>
  <c r="I36" i="10"/>
  <c r="I40" i="10"/>
  <c r="I41" i="10"/>
  <c r="I43" i="10"/>
  <c r="I45" i="10"/>
  <c r="I47" i="10"/>
  <c r="I48" i="10"/>
  <c r="I49" i="10"/>
  <c r="I50" i="10"/>
  <c r="I51" i="10"/>
  <c r="I52" i="10"/>
  <c r="I53" i="10"/>
  <c r="I54" i="10"/>
  <c r="I55" i="10"/>
  <c r="I56" i="10"/>
  <c r="I57" i="10"/>
  <c r="I58" i="10"/>
  <c r="I61" i="10"/>
  <c r="I62" i="10"/>
  <c r="F157" i="10"/>
  <c r="I157" i="10" s="1"/>
  <c r="F156" i="10"/>
  <c r="I156" i="10" s="1"/>
  <c r="F152" i="10"/>
  <c r="I152" i="10" s="1"/>
  <c r="F151" i="10"/>
  <c r="I151" i="10" s="1"/>
  <c r="F140" i="10"/>
  <c r="I140" i="10" s="1"/>
  <c r="F139" i="10"/>
  <c r="I139" i="10" s="1"/>
  <c r="F137" i="10"/>
  <c r="I137" i="10" s="1"/>
  <c r="F23" i="10"/>
  <c r="I23" i="10" s="1"/>
  <c r="H247" i="20"/>
  <c r="F381" i="16" s="1"/>
  <c r="I381" i="16" s="1"/>
  <c r="I352" i="16"/>
  <c r="I5" i="16"/>
  <c r="I6" i="16"/>
  <c r="I9" i="16"/>
  <c r="I11" i="16"/>
  <c r="I12" i="16"/>
  <c r="I13" i="16"/>
  <c r="I14" i="16"/>
  <c r="I17" i="16"/>
  <c r="I19" i="16"/>
  <c r="I21" i="16"/>
  <c r="I22" i="16"/>
  <c r="I23" i="16"/>
  <c r="I24" i="16"/>
  <c r="I25" i="16"/>
  <c r="I26" i="16"/>
  <c r="I27" i="16"/>
  <c r="I28" i="16"/>
  <c r="I29" i="16"/>
  <c r="I30" i="16"/>
  <c r="I31" i="16"/>
  <c r="I32" i="16"/>
  <c r="I33" i="16"/>
  <c r="I34" i="16"/>
  <c r="I35" i="16"/>
  <c r="I36" i="16"/>
  <c r="I40" i="16"/>
  <c r="I41" i="16"/>
  <c r="I42" i="16"/>
  <c r="I43" i="16"/>
  <c r="I45" i="16"/>
  <c r="I47" i="16"/>
  <c r="I48" i="16"/>
  <c r="I49" i="16"/>
  <c r="I50" i="16"/>
  <c r="I51" i="16"/>
  <c r="I52" i="16"/>
  <c r="I53" i="16"/>
  <c r="I54" i="16"/>
  <c r="I55" i="16"/>
  <c r="I56" i="16"/>
  <c r="I57" i="16"/>
  <c r="I58" i="16"/>
  <c r="I95" i="16"/>
  <c r="I96" i="16"/>
  <c r="I98" i="16"/>
  <c r="I99" i="16"/>
  <c r="I100" i="16"/>
  <c r="I101" i="16"/>
  <c r="I102" i="16"/>
  <c r="I103" i="16"/>
  <c r="I104" i="16"/>
  <c r="I105" i="16"/>
  <c r="I106" i="16"/>
  <c r="I107" i="16"/>
  <c r="I108" i="16"/>
  <c r="I109" i="16"/>
  <c r="I110" i="16"/>
  <c r="I111" i="16"/>
  <c r="I112" i="16"/>
  <c r="I113" i="16"/>
  <c r="I114" i="16"/>
  <c r="I115" i="16"/>
  <c r="I116" i="16"/>
  <c r="I117" i="16"/>
  <c r="I118" i="16"/>
  <c r="I119" i="16"/>
  <c r="I121" i="16"/>
  <c r="I122" i="16"/>
  <c r="I123" i="16"/>
  <c r="I125" i="16"/>
  <c r="I126" i="16"/>
  <c r="I127" i="16"/>
  <c r="I128" i="16"/>
  <c r="I129" i="16"/>
  <c r="I130" i="16"/>
  <c r="I132" i="16"/>
  <c r="I133" i="16"/>
  <c r="I134" i="16"/>
  <c r="I137" i="16"/>
  <c r="I139" i="16"/>
  <c r="I140" i="16"/>
  <c r="I141" i="16"/>
  <c r="I145" i="16"/>
  <c r="I146" i="16"/>
  <c r="I147" i="16"/>
  <c r="I148" i="16"/>
  <c r="I151" i="16"/>
  <c r="I152" i="16"/>
  <c r="I153"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I203" i="16"/>
  <c r="I204" i="16"/>
  <c r="I205" i="16"/>
  <c r="I206" i="16"/>
  <c r="I207" i="16"/>
  <c r="I208" i="16"/>
  <c r="I209" i="16"/>
  <c r="I210" i="16"/>
  <c r="I211" i="16"/>
  <c r="I212" i="16"/>
  <c r="I214" i="16"/>
  <c r="I215" i="16"/>
  <c r="I216" i="16"/>
  <c r="I217" i="16"/>
  <c r="I218" i="16"/>
  <c r="I219" i="16"/>
  <c r="I220" i="16"/>
  <c r="I221" i="16"/>
  <c r="I222" i="16"/>
  <c r="I223" i="16"/>
  <c r="I224" i="16"/>
  <c r="I225" i="16"/>
  <c r="I226" i="16"/>
  <c r="I227" i="16"/>
  <c r="I228" i="16"/>
  <c r="I229" i="16"/>
  <c r="I230" i="16"/>
  <c r="I231" i="16"/>
  <c r="I233" i="16"/>
  <c r="I234" i="16"/>
  <c r="I235" i="16"/>
  <c r="I236" i="16"/>
  <c r="I237" i="16"/>
  <c r="I238" i="16"/>
  <c r="I239" i="16"/>
  <c r="I240" i="16"/>
  <c r="I241" i="16"/>
  <c r="I242" i="16"/>
  <c r="I243" i="16"/>
  <c r="I244" i="16"/>
  <c r="I245" i="16"/>
  <c r="I246" i="16"/>
  <c r="I249" i="16"/>
  <c r="I250" i="16"/>
  <c r="I251" i="16"/>
  <c r="I252" i="16"/>
  <c r="I253" i="16"/>
  <c r="I254" i="16"/>
  <c r="I255" i="16"/>
  <c r="I256" i="16"/>
  <c r="I257" i="16"/>
  <c r="I259" i="16"/>
  <c r="I260" i="16"/>
  <c r="I261" i="16"/>
  <c r="I262" i="16"/>
  <c r="I263" i="16"/>
  <c r="I264" i="16"/>
  <c r="I265" i="16"/>
  <c r="I268" i="16"/>
  <c r="I269" i="16"/>
  <c r="I270" i="16"/>
  <c r="I271" i="16"/>
  <c r="I272" i="16"/>
  <c r="I273" i="16"/>
  <c r="I274" i="16"/>
  <c r="I275" i="16"/>
  <c r="I276" i="16"/>
  <c r="I277" i="16"/>
  <c r="I278" i="16"/>
  <c r="I279" i="16"/>
  <c r="I280" i="16"/>
  <c r="I281" i="16"/>
  <c r="I282" i="16"/>
  <c r="I283" i="16"/>
  <c r="I284" i="16"/>
  <c r="I285" i="16"/>
  <c r="I286" i="16"/>
  <c r="I287" i="16"/>
  <c r="I288" i="16"/>
  <c r="I289" i="16"/>
  <c r="I290" i="16"/>
  <c r="I291" i="16"/>
  <c r="I292" i="16"/>
  <c r="I293" i="16"/>
  <c r="I294" i="16"/>
  <c r="I295" i="16"/>
  <c r="I296" i="16"/>
  <c r="I297" i="16"/>
  <c r="I298" i="16"/>
  <c r="I299" i="16"/>
  <c r="I300" i="16"/>
  <c r="I301" i="16"/>
  <c r="I302" i="16"/>
  <c r="I303" i="16"/>
  <c r="I304" i="16"/>
  <c r="I305" i="16"/>
  <c r="I306" i="16"/>
  <c r="I307" i="16"/>
  <c r="I308" i="16"/>
  <c r="I310" i="16"/>
  <c r="I313" i="16"/>
  <c r="I314" i="16"/>
  <c r="I315" i="16"/>
  <c r="I316" i="16"/>
  <c r="I317" i="16"/>
  <c r="I318" i="16"/>
  <c r="I319" i="16"/>
  <c r="I320" i="16"/>
  <c r="I321" i="16"/>
  <c r="I322" i="16"/>
  <c r="I324" i="16"/>
  <c r="I325" i="16"/>
  <c r="I326" i="16"/>
  <c r="I327" i="16"/>
  <c r="I329" i="16"/>
  <c r="I330" i="16"/>
  <c r="I331" i="16"/>
  <c r="I332" i="16"/>
  <c r="I333" i="16"/>
  <c r="I336" i="16"/>
  <c r="I337" i="16"/>
  <c r="I338" i="16"/>
  <c r="I339" i="16"/>
  <c r="I340" i="16"/>
  <c r="I341" i="16"/>
  <c r="I342" i="16"/>
  <c r="I343" i="16"/>
  <c r="I344" i="16"/>
  <c r="I345" i="16"/>
  <c r="I346" i="16"/>
  <c r="I348" i="16"/>
  <c r="I349" i="16"/>
  <c r="I350" i="16"/>
  <c r="I353" i="16"/>
  <c r="I354" i="16"/>
  <c r="I355" i="16"/>
  <c r="I356" i="16"/>
  <c r="I357" i="16"/>
  <c r="I358" i="16"/>
  <c r="I359" i="16"/>
  <c r="I360" i="16"/>
  <c r="I361" i="16"/>
  <c r="I362" i="16"/>
  <c r="I363" i="16"/>
  <c r="I364" i="16"/>
  <c r="I365" i="16"/>
  <c r="I366" i="16"/>
  <c r="I367" i="16"/>
  <c r="I368" i="16"/>
  <c r="I370" i="16"/>
  <c r="I371" i="16"/>
  <c r="I373" i="16"/>
  <c r="I374" i="16"/>
  <c r="I388" i="16"/>
  <c r="I389" i="16"/>
  <c r="I390" i="16"/>
  <c r="I391" i="16"/>
  <c r="I392" i="16"/>
  <c r="I393" i="16"/>
  <c r="I394" i="16"/>
  <c r="I395" i="16"/>
  <c r="I396" i="16"/>
  <c r="I397" i="16"/>
  <c r="I398" i="16"/>
  <c r="I399" i="16"/>
  <c r="I400" i="16"/>
  <c r="I401" i="16"/>
  <c r="I402" i="16"/>
  <c r="I403" i="16"/>
  <c r="I404" i="16"/>
  <c r="I405" i="16"/>
  <c r="I406" i="16"/>
  <c r="I407" i="16"/>
  <c r="I408" i="16"/>
  <c r="I409" i="16"/>
  <c r="I410" i="16"/>
  <c r="I411" i="16"/>
  <c r="I412" i="16"/>
  <c r="I413" i="16"/>
  <c r="I414" i="16"/>
  <c r="I415" i="16"/>
  <c r="I416" i="16"/>
  <c r="I417" i="16"/>
  <c r="I418" i="16"/>
  <c r="I419" i="16"/>
  <c r="I420" i="16"/>
  <c r="I421" i="16"/>
  <c r="I422" i="16"/>
  <c r="I423" i="16"/>
  <c r="I424" i="16"/>
  <c r="I425" i="16"/>
  <c r="I426" i="16"/>
  <c r="I427" i="16"/>
  <c r="I428" i="16"/>
  <c r="I429" i="16"/>
  <c r="I430" i="16"/>
  <c r="I431" i="16"/>
  <c r="I432" i="16"/>
  <c r="I433" i="16"/>
  <c r="I434" i="16"/>
  <c r="I435" i="16"/>
  <c r="I436" i="16"/>
  <c r="I437" i="16"/>
  <c r="I438" i="16"/>
  <c r="I439" i="16"/>
  <c r="I440" i="16"/>
  <c r="I441" i="16"/>
  <c r="I442" i="16"/>
  <c r="I443" i="16"/>
  <c r="I444" i="16"/>
  <c r="I445" i="16"/>
  <c r="I446" i="16"/>
  <c r="I447" i="16"/>
  <c r="I448" i="16"/>
  <c r="I449" i="16"/>
  <c r="I450" i="16"/>
  <c r="I451" i="16"/>
  <c r="I452" i="16"/>
  <c r="I453" i="16"/>
  <c r="I454" i="16"/>
  <c r="I455" i="16"/>
  <c r="I456" i="16"/>
  <c r="I457" i="16"/>
  <c r="I458" i="16"/>
  <c r="I459" i="16"/>
  <c r="I460" i="16"/>
  <c r="I461" i="16"/>
  <c r="I462" i="16"/>
  <c r="I463" i="16"/>
  <c r="I464" i="16"/>
  <c r="I465" i="16"/>
  <c r="I466" i="16"/>
  <c r="I467" i="16"/>
  <c r="E251" i="20"/>
  <c r="H251" i="20" s="1"/>
  <c r="E250" i="20"/>
  <c r="H250" i="20" s="1"/>
  <c r="E243" i="20"/>
  <c r="H243" i="20" s="1"/>
  <c r="E242" i="20"/>
  <c r="H242" i="20" s="1"/>
  <c r="H241" i="20"/>
  <c r="H240" i="20"/>
  <c r="H239" i="20"/>
  <c r="E238" i="20"/>
  <c r="H238" i="20" s="1"/>
  <c r="H236" i="20"/>
  <c r="F369" i="16" s="1"/>
  <c r="I369" i="16" s="1"/>
  <c r="H234" i="20"/>
  <c r="H233" i="20"/>
  <c r="F351" i="16" s="1"/>
  <c r="I351" i="16" s="1"/>
  <c r="H230" i="20"/>
  <c r="H231" i="20" s="1"/>
  <c r="F347" i="16" s="1"/>
  <c r="I347" i="16" s="1"/>
  <c r="H227" i="20"/>
  <c r="H226" i="20"/>
  <c r="H223" i="20"/>
  <c r="H224" i="20" s="1"/>
  <c r="F334" i="16" s="1"/>
  <c r="I334" i="16" s="1"/>
  <c r="H219" i="20"/>
  <c r="H218" i="20"/>
  <c r="H217" i="20"/>
  <c r="H216" i="20"/>
  <c r="H215" i="20"/>
  <c r="H214" i="20"/>
  <c r="E211" i="20"/>
  <c r="H211" i="20" s="1"/>
  <c r="E210" i="20"/>
  <c r="H210" i="20" s="1"/>
  <c r="H209" i="20"/>
  <c r="E208" i="20"/>
  <c r="H208" i="20" s="1"/>
  <c r="E207" i="20"/>
  <c r="H207" i="20" s="1"/>
  <c r="E206" i="20"/>
  <c r="H206" i="20" s="1"/>
  <c r="E205" i="20"/>
  <c r="H205" i="20" s="1"/>
  <c r="E204" i="20"/>
  <c r="H204" i="20" s="1"/>
  <c r="H203" i="20"/>
  <c r="E202" i="20"/>
  <c r="H202" i="20" s="1"/>
  <c r="E201" i="20"/>
  <c r="H201" i="20" s="1"/>
  <c r="E200" i="20"/>
  <c r="H200" i="20" s="1"/>
  <c r="H199" i="20"/>
  <c r="H198" i="20"/>
  <c r="E197" i="20"/>
  <c r="H197" i="20" s="1"/>
  <c r="E196" i="20"/>
  <c r="H196" i="20" s="1"/>
  <c r="E195" i="20"/>
  <c r="H195" i="20" s="1"/>
  <c r="E194" i="20"/>
  <c r="H194" i="20" s="1"/>
  <c r="E193" i="20"/>
  <c r="H193" i="20" s="1"/>
  <c r="E192" i="20"/>
  <c r="H192" i="20" s="1"/>
  <c r="E191" i="20"/>
  <c r="H191" i="20" s="1"/>
  <c r="E190" i="20"/>
  <c r="H190" i="20" s="1"/>
  <c r="H187" i="20"/>
  <c r="F312" i="16" s="1"/>
  <c r="I312" i="16" s="1"/>
  <c r="H186" i="20"/>
  <c r="F311" i="16" s="1"/>
  <c r="I311" i="16" s="1"/>
  <c r="H185" i="20"/>
  <c r="F309" i="16" s="1"/>
  <c r="I309" i="16" s="1"/>
  <c r="H169" i="20"/>
  <c r="F267" i="16" s="1"/>
  <c r="I267" i="16" s="1"/>
  <c r="H168" i="20"/>
  <c r="F266" i="16" s="1"/>
  <c r="I266" i="16" s="1"/>
  <c r="H167" i="20"/>
  <c r="F258" i="16" s="1"/>
  <c r="I258" i="16" s="1"/>
  <c r="E162" i="20"/>
  <c r="H162" i="20" s="1"/>
  <c r="F248" i="16" s="1"/>
  <c r="I248" i="16" s="1"/>
  <c r="E160" i="20"/>
  <c r="H160" i="20" s="1"/>
  <c r="F247" i="16" s="1"/>
  <c r="I247" i="16" s="1"/>
  <c r="H157" i="20"/>
  <c r="F232" i="16" s="1"/>
  <c r="I232" i="16" s="1"/>
  <c r="H147" i="20"/>
  <c r="F213" i="16" s="1"/>
  <c r="I213" i="16" s="1"/>
  <c r="H142" i="20"/>
  <c r="F162" i="16" s="1"/>
  <c r="I162" i="16" s="1"/>
  <c r="H141" i="20"/>
  <c r="F161" i="16" s="1"/>
  <c r="I161" i="16" s="1"/>
  <c r="H140" i="20"/>
  <c r="F160" i="16" s="1"/>
  <c r="I160" i="16" s="1"/>
  <c r="H137" i="20"/>
  <c r="F155" i="16" s="1"/>
  <c r="I155" i="16" s="1"/>
  <c r="H136" i="20"/>
  <c r="F154" i="16" s="1"/>
  <c r="I154" i="16" s="1"/>
  <c r="H133" i="20"/>
  <c r="F150" i="16" s="1"/>
  <c r="I150" i="16" s="1"/>
  <c r="H132" i="20"/>
  <c r="F149" i="16" s="1"/>
  <c r="I149" i="16" s="1"/>
  <c r="H129" i="20"/>
  <c r="F144" i="16" s="1"/>
  <c r="I144" i="16" s="1"/>
  <c r="H128" i="20"/>
  <c r="F143" i="16" s="1"/>
  <c r="I143" i="16" s="1"/>
  <c r="H127" i="20"/>
  <c r="F142" i="16" s="1"/>
  <c r="I142" i="16" s="1"/>
  <c r="H124" i="20"/>
  <c r="F138" i="16" s="1"/>
  <c r="I138" i="16" s="1"/>
  <c r="H123" i="20"/>
  <c r="F136" i="16" s="1"/>
  <c r="I136" i="16" s="1"/>
  <c r="H122" i="20"/>
  <c r="F135" i="16" s="1"/>
  <c r="I135" i="16" s="1"/>
  <c r="E120" i="20"/>
  <c r="H120" i="20" s="1"/>
  <c r="F131" i="16" s="1"/>
  <c r="I131" i="16" s="1"/>
  <c r="H117" i="20"/>
  <c r="F124" i="16" s="1"/>
  <c r="I124" i="16" s="1"/>
  <c r="H116" i="20"/>
  <c r="F120" i="16" s="1"/>
  <c r="I120" i="16" s="1"/>
  <c r="E113" i="20"/>
  <c r="H113" i="20" s="1"/>
  <c r="F97" i="16" s="1"/>
  <c r="I97" i="16" s="1"/>
  <c r="H78" i="20"/>
  <c r="F60" i="16" s="1"/>
  <c r="I60" i="16" s="1"/>
  <c r="H74" i="20"/>
  <c r="H73" i="20"/>
  <c r="H71" i="20"/>
  <c r="F46" i="16" s="1"/>
  <c r="I46" i="16" s="1"/>
  <c r="H67" i="20"/>
  <c r="H68" i="20" s="1"/>
  <c r="H69" i="20" s="1"/>
  <c r="F44" i="16" s="1"/>
  <c r="I44" i="16" s="1"/>
  <c r="H63" i="20"/>
  <c r="H62" i="20"/>
  <c r="H61" i="20"/>
  <c r="H54" i="20"/>
  <c r="H53" i="20"/>
  <c r="H52" i="20"/>
  <c r="H51" i="20"/>
  <c r="H50" i="20"/>
  <c r="H49" i="20"/>
  <c r="H48" i="20"/>
  <c r="H47" i="20"/>
  <c r="H43" i="20"/>
  <c r="H42" i="20"/>
  <c r="E32" i="20"/>
  <c r="H32" i="20" s="1"/>
  <c r="H33" i="20" s="1"/>
  <c r="H34" i="20" s="1"/>
  <c r="F20" i="16" s="1"/>
  <c r="I20" i="16" s="1"/>
  <c r="H29" i="20"/>
  <c r="F18" i="16" s="1"/>
  <c r="I18" i="16" s="1"/>
  <c r="E25" i="20"/>
  <c r="H25" i="20" s="1"/>
  <c r="H26" i="20" s="1"/>
  <c r="H27" i="20" s="1"/>
  <c r="F16" i="16" s="1"/>
  <c r="I16" i="16" s="1"/>
  <c r="E21" i="20"/>
  <c r="H21" i="20" s="1"/>
  <c r="H22" i="20" s="1"/>
  <c r="H23" i="20" s="1"/>
  <c r="F15" i="16" s="1"/>
  <c r="I15" i="16" s="1"/>
  <c r="H17" i="20"/>
  <c r="H18" i="20" s="1"/>
  <c r="H19" i="20" s="1"/>
  <c r="F10" i="16" s="1"/>
  <c r="I10" i="16" s="1"/>
  <c r="H13" i="20"/>
  <c r="H14" i="20" s="1"/>
  <c r="H15" i="20" s="1"/>
  <c r="F8" i="16" s="1"/>
  <c r="I8" i="16" s="1"/>
  <c r="H9" i="20"/>
  <c r="H10" i="20" s="1"/>
  <c r="H11" i="20" s="1"/>
  <c r="F7" i="16" s="1"/>
  <c r="I7" i="16" s="1"/>
  <c r="H6" i="20"/>
  <c r="I4" i="16" s="1"/>
  <c r="I209" i="18"/>
  <c r="I210" i="18"/>
  <c r="I211" i="18"/>
  <c r="I212" i="18"/>
  <c r="I213" i="18"/>
  <c r="I214" i="18"/>
  <c r="I215" i="18"/>
  <c r="I216" i="18"/>
  <c r="I217" i="18"/>
  <c r="I219" i="18"/>
  <c r="I220" i="18"/>
  <c r="I221" i="18"/>
  <c r="I222" i="18"/>
  <c r="I223" i="18"/>
  <c r="I224" i="18"/>
  <c r="I225" i="18"/>
  <c r="I226" i="18"/>
  <c r="I227" i="18"/>
  <c r="I228" i="18"/>
  <c r="I229" i="18"/>
  <c r="I230" i="18"/>
  <c r="I231" i="18"/>
  <c r="I232" i="18"/>
  <c r="I233" i="18"/>
  <c r="I234" i="18"/>
  <c r="I235" i="18"/>
  <c r="I237" i="18"/>
  <c r="I238" i="18"/>
  <c r="I239" i="18"/>
  <c r="I240" i="18"/>
  <c r="I241"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5" i="18"/>
  <c r="I308" i="18"/>
  <c r="I309" i="18"/>
  <c r="I310" i="18"/>
  <c r="I311" i="18"/>
  <c r="I312" i="18"/>
  <c r="I313" i="18"/>
  <c r="I314" i="18"/>
  <c r="I315" i="18"/>
  <c r="I316" i="18"/>
  <c r="I317" i="18"/>
  <c r="I319" i="18"/>
  <c r="I320" i="18"/>
  <c r="I321" i="18"/>
  <c r="I322" i="18"/>
  <c r="I324" i="18"/>
  <c r="I325" i="18"/>
  <c r="I326" i="18"/>
  <c r="I327" i="18"/>
  <c r="I328" i="18"/>
  <c r="I331" i="18"/>
  <c r="I332" i="18"/>
  <c r="I333" i="18"/>
  <c r="I334" i="18"/>
  <c r="I337" i="18"/>
  <c r="I338" i="18"/>
  <c r="I339" i="18"/>
  <c r="I340" i="18"/>
  <c r="I341" i="18"/>
  <c r="I343" i="18"/>
  <c r="I344" i="18"/>
  <c r="I345" i="18"/>
  <c r="I346" i="18"/>
  <c r="I348" i="18"/>
  <c r="I349" i="18"/>
  <c r="I350" i="18"/>
  <c r="I351" i="18"/>
  <c r="I352" i="18"/>
  <c r="I353" i="18"/>
  <c r="I354" i="18"/>
  <c r="I355" i="18"/>
  <c r="I356" i="18"/>
  <c r="I357" i="18"/>
  <c r="I358" i="18"/>
  <c r="I359" i="18"/>
  <c r="I360" i="18"/>
  <c r="I361" i="18"/>
  <c r="I362" i="18"/>
  <c r="I364" i="18"/>
  <c r="I365" i="18"/>
  <c r="I366" i="18"/>
  <c r="I368" i="18"/>
  <c r="I369" i="18"/>
  <c r="I370" i="18"/>
  <c r="H15" i="21"/>
  <c r="H19" i="21"/>
  <c r="H14" i="21"/>
  <c r="H16" i="21"/>
  <c r="H17" i="21"/>
  <c r="H18" i="21"/>
  <c r="E227" i="21"/>
  <c r="H227" i="21" s="1"/>
  <c r="E226" i="21"/>
  <c r="H226" i="21" s="1"/>
  <c r="H224" i="21"/>
  <c r="F363" i="18" s="1"/>
  <c r="I363" i="18" s="1"/>
  <c r="H222" i="21"/>
  <c r="F347" i="18" s="1"/>
  <c r="I347" i="18" s="1"/>
  <c r="H220" i="21"/>
  <c r="H219" i="21"/>
  <c r="F342" i="18" s="1"/>
  <c r="I342" i="18" s="1"/>
  <c r="H218" i="21"/>
  <c r="H217" i="21"/>
  <c r="H216" i="21"/>
  <c r="F336" i="18" s="1"/>
  <c r="I336" i="18" s="1"/>
  <c r="H215" i="21"/>
  <c r="F335" i="18" s="1"/>
  <c r="I335" i="18" s="1"/>
  <c r="H213" i="21"/>
  <c r="H214" i="21" s="1"/>
  <c r="F330" i="18" s="1"/>
  <c r="I330" i="18" s="1"/>
  <c r="H209" i="21"/>
  <c r="H208" i="21"/>
  <c r="H207" i="21"/>
  <c r="E205" i="21"/>
  <c r="H205" i="21" s="1"/>
  <c r="E204" i="21"/>
  <c r="H204" i="21" s="1"/>
  <c r="E203" i="21"/>
  <c r="H203" i="21" s="1"/>
  <c r="E202" i="21"/>
  <c r="H202" i="21" s="1"/>
  <c r="H200" i="21"/>
  <c r="E197" i="21"/>
  <c r="H197" i="21" s="1"/>
  <c r="E196" i="21"/>
  <c r="H196" i="21" s="1"/>
  <c r="E195" i="21"/>
  <c r="H195" i="21" s="1"/>
  <c r="H194" i="21"/>
  <c r="E193" i="21"/>
  <c r="H193" i="21" s="1"/>
  <c r="E192" i="21"/>
  <c r="H192" i="21" s="1"/>
  <c r="H191" i="21"/>
  <c r="E190" i="21"/>
  <c r="H190" i="21" s="1"/>
  <c r="E189" i="21"/>
  <c r="H189" i="21" s="1"/>
  <c r="H188" i="21"/>
  <c r="E187" i="21"/>
  <c r="H187" i="21" s="1"/>
  <c r="E186" i="21"/>
  <c r="H186" i="21" s="1"/>
  <c r="E185" i="21"/>
  <c r="H185" i="21" s="1"/>
  <c r="E184" i="21"/>
  <c r="H184" i="21" s="1"/>
  <c r="E183" i="21"/>
  <c r="H183" i="21" s="1"/>
  <c r="E182" i="21"/>
  <c r="H182" i="21" s="1"/>
  <c r="E181" i="21"/>
  <c r="H181" i="21" s="1"/>
  <c r="E180" i="21"/>
  <c r="H180" i="21" s="1"/>
  <c r="E179" i="21"/>
  <c r="H179" i="21" s="1"/>
  <c r="E178" i="21"/>
  <c r="H178" i="21" s="1"/>
  <c r="H177" i="21"/>
  <c r="E176" i="21"/>
  <c r="H176" i="21" s="1"/>
  <c r="H154" i="21"/>
  <c r="F307" i="18" s="1"/>
  <c r="I307" i="18" s="1"/>
  <c r="H153" i="21"/>
  <c r="F306" i="18" s="1"/>
  <c r="I306" i="18" s="1"/>
  <c r="H152" i="21"/>
  <c r="F304" i="18" s="1"/>
  <c r="I304" i="18" s="1"/>
  <c r="H151" i="21"/>
  <c r="H150" i="21"/>
  <c r="I277" i="18" s="1"/>
  <c r="H149" i="21"/>
  <c r="H146" i="21"/>
  <c r="E145" i="21"/>
  <c r="H145" i="21" s="1"/>
  <c r="E144" i="21"/>
  <c r="H144" i="21" s="1"/>
  <c r="H143" i="21"/>
  <c r="E142" i="21"/>
  <c r="H142" i="21" s="1"/>
  <c r="F242" i="18" s="1"/>
  <c r="I242" i="18" s="1"/>
  <c r="H141" i="21"/>
  <c r="H140" i="21"/>
  <c r="E139" i="21"/>
  <c r="H139" i="21" s="1"/>
  <c r="I236" i="18" s="1"/>
  <c r="H138" i="21"/>
  <c r="H137" i="21"/>
  <c r="H131" i="21"/>
  <c r="H132" i="21" s="1"/>
  <c r="F218" i="18" s="1"/>
  <c r="I218" i="18" s="1"/>
  <c r="H127" i="21"/>
  <c r="H128" i="21" s="1"/>
  <c r="F208" i="18" s="1"/>
  <c r="I208" i="18" s="1"/>
  <c r="H123" i="21"/>
  <c r="F141" i="18" s="1"/>
  <c r="I141" i="18" s="1"/>
  <c r="H122" i="21"/>
  <c r="H119" i="21"/>
  <c r="F151" i="18" s="1"/>
  <c r="I151" i="18" s="1"/>
  <c r="H118" i="21"/>
  <c r="F150" i="18" s="1"/>
  <c r="I150" i="18" s="1"/>
  <c r="H116" i="21"/>
  <c r="H115" i="21"/>
  <c r="H112" i="21"/>
  <c r="H111" i="21"/>
  <c r="F139" i="18" s="1"/>
  <c r="I139" i="18" s="1"/>
  <c r="H108" i="21"/>
  <c r="F135" i="18" s="1"/>
  <c r="I135" i="18" s="1"/>
  <c r="H107" i="21"/>
  <c r="F132" i="18" s="1"/>
  <c r="I132" i="18" s="1"/>
  <c r="E105" i="21"/>
  <c r="H105" i="21" s="1"/>
  <c r="F128" i="18" s="1"/>
  <c r="I128" i="18" s="1"/>
  <c r="H102" i="21"/>
  <c r="H103" i="21" s="1"/>
  <c r="F121" i="18" s="1"/>
  <c r="I121" i="18" s="1"/>
  <c r="E99" i="21"/>
  <c r="H99" i="21" s="1"/>
  <c r="H100" i="21" s="1"/>
  <c r="F94" i="18" s="1"/>
  <c r="I94" i="18" s="1"/>
  <c r="H60" i="21"/>
  <c r="H61" i="21" s="1"/>
  <c r="F60" i="18" s="1"/>
  <c r="I60" i="18" s="1"/>
  <c r="H56" i="21"/>
  <c r="H55" i="21"/>
  <c r="H54" i="21"/>
  <c r="H52" i="21"/>
  <c r="F52" i="18" s="1"/>
  <c r="I52" i="18" s="1"/>
  <c r="H49" i="21"/>
  <c r="F46" i="18" s="1"/>
  <c r="I46" i="18" s="1"/>
  <c r="H45" i="21"/>
  <c r="H46" i="21" s="1"/>
  <c r="H47" i="21" s="1"/>
  <c r="F42" i="18" s="1"/>
  <c r="I42" i="18" s="1"/>
  <c r="H41" i="21"/>
  <c r="H40" i="21"/>
  <c r="H39" i="21"/>
  <c r="H35" i="21"/>
  <c r="H36" i="21" s="1"/>
  <c r="H37" i="21" s="1"/>
  <c r="F37" i="18" s="1"/>
  <c r="I37" i="18" s="1"/>
  <c r="E27" i="21"/>
  <c r="H27" i="21" s="1"/>
  <c r="H28" i="21" s="1"/>
  <c r="H29" i="21" s="1"/>
  <c r="F15" i="18" s="1"/>
  <c r="I15" i="18" s="1"/>
  <c r="H23" i="21"/>
  <c r="H24" i="21" s="1"/>
  <c r="H25" i="21" s="1"/>
  <c r="F10" i="18" s="1"/>
  <c r="I10" i="18" s="1"/>
  <c r="H13" i="21"/>
  <c r="H9" i="21"/>
  <c r="H8" i="21"/>
  <c r="H6" i="21"/>
  <c r="F4" i="18" s="1"/>
  <c r="I4" i="18" s="1"/>
  <c r="E313" i="19"/>
  <c r="H313" i="19" s="1"/>
  <c r="E312" i="19"/>
  <c r="H312" i="19" s="1"/>
  <c r="E311" i="19"/>
  <c r="H311" i="19" s="1"/>
  <c r="E307" i="19"/>
  <c r="H307" i="19" s="1"/>
  <c r="E306" i="19"/>
  <c r="H306" i="19" s="1"/>
  <c r="E305" i="19"/>
  <c r="H305" i="19" s="1"/>
  <c r="E304" i="19"/>
  <c r="H304" i="19" s="1"/>
  <c r="E303" i="19"/>
  <c r="H303" i="19" s="1"/>
  <c r="E302" i="19"/>
  <c r="H302" i="19" s="1"/>
  <c r="E301" i="19"/>
  <c r="H301" i="19" s="1"/>
  <c r="E300" i="19"/>
  <c r="H300" i="19" s="1"/>
  <c r="E299" i="19"/>
  <c r="H299" i="19" s="1"/>
  <c r="H297" i="19"/>
  <c r="F387" i="10" s="1"/>
  <c r="I387" i="10" s="1"/>
  <c r="E293" i="19"/>
  <c r="H293" i="19" s="1"/>
  <c r="E292" i="19"/>
  <c r="H292" i="19" s="1"/>
  <c r="E291" i="19"/>
  <c r="H291" i="19" s="1"/>
  <c r="E290" i="19"/>
  <c r="H290" i="19" s="1"/>
  <c r="E289" i="19"/>
  <c r="H289" i="19" s="1"/>
  <c r="E288" i="19"/>
  <c r="H288" i="19" s="1"/>
  <c r="H285" i="19"/>
  <c r="F375" i="10" s="1"/>
  <c r="I375" i="10" s="1"/>
  <c r="H284" i="19"/>
  <c r="F374" i="10" s="1"/>
  <c r="I374" i="10" s="1"/>
  <c r="H282" i="19"/>
  <c r="F358" i="10" s="1"/>
  <c r="I358" i="10" s="1"/>
  <c r="H281" i="19"/>
  <c r="F357" i="10" s="1"/>
  <c r="I357" i="10" s="1"/>
  <c r="H279" i="19"/>
  <c r="E278" i="19"/>
  <c r="H278" i="19" s="1"/>
  <c r="F353" i="10" s="1"/>
  <c r="I353" i="10" s="1"/>
  <c r="H277" i="19"/>
  <c r="H276" i="19"/>
  <c r="F347" i="10" s="1"/>
  <c r="I347" i="10" s="1"/>
  <c r="H275" i="19"/>
  <c r="F346" i="10" s="1"/>
  <c r="I346" i="10" s="1"/>
  <c r="H274" i="19"/>
  <c r="F345" i="10" s="1"/>
  <c r="I345" i="10" s="1"/>
  <c r="H272" i="19"/>
  <c r="H271" i="19"/>
  <c r="H268" i="19"/>
  <c r="H267" i="19"/>
  <c r="H265" i="19"/>
  <c r="H263" i="19"/>
  <c r="H262" i="19"/>
  <c r="H261" i="19"/>
  <c r="H260" i="19"/>
  <c r="H259" i="19"/>
  <c r="H258" i="19"/>
  <c r="H257" i="19"/>
  <c r="H256" i="19"/>
  <c r="H255" i="19"/>
  <c r="H252" i="19"/>
  <c r="E251" i="19"/>
  <c r="H251" i="19" s="1"/>
  <c r="E250" i="19"/>
  <c r="H250" i="19" s="1"/>
  <c r="E249" i="19"/>
  <c r="H249" i="19" s="1"/>
  <c r="E248" i="19"/>
  <c r="H248" i="19" s="1"/>
  <c r="E247" i="19"/>
  <c r="H247" i="19" s="1"/>
  <c r="E246" i="19"/>
  <c r="H246" i="19" s="1"/>
  <c r="E245" i="19"/>
  <c r="H245" i="19" s="1"/>
  <c r="H244" i="19"/>
  <c r="E243" i="19"/>
  <c r="H243" i="19" s="1"/>
  <c r="E242" i="19"/>
  <c r="H242" i="19" s="1"/>
  <c r="E241" i="19"/>
  <c r="H241" i="19" s="1"/>
  <c r="H240" i="19"/>
  <c r="E239" i="19"/>
  <c r="H239" i="19" s="1"/>
  <c r="E238" i="19"/>
  <c r="H238" i="19" s="1"/>
  <c r="E237" i="19"/>
  <c r="H237" i="19" s="1"/>
  <c r="E236" i="19"/>
  <c r="H236" i="19" s="1"/>
  <c r="E235" i="19"/>
  <c r="H235" i="19" s="1"/>
  <c r="E234" i="19"/>
  <c r="H234" i="19" s="1"/>
  <c r="E233" i="19"/>
  <c r="H233" i="19" s="1"/>
  <c r="E232" i="19"/>
  <c r="H232" i="19" s="1"/>
  <c r="E231" i="19"/>
  <c r="H231" i="19" s="1"/>
  <c r="E230" i="19"/>
  <c r="H230" i="19" s="1"/>
  <c r="E229" i="19"/>
  <c r="H229" i="19" s="1"/>
  <c r="H228" i="19"/>
  <c r="H227" i="19"/>
  <c r="H214" i="19"/>
  <c r="F318" i="10" s="1"/>
  <c r="I318" i="10" s="1"/>
  <c r="H213" i="19"/>
  <c r="F316" i="10" s="1"/>
  <c r="I316" i="10" s="1"/>
  <c r="H212" i="19"/>
  <c r="F315" i="10" s="1"/>
  <c r="I315" i="10" s="1"/>
  <c r="H205" i="19"/>
  <c r="H204" i="19"/>
  <c r="F299" i="10" s="1"/>
  <c r="I299" i="10" s="1"/>
  <c r="H203" i="19"/>
  <c r="E202" i="19"/>
  <c r="H202" i="19" s="1"/>
  <c r="F288" i="10" s="1"/>
  <c r="I288" i="10" s="1"/>
  <c r="H201" i="19"/>
  <c r="H200" i="19"/>
  <c r="H199" i="19"/>
  <c r="F264" i="10" s="1"/>
  <c r="I264" i="10" s="1"/>
  <c r="H198" i="19"/>
  <c r="H197" i="19"/>
  <c r="H196" i="19"/>
  <c r="E194" i="19"/>
  <c r="H194" i="19" s="1"/>
  <c r="E193" i="19"/>
  <c r="H193" i="19" s="1"/>
  <c r="H192" i="19"/>
  <c r="E188" i="19"/>
  <c r="H188" i="19" s="1"/>
  <c r="F238" i="10" s="1"/>
  <c r="I238" i="10" s="1"/>
  <c r="H187" i="19"/>
  <c r="H186" i="19"/>
  <c r="H185" i="19"/>
  <c r="H183" i="19"/>
  <c r="F219" i="10" s="1"/>
  <c r="I219" i="10" s="1"/>
  <c r="H182" i="19"/>
  <c r="H181" i="19"/>
  <c r="H179" i="19"/>
  <c r="F167" i="10" s="1"/>
  <c r="I167" i="10" s="1"/>
  <c r="H178" i="19"/>
  <c r="F166" i="10" s="1"/>
  <c r="I166" i="10" s="1"/>
  <c r="H177" i="19"/>
  <c r="F165" i="10" s="1"/>
  <c r="I165" i="10" s="1"/>
  <c r="H176" i="19"/>
  <c r="F164" i="10" s="1"/>
  <c r="I164" i="10" s="1"/>
  <c r="H172" i="19"/>
  <c r="H171" i="19"/>
  <c r="H168" i="19"/>
  <c r="H167" i="19"/>
  <c r="H166" i="19"/>
  <c r="F147" i="10" s="1"/>
  <c r="I147" i="10" s="1"/>
  <c r="H165" i="19"/>
  <c r="F146" i="10" s="1"/>
  <c r="I146" i="10" s="1"/>
  <c r="H164" i="19"/>
  <c r="F145" i="10" s="1"/>
  <c r="I145" i="10" s="1"/>
  <c r="H163" i="19"/>
  <c r="F144" i="10" s="1"/>
  <c r="I144" i="10" s="1"/>
  <c r="H162" i="19"/>
  <c r="H161" i="19"/>
  <c r="H157" i="19"/>
  <c r="E156" i="19"/>
  <c r="H156" i="19" s="1"/>
  <c r="F133" i="10" s="1"/>
  <c r="I133" i="10" s="1"/>
  <c r="H154" i="19"/>
  <c r="H153" i="19"/>
  <c r="H152" i="19"/>
  <c r="H151" i="19"/>
  <c r="H150" i="19"/>
  <c r="H149" i="19"/>
  <c r="F126" i="10" s="1"/>
  <c r="I126" i="10" s="1"/>
  <c r="H148" i="19"/>
  <c r="F122" i="10" s="1"/>
  <c r="I122" i="10" s="1"/>
  <c r="H146" i="19"/>
  <c r="F100" i="10" s="1"/>
  <c r="I100" i="10" s="1"/>
  <c r="E145" i="19"/>
  <c r="H145" i="19" s="1"/>
  <c r="F99" i="10" s="1"/>
  <c r="I99" i="10" s="1"/>
  <c r="H144" i="19"/>
  <c r="H101" i="19"/>
  <c r="I60" i="10" s="1"/>
  <c r="H98" i="19"/>
  <c r="H97" i="19"/>
  <c r="H96" i="19"/>
  <c r="H94" i="19"/>
  <c r="F46" i="10" s="1"/>
  <c r="I46" i="10" s="1"/>
  <c r="H90" i="19"/>
  <c r="H89" i="19"/>
  <c r="H86" i="19"/>
  <c r="H87" i="19" s="1"/>
  <c r="F42" i="10" s="1"/>
  <c r="I42" i="10" s="1"/>
  <c r="H82" i="19"/>
  <c r="H81" i="19"/>
  <c r="H80" i="19"/>
  <c r="H79" i="19"/>
  <c r="H78" i="19"/>
  <c r="H77" i="19"/>
  <c r="H76" i="19"/>
  <c r="H75" i="19"/>
  <c r="H74" i="19"/>
  <c r="H73" i="19"/>
  <c r="H72" i="19"/>
  <c r="H67" i="19"/>
  <c r="H66" i="19"/>
  <c r="H65" i="19"/>
  <c r="H64" i="19"/>
  <c r="H60" i="19"/>
  <c r="H59" i="19"/>
  <c r="H58" i="19"/>
  <c r="H57" i="19"/>
  <c r="H45" i="19"/>
  <c r="H44" i="19"/>
  <c r="H43" i="19"/>
  <c r="H42" i="19"/>
  <c r="H41" i="19"/>
  <c r="H39" i="19"/>
  <c r="F18" i="10" s="1"/>
  <c r="I18" i="10" s="1"/>
  <c r="H35" i="19"/>
  <c r="H34" i="19"/>
  <c r="E31" i="19"/>
  <c r="H31" i="19" s="1"/>
  <c r="H32" i="19" s="1"/>
  <c r="F15" i="10" s="1"/>
  <c r="I15" i="10" s="1"/>
  <c r="H28" i="19"/>
  <c r="H29" i="19" s="1"/>
  <c r="F10" i="10" s="1"/>
  <c r="I10" i="10" s="1"/>
  <c r="H24" i="19"/>
  <c r="H23" i="19"/>
  <c r="H22" i="19"/>
  <c r="H21" i="19"/>
  <c r="H20" i="19"/>
  <c r="H19" i="19"/>
  <c r="H18" i="19"/>
  <c r="H14" i="19"/>
  <c r="H13" i="19"/>
  <c r="H12" i="19"/>
  <c r="H11" i="19"/>
  <c r="H10" i="19"/>
  <c r="H9" i="19"/>
  <c r="H8" i="19"/>
  <c r="H6" i="19"/>
  <c r="I4" i="10" s="1"/>
  <c r="H369" i="18"/>
  <c r="H367" i="18"/>
  <c r="H365" i="18"/>
  <c r="H363" i="18"/>
  <c r="H362" i="18"/>
  <c r="H357" i="18"/>
  <c r="H355" i="18"/>
  <c r="H347" i="18"/>
  <c r="H342" i="18"/>
  <c r="H336" i="18"/>
  <c r="H335" i="18"/>
  <c r="H334" i="18"/>
  <c r="H332" i="18"/>
  <c r="H331" i="18"/>
  <c r="H330" i="18"/>
  <c r="H329" i="18"/>
  <c r="H328" i="18"/>
  <c r="H323" i="18"/>
  <c r="H321" i="18"/>
  <c r="H318" i="18"/>
  <c r="H314" i="18"/>
  <c r="H308" i="18"/>
  <c r="H307" i="18"/>
  <c r="H306" i="18"/>
  <c r="H305" i="18"/>
  <c r="H304" i="18"/>
  <c r="H303" i="18"/>
  <c r="H301" i="18"/>
  <c r="H300" i="18"/>
  <c r="H290" i="18"/>
  <c r="H284" i="18"/>
  <c r="H212" i="18"/>
  <c r="H208" i="18"/>
  <c r="H151" i="18"/>
  <c r="H150" i="18"/>
  <c r="H145" i="18"/>
  <c r="H141" i="18"/>
  <c r="H139" i="18"/>
  <c r="H135" i="18"/>
  <c r="H134" i="18"/>
  <c r="H132" i="18"/>
  <c r="H128" i="18"/>
  <c r="H126" i="18"/>
  <c r="H121" i="18"/>
  <c r="H116" i="18"/>
  <c r="H100" i="18"/>
  <c r="H99" i="18"/>
  <c r="H95" i="18"/>
  <c r="H94" i="18"/>
  <c r="H93" i="18"/>
  <c r="H60" i="18"/>
  <c r="H59" i="18"/>
  <c r="H46" i="18"/>
  <c r="H42" i="18"/>
  <c r="H38" i="18"/>
  <c r="H37" i="18"/>
  <c r="H34" i="18"/>
  <c r="H30" i="18"/>
  <c r="H29" i="18"/>
  <c r="H28" i="18"/>
  <c r="H26" i="18"/>
  <c r="H16" i="18"/>
  <c r="H15" i="18"/>
  <c r="H10" i="18"/>
  <c r="H8" i="18"/>
  <c r="H7" i="18"/>
  <c r="H4" i="18"/>
  <c r="H466" i="16"/>
  <c r="H465" i="16"/>
  <c r="H433" i="16"/>
  <c r="H427" i="16"/>
  <c r="H425" i="16"/>
  <c r="H421" i="16"/>
  <c r="H419" i="16"/>
  <c r="H417" i="16"/>
  <c r="H416" i="16"/>
  <c r="H415" i="16"/>
  <c r="H414" i="16"/>
  <c r="H409" i="16"/>
  <c r="H408" i="16"/>
  <c r="H407" i="16"/>
  <c r="H399" i="16"/>
  <c r="H394" i="16"/>
  <c r="H374" i="16"/>
  <c r="H372" i="16"/>
  <c r="H370" i="16"/>
  <c r="H369" i="16"/>
  <c r="H368" i="16"/>
  <c r="H367" i="16"/>
  <c r="H362" i="16"/>
  <c r="H360" i="16"/>
  <c r="H352" i="16"/>
  <c r="H351" i="16"/>
  <c r="H347" i="16"/>
  <c r="H341" i="16"/>
  <c r="H340" i="16"/>
  <c r="H339" i="16"/>
  <c r="H337" i="16"/>
  <c r="H336" i="16"/>
  <c r="H335" i="16"/>
  <c r="H334" i="16"/>
  <c r="H333" i="16"/>
  <c r="H328" i="16"/>
  <c r="H326" i="16"/>
  <c r="H323" i="16"/>
  <c r="H319" i="16"/>
  <c r="H313" i="16"/>
  <c r="H312" i="16"/>
  <c r="H311" i="16"/>
  <c r="H310" i="16"/>
  <c r="H309" i="16"/>
  <c r="H308" i="16"/>
  <c r="H306" i="16"/>
  <c r="H305" i="16"/>
  <c r="H295" i="16"/>
  <c r="H289" i="16"/>
  <c r="H217" i="16"/>
  <c r="H213" i="16"/>
  <c r="H155" i="16"/>
  <c r="H154" i="16"/>
  <c r="H149" i="16"/>
  <c r="H145" i="16"/>
  <c r="H144" i="16"/>
  <c r="H143" i="16"/>
  <c r="H142" i="16"/>
  <c r="H138" i="16"/>
  <c r="H137" i="16"/>
  <c r="H135" i="16"/>
  <c r="H131" i="16"/>
  <c r="H129" i="16"/>
  <c r="H124" i="16"/>
  <c r="H121" i="16"/>
  <c r="H103" i="16"/>
  <c r="H102" i="16"/>
  <c r="H98" i="16"/>
  <c r="H97" i="16"/>
  <c r="H96" i="16"/>
  <c r="H60" i="16"/>
  <c r="H59" i="16"/>
  <c r="H46" i="16"/>
  <c r="H44" i="16"/>
  <c r="H39" i="16"/>
  <c r="H38" i="16"/>
  <c r="H37" i="16"/>
  <c r="H30" i="16"/>
  <c r="H29" i="16"/>
  <c r="H28" i="16"/>
  <c r="H26" i="16"/>
  <c r="H18" i="16"/>
  <c r="H16" i="16"/>
  <c r="H15" i="16"/>
  <c r="H10" i="16"/>
  <c r="H8" i="16"/>
  <c r="H7" i="16"/>
  <c r="H4" i="16"/>
  <c r="H472" i="10"/>
  <c r="H471" i="10"/>
  <c r="H439" i="10"/>
  <c r="H433" i="10"/>
  <c r="H431" i="10"/>
  <c r="H427" i="10"/>
  <c r="H425" i="10"/>
  <c r="H423" i="10"/>
  <c r="H422" i="10"/>
  <c r="H421" i="10"/>
  <c r="H420" i="10"/>
  <c r="H415" i="10"/>
  <c r="H414" i="10"/>
  <c r="H413" i="10"/>
  <c r="H405" i="10"/>
  <c r="H400" i="10"/>
  <c r="H380" i="10"/>
  <c r="H378" i="10"/>
  <c r="H376" i="10"/>
  <c r="H375" i="10"/>
  <c r="H374" i="10"/>
  <c r="H373" i="10"/>
  <c r="H368" i="10"/>
  <c r="H366" i="10"/>
  <c r="H358" i="10"/>
  <c r="H357" i="10"/>
  <c r="H353" i="10"/>
  <c r="H347" i="10"/>
  <c r="H346" i="10"/>
  <c r="H345" i="10"/>
  <c r="H343" i="10"/>
  <c r="H342" i="10"/>
  <c r="H341" i="10"/>
  <c r="H340" i="10"/>
  <c r="H339" i="10"/>
  <c r="H334" i="10"/>
  <c r="H332" i="10"/>
  <c r="H329" i="10"/>
  <c r="H325" i="10"/>
  <c r="H319" i="10"/>
  <c r="H318" i="10"/>
  <c r="H317" i="10"/>
  <c r="H316" i="10"/>
  <c r="H315" i="10"/>
  <c r="H314" i="10"/>
  <c r="H312" i="10"/>
  <c r="H311" i="10"/>
  <c r="H301" i="10"/>
  <c r="H295" i="10"/>
  <c r="H223" i="10"/>
  <c r="H219" i="10"/>
  <c r="H157" i="10"/>
  <c r="H156" i="10"/>
  <c r="H151" i="10"/>
  <c r="H147" i="10"/>
  <c r="H146" i="10"/>
  <c r="H145" i="10"/>
  <c r="H144" i="10"/>
  <c r="H140" i="10"/>
  <c r="H139" i="10"/>
  <c r="H137" i="10"/>
  <c r="H133" i="10"/>
  <c r="H131" i="10"/>
  <c r="H126" i="10"/>
  <c r="H123" i="10"/>
  <c r="H105" i="10"/>
  <c r="H104" i="10"/>
  <c r="H100" i="10"/>
  <c r="H99" i="10"/>
  <c r="H98" i="10"/>
  <c r="H60" i="10"/>
  <c r="H59" i="10"/>
  <c r="H56" i="10"/>
  <c r="H52" i="10"/>
  <c r="H46" i="10"/>
  <c r="H44" i="10"/>
  <c r="H42" i="10"/>
  <c r="H38" i="10"/>
  <c r="H37" i="10"/>
  <c r="H34" i="10"/>
  <c r="H30" i="10"/>
  <c r="H29" i="10"/>
  <c r="H28" i="10"/>
  <c r="H26" i="10"/>
  <c r="H23" i="10"/>
  <c r="H20" i="10"/>
  <c r="H18" i="10"/>
  <c r="H16" i="10"/>
  <c r="H15" i="10"/>
  <c r="H10" i="10"/>
  <c r="H8" i="10"/>
  <c r="H7" i="10"/>
  <c r="H4" i="10"/>
  <c r="I391" i="10" l="1"/>
  <c r="D11" i="14" s="1"/>
  <c r="I468" i="16"/>
  <c r="D22" i="14" s="1"/>
  <c r="I474" i="10"/>
  <c r="I92" i="10"/>
  <c r="D7" i="14" s="1"/>
  <c r="I164" i="16"/>
  <c r="D19" i="14" s="1"/>
  <c r="H93" i="21"/>
  <c r="F85" i="18" s="1"/>
  <c r="I85" i="18" s="1"/>
  <c r="I89" i="18" s="1"/>
  <c r="D27" i="14" s="1"/>
  <c r="H20" i="21"/>
  <c r="H21" i="21" s="1"/>
  <c r="F8" i="18" s="1"/>
  <c r="I8" i="18" s="1"/>
  <c r="H228" i="20"/>
  <c r="F335" i="16" s="1"/>
  <c r="I335" i="16" s="1"/>
  <c r="H44" i="20"/>
  <c r="H45" i="20" s="1"/>
  <c r="F37" i="16" s="1"/>
  <c r="I37" i="16" s="1"/>
  <c r="H55" i="20"/>
  <c r="H56" i="20" s="1"/>
  <c r="F38" i="16" s="1"/>
  <c r="I38" i="16" s="1"/>
  <c r="H64" i="20"/>
  <c r="H65" i="20" s="1"/>
  <c r="F39" i="16" s="1"/>
  <c r="I39" i="16" s="1"/>
  <c r="H75" i="20"/>
  <c r="H76" i="20" s="1"/>
  <c r="F59" i="16" s="1"/>
  <c r="I59" i="16" s="1"/>
  <c r="H220" i="20"/>
  <c r="F328" i="16" s="1"/>
  <c r="I328" i="16" s="1"/>
  <c r="H252" i="20"/>
  <c r="F383" i="16" s="1"/>
  <c r="I383" i="16" s="1"/>
  <c r="H273" i="19"/>
  <c r="F341" i="10" s="1"/>
  <c r="I341" i="10" s="1"/>
  <c r="H91" i="19"/>
  <c r="H92" i="19" s="1"/>
  <c r="F44" i="10" s="1"/>
  <c r="I44" i="10" s="1"/>
  <c r="H155" i="19"/>
  <c r="F131" i="10" s="1"/>
  <c r="I131" i="10" s="1"/>
  <c r="I159" i="10" s="1"/>
  <c r="D8" i="14" s="1"/>
  <c r="H69" i="19"/>
  <c r="H70" i="19" s="1"/>
  <c r="F38" i="10" s="1"/>
  <c r="I38" i="10" s="1"/>
  <c r="I169" i="10"/>
  <c r="D9" i="14" s="1"/>
  <c r="H195" i="19"/>
  <c r="F254" i="10" s="1"/>
  <c r="I254" i="10" s="1"/>
  <c r="H99" i="19"/>
  <c r="H100" i="19" s="1"/>
  <c r="F59" i="10" s="1"/>
  <c r="I59" i="10" s="1"/>
  <c r="H269" i="19"/>
  <c r="F340" i="10" s="1"/>
  <c r="I340" i="10" s="1"/>
  <c r="H264" i="19"/>
  <c r="F334" i="10" s="1"/>
  <c r="I334" i="10" s="1"/>
  <c r="H36" i="19"/>
  <c r="H37" i="19" s="1"/>
  <c r="F16" i="10" s="1"/>
  <c r="I16" i="10" s="1"/>
  <c r="H61" i="19"/>
  <c r="H62" i="19" s="1"/>
  <c r="F37" i="10" s="1"/>
  <c r="I37" i="10" s="1"/>
  <c r="H83" i="19"/>
  <c r="H84" i="19" s="1"/>
  <c r="F39" i="10" s="1"/>
  <c r="H39" i="10" s="1"/>
  <c r="H63" i="10" s="1"/>
  <c r="H15" i="19"/>
  <c r="H16" i="19" s="1"/>
  <c r="F7" i="10" s="1"/>
  <c r="I7" i="10" s="1"/>
  <c r="H46" i="19"/>
  <c r="H47" i="19" s="1"/>
  <c r="F20" i="10" s="1"/>
  <c r="I20" i="10" s="1"/>
  <c r="H25" i="19"/>
  <c r="H26" i="19" s="1"/>
  <c r="F8" i="10" s="1"/>
  <c r="I8" i="10" s="1"/>
  <c r="H382" i="10"/>
  <c r="C10" i="14" s="1"/>
  <c r="H244" i="20"/>
  <c r="F372" i="16" s="1"/>
  <c r="I372" i="16" s="1"/>
  <c r="I156" i="16"/>
  <c r="D18" i="14" s="1"/>
  <c r="H375" i="16"/>
  <c r="H212" i="20"/>
  <c r="F323" i="16" s="1"/>
  <c r="I323" i="16" s="1"/>
  <c r="I153" i="18"/>
  <c r="D28" i="14" s="1"/>
  <c r="H42" i="21"/>
  <c r="H43" i="21" s="1"/>
  <c r="F38" i="18" s="1"/>
  <c r="I38" i="18" s="1"/>
  <c r="H211" i="21"/>
  <c r="F329" i="18" s="1"/>
  <c r="I329" i="18" s="1"/>
  <c r="H57" i="21"/>
  <c r="H58" i="21" s="1"/>
  <c r="F59" i="18" s="1"/>
  <c r="I59" i="18" s="1"/>
  <c r="H147" i="21"/>
  <c r="F243" i="18" s="1"/>
  <c r="I243" i="18" s="1"/>
  <c r="H228" i="21"/>
  <c r="F367" i="18" s="1"/>
  <c r="I367" i="18" s="1"/>
  <c r="H10" i="21"/>
  <c r="H11" i="21" s="1"/>
  <c r="F7" i="18" s="1"/>
  <c r="I7" i="18" s="1"/>
  <c r="I61" i="18" s="1"/>
  <c r="D26" i="14" s="1"/>
  <c r="H198" i="21"/>
  <c r="F318" i="18" s="1"/>
  <c r="I318" i="18" s="1"/>
  <c r="H206" i="21"/>
  <c r="F323" i="18" s="1"/>
  <c r="I323" i="18" s="1"/>
  <c r="H294" i="19"/>
  <c r="F378" i="10" s="1"/>
  <c r="I378" i="10" s="1"/>
  <c r="H308" i="19"/>
  <c r="H253" i="19"/>
  <c r="F329" i="10" s="1"/>
  <c r="I329" i="10" s="1"/>
  <c r="H314" i="19"/>
  <c r="H61" i="18"/>
  <c r="H371" i="18"/>
  <c r="H61" i="16"/>
  <c r="H468" i="16"/>
  <c r="C22" i="14" s="1"/>
  <c r="H153" i="18"/>
  <c r="H156" i="16"/>
  <c r="H159" i="10"/>
  <c r="H474" i="10"/>
  <c r="C12" i="14" s="1"/>
  <c r="I392" i="10" l="1"/>
  <c r="I393" i="10" s="1"/>
  <c r="D12" i="14"/>
  <c r="I479" i="10"/>
  <c r="C30" i="14"/>
  <c r="H372" i="18"/>
  <c r="H373" i="18" s="1"/>
  <c r="I371" i="18"/>
  <c r="I62" i="18"/>
  <c r="I63" i="18" s="1"/>
  <c r="I384" i="16"/>
  <c r="I375" i="16"/>
  <c r="I61" i="16"/>
  <c r="I382" i="10"/>
  <c r="D10" i="14" s="1"/>
  <c r="I39" i="10"/>
  <c r="I63" i="10" s="1"/>
  <c r="H383" i="10"/>
  <c r="H384" i="10" s="1"/>
  <c r="C6" i="14"/>
  <c r="H64" i="10"/>
  <c r="H65" i="10" s="1"/>
  <c r="C8" i="14"/>
  <c r="H160" i="10"/>
  <c r="H161" i="10" s="1"/>
  <c r="I160" i="10"/>
  <c r="I161" i="10" s="1"/>
  <c r="C20" i="14"/>
  <c r="H376" i="16"/>
  <c r="H377" i="16" s="1"/>
  <c r="I157" i="16"/>
  <c r="I158" i="16" s="1"/>
  <c r="C18" i="14"/>
  <c r="H157" i="16"/>
  <c r="H158" i="16" s="1"/>
  <c r="C16" i="14"/>
  <c r="H62" i="16"/>
  <c r="H63" i="16" s="1"/>
  <c r="C28" i="14"/>
  <c r="H154" i="18"/>
  <c r="H155" i="18" s="1"/>
  <c r="I154" i="18"/>
  <c r="I155" i="18" s="1"/>
  <c r="C26" i="14"/>
  <c r="H62" i="18"/>
  <c r="H63" i="18" s="1"/>
  <c r="I62" i="16" l="1"/>
  <c r="I63" i="16" s="1"/>
  <c r="D16" i="14"/>
  <c r="D24" i="14" s="1"/>
  <c r="I376" i="16"/>
  <c r="I377" i="16" s="1"/>
  <c r="D20" i="14"/>
  <c r="I385" i="16"/>
  <c r="I386" i="16" s="1"/>
  <c r="D21" i="14"/>
  <c r="I64" i="10"/>
  <c r="I65" i="10" s="1"/>
  <c r="D6" i="14"/>
  <c r="D14" i="14" s="1"/>
  <c r="I372" i="18"/>
  <c r="I373" i="18" s="1"/>
  <c r="D30" i="14"/>
  <c r="D32" i="14" s="1"/>
  <c r="C14" i="14"/>
  <c r="I383" i="10"/>
  <c r="I384" i="10" s="1"/>
  <c r="C24" i="14"/>
  <c r="C32" i="14"/>
  <c r="D35" i="14" l="1"/>
  <c r="C35" i="14"/>
  <c r="C7" i="18"/>
  <c r="C7" i="16"/>
  <c r="C7" i="10" l="1"/>
</calcChain>
</file>

<file path=xl/sharedStrings.xml><?xml version="1.0" encoding="utf-8"?>
<sst xmlns="http://schemas.openxmlformats.org/spreadsheetml/2006/main" count="3590" uniqueCount="845">
  <si>
    <t>SR.NO.</t>
  </si>
  <si>
    <t>ITEM</t>
  </si>
  <si>
    <t>DESCRIPTION</t>
  </si>
  <si>
    <t>UNIT</t>
  </si>
  <si>
    <t>QTY.</t>
  </si>
  <si>
    <t>RATE</t>
  </si>
  <si>
    <t>AMOUNT</t>
  </si>
  <si>
    <t>KOTA skirting</t>
  </si>
  <si>
    <t>TOTAL</t>
  </si>
  <si>
    <t>NOS</t>
  </si>
  <si>
    <t xml:space="preserve">In Floor </t>
  </si>
  <si>
    <t>Back Entry  Door</t>
  </si>
  <si>
    <t>In Dry Storage Area</t>
  </si>
  <si>
    <t>a</t>
  </si>
  <si>
    <t>b</t>
  </si>
  <si>
    <t>c</t>
  </si>
  <si>
    <t>Internal Plaster</t>
  </si>
  <si>
    <t>PCC Work</t>
  </si>
  <si>
    <t>IPS Work</t>
  </si>
  <si>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</si>
  <si>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</si>
  <si>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Kitchen at 250mm</t>
  </si>
  <si>
    <t>Civil works</t>
  </si>
  <si>
    <t>Front Counters:</t>
  </si>
  <si>
    <t>B</t>
  </si>
  <si>
    <t>Sq.Ft</t>
  </si>
  <si>
    <t>Unit</t>
  </si>
  <si>
    <t>A</t>
  </si>
  <si>
    <t>Nos.</t>
  </si>
  <si>
    <t>d</t>
  </si>
  <si>
    <t>e</t>
  </si>
  <si>
    <t>RO</t>
  </si>
  <si>
    <t>f</t>
  </si>
  <si>
    <t>g</t>
  </si>
  <si>
    <t>h</t>
  </si>
  <si>
    <t>i</t>
  </si>
  <si>
    <t>j</t>
  </si>
  <si>
    <t>k</t>
  </si>
  <si>
    <t>l</t>
  </si>
  <si>
    <t>m</t>
  </si>
  <si>
    <t>n</t>
  </si>
  <si>
    <t>o</t>
  </si>
  <si>
    <t>p</t>
  </si>
  <si>
    <t>q</t>
  </si>
  <si>
    <t>Providing &amp; fixing 20-25mm wide 'T' shape s.s. brush finish Transition strip</t>
  </si>
  <si>
    <t>D</t>
  </si>
  <si>
    <t>C</t>
  </si>
  <si>
    <t>Nos</t>
  </si>
  <si>
    <t>No.</t>
  </si>
  <si>
    <t>E</t>
  </si>
  <si>
    <t>Plumbing</t>
  </si>
  <si>
    <t>Each</t>
  </si>
  <si>
    <t>CABLE TERMINATION</t>
  </si>
  <si>
    <t>Mtr.</t>
  </si>
  <si>
    <t>THERMAL INSULATION</t>
  </si>
  <si>
    <t>Counter top (700mm wide)
-700mm wide 19mm thick double plywood top made of approved make, bwr grade backing as directed in detail drawing.
-plywood top to be fixed on the existing low height wall's
-Counter top to be finished with 12mm approved shade corian</t>
  </si>
  <si>
    <t>Back Counter</t>
  </si>
  <si>
    <t>Kota stone slab flooring over 20 mm (average) thick base laid over and jointed with grey cement slurry mixed with pigment to match the shade of the slab including rubbing and polishing complete with base of cement mortar 1 : 4 (1 cement : 4 coarse sand) :</t>
  </si>
  <si>
    <t>25 mm thick</t>
  </si>
  <si>
    <t>Wall Tile Cladding -1           (MOH area)</t>
  </si>
  <si>
    <t>Flooring &amp; Cladding</t>
  </si>
  <si>
    <t xml:space="preserve">False Ceiling </t>
  </si>
  <si>
    <t xml:space="preserve">MOH Area </t>
  </si>
  <si>
    <t>Gypsum false ceiling       (MOH area)</t>
  </si>
  <si>
    <t>Sada Wall Tile Cladding -2               (Kitchen &amp; BOH area)</t>
  </si>
  <si>
    <t xml:space="preserve">Kota Flooring </t>
  </si>
  <si>
    <t>In MOH</t>
  </si>
  <si>
    <t>b. Outlet: Karim's</t>
  </si>
  <si>
    <t xml:space="preserve">a. Outlet: Karim's </t>
  </si>
  <si>
    <t xml:space="preserve"> </t>
  </si>
  <si>
    <t xml:space="preserve">Carpentry Works </t>
  </si>
  <si>
    <t xml:space="preserve">Front Undercounter Storage </t>
  </si>
  <si>
    <t>Under counter units to be finished with plain laminate (Merino/Greenlam/Equivalent) internally with provision of shelves and drawers for storage. All ply edges to be bounded with matching laminate. 18mm thk. Shutter to be made of plyboard (Century/Greenply/Equivalent)  finished in app. Laminate (Merino/Greenlam/Equivalent) from outside as per schedule.</t>
  </si>
  <si>
    <t>Providing &amp; Fixing of softwood framework within the counter panelling as per detail.</t>
  </si>
  <si>
    <t>*</t>
  </si>
  <si>
    <t>Provision and fixing of all hardware, channels, box hinges (Hettich/hafele/equivalent), locks (Hettich/hafele/godrej/equivalent) etc.</t>
  </si>
  <si>
    <t>Providing &amp; fixing of 100mm high &amp; 2mm thk. Brushed Finish SS skirting.</t>
  </si>
  <si>
    <t>Contractor to coordinate with electrical contractor for fixing of switch &amp; sockets.</t>
  </si>
  <si>
    <t xml:space="preserve">Back Undercounter Storage </t>
  </si>
  <si>
    <t>Under counter units to be finished with plain laminate (Merino/Greenlam/equivalent) internally with provision of drawers &amp; shelves for storage. All ply edges to be bounded with matching laminate &amp; 18mm thk shutter to be made of plyboard (Century/Greenply/equivalent) finished in app. Laminate (Merino/Greenlam/equivalent) from outside as per schedule .</t>
  </si>
  <si>
    <t>Provision and fixing of all hardware, channels, box hinges (hettich/hafele/equivalent), locks (hettich/hafele/godrej/equivalent) etc.</t>
  </si>
  <si>
    <t>Providing &amp; Fixing of 100mm high &amp; 2mm thk. S.S. plate skirting at the bottom.</t>
  </si>
  <si>
    <t>length - 2300mm. Depth - 600mm, height - 1050mm</t>
  </si>
  <si>
    <t>length - 3580mm. Depth - 750mm, height - 1000mm</t>
  </si>
  <si>
    <t>Fixing &amp; laying of  100mm high kota stone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</si>
  <si>
    <t xml:space="preserve">WATERPROOFING </t>
  </si>
  <si>
    <t>Providing and laying a proprietary chemical waterproofing system consisting of polymer-modified acrylic base coating in two coats in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</si>
  <si>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FLOOR</t>
  </si>
  <si>
    <t>Sq.ft.</t>
  </si>
  <si>
    <t>SFT</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</si>
  <si>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                              Including two coats of primer suitable for gypsum board two or more coats of plastic emulsion paint
of approved shade and also including making necessary openings for light fittings, grills, diffusers, cutouts made with frame of perimeter channels suitable fixed all complete as per drawing and specification and direction. Rate to be inclusive of shadow profile at the junction of
wall &amp; ceiling, in between of ceiling, etc. complete.</t>
  </si>
  <si>
    <t xml:space="preserve">FLOOR TRANSITION STRIP </t>
  </si>
  <si>
    <t xml:space="preserve">FARIDKOT FOOD COURT  </t>
  </si>
  <si>
    <t>PLUMBING WORK COST ESTIMATE</t>
  </si>
  <si>
    <t>S.NO.</t>
  </si>
  <si>
    <t>Karims</t>
  </si>
  <si>
    <t>Noodle Wok</t>
  </si>
  <si>
    <t>GIANIS</t>
  </si>
  <si>
    <t>TOTAL AMOUNT IN RS</t>
  </si>
  <si>
    <t>C&amp;I</t>
  </si>
  <si>
    <t>HVAC</t>
  </si>
  <si>
    <t xml:space="preserve">Electrical </t>
  </si>
  <si>
    <t>SITC of , testing and commissioning of S.S.Gratings</t>
  </si>
  <si>
    <t>S.S. GRATING</t>
  </si>
  <si>
    <t>Only installation, testing and commissioning of  sanitary and C.P. fittings</t>
  </si>
  <si>
    <t>SANITARY AND C. P. FITTINGS &amp; FIXTURES</t>
  </si>
  <si>
    <t>Multi trap 110 mm dia with square grating (Outlet 75MM dia)</t>
  </si>
  <si>
    <t>P-trap 110 mm dia</t>
  </si>
  <si>
    <t xml:space="preserve">Providing &amp; fixing in position pipe trap of self cleaning design of  following  sizes  for the embedded areas. Making proper connection with , cutting chase / hole in floors /slabs and bringing the same in proper condition in cement concrete 1:2:4 mix complete as required. including cost of cutting and making good the walls and floors where required. Make :  </t>
  </si>
  <si>
    <t>R.mt</t>
  </si>
  <si>
    <t>150 mm Dia</t>
  </si>
  <si>
    <t>100 mm Dia</t>
  </si>
  <si>
    <t>75mm Dia</t>
  </si>
  <si>
    <t xml:space="preserve">50mm Dia </t>
  </si>
  <si>
    <t xml:space="preserve">Providing and fixing Upvc SWR pipes  ( Class B Heavy Type) including all fittings (plain or door) e.g. bends, junction, cowls, offsets, access pieces, jointing with rubber ring/solvent cement joints,jali,clamps including cutting chase or holes in walls and floors and making good where required.( Inside the building) </t>
  </si>
  <si>
    <t xml:space="preserve">DRAINAGE </t>
  </si>
  <si>
    <t xml:space="preserve">SITC of Eco smart RO 50 LPH Capacity with all required accessories </t>
  </si>
  <si>
    <t xml:space="preserve">20 L Capacity </t>
  </si>
  <si>
    <t>5 L Capacity-</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</si>
  <si>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</si>
  <si>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32 mm Dia incoming line</t>
  </si>
  <si>
    <t>Providing and fixing of brass multijet water meters with magnetic transmision of IS-779:1994 including with rubber gasket, flanges/ unions, nuts, bolts, washers, etc. complete as required. Make : Kranti</t>
  </si>
  <si>
    <t xml:space="preserve">25mm Dia </t>
  </si>
  <si>
    <t>Providing, fixing, testing and commissioning of Y STRAINER FLANGED END EPOXY COATED WITH SS SCREEN (CR16B)</t>
  </si>
  <si>
    <t xml:space="preserve">Providing, fixing, testing and commissioning of NRV with forged brass body, brass diaphram and SS seal in water supply pipes. Complete as required. </t>
  </si>
  <si>
    <t>32mm Dia</t>
  </si>
  <si>
    <t>20mm Dia</t>
  </si>
  <si>
    <t>Providing &amp; fixing  gun metal lever operated ball valve. Tested to a pressure of 15 Kg / Sqcm. Including flanges/union, nuts, bolts, washer etc. Complete as required.</t>
  </si>
  <si>
    <t>25 mm Dia</t>
  </si>
  <si>
    <t>20 mm Dia</t>
  </si>
  <si>
    <t>15 mm Dia</t>
  </si>
  <si>
    <t>Providing and fixing Chlorinated Polyvinyl Chloride (CPVC) pipes SDR 11,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Pressure Testing (Pipe shall be tested with 1.5 times working pressure as covered in specifications)</t>
  </si>
  <si>
    <t>WATER SUPPLY  PIPING</t>
  </si>
  <si>
    <t>Qty.</t>
  </si>
  <si>
    <t>Description</t>
  </si>
  <si>
    <t>S. No.</t>
  </si>
  <si>
    <t>SR. NO.</t>
  </si>
  <si>
    <t>REVISED QTY. R0</t>
  </si>
  <si>
    <t>RATE IN Rs.</t>
  </si>
  <si>
    <t>PANELS, SWITCHGEARS &amp; DISTRIBUTION BOARD</t>
  </si>
  <si>
    <t>MAIN PANEL-1</t>
  </si>
  <si>
    <t>Incomer : 63 AMPS 4P MCCB, 25kA with TM Based O/C &amp; SC Release.</t>
  </si>
  <si>
    <t>Meter &amp; Protection: ELR with CBCT; 60/5A, 15VA, CL-1 CT's -3 Nos. for Schneider make Digital Load Manager (EM 6400 NG)</t>
  </si>
  <si>
    <t>Indication: Phase indicating lamps with 6A MCB</t>
  </si>
  <si>
    <t>Busbar: 100A TPN Cu Busbar</t>
  </si>
  <si>
    <t xml:space="preserve">Outgoings: </t>
  </si>
  <si>
    <t>a) 63A 4P MCCB, 16kA, TM BASED-1 Nos.</t>
  </si>
  <si>
    <t>d) 40A DP MCB-2 Nos.</t>
  </si>
  <si>
    <t>f) 32A 4P MCCB 16kA TM Based Releases with 1.5 kW DOL Starter, Phase Indicating lamps, ON/OFF/TRIP Indication, ON/OFF Push Button-1 Nos.</t>
  </si>
  <si>
    <t>MAIN PANEL-2</t>
  </si>
  <si>
    <t>Incomer : 40 AMPS 4P MCCB, 25kA with TM Based O/C &amp; SC Release.</t>
  </si>
  <si>
    <t>Meter &amp; Protection: ELR with CBCT; 40/5A, 15VA, CL-1 CT's -3 Nos. for Schneider make Digital Load Manager (EM 6400 NG)</t>
  </si>
  <si>
    <t>Busbar: 75A TPN Cu Busbar</t>
  </si>
  <si>
    <t>a) 32A 4P MCB, 10kA-1 Nos.</t>
  </si>
  <si>
    <t>b) 25A 4P MCB, 10kA-1 Nos.</t>
  </si>
  <si>
    <t>c) 32A DP MCB, 10kA-1 Nos.</t>
  </si>
  <si>
    <t>d) 40A DP MCB, 10kA-1 Nos.</t>
  </si>
  <si>
    <t>SWITCHGEARS &amp; DISTRIBUTION BOARD</t>
  </si>
  <si>
    <t>Supplying &amp; installing at site in positioning, connecting, testing and commissioning of the following type Distribution Boards &amp; Switchgears. (IP-43) ACRY DB</t>
  </si>
  <si>
    <t>Provide insulated dedicated earth link for UPS DB</t>
  </si>
  <si>
    <t>All MCB's for UPS shall be D Curve, C Curve for Power &amp; B Curve for Lighting.</t>
  </si>
  <si>
    <t>SWITCHGEARS</t>
  </si>
  <si>
    <t>2.1.1</t>
  </si>
  <si>
    <t>Supply, installation, testing and commissioning of sheet metal enclosures for the following switchgears.</t>
  </si>
  <si>
    <t>2.1.1.a</t>
  </si>
  <si>
    <t xml:space="preserve">63/40/32/20 amps 4P MCB 'C' TYPE with complete with all mounting accessories – for Indoor Legrand make </t>
  </si>
  <si>
    <t>2.1.1.b</t>
  </si>
  <si>
    <t>63/40/32/20 amps DP MCB 'C' TYPE with complete with all mounting accessories – IP-65</t>
  </si>
  <si>
    <t>2.1.1.c</t>
  </si>
  <si>
    <t>2.1.1.d</t>
  </si>
  <si>
    <t>2.1.1.e</t>
  </si>
  <si>
    <t>DISTRIBUTION BOARDS</t>
  </si>
  <si>
    <t>2.2.1</t>
  </si>
  <si>
    <t>6 WAY SPN DB - UPS DB</t>
  </si>
  <si>
    <t>Incomer : 20 AMPS DP MCB 10KA : 1 Nos.</t>
  </si>
  <si>
    <t>Outgoings : 6/10/16 A SP MCB "B" Type - 4 Nos.</t>
  </si>
  <si>
    <t>2.2.2</t>
  </si>
  <si>
    <t>8 WAY TPN - LPDB</t>
  </si>
  <si>
    <t>Incomer : 40A, FP, MCB, 10kA: 1 Nos</t>
  </si>
  <si>
    <t>Sub Incomer : 32A, DP, RCCB, 100mA: 3 Nos</t>
  </si>
  <si>
    <t>Outgoings : 10/16/20/25 A SP MCB "C" Type - 24 Nos.</t>
  </si>
  <si>
    <t>Outgoings : 32 A SP MCB "C" Type - 0 Nos.</t>
  </si>
  <si>
    <t>2.2.3</t>
  </si>
  <si>
    <t>12 WAY SPN DB - UPS DB</t>
  </si>
  <si>
    <t>Incomer : 32 AMPS DP RCBO 100mA</t>
  </si>
  <si>
    <t>Outgoings : 10/16/20 A SP MCB "C" Type - 6 Nos.</t>
  </si>
  <si>
    <t xml:space="preserve">KARNAL HAVELI - Karim's </t>
  </si>
  <si>
    <t>CIVIL &amp; INTERIOR</t>
  </si>
  <si>
    <t>MIC.</t>
  </si>
  <si>
    <t>ELECTRICAL WORKS</t>
  </si>
  <si>
    <t>MV CABLES</t>
  </si>
  <si>
    <t>POWER CABLING</t>
  </si>
  <si>
    <t>Aluminium cables</t>
  </si>
  <si>
    <t>4C x 50 Sq.mm.</t>
  </si>
  <si>
    <t>3.5C x 35 Sq.mm.</t>
  </si>
  <si>
    <t>4C x 10 Sq.mm.</t>
  </si>
  <si>
    <t>- do - but for copper cables</t>
  </si>
  <si>
    <t>4C x 25 Sq.mm.</t>
  </si>
  <si>
    <t>4C x 16 Sq.mm.</t>
  </si>
  <si>
    <t xml:space="preserve">d </t>
  </si>
  <si>
    <t>4C x 6 Sq.mm.</t>
  </si>
  <si>
    <t>4C x 4 Sq.mm.</t>
  </si>
  <si>
    <t>4C x 2.5 Sq.mm.</t>
  </si>
  <si>
    <t>3C x 6 Sq.mm.</t>
  </si>
  <si>
    <t>3C x 4 Sq.mm.</t>
  </si>
  <si>
    <t>3C x 2.5 Sq.mm.</t>
  </si>
  <si>
    <t>CU Flexible Cables</t>
  </si>
  <si>
    <t xml:space="preserve">3C x 2.5 Sq.mm. </t>
  </si>
  <si>
    <t>2C x 2.5 Sq.mm. for Earthing</t>
  </si>
  <si>
    <t>, - do - but for copper flexible cables</t>
  </si>
  <si>
    <t>1c x 4 Sq.mm  PVC insulated PVC flexible copper conductor cables alongwith termination (GREEN COLOUR)</t>
  </si>
  <si>
    <t>TOTAL FOR POWER CABLES</t>
  </si>
  <si>
    <t>Making cable and terminations including brass single compression glands and crimping type copper lugs for cable sizes mentioned below for aluminium or copper.</t>
  </si>
  <si>
    <t>4C x 50 Sq.mm. AL</t>
  </si>
  <si>
    <t>4C x 16 Sq.mm. CU</t>
  </si>
  <si>
    <t>Flexible cable</t>
  </si>
  <si>
    <t>3C x 2.5 Sq.mm.  (Lighting)</t>
  </si>
  <si>
    <t>2C x 2.5 Sq.mm.</t>
  </si>
  <si>
    <t>RACEWAYS AND CABLE TRAYS</t>
  </si>
  <si>
    <t xml:space="preserve">100 mm (wide) x 100 mm (height)  </t>
  </si>
  <si>
    <t xml:space="preserve">50 mm (wide) x 50 mm (height)  </t>
  </si>
  <si>
    <t xml:space="preserve">100 mm (wide) x 40 mm (height)  </t>
  </si>
  <si>
    <t xml:space="preserve">65 mm (wide) x 40 mm (height)  </t>
  </si>
  <si>
    <t xml:space="preserve">(variation in height may be considered for quoting as floor thickness may vary)    </t>
  </si>
  <si>
    <t xml:space="preserve">250 mm x 250 x 60/50 mm (height) </t>
  </si>
  <si>
    <t xml:space="preserve">150 mm x 150 x 60/50 mm (height) </t>
  </si>
  <si>
    <t xml:space="preserve">100 mm x 150 x 60/50 mm (height) </t>
  </si>
  <si>
    <t>300 mm wide x 50 mm x 2.0 mm thk</t>
  </si>
  <si>
    <t xml:space="preserve">150 mm wide x 50 mm x 2.0 mm thk </t>
  </si>
  <si>
    <t>100 mm wide x 50 mm x 2.0 mm thk</t>
  </si>
  <si>
    <t xml:space="preserve">50 mm wide x 50 mm x 2.0 mm thk </t>
  </si>
  <si>
    <t>POINT WIRING</t>
  </si>
  <si>
    <t xml:space="preserve">Point wiring LENGTH from DB to SB or First Light point control be MCB shall be avg. of 15Mtr. of 3C x 2.5 sq mm   FRLS PVC insulated stranded copper conductor wires. For SB to SB the length shall be measured in Mtr. </t>
  </si>
  <si>
    <t>The secondary/Loop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</si>
  <si>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</si>
  <si>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</si>
  <si>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&amp; as per following manner.</t>
  </si>
  <si>
    <t>Wiring for the Primary light points with 3C x 2.5 Sq.mm  FRLS PVC insulated stranded copper conductor wires in GI conduits in F.ceiling/walls/ceiling  as direc­ted from Distribution Board to Switch Board including  providing 6 amps flush type switches, 5 sided G.I Boxes for housing switc­hes and earth­ing complete as required. Rates shall exclusive of Switches &amp; Switch boxes.</t>
  </si>
  <si>
    <t>4.1.1</t>
  </si>
  <si>
    <t>From DB to Normal Switch Board</t>
  </si>
  <si>
    <t>4.1.2</t>
  </si>
  <si>
    <t>From DB to Emergency Switch Board</t>
  </si>
  <si>
    <t>4.2.1</t>
  </si>
  <si>
    <t>First point controlled by one no. 6 amp switch. (upto 10Mtr.)</t>
  </si>
  <si>
    <t>4.2.2</t>
  </si>
  <si>
    <t>First point controlled by one no. 6 amp switch. (upto 20Mtr.)</t>
  </si>
  <si>
    <t>4.2.3</t>
  </si>
  <si>
    <t>First point controlled by one no. 6 amp switch. For Emergency Light (upto 10Mtr.)</t>
  </si>
  <si>
    <t>4.2.4</t>
  </si>
  <si>
    <t>First point controlled by one no. 6 amp switch. For Emergency Light (upto 20Mtr.)</t>
  </si>
  <si>
    <t>Wiring for the following light points controlled by MCB in DB (Cost of MCB has been taken elsewhere in the tender) with 3C x 2.5  sq. mm FRLS PVC insulated copper conductor wires  in concealed/exposed GI conduits  as called for  and earthing.</t>
  </si>
  <si>
    <t>4.5.1</t>
  </si>
  <si>
    <t xml:space="preserve">First point controlled by existing MCB in D.B.  </t>
  </si>
  <si>
    <t>4.5.2</t>
  </si>
  <si>
    <t xml:space="preserve">Wiring for UPS/Raw plug outlets points with 3C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GI boxes)                  </t>
  </si>
  <si>
    <t xml:space="preserve">Wiring for UPS/Raw plug outlets points with 4C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GI boxes)                  </t>
  </si>
  <si>
    <t xml:space="preserve">Providing and fixing in position the  following GI RIGID conduits including all accessories concealed in F. ceiling/wall/floor as required including pull boxes with 3mm thick perspex sheet cover plate complete with  1.6 mm dia. G.I. pull wires in the length of conduit.                                </t>
  </si>
  <si>
    <t>4.10.1</t>
  </si>
  <si>
    <t xml:space="preserve">20 mm dia GI Conduit     </t>
  </si>
  <si>
    <t>4.10.2</t>
  </si>
  <si>
    <t xml:space="preserve">25 mm dia GI Conduit     </t>
  </si>
  <si>
    <t xml:space="preserve">Providing and fixing in position the  following GI FLEXIBLE conduits including all accessories concealed in F. ceiling/wall/floor as required including pull boxes with 3mm thick perspex sheet cover plate complete with  1.6 mm dia. G.I. pull wires in the length of conduit.                                </t>
  </si>
  <si>
    <t>4.11.1</t>
  </si>
  <si>
    <t>4.11.2</t>
  </si>
  <si>
    <t>Supply &amp; Laying of 2Cx2.5 Sq.mm FRLS Cu Flexible Cable in 25mm dia. GI Conduit for CCTV</t>
  </si>
  <si>
    <t>MODULAR SWITCHES</t>
  </si>
  <si>
    <t>5.1.1</t>
  </si>
  <si>
    <t>6A One Way Switch</t>
  </si>
  <si>
    <t>5.1.2</t>
  </si>
  <si>
    <t>6A 5 pin Socket - 1Nos. &amp; 6A Switch - 1Nos.</t>
  </si>
  <si>
    <t>5.1.3</t>
  </si>
  <si>
    <t>6/16A Socket outlet - 1Nos. &amp; 16A Switch - 1Nos.(Raw/UPS Power)</t>
  </si>
  <si>
    <t>5.1.4</t>
  </si>
  <si>
    <t>5.1.5</t>
  </si>
  <si>
    <t>20 Amp 1- Ph Industrial Socket (Metal Clad)</t>
  </si>
  <si>
    <t>32 Amp 3- Ph Industrial Socket (Metal Clad)</t>
  </si>
  <si>
    <t>5.1.6</t>
  </si>
  <si>
    <t>20 Amp 1- Ph Electrical Outlet</t>
  </si>
  <si>
    <t>5.1.7</t>
  </si>
  <si>
    <t>Data Outlet (RJ-45)</t>
  </si>
  <si>
    <t>5.1.8</t>
  </si>
  <si>
    <t>Telephone Outlet (RJ-11)</t>
  </si>
  <si>
    <t>GENERAL EARTHING</t>
  </si>
  <si>
    <t>6.1.1</t>
  </si>
  <si>
    <t>25 x 3 mm</t>
  </si>
  <si>
    <t>6.2.1</t>
  </si>
  <si>
    <t>8 SWG</t>
  </si>
  <si>
    <t>LIGHT FIXTURES INSTALLATION</t>
  </si>
  <si>
    <t xml:space="preserve">Receiving from Store, Installation, testing &amp; commissioning of following light fixtures with complete installation hardwares including Anchor fastner, supporting Hook/Rods as per final approval from Architect/Client/Consultant </t>
  </si>
  <si>
    <t>7.1.1</t>
  </si>
  <si>
    <t>7.1.2</t>
  </si>
  <si>
    <t>7.1.3</t>
  </si>
  <si>
    <t>HANGING LIGHT</t>
  </si>
  <si>
    <t>7.1.4</t>
  </si>
  <si>
    <t>TRACK LIGHT</t>
  </si>
  <si>
    <t>7.1.6</t>
  </si>
  <si>
    <t>LED STRIP (15 M)</t>
  </si>
  <si>
    <t>7.1.7</t>
  </si>
  <si>
    <t>WALL LIGHT</t>
  </si>
  <si>
    <t>MISCELLANEOUS WORKS</t>
  </si>
  <si>
    <t>Supply &amp; fixing in position approved shock treatment chart written in English, Hindi and Local language.  These charts shall be framed in wooden frame &amp; covered with clear glass.</t>
  </si>
  <si>
    <t>Part of Tender</t>
  </si>
  <si>
    <t>Supply, laying, testing (for continuity) of 23 AWG Copper, Cat 6 UTP Cable, Data &amp; Wi-Fi points including end termination, dressing, bunching of cables with identification ferruling.</t>
  </si>
  <si>
    <t>EQUIPMENTS</t>
  </si>
  <si>
    <t>AIR SCRUBBER</t>
  </si>
  <si>
    <t>Modular Double skin Floor mounted air scrubber units made of 23+2mm thick PUF insulated panels extruded aluminum hollow profiles with 0.8mm thick pre-coated GI Outer Sheet &amp; 0.8mm thick Plain GI (270gsm) inner sheet comprising of Intake section for duct connection, Al Wiremesh filter section, Wet section made of 20g SS Tank, Three Phase Pump (1w+1s), GI internal piping, Single Bank Spray Nozzles and 2bend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Eliminators shall also be made of SS.</t>
  </si>
  <si>
    <t>3500 CFM (65mm of wg Total St. Pressure)</t>
  </si>
  <si>
    <t>AIR WASHER</t>
  </si>
  <si>
    <t>Modular Double skin Floor mounted air washer units made of 23+2mm thick PUF insulated panels extruded aluminum hollow profiles with 0.8mm thick pre-coated GI Outer Sheet &amp; 0.8mm thick Plain GI (270gsm) inner sheet comprising of Al Wiremesh filter section, Wet section made of 20g SS Tank, Single Phase Pump (1w+1s), PVC internal piping, Distribution system, 200mm deep Cellulose Pads &amp; 2 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Pads &amp; Eliminators shall also be made of SS.</t>
  </si>
  <si>
    <t>3150 CFM (50mm of wg Total St. Pressure)</t>
  </si>
  <si>
    <t>AIR DISTRIBUTION</t>
  </si>
  <si>
    <t>(FOR FACTORY FABRICATED DUCTS AS PER “SMACNA” STANDARDS &amp; SPECIFICTIONS)</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</si>
  <si>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</si>
  <si>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18 G sheet</t>
  </si>
  <si>
    <t>sq.m</t>
  </si>
  <si>
    <t xml:space="preserve"> 20G sheet</t>
  </si>
  <si>
    <t>22G sheet</t>
  </si>
  <si>
    <t>24G sheet</t>
  </si>
  <si>
    <t>26G sheet</t>
  </si>
  <si>
    <t>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t>
  </si>
  <si>
    <t>Supply, installation, testing and balancing of powder coated Extruded Aluminium Supply  air Grilles with volume control dampers in accordance with the approved shop drawings and specifications. (Minimum Chargable area would be 0.1 Sqm Per Pc)</t>
  </si>
  <si>
    <t>SQMT</t>
  </si>
  <si>
    <t>Supply, installation, testing and balancing of Powder coated/Anodised  extruded aluminium construction exhaust air louvers with bird screen for exhaust air as per specifications and approved shop drawings. (Minimum Chargable area would be 0.1 Sqm Per Pc)</t>
  </si>
  <si>
    <t>Supply, installation, testing and balancing of Powder coated/Anodised  extruded aluminium construction. inlet air louvers with bird screen and volume damper for fresh air as per specifications and approved shop drawings.</t>
  </si>
  <si>
    <t>THERMAL INSULATION FOR KITCHEN DUCTS</t>
  </si>
  <si>
    <t>SITC of Glass Fibre Blanket Insulation material bonded with Thrmosetting Resin, with factory applied laminated aluminium foil of 22 micrns with fibre glass backing. Nominal density : 48 Kg/CuM. Thermal conductivity, &lt; 0.033 W/m.K at 24 degreeC. All Insuation material and adhesives shall be as per Class I for surface spread and in accordance with BS 476, &amp; Class O for non-combustible grade.</t>
  </si>
  <si>
    <t>80 mm Thick</t>
  </si>
  <si>
    <t>ELECTRICAL INSTALLATION</t>
  </si>
  <si>
    <t>CONTROL PANEL FOR AHU / Air washer / Scrubber   (WITH DOL / SD STARTER)</t>
  </si>
  <si>
    <t>Design, manufacture, supply, installation, testing and commissioning of the following cubicle type, dead front, sheet steel, wall mounted control panels including anchoring into the wall, wiring, incoming, earthing &amp; terminating into MCCB in each panel shall be provided by the electrical contractor.</t>
  </si>
  <si>
    <t>All internal wiring power cabling and copper earthing of air handling unit motors from the panel shall be included.</t>
  </si>
  <si>
    <t>All outgoing shall be provided with Stop / Manual /Auto selector switch to facilitate operation through BAS. All starters shall be provided with potential free Contact for Connections to Building Automation System.</t>
  </si>
  <si>
    <t>The panel shall include the following components and accessories.</t>
  </si>
  <si>
    <t>a.</t>
  </si>
  <si>
    <t>MCCB as per the ratings given below, suitable for motor duty and able to withstand fault level of 20 KA.</t>
  </si>
  <si>
    <t>b.</t>
  </si>
  <si>
    <t>DOL / SD starter as per HP ratings</t>
  </si>
  <si>
    <t>c.</t>
  </si>
  <si>
    <t>Terminal block for power distribution.</t>
  </si>
  <si>
    <t>d.</t>
  </si>
  <si>
    <t>Contactor, over load relay with built in single phasing protection.</t>
  </si>
  <si>
    <t>e.</t>
  </si>
  <si>
    <t>Phase indicating lights and indicating light for ON status.</t>
  </si>
  <si>
    <t>f.</t>
  </si>
  <si>
    <t>Digital voltmeter and digital ammeter with selector switches.</t>
  </si>
  <si>
    <t>g.</t>
  </si>
  <si>
    <t>Time delay relay for delayed automatic restart of air handling unit motor.</t>
  </si>
  <si>
    <t>For on/off/remote and local operation, 3 pole single throw switch shall be provided in each AHU panel to facilitate override of the automatic operation.</t>
  </si>
  <si>
    <t>All starters shall be provided with suitable potential free contract for connections to the Building Automation System.</t>
  </si>
  <si>
    <t>The number of AHU control panels shall be as follows.</t>
  </si>
  <si>
    <t>3 HP DOL Starter</t>
  </si>
  <si>
    <t>5 HP DOL Starter</t>
  </si>
  <si>
    <t>HVAC WORK</t>
  </si>
  <si>
    <t>Using 100mm thk full ht ( Up to ht. 3500 mm)</t>
  </si>
  <si>
    <t>Half brick partition walls</t>
  </si>
  <si>
    <t>Brickwork of 0.23 And Greater thickness</t>
  </si>
  <si>
    <t>Providing and laying brick masonry above plinth for superstructure, for walls, architectural elements and other similar locations etc., in 1:6 Cement Mortar (1 Cement : 6 Coarse Sand by volume) in true line, level and plumb, including raking the joints upto 6 to 12 mm depth, rubbing and cleaning the surface, with necessary scaffolding, curing, soaking of the bricks adequately before construction, complete as directed and specified.</t>
  </si>
  <si>
    <t>Door</t>
  </si>
  <si>
    <t xml:space="preserve">Providing &amp; fixing in position Single Leaf Door made up of 38mm thick commercial flush door shutter of approved make &amp; thickness, Inner side finished with veneer and outer side with fluted veneer finish including providing &amp; fixing 12 mm thk Wooden lipping all around, including P/F of Door frame made out of CP Teak / Ash wood or equivalent with melamine polish finish. Size of the frame approximate 80mm wide X 50mm thick. Applicable hardware's such as ozone door lock with handle (model number OMH-11N STD, Ozone hinge, ozone door closer (suitable for 60 KG load) and any other hardware like door stopper, door back buffer etc. required to complete the related works as per design &amp; detail.  door hardware make consider Dorma / Hafele/Ozone. Door should have vision panel of 10"x24". </t>
  </si>
  <si>
    <t>Counter top (600mm wide)
-600mm wide 19mm thick double plywood top made of approved make, bwr grade backing as directed in detail drawing.
-plywood top to be fixed on the existing low height wall's
-Counter top to be finished with 12mm approved shade corian (Corian Basic rate - 700/sqft)</t>
  </si>
  <si>
    <t>Providing &amp; fixing in position Single Leaf Door made up of 38mm thick commercial flush door shutter of approved make &amp; thickness, Inner side finished with veneer and outer side with fluted veneer finish including providing &amp; fixing 12 mm thk Wooden lipping all around, including P/F of Door frame made out of CP Teak / Ash wood or equivalent with melamine polish finish. Size of the frame approximate 80mm wide X 50mm thick. Applicable hardware's such as ozone door lock with handle (model number OMH-11N STD, Ozone hinge, ozone door closer (suitable for 60 KG load) and any other hardware like door stopper, door back buffer etc. required to complete the related works as per design &amp; detail.  door hardware make consider Dorma / Hafele/Ozone. Door should have vision panel of 10"x24". (Laminate Basic rate - 50/sqft)</t>
  </si>
  <si>
    <t>Providing &amp; fixing in position Double Leaf Door made up of 38mm thick commercial flush door shutter of approved make &amp; thickness, Inner sidefinished with veneer and outer side with 1mm thk laminate finish including providing &amp; fixing 12 mm thk Wooden lipping all around, including P/F of Door frame made out of CP Teak / Ash wood or equivalent with melamine polish finish. Size of the frame approximate 80mm wide X 50mm thick. Applicable hardware's such as ozone mortise lock OMH-11N STD, Ozone door closer  and any other hardware etc required to complete the related works as per design &amp; detail.  door hardware make consider Dorma / Hafele/Ozon /equilient. (Laminate Basic rate - 50/sqft)</t>
  </si>
  <si>
    <t>RFT</t>
  </si>
  <si>
    <t>15mm Dia</t>
  </si>
  <si>
    <t>35 L Capacity- For pot sink</t>
  </si>
  <si>
    <t>P&amp;F of jaquar continental seriers angle valve</t>
  </si>
  <si>
    <t>P&amp;F of Jaquar Continental Sink Mixer Chrome CON-309KNM with Swinging Spout (Wall Mounted Model) With Connecting Legs &amp; Wall Flanges</t>
  </si>
  <si>
    <t>P&amp;F Jaquar  Continental CON-347KN Jaquar Continental Sink Cock Kitchen Mixer Faucet  (Wall Mount Installation Type)</t>
  </si>
  <si>
    <t>Floor trap 110 mm dia with grating(Outlet 100MM dia)</t>
  </si>
  <si>
    <t>Nahani trap 110 mm dia with grating(Outlet 100MM dia)</t>
  </si>
  <si>
    <t>GRID CEILING LIGHT</t>
  </si>
  <si>
    <t>CEILING MOUNTED LIGHT</t>
  </si>
  <si>
    <t xml:space="preserve">Supply &amp; fixing in position the best quality danger notice boards of approved shape &amp; size as reqd. by the local Electrical Inspecting Authority written in English, Hindi &amp; local language.  With Labeling of all electrical points and DB &amp; panel etc. </t>
  </si>
  <si>
    <t>Contractor to fullfil all the necessary health, safety and enviroment norms while working at site ensuring his team and subvendors, supplier uses PPE kit as per TFS standard while working on the site. Also includes regular cleanig of site and deep cleaning before handover on the site to the operation team</t>
  </si>
  <si>
    <t>Metal Ceiling</t>
  </si>
  <si>
    <t>Fitting of false ceiling consisting of 20g non-perforated aluminium planks made of pre-coated ( Top &amp; Bottom ) &amp; Size : 600mmx600mm tiles . False Ceiling with necessary supports , hangers etc. provided to install light fitting , fresh air grill etc. ( from Hunter Douglas /Armstrong  or equivalent.)</t>
  </si>
  <si>
    <t>Size: 600 X 600 mm Rate :150/ SFT</t>
  </si>
  <si>
    <t>3.1.1</t>
  </si>
  <si>
    <t>3.1.2</t>
  </si>
  <si>
    <t>3.1.3</t>
  </si>
  <si>
    <t>3.1.4</t>
  </si>
  <si>
    <t>3.3.1</t>
  </si>
  <si>
    <t>3.3.2</t>
  </si>
  <si>
    <t>3.3.3</t>
  </si>
  <si>
    <t>3.3.4</t>
  </si>
  <si>
    <t>TOTAL FOR ELECTRICAL WORKS</t>
  </si>
  <si>
    <t>KARNAL HAVELI - Noodle Wok</t>
  </si>
  <si>
    <t>P&amp;F of 304 grade 3mm thick SS Corner guard (30mm x 30mm), mat finished as per approved sample) fixing with SS full thread screws on each corner of the kitchen's wall before cladding of tiles, so that the corner may be protected from the damages.  Complete in proper line &amp; level and site engineer's instruction.</t>
  </si>
  <si>
    <t>b. Outlet: Noodle</t>
  </si>
  <si>
    <t xml:space="preserve">a. Outlet: Noodle </t>
  </si>
  <si>
    <t>25 L Capacity- For pot sink</t>
  </si>
  <si>
    <t>3000 CFM (65mm of wg Total St. Pressure)</t>
  </si>
  <si>
    <t>2700 CFM (50mm of wg Total St. Pressure)</t>
  </si>
  <si>
    <t>Detectors and Devices</t>
  </si>
  <si>
    <t>Supply,Installation,Testing &amp; Commissioning of  Horn / Strobe rated at 82 dBA @ 3m for Audible annunciation and 75cd flashing at 1 Hz for visual indication with Control modules and necessary accessories including back box.</t>
  </si>
  <si>
    <t>Supply,Installation,Testing &amp; Commissioning of  Addressable Break Glass Manual Call Point   having Rotary, decimal addressing system and having an integrally mounted addressable module that monitors and reports contact status.</t>
  </si>
  <si>
    <t>SITC of 2Cx1.5sq.mm multistranded Armoured FRLS RED Colour,Mylan Shielded Screened  cable</t>
  </si>
  <si>
    <t>Mtrs</t>
  </si>
  <si>
    <t>Response indicator.</t>
  </si>
  <si>
    <t>GRAND  - TOTAL  A , B,  C, D AND E</t>
  </si>
  <si>
    <t>Sprinkler Point</t>
  </si>
  <si>
    <t>No</t>
  </si>
  <si>
    <t>Provding &amp; making sprinkler point in 25mm c-class pipe including tanco pendent hose pipe of 1.5m</t>
  </si>
  <si>
    <t>Butterfly valve dia 65mm for main tap off point</t>
  </si>
  <si>
    <t>3 L Capacity-</t>
  </si>
  <si>
    <t>Kitchen equipments unloading/ shifting</t>
  </si>
  <si>
    <t>JOB</t>
  </si>
  <si>
    <t>SS Corner Guard</t>
  </si>
  <si>
    <t>Window/ door  jamb</t>
  </si>
  <si>
    <t>Kitchen Door</t>
  </si>
  <si>
    <t>Unloading/Shifitng/ fixing of  kitchen equipments.</t>
  </si>
  <si>
    <r>
      <t xml:space="preserve">P&amp;A of </t>
    </r>
    <r>
      <rPr>
        <b/>
        <sz val="9"/>
        <rFont val="Calibri"/>
        <family val="2"/>
        <scheme val="minor"/>
      </rPr>
      <t>single coat backing plaster of 15-18 mm thick</t>
    </r>
    <r>
      <rPr>
        <sz val="9"/>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</si>
  <si>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r>
      <t xml:space="preserve">Providing and laying up to </t>
    </r>
    <r>
      <rPr>
        <b/>
        <sz val="9"/>
        <rFont val="Calibri"/>
        <family val="2"/>
        <scheme val="minor"/>
      </rPr>
      <t>50-75 mm thick cement concrete flooring</t>
    </r>
    <r>
      <rPr>
        <sz val="9"/>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</si>
  <si>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r>
      <t>Providing and laying cement concrete flooring</t>
    </r>
    <r>
      <rPr>
        <sz val="9"/>
        <color rgb="FFFF0000"/>
        <rFont val="Calibri"/>
        <family val="2"/>
        <scheme val="minor"/>
      </rPr>
      <t xml:space="preserve"> </t>
    </r>
    <r>
      <rPr>
        <sz val="9"/>
        <rFont val="Calibri"/>
        <family val="2"/>
        <scheme val="minor"/>
      </rPr>
      <t>25 - 40</t>
    </r>
    <r>
      <rPr>
        <sz val="9"/>
        <color indexed="8"/>
        <rFont val="Calibri"/>
        <family val="2"/>
        <scheme val="minor"/>
      </rPr>
      <t xml:space="preserve"> mm thick </t>
    </r>
    <r>
      <rPr>
        <sz val="9"/>
        <color rgb="FF000000"/>
        <rFont val="Calibri"/>
        <family val="2"/>
        <scheme val="minor"/>
      </rPr>
      <t>, C.M. 1:3 laid to proper level and slope cost should including compaction as directed and curing complete in all respect.</t>
    </r>
    <r>
      <rPr>
        <sz val="10"/>
        <color rgb="FFFA2E2E"/>
        <rFont val="Book Antiqua"/>
        <family val="1"/>
      </rPr>
      <t/>
    </r>
  </si>
  <si>
    <r>
      <rPr>
        <sz val="9"/>
        <rFont val="Calibri"/>
        <family val="2"/>
        <scheme val="minor"/>
      </rPr>
      <t>P&amp;F of 304 grade 3mm thick SS Corner guard (30mm x 30mm), mat
finished as per approved sample) fixing with SS full thread screws on each corner of the kitchen's wall before cladding of tiles, so that the corner may be protected from the damages.  Complete in proper line &amp;
level and site engineer's instruction.</t>
    </r>
  </si>
  <si>
    <r>
      <rPr>
        <sz val="9"/>
        <rFont val="Calibri"/>
        <family val="2"/>
        <scheme val="minor"/>
      </rPr>
      <t>Providing &amp; Fixing polished Jet black granite stone
/Approved stone in  "Z" Door Jambs, Window Cills, Architrave, ledge wall top etc. (maximum width upto 300mm) in cement mortar 1:3 &amp;  in cement slurry, including necessary  filing joints in white cement pigmented to approved shade. Also includes necessary edge polishing, champhering, moulding etc complete as per the direction of INOX. Basic Rate of Black Granite : Rs 150/- per Sft. (Granite shall be Procured by Contractor)</t>
    </r>
  </si>
  <si>
    <r>
      <rPr>
        <sz val="9"/>
        <color rgb="FF006FC0"/>
        <rFont val="Calibri"/>
        <family val="2"/>
        <scheme val="minor"/>
      </rPr>
      <t>Basic Rate: 275/ SFT</t>
    </r>
  </si>
  <si>
    <r>
      <t xml:space="preserve">Bulkhead paneling- Front (8320mm wide)
-Providing and fixing 19mm thick plywood of approved make.
-Cost includes of making a 50mm thick MS frame at periphery C/C Horiozontaly and vertically to maintain gap between wall and panel as
directed in detail drawing- finish with laminate (Laminate Basic rate - 50/sqft). </t>
    </r>
    <r>
      <rPr>
        <b/>
        <sz val="9"/>
        <rFont val="Calibri"/>
        <family val="2"/>
        <scheme val="minor"/>
      </rPr>
      <t>FOR Bulkhead</t>
    </r>
  </si>
  <si>
    <r>
      <t xml:space="preserve">Ply Panelling -Providing and fixing 19mm thick plywood of approved make.
-Cost includes of making a 50mm thick MS frame at periphery C/C Horiozontaly and vertically to maintain gap between wall and panel, finish with paint. </t>
    </r>
    <r>
      <rPr>
        <b/>
        <sz val="9"/>
        <rFont val="Calibri"/>
        <family val="2"/>
        <scheme val="minor"/>
      </rPr>
      <t>FOR above of Bulkhead</t>
    </r>
  </si>
  <si>
    <r>
      <t>Ply Panelling -Providing and fixing 19mm thick plywood of approved make.
-Cost includes of making a 50mm thick MS frame at periphery C/C Horiozontaly and vertically to maintain gap between wall and panel, finish with paint.-</t>
    </r>
    <r>
      <rPr>
        <b/>
        <sz val="9"/>
        <rFont val="Calibri"/>
        <family val="2"/>
        <scheme val="minor"/>
      </rPr>
      <t xml:space="preserve"> FOR DMB</t>
    </r>
  </si>
  <si>
    <r>
      <t xml:space="preserve">Providing and fixing in position tile of approved make &amp; shade on any surface as per details in drawing and </t>
    </r>
    <r>
      <rPr>
        <b/>
        <sz val="9"/>
        <color theme="1"/>
        <rFont val="Calibri"/>
        <family val="2"/>
        <scheme val="minor"/>
      </rPr>
      <t>Over 12 mm thk bed of cement mortar 1:3 (cement: fine sand )</t>
    </r>
    <r>
      <rPr>
        <sz val="9"/>
        <color theme="1"/>
        <rFont val="Calibri"/>
        <family val="2"/>
        <scheme val="minor"/>
      </rPr>
      <t xml:space="preserve"> with thick grey cement slurry, with hairline joints using cement grout. The job included cutting tiles &amp; making smooth edges wherever required. The work shall also include the cost of materials, wastages, labor, all lead and lift at all levels, loading and unloading, transportation, curing, etc., and all other incidental charges, etc. Complete as specified in the drawing &amp; to the satisfaction of the Site Engineer.</t>
    </r>
    <r>
      <rPr>
        <sz val="9"/>
        <color theme="5" tint="-0.249977111117893"/>
        <rFont val="Calibri"/>
        <family val="2"/>
        <scheme val="minor"/>
      </rPr>
      <t xml:space="preserve"> Basic Rate of tile - 80/sft</t>
    </r>
  </si>
  <si>
    <r>
      <t>Providing and fixing in sada tile of approved make &amp; shade on any surface as per details in drawing and</t>
    </r>
    <r>
      <rPr>
        <b/>
        <sz val="9"/>
        <color theme="1"/>
        <rFont val="Calibri"/>
        <family val="2"/>
        <scheme val="minor"/>
      </rPr>
      <t xml:space="preserve"> Over 12 mm thk bed of cement mortar 1:3 (cement : fine sand ) </t>
    </r>
    <r>
      <rPr>
        <sz val="9"/>
        <color theme="1"/>
        <rFont val="Calibri"/>
        <family val="2"/>
        <scheme val="minor"/>
      </rPr>
      <t xml:space="preserve">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9"/>
        <color theme="1"/>
        <rFont val="Calibri"/>
        <family val="2"/>
        <scheme val="minor"/>
      </rPr>
      <t>Ceramic wall tile (Printed) With customize line work Make : -Johnson in exposed area / Ceramic wall tile white/ Satin white 300x450mm below counter or hidden area. Basic Rate of tile - 50/sft</t>
    </r>
  </si>
  <si>
    <r>
      <t>25 mm Dia incoming line</t>
    </r>
    <r>
      <rPr>
        <b/>
        <sz val="9"/>
        <rFont val="Calibri"/>
        <family val="2"/>
        <scheme val="minor"/>
      </rPr>
      <t xml:space="preserve"> </t>
    </r>
  </si>
  <si>
    <r>
      <t>40 mm Dia incoming line</t>
    </r>
    <r>
      <rPr>
        <b/>
        <sz val="9"/>
        <rFont val="Calibri"/>
        <family val="2"/>
        <scheme val="minor"/>
      </rPr>
      <t xml:space="preserve"> </t>
    </r>
  </si>
  <si>
    <r>
      <t xml:space="preserve">Installation of </t>
    </r>
    <r>
      <rPr>
        <b/>
        <sz val="9"/>
        <rFont val="Calibri"/>
        <family val="2"/>
        <scheme val="minor"/>
      </rPr>
      <t xml:space="preserve"> grease trap -model NGT-14 Capacity -25.5 lit ( 28 LPM) </t>
    </r>
    <r>
      <rPr>
        <sz val="9"/>
        <rFont val="Calibri"/>
        <family val="2"/>
        <scheme val="minor"/>
      </rPr>
      <t xml:space="preserve"> with all required accessories( SIZE:-</t>
    </r>
  </si>
  <si>
    <r>
      <t xml:space="preserve">SITC of </t>
    </r>
    <r>
      <rPr>
        <b/>
        <sz val="9"/>
        <rFont val="Calibri"/>
        <family val="2"/>
        <scheme val="minor"/>
      </rPr>
      <t xml:space="preserve"> grease trap -model NGT-30 Capacity -47.5 lit ( 57 LPM) </t>
    </r>
    <r>
      <rPr>
        <sz val="9"/>
        <rFont val="Calibri"/>
        <family val="2"/>
        <scheme val="minor"/>
      </rPr>
      <t xml:space="preserve"> with all required accessories( SIZE:-</t>
    </r>
  </si>
  <si>
    <t>P&amp;F Jaquar Continental CON-CHR-321KNB Sink Mounted Double lever Sink Mixer with Extended Swinging Spout | Table Mounting | Sink Mounting </t>
  </si>
  <si>
    <r>
      <t>Making chamber in brick work including internal tiling and installing S.S Grating</t>
    </r>
    <r>
      <rPr>
        <b/>
        <sz val="9"/>
        <rFont val="Calibri"/>
        <family val="2"/>
        <scheme val="minor"/>
      </rPr>
      <t xml:space="preserve"> size, 300mm x 300mm,  </t>
    </r>
    <r>
      <rPr>
        <sz val="9"/>
        <rFont val="Calibri"/>
        <family val="2"/>
        <scheme val="minor"/>
      </rPr>
      <t xml:space="preserve">in 16 swg 25mm x25mm Square Pipe around the  Frame and </t>
    </r>
    <r>
      <rPr>
        <b/>
        <sz val="9"/>
        <rFont val="Calibri"/>
        <family val="2"/>
        <scheme val="minor"/>
      </rPr>
      <t xml:space="preserve"> </t>
    </r>
    <r>
      <rPr>
        <sz val="9"/>
        <rFont val="Calibri"/>
        <family val="2"/>
        <scheme val="minor"/>
      </rPr>
      <t xml:space="preserve"> 20mmX 20mm Square pipe in center of frame with </t>
    </r>
    <r>
      <rPr>
        <b/>
        <sz val="9"/>
        <rFont val="Calibri"/>
        <family val="2"/>
        <scheme val="minor"/>
      </rPr>
      <t>SS perforated tray (304 SWR)</t>
    </r>
    <r>
      <rPr>
        <sz val="9"/>
        <rFont val="Calibri"/>
        <family val="2"/>
        <scheme val="minor"/>
      </rPr>
      <t xml:space="preserve">. Complete as per architectural detail drawing &amp; Site Engineer's instruction. </t>
    </r>
    <r>
      <rPr>
        <b/>
        <u/>
        <sz val="9"/>
        <rFont val="Calibri"/>
        <family val="2"/>
        <scheme val="minor"/>
      </rPr>
      <t>(SS Frame and perforated tray shall be provided by TFS)</t>
    </r>
  </si>
  <si>
    <r>
      <t>Making chamber in brick work including internal tiling and installing S.S Grating</t>
    </r>
    <r>
      <rPr>
        <b/>
        <sz val="9"/>
        <rFont val="Calibri"/>
        <family val="2"/>
        <scheme val="minor"/>
      </rPr>
      <t xml:space="preserve"> size, 1050mm x 350mm,  </t>
    </r>
    <r>
      <rPr>
        <sz val="9"/>
        <rFont val="Calibri"/>
        <family val="2"/>
        <scheme val="minor"/>
      </rPr>
      <t xml:space="preserve">in 16 swg 25mm x25mm Square Pipe around the  Frame and </t>
    </r>
    <r>
      <rPr>
        <b/>
        <sz val="9"/>
        <rFont val="Calibri"/>
        <family val="2"/>
        <scheme val="minor"/>
      </rPr>
      <t xml:space="preserve"> </t>
    </r>
    <r>
      <rPr>
        <sz val="9"/>
        <rFont val="Calibri"/>
        <family val="2"/>
        <scheme val="minor"/>
      </rPr>
      <t xml:space="preserve"> 20mmX 20mm Square pipe in center of frame with </t>
    </r>
    <r>
      <rPr>
        <b/>
        <sz val="9"/>
        <rFont val="Calibri"/>
        <family val="2"/>
        <scheme val="minor"/>
      </rPr>
      <t>SS perforated tray (304 SWR)</t>
    </r>
    <r>
      <rPr>
        <sz val="9"/>
        <rFont val="Calibri"/>
        <family val="2"/>
        <scheme val="minor"/>
      </rPr>
      <t xml:space="preserve">. Complete as per architectural detail drawing &amp; Site Engineer's instruction. </t>
    </r>
    <r>
      <rPr>
        <b/>
        <u/>
        <sz val="9"/>
        <rFont val="Calibri"/>
        <family val="2"/>
        <scheme val="minor"/>
      </rPr>
      <t>(SS Frame and perforated tray shall be provided by TFS)</t>
    </r>
  </si>
  <si>
    <r>
      <t>32 amps 4P MCB with 32A 5 Pin Ray Roll Socket complete with all mounting accessories waterproof (IP-65) for Kitchen</t>
    </r>
    <r>
      <rPr>
        <b/>
        <sz val="9"/>
        <rFont val="Calibri"/>
        <family val="2"/>
        <scheme val="minor"/>
      </rPr>
      <t xml:space="preserve"> </t>
    </r>
  </si>
  <si>
    <r>
      <t>25 amps DP MCB with 25A 3 Pin Ray Roll Socket complete with all mounting accessories waterproof (IP-65) for Kitchen</t>
    </r>
    <r>
      <rPr>
        <b/>
        <sz val="9"/>
        <rFont val="Calibri"/>
        <family val="2"/>
        <scheme val="minor"/>
      </rPr>
      <t xml:space="preserve"> </t>
    </r>
  </si>
  <si>
    <r>
      <t>16 amps DP MCB with 15A 3 Pin Ray Roll Socket complete with all mounting accessories waterproof (IP-65) for Kitchen</t>
    </r>
    <r>
      <rPr>
        <b/>
        <sz val="9"/>
        <rFont val="Calibri"/>
        <family val="2"/>
        <scheme val="minor"/>
      </rPr>
      <t xml:space="preserve"> </t>
    </r>
  </si>
  <si>
    <r>
      <t>5/15 amps Switch Socket complete with all mounting accessories waterproof (IP-65) for Kitchen</t>
    </r>
    <r>
      <rPr>
        <b/>
        <sz val="9"/>
        <rFont val="Calibri"/>
        <family val="2"/>
        <scheme val="minor"/>
      </rPr>
      <t xml:space="preserve"> </t>
    </r>
  </si>
  <si>
    <r>
      <t xml:space="preserve">Supply and laying, effecting proper connections, testing &amp; commissioning of the following sizes of 1.1 KV  XLPE </t>
    </r>
    <r>
      <rPr>
        <sz val="9"/>
        <color indexed="10"/>
        <rFont val="Calibri"/>
        <family val="2"/>
        <scheme val="minor"/>
      </rPr>
      <t>FRLS</t>
    </r>
    <r>
      <rPr>
        <sz val="9"/>
        <rFont val="Calibri"/>
        <family val="2"/>
        <scheme val="minor"/>
      </rPr>
      <t xml:space="preserv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r>
  </si>
  <si>
    <r>
      <rPr>
        <b/>
        <sz val="9"/>
        <rFont val="Calibri"/>
        <family val="2"/>
        <scheme val="minor"/>
      </rPr>
      <t>TRUNKING:</t>
    </r>
    <r>
      <rPr>
        <sz val="9"/>
        <rFont val="Calibri"/>
        <family val="2"/>
        <scheme val="minor"/>
      </rPr>
      <t xml:space="preserve"> Fabricating supplying to site of installation, installation on ceiling/ surface  1.6 mm thick   G.I. Trunking  of height 50 mm and  2.0 mm thick openable cover, totally enclosed, the joints between two lengths of channels  or between channel and junction box shall be joined together with 3 mm thick  G.I. coupler plates &amp; Reducers as per requirement. </t>
    </r>
    <r>
      <rPr>
        <b/>
        <sz val="9"/>
        <rFont val="Calibri"/>
        <family val="2"/>
        <scheme val="minor"/>
      </rPr>
      <t>The cost shall including all supporting and fixing accessories with 8/10mm threaded Ros &amp; Clamps etc. including dash fasteners.</t>
    </r>
  </si>
  <si>
    <r>
      <rPr>
        <b/>
        <sz val="9"/>
        <rFont val="Calibri"/>
        <family val="2"/>
        <scheme val="minor"/>
      </rPr>
      <t>RACEWAY:</t>
    </r>
    <r>
      <rPr>
        <sz val="9"/>
        <rFont val="Calibri"/>
        <family val="2"/>
        <scheme val="minor"/>
      </rPr>
      <t xml:space="preserve"> Fabricating, supplying to site of installation, installation in the floor before the flooring from 2 mm thick pregalvanised MS CRCA sheet, totally enclosed, height 40 mm . The two lengths of raceways shall be fitted with Collars , 50 mm wide, 3 mm thick. The raceways shall be clamped to the floor slab with GI clamps 3mm thick and shall be screwed to the floor slab. The joint between raceway and junction box will be made with GI cover which will be  nut bolted to the Junction box to cover the entire Junction box side walls complete as required etc. all the Raceways sections shall be earthed.</t>
    </r>
  </si>
  <si>
    <r>
      <rPr>
        <b/>
        <sz val="9"/>
        <rFont val="Calibri"/>
        <family val="2"/>
        <scheme val="minor"/>
      </rPr>
      <t>JUNCTION BOXES:</t>
    </r>
    <r>
      <rPr>
        <sz val="9"/>
        <rFont val="Calibri"/>
        <family val="2"/>
        <scheme val="minor"/>
      </rPr>
      <t xml:space="preserve"> Fabricating supplying to site of installation, Junction boxes made from 2 mm thick  pregalvanised sheet, with 3.0 mm thick  pregalvanised cover including providing neoprene gaskets between the cover and the junction box, cadmium plated flat/round head screws,  height as per site condition,totally enclosed. Proper cutouts shall be made in the side walls for raceway entry wherever required. The floor junction box shall be all side walls should be welded expect top cover and all side walls shall have suitable size of rectangular knock out holes for taking raceways / conduits as required and not a complete cut out. The top cover should be sealed with M Seal to make it dust and water proof complete as required etc. </t>
    </r>
  </si>
  <si>
    <r>
      <rPr>
        <b/>
        <sz val="9"/>
        <rFont val="Calibri"/>
        <family val="2"/>
        <scheme val="minor"/>
      </rPr>
      <t>CABLE TRAY:</t>
    </r>
    <r>
      <rPr>
        <sz val="9"/>
        <rFont val="Calibri"/>
        <family val="2"/>
        <scheme val="minor"/>
      </rPr>
      <t xml:space="preserve"> Design manufacture , supply and fixing in position the cable trays of the following sizes for supporting 1.1 KV grade armoured/unarmoured aluminium /copper conductor cables. Fabricate the cable trays from perforated 1.6/2mm thick M.S. CRCA sheet duly galvanised with expansion coupler plates duly galvanised,  with bolts, washer and nuts. Knock out holes for cable connections as per approved design. The tray should comply with the specification of NEC (National Electric Codes) and NEMA (National Electric Manufacturers Association). The steel should be as per IS:226 and galvanising as per IS :2629/BS 729/ASTM 123.  The rate shall also include for supporting steel , fish plates , fixing accessories , nuts bolts, supporting down rods , dash fastener, cutting the RCC etc. complete as required. (the horizontal and vertical bends, T's should be factory fabricated and the rate should include for the same)</t>
    </r>
  </si>
  <si>
    <r>
      <t xml:space="preserve">Wiring for the following light points with 3 x 2.5 Sq.mm  FRLS PVC insulated stranded copper conductor wires in GI conduits in F.ceiling/walls/ceiling  as direc­ted including  providing 6 amps flush type switches, 5 sided G.I Boxes for housing switc­hes and earth­ing complete as required from the above switch board. Rates shall exclusive of Switches &amp; Switch Box. </t>
    </r>
    <r>
      <rPr>
        <sz val="9"/>
        <color indexed="10"/>
        <rFont val="Calibri"/>
        <family val="2"/>
        <scheme val="minor"/>
      </rPr>
      <t>(FROM SB TO LIGHT)</t>
    </r>
  </si>
  <si>
    <r>
      <t>Same as item No. 4.2.1 &amp; 4.2.2 above but LOOP POINT i.e. wiring of point looped from first point with 3C x 2.5 sq. mm FRLS PVC insulated</t>
    </r>
    <r>
      <rPr>
        <b/>
        <sz val="9"/>
        <rFont val="Calibri"/>
        <family val="2"/>
        <scheme val="minor"/>
      </rPr>
      <t xml:space="preserve"> </t>
    </r>
    <r>
      <rPr>
        <sz val="9"/>
        <rFont val="Calibri"/>
        <family val="2"/>
        <scheme val="minor"/>
      </rPr>
      <t>copper</t>
    </r>
    <r>
      <rPr>
        <b/>
        <sz val="9"/>
        <rFont val="Calibri"/>
        <family val="2"/>
        <scheme val="minor"/>
      </rPr>
      <t xml:space="preserve"> </t>
    </r>
    <r>
      <rPr>
        <sz val="9"/>
        <rFont val="Calibri"/>
        <family val="2"/>
        <scheme val="minor"/>
      </rPr>
      <t xml:space="preserve">conductor wire in concealed/exposed GI conduit and earthing </t>
    </r>
  </si>
  <si>
    <r>
      <t>Same as item No. 4.2.3 &amp; 4.2.4 above but LOOP POINT i.e. wiring of point looped from first point with 3C x 2.5 sq. mm FRLS PVC insulated</t>
    </r>
    <r>
      <rPr>
        <b/>
        <sz val="9"/>
        <rFont val="Calibri"/>
        <family val="2"/>
        <scheme val="minor"/>
      </rPr>
      <t xml:space="preserve"> </t>
    </r>
    <r>
      <rPr>
        <sz val="9"/>
        <rFont val="Calibri"/>
        <family val="2"/>
        <scheme val="minor"/>
      </rPr>
      <t>copper</t>
    </r>
    <r>
      <rPr>
        <b/>
        <sz val="9"/>
        <rFont val="Calibri"/>
        <family val="2"/>
        <scheme val="minor"/>
      </rPr>
      <t xml:space="preserve"> </t>
    </r>
    <r>
      <rPr>
        <sz val="9"/>
        <rFont val="Calibri"/>
        <family val="2"/>
        <scheme val="minor"/>
      </rPr>
      <t xml:space="preserve">conductor wire in concealed/exposed GI conduit and earthing  For Emergency Light </t>
    </r>
  </si>
  <si>
    <r>
      <t xml:space="preserve">First </t>
    </r>
    <r>
      <rPr>
        <b/>
        <sz val="9"/>
        <rFont val="Calibri"/>
        <family val="2"/>
        <scheme val="minor"/>
      </rPr>
      <t>Emergency</t>
    </r>
    <r>
      <rPr>
        <sz val="9"/>
        <rFont val="Calibri"/>
        <family val="2"/>
        <scheme val="minor"/>
      </rPr>
      <t xml:space="preserve"> point controlled by existing MCB in D.B.  </t>
    </r>
  </si>
  <si>
    <r>
      <t>Same as item No.4.5.1 above but LOOP POINT i.e. wiring of point looped from first point with 3C x 2.5 sq. mm FRLS. insulated</t>
    </r>
    <r>
      <rPr>
        <b/>
        <sz val="9"/>
        <rFont val="Calibri"/>
        <family val="2"/>
        <scheme val="minor"/>
      </rPr>
      <t xml:space="preserve"> </t>
    </r>
    <r>
      <rPr>
        <sz val="9"/>
        <rFont val="Calibri"/>
        <family val="2"/>
        <scheme val="minor"/>
      </rPr>
      <t>copper</t>
    </r>
    <r>
      <rPr>
        <b/>
        <sz val="9"/>
        <rFont val="Calibri"/>
        <family val="2"/>
        <scheme val="minor"/>
      </rPr>
      <t xml:space="preserve"> </t>
    </r>
    <r>
      <rPr>
        <sz val="9"/>
        <rFont val="Calibri"/>
        <family val="2"/>
        <scheme val="minor"/>
      </rPr>
      <t xml:space="preserve">conductor wire in concealed/exposed  GI conduit and earthing </t>
    </r>
  </si>
  <si>
    <r>
      <t>Same as item No. 4.5.2 above but LOOP POINT i.e. wiring of point looped from first point with 3C x 2.5 sq. mm FRLS. insulated</t>
    </r>
    <r>
      <rPr>
        <b/>
        <sz val="9"/>
        <rFont val="Calibri"/>
        <family val="2"/>
        <scheme val="minor"/>
      </rPr>
      <t xml:space="preserve"> </t>
    </r>
    <r>
      <rPr>
        <sz val="9"/>
        <rFont val="Calibri"/>
        <family val="2"/>
        <scheme val="minor"/>
      </rPr>
      <t>copper</t>
    </r>
    <r>
      <rPr>
        <b/>
        <sz val="9"/>
        <rFont val="Calibri"/>
        <family val="2"/>
        <scheme val="minor"/>
      </rPr>
      <t xml:space="preserve"> </t>
    </r>
    <r>
      <rPr>
        <sz val="9"/>
        <rFont val="Calibri"/>
        <family val="2"/>
        <scheme val="minor"/>
      </rPr>
      <t xml:space="preserve">conductor wire in concealed/exposed  M.S. conduit and earthing  </t>
    </r>
    <r>
      <rPr>
        <b/>
        <sz val="9"/>
        <rFont val="Calibri"/>
        <family val="2"/>
        <scheme val="minor"/>
      </rPr>
      <t>For Emergency Lighting</t>
    </r>
  </si>
  <si>
    <r>
      <t>Supply, installation, testing &amp; commissioning of following types of modular switches, cover plates, 5 sided G.I. Boxes for housing the modular switches &amp; earthing complete as required. GI Boxes to have earth pin for body earthing. The Circuit No. and DB no. label shall be provided on all UPS ,RAW sockets and switchboards with label printer.</t>
    </r>
    <r>
      <rPr>
        <b/>
        <sz val="9"/>
        <rFont val="Calibri"/>
        <family val="2"/>
        <scheme val="minor"/>
      </rPr>
      <t>(Make- Legrand Aretor Series)</t>
    </r>
  </si>
  <si>
    <r>
      <t xml:space="preserve">Supplying and erecting following </t>
    </r>
    <r>
      <rPr>
        <b/>
        <sz val="9"/>
        <rFont val="Calibri"/>
        <family val="2"/>
        <scheme val="minor"/>
      </rPr>
      <t xml:space="preserve">GI strip </t>
    </r>
    <r>
      <rPr>
        <sz val="9"/>
        <rFont val="Calibri"/>
        <family val="2"/>
        <scheme val="minor"/>
      </rPr>
      <t>used for earthing on wall with necessary MS  clamps fixed on wall/Cable trays/Hume pipes etc. The jointes shall be Bolted/Welded. The joints shall be painted with bituminous paint in an approved manner.</t>
    </r>
  </si>
  <si>
    <r>
      <t xml:space="preserve">Supplying and erecting bare </t>
    </r>
    <r>
      <rPr>
        <b/>
        <sz val="9"/>
        <rFont val="Calibri"/>
        <family val="2"/>
        <scheme val="minor"/>
      </rPr>
      <t>Copper conductor</t>
    </r>
    <r>
      <rPr>
        <sz val="9"/>
        <rFont val="Calibri"/>
        <family val="2"/>
        <scheme val="minor"/>
      </rPr>
      <t xml:space="preserve"> of following sizes</t>
    </r>
  </si>
  <si>
    <r>
      <t xml:space="preserve">The contractor to submit all the </t>
    </r>
    <r>
      <rPr>
        <b/>
        <sz val="9"/>
        <rFont val="Calibri"/>
        <family val="2"/>
        <scheme val="minor"/>
      </rPr>
      <t>AS BUILT DRAWINGS</t>
    </r>
    <r>
      <rPr>
        <sz val="9"/>
        <rFont val="Calibri"/>
        <family val="2"/>
        <scheme val="minor"/>
      </rPr>
      <t xml:space="preserve"> after the completion of the project for Electrical &amp; ELV Services executed at site.</t>
    </r>
  </si>
  <si>
    <r>
      <t xml:space="preserve">Supply,Installation,Testing &amp; Commissioning of Analogue Addressable Flash scan Type </t>
    </r>
    <r>
      <rPr>
        <b/>
        <sz val="9"/>
        <rFont val="Calibri"/>
        <family val="2"/>
        <scheme val="minor"/>
      </rPr>
      <t>Photoelectric smoke detectors</t>
    </r>
    <r>
      <rPr>
        <sz val="9"/>
        <color indexed="8"/>
        <rFont val="Calibri"/>
        <family val="2"/>
        <scheme val="minor"/>
      </rPr>
      <t xml:space="preserve"> having Rotary, decimal addressing system with standard base,</t>
    </r>
    <r>
      <rPr>
        <b/>
        <sz val="9"/>
        <rFont val="Calibri"/>
        <family val="2"/>
        <scheme val="minor"/>
      </rPr>
      <t xml:space="preserve"> built in isolation</t>
    </r>
    <r>
      <rPr>
        <sz val="9"/>
        <color indexed="8"/>
        <rFont val="Calibri"/>
        <family val="2"/>
        <scheme val="minor"/>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</si>
  <si>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r>
      <t xml:space="preserve">Supply,Installation,Testing &amp; Commissioning of Analogue Addressable Flash scan Type </t>
    </r>
    <r>
      <rPr>
        <b/>
        <sz val="9"/>
        <rFont val="Calibri"/>
        <family val="2"/>
        <scheme val="minor"/>
      </rPr>
      <t xml:space="preserve">Heat Detector </t>
    </r>
    <r>
      <rPr>
        <sz val="9"/>
        <color indexed="8"/>
        <rFont val="Calibri"/>
        <family val="2"/>
        <scheme val="minor"/>
      </rPr>
      <t>having Rotary, decimal addressing system with standard base,</t>
    </r>
    <r>
      <rPr>
        <b/>
        <sz val="9"/>
        <rFont val="Calibri"/>
        <family val="2"/>
        <scheme val="minor"/>
      </rPr>
      <t xml:space="preserve"> built in isolation </t>
    </r>
    <r>
      <rPr>
        <sz val="9"/>
        <color indexed="8"/>
        <rFont val="Calibri"/>
        <family val="2"/>
        <scheme val="minor"/>
      </rPr>
      <t>function and junction box. The detector shall be capable to address in the range of 1-159. The detector shall be with Visible bi-color LEDs for 360 deg viewing and shall  blink green every time the detector is addressed, and illuminate steady red on alarm.</t>
    </r>
  </si>
  <si>
    <r>
      <t xml:space="preserve">Supplying &amp; fixing of opposed blade </t>
    </r>
    <r>
      <rPr>
        <b/>
        <sz val="9"/>
        <rFont val="Calibri"/>
        <family val="2"/>
        <scheme val="minor"/>
      </rPr>
      <t>volume control dampers</t>
    </r>
    <r>
      <rPr>
        <sz val="9"/>
        <rFont val="Calibri"/>
        <family val="2"/>
        <scheme val="minor"/>
      </rPr>
      <t xml:space="preserve">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r>
  </si>
  <si>
    <r>
      <t xml:space="preserve">Supply, fabrication, installation and testing the </t>
    </r>
    <r>
      <rPr>
        <b/>
        <sz val="9"/>
        <rFont val="Calibri"/>
        <family val="2"/>
        <scheme val="minor"/>
      </rPr>
      <t>flexible connections</t>
    </r>
    <r>
      <rPr>
        <sz val="9"/>
        <rFont val="Calibri"/>
        <family val="2"/>
        <scheme val="minor"/>
      </rPr>
      <t xml:space="preserve"> constructed of fire resistance flexible  double canvas sleeve as per  the approved shop drawings.</t>
    </r>
  </si>
  <si>
    <t xml:space="preserve">TOTAL of HVAC WORKS  </t>
  </si>
  <si>
    <t xml:space="preserve">Final rate </t>
  </si>
  <si>
    <t>KMS</t>
  </si>
  <si>
    <t>SITE : -  TFS KARNAL</t>
  </si>
  <si>
    <t xml:space="preserve">CIVIL AND  INTERIOR MEASURMENT SHEET </t>
  </si>
  <si>
    <t>S.No.</t>
  </si>
  <si>
    <t>Particular</t>
  </si>
  <si>
    <t>L</t>
  </si>
  <si>
    <t>H</t>
  </si>
  <si>
    <t>Total QTY</t>
  </si>
  <si>
    <t>Job</t>
  </si>
  <si>
    <t>Sq.Mtr.</t>
  </si>
  <si>
    <t>Total</t>
  </si>
  <si>
    <t>Rmt</t>
  </si>
  <si>
    <t>Rmt.</t>
  </si>
  <si>
    <t>Wall Tile Cladding -1           (MOH Area)</t>
  </si>
  <si>
    <t>Wall Tile Cladding -1           (BOH Area)</t>
  </si>
  <si>
    <t>Store Room</t>
  </si>
  <si>
    <t>WATERPROOFING</t>
  </si>
  <si>
    <t xml:space="preserve">MIC. </t>
  </si>
  <si>
    <t xml:space="preserve">PLUMBING </t>
  </si>
  <si>
    <t>Water Supply  Piping</t>
  </si>
  <si>
    <t>20MM Dia</t>
  </si>
  <si>
    <t>25mm dia</t>
  </si>
  <si>
    <t>20L Capacity- For pot sink</t>
  </si>
  <si>
    <t>Greace Trap</t>
  </si>
  <si>
    <t>50MM</t>
  </si>
  <si>
    <t>100mm</t>
  </si>
  <si>
    <t>(2)2.1</t>
  </si>
  <si>
    <t>P-Trap 110MM Dia</t>
  </si>
  <si>
    <t>S S Grating</t>
  </si>
  <si>
    <t>300x300</t>
  </si>
  <si>
    <t>1050x350</t>
  </si>
  <si>
    <t>EXTRA ITEM</t>
  </si>
  <si>
    <t>3.5C x 35 Sq.mm. ( 4+2+2+5+2+4+2.5)</t>
  </si>
  <si>
    <t>Karims sinage Extarnal sinage</t>
  </si>
  <si>
    <t>Karims - 1+2.5+4+10+10+3+3</t>
  </si>
  <si>
    <t>j/box to sinage -3.5+5</t>
  </si>
  <si>
    <t xml:space="preserve">Cable Termination </t>
  </si>
  <si>
    <t xml:space="preserve">Raceways and Cable Trays </t>
  </si>
  <si>
    <t>Raceway</t>
  </si>
  <si>
    <t>100 mm (wide) x 40 mm (height)</t>
  </si>
  <si>
    <t>Cable Tray</t>
  </si>
  <si>
    <t>Point Wiring</t>
  </si>
  <si>
    <t xml:space="preserve">Same as item No. 4.2.1 &amp; 4.2.2 above but LOOP POINT i.e. wiring of point looped from first point with 3C x 2.5 sq. mm FRLS PVC insulated copper conductor wire in concealed/exposed GI conduit and earthing </t>
  </si>
  <si>
    <t xml:space="preserve">25 mm dia  Conduit     </t>
  </si>
  <si>
    <t>Power point to pose counter</t>
  </si>
  <si>
    <t>Pose counter to db- 1+3+2.7+3.5+4.3+2*2</t>
  </si>
  <si>
    <t>Bp2 to counter point- 2+2+2</t>
  </si>
  <si>
    <t>Counter point to db-2+2.7+4.8+2</t>
  </si>
  <si>
    <t>Store room to db- 1+2+4.8+2.7+2</t>
  </si>
  <si>
    <t>Freeze back side to db- 2.5+3.5+2.7+2</t>
  </si>
  <si>
    <t>Geyser to db -2+2.7+2</t>
  </si>
  <si>
    <t>Center counter to db -2+3.5+2+2</t>
  </si>
  <si>
    <t xml:space="preserve">Aircurtain to db- </t>
  </si>
  <si>
    <t>Gld</t>
  </si>
  <si>
    <t>Db to sinage</t>
  </si>
  <si>
    <t>Data</t>
  </si>
  <si>
    <t>Pose counter to server rack-1+3+3.5+6</t>
  </si>
  <si>
    <t>Display to server rack- 2+2.5+1+6*2</t>
  </si>
  <si>
    <t>Center counter to server- 2+2+6</t>
  </si>
  <si>
    <t xml:space="preserve">CCTV Conduet </t>
  </si>
  <si>
    <t>C1 to C2</t>
  </si>
  <si>
    <t>C2 to c3- 1.5+4</t>
  </si>
  <si>
    <t xml:space="preserve">C3 to c4- </t>
  </si>
  <si>
    <t>C4 to dbr- 1+1+1+6</t>
  </si>
  <si>
    <t>C5 to dbr- 1+1.5+6</t>
  </si>
  <si>
    <t>C5 to c6-</t>
  </si>
  <si>
    <t>C6 to c7- 1.5+5+1.5</t>
  </si>
  <si>
    <t>C7 to c8</t>
  </si>
  <si>
    <t>Total Rmt</t>
  </si>
  <si>
    <t xml:space="preserve">C1 to dbr- </t>
  </si>
  <si>
    <t>C2 to dbr</t>
  </si>
  <si>
    <t>C3 to dbr</t>
  </si>
  <si>
    <t>C4 to dbr</t>
  </si>
  <si>
    <t>C5 to dbr</t>
  </si>
  <si>
    <t>C6 to dbr</t>
  </si>
  <si>
    <t xml:space="preserve">C7 to dbr </t>
  </si>
  <si>
    <t>C8 to dbr</t>
  </si>
  <si>
    <t>Single switch single socket</t>
  </si>
  <si>
    <t>2Switch +2socket</t>
  </si>
  <si>
    <t>sd2 to sd3 (Karims)2+6.5+2</t>
  </si>
  <si>
    <t>sd2 to karim sd3- 2+1.5+3</t>
  </si>
  <si>
    <t>sd3 to sd4 (Back side )- 2+2+2.5</t>
  </si>
  <si>
    <t>sd4 to sd5 (store)-2.5+1.5+5</t>
  </si>
  <si>
    <t>sd3 to sd4(back side)2+6.5+2</t>
  </si>
  <si>
    <t>sd4 to sd5 (store)</t>
  </si>
  <si>
    <t>ELECTRICAL   EXTRA ITEM</t>
  </si>
  <si>
    <t>12 WAY TPN - LPDB</t>
  </si>
  <si>
    <t xml:space="preserve">Wiring for UPS/Raw plug outlets points with 3 x 4sqmm FRLS PVC Insulated and PVC sheathed flexible Wire with bright annealed electrolytic copper conductor , 1100 volt grade confirming to IS : 694-1990 with latest amendments,   in existing Channels/ conduit in ceiling/walls/floor including all cable termination  accessories)                   </t>
  </si>
  <si>
    <t>Power point to db- .5+2.5+1+3+2.7+3.5+4.3+2+3</t>
  </si>
  <si>
    <t>Pose counter to db- 1+3+.5+2.7+3.5+4.3+2+3</t>
  </si>
  <si>
    <t>Bp2 to db- .5+2+2+2.7+4.5+2+3</t>
  </si>
  <si>
    <t>Counter point to db- .5+2+2.7+4.8+2+3</t>
  </si>
  <si>
    <t>Store room to db- .5+1+2+4.8+2.7+2+3</t>
  </si>
  <si>
    <t>Freeze back side to db- .5+2.5+3.5+2.7+2+3</t>
  </si>
  <si>
    <t>Geyser to db- .5+2+2.7+2+3</t>
  </si>
  <si>
    <t>Center coumnter to db- .5+2+3.5+2+2+3</t>
  </si>
  <si>
    <t>Air curtain to db-.5+1.5+3</t>
  </si>
  <si>
    <t xml:space="preserve">Wiring for UPS/Raw plug outlets points with 3 x 2.5sqmm FRLS PVC Insulated and PVC sheathed flexible Wire with bright annealed electrolytic copper conductor , 1100 volt grade confirming to IS : 694-1990 with latest amendments,   in existing Channels/ conduit in ceiling/walls/floor including all cable termination  accessories)                   </t>
  </si>
  <si>
    <t>Pose counter to ups db- 1+3+.5+2.7+3.5+4.3+2+3+.5</t>
  </si>
  <si>
    <t>Display (led) to ups db- 3+2.7+3.5+4.3+2.5+1</t>
  </si>
  <si>
    <t>Sinage to ups db- 2+3+2.7+3.5+4.3+2.5+1</t>
  </si>
  <si>
    <t>Pose counter to server rack- 1+1+3+3.5+6+4*3</t>
  </si>
  <si>
    <t>Display (Led)to server rack-3+2+2.5+1+6+4*6</t>
  </si>
  <si>
    <t>Center counter to server rack- 3+2+2+6+4</t>
  </si>
  <si>
    <t>Actual Qty.</t>
  </si>
  <si>
    <t>Actual Amount</t>
  </si>
  <si>
    <t>Gianis</t>
  </si>
  <si>
    <t>Sft</t>
  </si>
  <si>
    <t>Rft</t>
  </si>
  <si>
    <t>MIS</t>
  </si>
  <si>
    <t>EXTRA ITEM PLUMBING</t>
  </si>
  <si>
    <t>do-but- for copper cables</t>
  </si>
  <si>
    <t>3c Gianis to Panel- 4+2+2+5+2+4+10+5+9.5+3+2.5</t>
  </si>
  <si>
    <t>3*4sqmm unarmed cabel-1+2+3.5+14 ups db</t>
  </si>
  <si>
    <t>Gianis- 1+2.5+3</t>
  </si>
  <si>
    <t>j/box to sinage -2+2</t>
  </si>
  <si>
    <t>Gianis extranal sinage</t>
  </si>
  <si>
    <t>Gianis to Dominos</t>
  </si>
  <si>
    <t>Db to point 1- 1.3+.5+.5+1.5</t>
  </si>
  <si>
    <t>P1 TO P2- .5</t>
  </si>
  <si>
    <t>P2 TO P3 - 1.3+.5+1.6+1.5</t>
  </si>
  <si>
    <t>P3 TO P4 - .5</t>
  </si>
  <si>
    <t>DB TO P5 - 1.3+.5+3+1.5</t>
  </si>
  <si>
    <t>P5 TO P6 - .5</t>
  </si>
  <si>
    <t>DB TO P7 - 1.3+.5+3.9+1.3+.5</t>
  </si>
  <si>
    <t>P7 TO P8 - 1+2.10+2</t>
  </si>
  <si>
    <t>Db to casto plus - 1.5+1+2+.5+1.5</t>
  </si>
  <si>
    <t>Ups db to pose counter- 1.3+1+4+2.2+2.5+1</t>
  </si>
  <si>
    <t>Ups db to screen display- 1.3+1+4+2</t>
  </si>
  <si>
    <t>Ups db to menue display- 1.3+1+4+2</t>
  </si>
  <si>
    <t>Data conduet</t>
  </si>
  <si>
    <t>pos counter to data rack- 1.5+2+14</t>
  </si>
  <si>
    <t>screen display to server rack- 3+.5+1+14</t>
  </si>
  <si>
    <t>c c t v conduet</t>
  </si>
  <si>
    <t>First point to 2nd point- 2+1</t>
  </si>
  <si>
    <t>2nd point to 3rd point- 2.5</t>
  </si>
  <si>
    <t>3rd point to 4th point- 4</t>
  </si>
  <si>
    <t>4th to Dbr - 1.5+14</t>
  </si>
  <si>
    <t>Ups db sub main conduet- 1.3+3.5</t>
  </si>
  <si>
    <t>Ups db to sinaze- 1.3+2+1.7</t>
  </si>
  <si>
    <t>Total sqmt</t>
  </si>
  <si>
    <t>c c t v wire 4+1</t>
  </si>
  <si>
    <t>1st point to dbr- 1+11+14+4</t>
  </si>
  <si>
    <t>2nd point to dbr- 1+9+14+4</t>
  </si>
  <si>
    <t>3rd point to dbr- 1+7.5+14+4</t>
  </si>
  <si>
    <t>4th point to dbr- 1+1.5+14+4</t>
  </si>
  <si>
    <t>6amp switch socket</t>
  </si>
  <si>
    <t>6amp 2 nos switch socket</t>
  </si>
  <si>
    <t xml:space="preserve">TOTAL  </t>
  </si>
  <si>
    <t>16amp switch socket</t>
  </si>
  <si>
    <t>sd4 to sd5-(Gianis).5+6+2+2</t>
  </si>
  <si>
    <t>sd4 to sd5 gianis -6+2</t>
  </si>
  <si>
    <t>ELECTRICAL EXTRA ITEM</t>
  </si>
  <si>
    <t>Db to p1- 1+1.3+.5+.5+1.5+.5</t>
  </si>
  <si>
    <t>Db to p2- 1+1.3+.5+.5+1.5+.5+.5</t>
  </si>
  <si>
    <t>Db to to p3- 1+1.3+.5+1.6+1.5+.5</t>
  </si>
  <si>
    <t>Db to p4- 1+1.3+.5+1.6+1.5+.5+.5</t>
  </si>
  <si>
    <t>Db to p5 -1+1.3+.5+3+1.5+.5</t>
  </si>
  <si>
    <t>Db to p6 -1+1.3+.5+3+1.5+.5+.5</t>
  </si>
  <si>
    <t>Db to p7-1+1.3+.5+3.9+1.3+.5+.5</t>
  </si>
  <si>
    <t>Db to p8- 1+1.3+.5+3.9+1.3+.5</t>
  </si>
  <si>
    <t xml:space="preserve">                  1+2.1+2+.5</t>
  </si>
  <si>
    <t>Db to casto plus- 1+1.5+1+2+.5+1.5+.5</t>
  </si>
  <si>
    <t>Db to outer sinaze- 1+1.3+1.5+1+.5</t>
  </si>
  <si>
    <t>Ups db to pose counter- 1+1.3+1+4+2.2+2.5+1+.5</t>
  </si>
  <si>
    <t>Ups db to screen display- 1+1.3+1+2.9+.5+2</t>
  </si>
  <si>
    <t>ups db to menue display- 1+1.2+1+4+2.5</t>
  </si>
  <si>
    <t>pose counter to server rack- 1.5+2.5+14+5</t>
  </si>
  <si>
    <t>screen display to server rack-2+3+.5+1+14+5</t>
  </si>
  <si>
    <t>Rate</t>
  </si>
  <si>
    <t>Boq Qty.</t>
  </si>
  <si>
    <t>Boq Amount</t>
  </si>
  <si>
    <t>Sft.</t>
  </si>
  <si>
    <t>2+1</t>
  </si>
  <si>
    <t>GST@18%</t>
  </si>
  <si>
    <t>Grand Total</t>
  </si>
  <si>
    <t>EXTRA ITEM PLUMBING WORK</t>
  </si>
  <si>
    <t>EXTRA ITEM ELECTRIC WORK</t>
  </si>
  <si>
    <t>boq qty. not mentioned</t>
  </si>
  <si>
    <t>rate issue</t>
  </si>
  <si>
    <t>Noodle</t>
  </si>
  <si>
    <t>Outer side</t>
  </si>
  <si>
    <t>Rework</t>
  </si>
  <si>
    <t>Deduction Firant elevation (-)</t>
  </si>
  <si>
    <t>Deduction door</t>
  </si>
  <si>
    <t>300*75mm</t>
  </si>
  <si>
    <t>PLUMBING EXTRA ITEM</t>
  </si>
  <si>
    <t>Panel to Noodle-( 4+2+2+5)</t>
  </si>
  <si>
    <t>3c * 4sqmm Cable- 1+2.5+3.5+2+5+2+8</t>
  </si>
  <si>
    <t>Noodle Sinage- 1+2+10+10+3+3</t>
  </si>
  <si>
    <t>Pose counter to power point</t>
  </si>
  <si>
    <t>Pose counter to db-1+3+4.5+6+1.5*2</t>
  </si>
  <si>
    <t>Aircurtain to db (bp1)-1+.5+5</t>
  </si>
  <si>
    <t>Bp2 to j/box</t>
  </si>
  <si>
    <t>Rp1 to db- 2+.5+2.3+.5+1.5</t>
  </si>
  <si>
    <t>Rp2 to db- 2+3+3.5+1+1.5</t>
  </si>
  <si>
    <t>Center counter (yp3)to db- 1.5+3+1.5</t>
  </si>
  <si>
    <t>Yp3 to yp3</t>
  </si>
  <si>
    <t>Pose counter to server rack-1+5+6</t>
  </si>
  <si>
    <t>Display to server rack- 1+1+6</t>
  </si>
  <si>
    <t>Center counter to j/box</t>
  </si>
  <si>
    <t>CCTV Conduet</t>
  </si>
  <si>
    <t>C1 to c2 -2.5+3</t>
  </si>
  <si>
    <t>C2 to c3- 3.5+1</t>
  </si>
  <si>
    <t>C4 to c5</t>
  </si>
  <si>
    <t>C5 to dbr- 3.5+2+5+2+6</t>
  </si>
  <si>
    <t>C3 to dbr- 2+5+2+6</t>
  </si>
  <si>
    <t>ups db submain</t>
  </si>
  <si>
    <t>ups main db to server rack- 2.5+3.5+2+5+2+6+2.5</t>
  </si>
  <si>
    <t>Gld- 3+2+1.5+3+3+4+2</t>
  </si>
  <si>
    <t>C1 to dbr</t>
  </si>
  <si>
    <t>(Two switch +2socket)</t>
  </si>
  <si>
    <t>(single switch socket single switch)</t>
  </si>
  <si>
    <t>Out site mcp to Noodle sd1- 1+1+2.5</t>
  </si>
  <si>
    <t xml:space="preserve">sd1 to sd4- </t>
  </si>
  <si>
    <t>sd2 to sd3- 7.5+1+2.5</t>
  </si>
  <si>
    <t>Mcp to sd1- .5+4.5+2</t>
  </si>
  <si>
    <t>sd1 to sd2 -2+4+2</t>
  </si>
  <si>
    <t>Fire panel to hooter - 1+8+6+1.5</t>
  </si>
  <si>
    <t>Power point to db- .5+2.5+3+4.5+6+1.5+3</t>
  </si>
  <si>
    <t>Mtr</t>
  </si>
  <si>
    <t>Pose counter power to db- .5+1+3+4.5+6+1.5+3</t>
  </si>
  <si>
    <t>Air curtain to db - .5+1+.5+5</t>
  </si>
  <si>
    <t>Bp2 to db- .5+1.5+4+1.5+3</t>
  </si>
  <si>
    <t>Bp3 to db- .5+1.5+.5+1+2+2+3</t>
  </si>
  <si>
    <t>Rp1 to db- .5+2+.5+2.3+.5+1.5+3</t>
  </si>
  <si>
    <t>Rp2 to db- .5+2+3+3.5+1+1.5+3</t>
  </si>
  <si>
    <t>Center counter to db(yp3)-.5+1.5+3+1.5+3</t>
  </si>
  <si>
    <t>point to point (yp3 to yp3)-1.5+2+1.5</t>
  </si>
  <si>
    <t>Ups db to pose counter- .5+1+3+4.5+6+2+1</t>
  </si>
  <si>
    <t>Display to ups db- .5+1+4.5+6+2+1</t>
  </si>
  <si>
    <t>Sinaze to ups db.5+1+3+4.5+6+2+1</t>
  </si>
  <si>
    <t>Pose counter to server rack- 1+1+5+6+2+2+5+2+6+4*3</t>
  </si>
  <si>
    <t>Display to server rack- 1+1+6+2+2+5+2+6+4*4</t>
  </si>
  <si>
    <t>Sr.no.</t>
  </si>
  <si>
    <t xml:space="preserve">Total of Electrical Extra item </t>
  </si>
  <si>
    <t xml:space="preserve">EXTRA WORK </t>
  </si>
  <si>
    <t>ELECTRICAL EXTRA WORK</t>
  </si>
  <si>
    <t>mtr.</t>
  </si>
  <si>
    <t>Gst@18%</t>
  </si>
  <si>
    <t>Total Amount of Electrical extra work</t>
  </si>
  <si>
    <t>Total Amount of plumbing extra work</t>
  </si>
  <si>
    <t xml:space="preserve">Counter </t>
  </si>
  <si>
    <t xml:space="preserve">Rft </t>
  </si>
  <si>
    <t xml:space="preserve">Bulk head </t>
  </si>
  <si>
    <t>sft</t>
  </si>
  <si>
    <t xml:space="preserve">Front wall </t>
  </si>
  <si>
    <t>Didffrance of LPDB</t>
  </si>
  <si>
    <t xml:space="preserve">EXTRA ITEM </t>
  </si>
  <si>
    <t>Aluminium "L" profile- providing and fixing aluminium "L" profifile with black colour powder coat</t>
  </si>
  <si>
    <t>(3.8*2+0.92*2+1.4*2)*3.28</t>
  </si>
  <si>
    <t>Rft.</t>
  </si>
  <si>
    <t>12mm toughened glass- providing 12mm thk toughened glass with frosted film and fixed with brackets on bottom and top.</t>
  </si>
  <si>
    <t xml:space="preserve">Trap Door- Providing and fixing Trap doors </t>
  </si>
  <si>
    <t>Enamel paint- Apply black enamel paint on MS door frames of back side doors</t>
  </si>
  <si>
    <t>Sq.ft</t>
  </si>
  <si>
    <t>Shera Board packing- providing and fixing 12mm shera board for packing hood side. With MS frame work</t>
  </si>
  <si>
    <t>Extra MS pipe support for fixing Hood frame type</t>
  </si>
  <si>
    <t>Air Curtain ply boxing- providing and fixing 18mm ply boxing for air curtain with paint finish.</t>
  </si>
  <si>
    <t>Fixing MS rack - only fixing</t>
  </si>
  <si>
    <t>Air Curtain installation only with censor</t>
  </si>
  <si>
    <t xml:space="preserve">Dismentling work- </t>
  </si>
  <si>
    <t>as per kota flooring</t>
  </si>
  <si>
    <t>counter wall Height reduce</t>
  </si>
  <si>
    <t>Chamber- providing material and making chambers as given size with all respects</t>
  </si>
  <si>
    <t xml:space="preserve">Cut out in wall for AC duct and re-filling </t>
  </si>
  <si>
    <t>Extra MS pipe support for fixing Hood frame type (3 hoods)</t>
  </si>
  <si>
    <t>Air Curtain MS boxing- providing and fixing MS Frame box type for air curtain with paint finish.</t>
  </si>
  <si>
    <t>(4.91*2+0.91*2+1.4+0.4)*3.28</t>
  </si>
  <si>
    <t>Partition- Providing and fixing partition with MS frame work with shera board on both sides.</t>
  </si>
  <si>
    <t>(4.46*2+0.92*2+1.4*3)*3.28</t>
  </si>
  <si>
    <t>12mm toughened glass- providing 12mm thk toughened glass for sneez guard</t>
  </si>
  <si>
    <t>Open OH - providing and fixing 18mm ply made open storage finish in veneer finish with melamine polish.</t>
  </si>
  <si>
    <t>Teak wood cornish - providing and fixing 50*50mm teakwood moulding with melamine polish.</t>
  </si>
  <si>
    <t>Teakwood corner guard for tile edge - providing and fixing 50*75mm teakwood moulding with melamine polish.</t>
  </si>
  <si>
    <t>Ply shutter- providing and fixing 19mm ply shutter with one side laminate and other side Terracotta tile+corian in line with counter</t>
  </si>
  <si>
    <t>Counter (10.988+common wall-6.10)</t>
  </si>
  <si>
    <t xml:space="preserve">Cut out in wall  </t>
  </si>
  <si>
    <t>Texture Paint - providing and applying texture paint on walls</t>
  </si>
  <si>
    <t>Civil &amp; Int.</t>
  </si>
  <si>
    <t>Domino's</t>
  </si>
  <si>
    <t>Corian on ply boxing in "C" shape</t>
  </si>
  <si>
    <t>Common wall Gianis</t>
  </si>
  <si>
    <t>Garbage Box</t>
  </si>
  <si>
    <t>Providing and fixing garbage box at site made in 25*25*5mm MS tube frame and 18mm thick ply on all outer and inner surfaces finished with laminte on all surfaces, Top with corian finish. Vsible MS frame finished with black Duco.Box is movable with heavy duty caster wheels.</t>
  </si>
  <si>
    <t>Dust been</t>
  </si>
  <si>
    <t xml:space="preserve">Proving dust been </t>
  </si>
  <si>
    <t>MS cage For RO</t>
  </si>
  <si>
    <t>Providing and fixing MS cage by using 25*25*4mm ms tube framing with fibre sheet.</t>
  </si>
  <si>
    <t>front and back</t>
  </si>
  <si>
    <t>side</t>
  </si>
  <si>
    <t>Top</t>
  </si>
  <si>
    <t>MS Frame work</t>
  </si>
  <si>
    <t xml:space="preserve">Providing and fixing MS framed stand for out door AC </t>
  </si>
  <si>
    <t>50*50*4mm pipe Top frame (1.69 kg/Rft.</t>
  </si>
  <si>
    <t>Verticle</t>
  </si>
  <si>
    <t>KG</t>
  </si>
  <si>
    <t>40*40*6mm "L" Angle (1.06Kg/Rft.)</t>
  </si>
  <si>
    <t>Hood support verticle 1200mm + Horizontal 300mm)</t>
  </si>
  <si>
    <t>For top strips</t>
  </si>
  <si>
    <t>MS Stand packing</t>
  </si>
  <si>
    <t>Toatal KG</t>
  </si>
  <si>
    <t xml:space="preserve">75mm Pcc for RO plateform </t>
  </si>
  <si>
    <t>Providing and doing Pcc work for RO plant</t>
  </si>
  <si>
    <t>for electric panel plateform</t>
  </si>
  <si>
    <t xml:space="preserve">Back side Pcc for </t>
  </si>
  <si>
    <t>Cu.ft.</t>
  </si>
  <si>
    <t>Plaster</t>
  </si>
  <si>
    <t xml:space="preserve">Plastering for the same on Top of RO plateform </t>
  </si>
  <si>
    <t>sides of RO plateform</t>
  </si>
  <si>
    <t>Electric panel plateform sides</t>
  </si>
  <si>
    <t>Electric panel Top</t>
  </si>
  <si>
    <t>Pvc pipe Water Line for RO</t>
  </si>
  <si>
    <t>32mm</t>
  </si>
  <si>
    <t>25mm</t>
  </si>
  <si>
    <t>25mm for fresh air and exhaust</t>
  </si>
  <si>
    <t>Pvc ball valve</t>
  </si>
  <si>
    <t>Providing and fixing 25mm pvc ball valve</t>
  </si>
  <si>
    <t>Electric</t>
  </si>
  <si>
    <t>Power cable cu.</t>
  </si>
  <si>
    <t>For terrace-floor sinage</t>
  </si>
  <si>
    <t>for out side sinage</t>
  </si>
  <si>
    <t>4c * 4sqmm</t>
  </si>
  <si>
    <t>Fresh air and exhaust</t>
  </si>
  <si>
    <t>Camera wire</t>
  </si>
  <si>
    <t xml:space="preserve">Providing and laying </t>
  </si>
  <si>
    <t xml:space="preserve">16Way DB </t>
  </si>
  <si>
    <t>Providing and Installed 16 way DB for sinage</t>
  </si>
  <si>
    <t>Weather proof TPN Box</t>
  </si>
  <si>
    <t>Providing and fixing weather proof  TPN box for AC outdoor</t>
  </si>
  <si>
    <t>Providing and laying (common area)</t>
  </si>
  <si>
    <t xml:space="preserve"> Flat 25*4mm(0.24 kg/Rft.)</t>
  </si>
  <si>
    <t>Providing and fixing 300*300mm teracota tiles on counter wall front</t>
  </si>
  <si>
    <t>common wall</t>
  </si>
  <si>
    <t>Texture Paint</t>
  </si>
  <si>
    <t>Proviving and applying Texture paint of approved colour and shade.</t>
  </si>
  <si>
    <t>Gianis outer wall</t>
  </si>
  <si>
    <t>Gianis + Domino's wall</t>
  </si>
  <si>
    <t>Domino's+ Karim wall</t>
  </si>
  <si>
    <t xml:space="preserve">Providing and fixing strip curtain </t>
  </si>
  <si>
    <t>Labour</t>
  </si>
  <si>
    <t>Providing labour for fixtures work</t>
  </si>
  <si>
    <t>Day</t>
  </si>
  <si>
    <t>Item</t>
  </si>
  <si>
    <t>Length</t>
  </si>
  <si>
    <t>Height</t>
  </si>
  <si>
    <t>Amount</t>
  </si>
  <si>
    <t>Providing and fixing 12mm corian on ply boxing in "C" shape</t>
  </si>
  <si>
    <t>Kg.</t>
  </si>
  <si>
    <t>Cuft.</t>
  </si>
  <si>
    <t>COMMON AREA</t>
  </si>
  <si>
    <t>EXTRA WORK</t>
  </si>
  <si>
    <t>COMMON AREA WORK MB</t>
  </si>
  <si>
    <t>]</t>
  </si>
  <si>
    <t xml:space="preserve">Extra </t>
  </si>
  <si>
    <t xml:space="preserve">Hoods </t>
  </si>
  <si>
    <t xml:space="preserve">Installation of hood with connection </t>
  </si>
  <si>
    <t xml:space="preserve">SIC of aluminium louver </t>
  </si>
  <si>
    <t>Sqm</t>
  </si>
  <si>
    <t xml:space="preserve">C&amp;I Extra </t>
  </si>
  <si>
    <t xml:space="preserve">Plumbing extra </t>
  </si>
  <si>
    <t xml:space="preserve">Electrical Extra </t>
  </si>
  <si>
    <t xml:space="preserve">Hvac Extra </t>
  </si>
  <si>
    <t xml:space="preserve">Rate </t>
  </si>
  <si>
    <t xml:space="preserve">Bill Amount </t>
  </si>
  <si>
    <t xml:space="preserve">Comman Area </t>
  </si>
  <si>
    <t xml:space="preserve">3C x 6 Sq.mm.               </t>
  </si>
  <si>
    <t xml:space="preserve">150mm (wide) x 50 mm (height)  </t>
  </si>
  <si>
    <t>150mm (wide) x 50 mm (height)  Gianis to Domino's</t>
  </si>
  <si>
    <t>Submain conduit - supply and laying 25mm dia pvc conduit</t>
  </si>
  <si>
    <t>Server to Gianis UPS DB (1+2.5)</t>
  </si>
  <si>
    <t>Server to Gianis UPS DB (1+2.5+5+2.5)</t>
  </si>
  <si>
    <t>Cable</t>
  </si>
  <si>
    <t>Supplying and laying 3.5c*150sqmm AL armoured cable</t>
  </si>
  <si>
    <t xml:space="preserve">Panel to Servo </t>
  </si>
  <si>
    <t>Servo to Panel</t>
  </si>
  <si>
    <t xml:space="preserve">3c * 2.5sqmm </t>
  </si>
  <si>
    <t>3c*4sqmm flexible copper cable (panel to RO)</t>
  </si>
  <si>
    <t>Main LT panel Termination</t>
  </si>
  <si>
    <t>Supplying and making cable end termination as cable sizes.</t>
  </si>
  <si>
    <t>300 sqmm cable termination</t>
  </si>
  <si>
    <t>150 sqmm cable termination</t>
  </si>
  <si>
    <t>50 sqmm cable termination</t>
  </si>
  <si>
    <t>35 sqmm cable termination</t>
  </si>
  <si>
    <t>25 sqmm cable termination</t>
  </si>
  <si>
    <t>4c*4sqmm cable termination</t>
  </si>
  <si>
    <t>SGW</t>
  </si>
  <si>
    <t>Providing and applying Texture paint of approved colour and shade.</t>
  </si>
  <si>
    <t>Total Of common Area</t>
  </si>
  <si>
    <t>Total Of Giani's Extra work</t>
  </si>
  <si>
    <t>Back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</si>
</sst>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 #,##0.00_ ;_ * \-#,##0.00_ ;_ * &quot;-&quot;??_ ;_ @_ "/>
    <numFmt numFmtId="165" formatCode="\₹\ #,##0.00"/>
    <numFmt numFmtId="166" formatCode="0.0"/>
    <numFmt numFmtId="167" formatCode="_(* #,##0.00_);_(* \(#,##0.00\);_(* \-??_);_(@_)"/>
    <numFmt numFmtId="168" formatCode="0\)"/>
    <numFmt numFmtId="169" formatCode="_ * #,##0_ ;_ * \-#,##0_ ;_ * &quot;-&quot;??_ ;_ @_ "/>
    <numFmt numFmtId="170" formatCode="0.000"/>
  </numFmts>
  <fonts count="56">
    <font>
      <sz val="11"/>
      <color theme="1"/>
      <name val="Calibri"/>
      <family val="2"/>
      <scheme val="minor"/>
    </font>
    <font>
      <sz val="11"/>
      <color theme="1"/>
      <name val="Calibri"/>
      <family val="2"/>
      <scheme val="minor"/>
    </font>
    <font>
      <sz val="10"/>
      <name val="Arial"/>
      <family val="2"/>
    </font>
    <font>
      <sz val="10"/>
      <color rgb="FFFA2E2E"/>
      <name val="Book Antiqua"/>
      <family val="1"/>
    </font>
    <font>
      <sz val="10"/>
      <name val="MS Sans Serif"/>
      <family val="2"/>
      <charset val="1"/>
    </font>
    <font>
      <sz val="11"/>
      <color indexed="8"/>
      <name val="Calibri"/>
      <family val="2"/>
      <charset val="1"/>
    </font>
    <font>
      <sz val="11"/>
      <color indexed="8"/>
      <name val="Calibri"/>
      <family val="2"/>
    </font>
    <font>
      <sz val="10"/>
      <name val="Arial"/>
      <family val="2"/>
      <charset val="204"/>
    </font>
    <font>
      <sz val="10"/>
      <name val="Helv"/>
      <charset val="204"/>
    </font>
    <font>
      <sz val="10"/>
      <color indexed="8"/>
      <name val="Arial"/>
      <family val="2"/>
    </font>
    <font>
      <b/>
      <sz val="9"/>
      <name val="Calibri"/>
      <family val="2"/>
      <scheme val="minor"/>
    </font>
    <font>
      <sz val="9"/>
      <color theme="1"/>
      <name val="Calibri"/>
      <family val="2"/>
      <scheme val="minor"/>
    </font>
    <font>
      <b/>
      <sz val="9"/>
      <color theme="1"/>
      <name val="Calibri"/>
      <family val="2"/>
      <scheme val="minor"/>
    </font>
    <font>
      <strike/>
      <sz val="9"/>
      <name val="Calibri"/>
      <family val="2"/>
      <scheme val="minor"/>
    </font>
    <font>
      <sz val="9"/>
      <name val="Calibri"/>
      <family val="2"/>
      <scheme val="minor"/>
    </font>
    <font>
      <sz val="9"/>
      <color rgb="FF000000"/>
      <name val="Calibri"/>
      <family val="2"/>
      <scheme val="minor"/>
    </font>
    <font>
      <sz val="9"/>
      <color rgb="FFFF0000"/>
      <name val="Calibri"/>
      <family val="2"/>
      <scheme val="minor"/>
    </font>
    <font>
      <sz val="9"/>
      <color indexed="8"/>
      <name val="Calibri"/>
      <family val="2"/>
      <scheme val="minor"/>
    </font>
    <font>
      <sz val="9"/>
      <color rgb="FF006FC0"/>
      <name val="Calibri"/>
      <family val="2"/>
      <scheme val="minor"/>
    </font>
    <font>
      <sz val="9"/>
      <color theme="5" tint="-0.249977111117893"/>
      <name val="Calibri"/>
      <family val="2"/>
      <scheme val="minor"/>
    </font>
    <font>
      <sz val="9"/>
      <color rgb="FF222222"/>
      <name val="Calibri"/>
      <family val="2"/>
      <scheme val="minor"/>
    </font>
    <font>
      <b/>
      <u/>
      <sz val="9"/>
      <name val="Calibri"/>
      <family val="2"/>
      <scheme val="minor"/>
    </font>
    <font>
      <b/>
      <sz val="9"/>
      <color indexed="8"/>
      <name val="Calibri"/>
      <family val="2"/>
      <scheme val="minor"/>
    </font>
    <font>
      <sz val="9"/>
      <color indexed="10"/>
      <name val="Calibri"/>
      <family val="2"/>
      <scheme val="minor"/>
    </font>
    <font>
      <u/>
      <sz val="9"/>
      <name val="Calibri"/>
      <family val="2"/>
      <scheme val="minor"/>
    </font>
    <font>
      <b/>
      <strike/>
      <sz val="9"/>
      <name val="Calibri"/>
      <family val="2"/>
      <scheme val="minor"/>
    </font>
    <font>
      <strike/>
      <sz val="9"/>
      <color theme="1"/>
      <name val="Calibri"/>
      <family val="2"/>
      <scheme val="minor"/>
    </font>
    <font>
      <b/>
      <strike/>
      <sz val="9"/>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sz val="20"/>
      <name val="Calibri"/>
      <family val="2"/>
      <scheme val="minor"/>
    </font>
    <font>
      <sz val="8"/>
      <name val="Calibri"/>
      <family val="2"/>
      <scheme val="minor"/>
    </font>
    <font>
      <b/>
      <sz val="20"/>
      <name val="Calibri"/>
      <family val="2"/>
      <scheme val="minor"/>
    </font>
    <font>
      <sz val="10"/>
      <name val="Cambria"/>
      <family val="1"/>
    </font>
    <font>
      <sz val="10"/>
      <name val="Calibri Light"/>
      <family val="1"/>
      <scheme val="major"/>
    </font>
    <font>
      <sz val="10"/>
      <name val="Calibri"/>
      <family val="2"/>
      <scheme val="minor"/>
    </font>
    <font>
      <b/>
      <sz val="10"/>
      <name val="Calibri"/>
      <family val="2"/>
      <scheme val="minor"/>
    </font>
    <font>
      <b/>
      <sz val="14"/>
      <name val="Calibri"/>
      <family val="2"/>
      <scheme val="minor"/>
    </font>
    <font>
      <b/>
      <sz val="8"/>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color theme="10"/>
      <name val="Calibri"/>
      <family val="2"/>
      <scheme val="minor"/>
    </font>
    <font>
      <sz val="11"/>
      <name val="Calibri"/>
      <family val="2"/>
      <scheme val="minor"/>
    </font>
    <font>
      <sz val="11"/>
      <color theme="4"/>
      <name val="Calibri"/>
      <family val="2"/>
      <scheme val="minor"/>
    </font>
    <font>
      <sz val="10"/>
      <color theme="10"/>
      <name val="Calibri"/>
      <family val="2"/>
      <scheme val="minor"/>
    </font>
    <font>
      <b/>
      <sz val="12"/>
      <name val="Calibri"/>
      <family val="2"/>
      <scheme val="minor"/>
    </font>
    <font>
      <b/>
      <sz val="12"/>
      <color theme="1"/>
      <name val="Calibri"/>
      <family val="2"/>
      <scheme val="minor"/>
    </font>
    <font>
      <b/>
      <sz val="16"/>
      <color theme="1"/>
      <name val="Calibri"/>
      <family val="2"/>
      <scheme val="minor"/>
    </font>
    <font>
      <b/>
      <sz val="10"/>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1"/>
      <color theme="4" tint="-0.249977111117893"/>
      <name val="Calibri"/>
      <family val="2"/>
      <scheme val="minor"/>
    </font>
    <font>
      <b/>
      <sz val="16"/>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0"/>
        <bgColor indexed="35"/>
      </patternFill>
    </fill>
    <fill>
      <patternFill patternType="solid">
        <fgColor theme="0"/>
        <bgColor auto="1"/>
      </patternFill>
    </fill>
    <fill>
      <patternFill patternType="solid">
        <fgColor theme="0"/>
        <bgColor indexed="26"/>
      </patternFill>
    </fill>
    <fill>
      <patternFill patternType="solid">
        <fgColor theme="7" tint="0.79998168889431442"/>
        <bgColor indexed="35"/>
      </patternFill>
    </fill>
    <fill>
      <patternFill patternType="solid">
        <fgColor theme="9" tint="0.59999389629810485"/>
        <bgColor indexed="35"/>
      </patternFill>
    </fill>
    <fill>
      <patternFill patternType="solid">
        <fgColor theme="7" tint="0.79998168889431442"/>
        <bgColor indexed="64"/>
      </patternFill>
    </fill>
    <fill>
      <patternFill patternType="solid">
        <fgColor theme="9" tint="0.59999389629810485"/>
        <bgColor indexed="26"/>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35"/>
      </patternFill>
    </fill>
    <fill>
      <patternFill patternType="solid">
        <fgColor theme="0" tint="-0.249977111117893"/>
        <bgColor indexed="64"/>
      </patternFill>
    </fill>
    <fill>
      <patternFill patternType="solid">
        <fgColor theme="9" tint="0.39997558519241921"/>
        <bgColor indexed="35"/>
      </patternFill>
    </fill>
    <fill>
      <patternFill patternType="solid">
        <fgColor rgb="FFFFFF00"/>
        <bgColor indexed="35"/>
      </patternFill>
    </fill>
    <fill>
      <patternFill patternType="solid">
        <fgColor rgb="FFFFFF00"/>
        <bgColor indexed="26"/>
      </patternFill>
    </fill>
    <fill>
      <patternFill patternType="solid">
        <fgColor theme="2" tint="-0.249977111117893"/>
        <bgColor indexed="64"/>
      </patternFill>
    </fill>
    <fill>
      <patternFill patternType="solid">
        <fgColor rgb="FF00B0F0"/>
        <bgColor indexed="64"/>
      </patternFill>
    </fill>
  </fills>
  <borders count="3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theme="0" tint="-0.34998626667073579"/>
      </left>
      <right style="thin">
        <color theme="0" tint="-0.34998626667073579"/>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tint="-0.34998626667073579"/>
      </left>
      <right/>
      <top/>
      <bottom/>
      <diagonal/>
    </border>
    <border>
      <left/>
      <right style="thin">
        <color theme="0" tint="-0.34998626667073579"/>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0" fontId="2"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0" fontId="4" fillId="0" borderId="0"/>
    <xf numFmtId="0" fontId="5" fillId="0" borderId="0"/>
    <xf numFmtId="164" fontId="1" fillId="0" borderId="0" applyFont="0" applyFill="0" applyBorder="0" applyAlignment="0" applyProtection="0"/>
    <xf numFmtId="0" fontId="1" fillId="0" borderId="0"/>
    <xf numFmtId="0" fontId="2" fillId="0" borderId="0"/>
    <xf numFmtId="164" fontId="1" fillId="0" borderId="0" applyFont="0" applyFill="0" applyBorder="0" applyAlignment="0" applyProtection="0"/>
    <xf numFmtId="167" fontId="2" fillId="0" borderId="0" applyFill="0" applyBorder="0" applyAlignment="0" applyProtection="0"/>
    <xf numFmtId="0" fontId="2" fillId="0" borderId="0"/>
    <xf numFmtId="0" fontId="6" fillId="0" borderId="0"/>
    <xf numFmtId="167" fontId="7" fillId="0" borderId="0" applyFill="0" applyBorder="0" applyAlignment="0" applyProtection="0"/>
    <xf numFmtId="0" fontId="1" fillId="0" borderId="0"/>
    <xf numFmtId="0" fontId="8" fillId="0" borderId="0"/>
    <xf numFmtId="0" fontId="7" fillId="0" borderId="0"/>
    <xf numFmtId="0" fontId="6" fillId="0" borderId="0"/>
    <xf numFmtId="0" fontId="9" fillId="0" borderId="0"/>
    <xf numFmtId="0" fontId="42" fillId="0" borderId="0" applyNumberFormat="0" applyFill="0" applyBorder="0" applyAlignment="0" applyProtection="0"/>
  </cellStyleXfs>
  <cellXfs count="893">
    <xf numFmtId="0" fontId="0" fillId="0" borderId="0" xfId="0"/>
    <xf numFmtId="0" fontId="11" fillId="2" borderId="0" xfId="0" applyFont="1" applyFill="1"/>
    <xf numFmtId="0" fontId="11" fillId="2" borderId="1" xfId="0" applyFont="1" applyFill="1" applyBorder="1"/>
    <xf numFmtId="0" fontId="10" fillId="2" borderId="1" xfId="12" applyFont="1" applyFill="1" applyBorder="1" applyAlignment="1">
      <alignment vertical="center" wrapText="1"/>
    </xf>
    <xf numFmtId="0" fontId="11" fillId="2" borderId="1" xfId="0" applyFont="1" applyFill="1" applyBorder="1" applyAlignment="1">
      <alignment horizontal="center"/>
    </xf>
    <xf numFmtId="0" fontId="11" fillId="2" borderId="0" xfId="0" applyFont="1" applyFill="1" applyAlignment="1">
      <alignment wrapText="1"/>
    </xf>
    <xf numFmtId="0" fontId="11" fillId="2" borderId="0" xfId="0" applyFont="1" applyFill="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readingOrder="1"/>
    </xf>
    <xf numFmtId="0" fontId="10" fillId="2" borderId="1" xfId="0" applyFont="1" applyFill="1" applyBorder="1" applyAlignment="1">
      <alignment horizontal="center" vertical="center"/>
    </xf>
    <xf numFmtId="0" fontId="10"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1" fillId="2" borderId="1" xfId="0" applyFont="1" applyFill="1" applyBorder="1" applyAlignment="1">
      <alignment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top" wrapText="1"/>
    </xf>
    <xf numFmtId="0" fontId="11"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justify" vertical="center" wrapText="1"/>
    </xf>
    <xf numFmtId="0" fontId="14" fillId="2" borderId="1" xfId="12" applyFont="1" applyFill="1" applyBorder="1" applyAlignment="1">
      <alignment horizontal="left" vertical="center" wrapText="1"/>
    </xf>
    <xf numFmtId="0" fontId="14" fillId="2" borderId="1" xfId="1" applyFont="1" applyFill="1" applyBorder="1" applyAlignment="1">
      <alignment vertical="center" wrapText="1"/>
    </xf>
    <xf numFmtId="0" fontId="14" fillId="5" borderId="1" xfId="0" applyFont="1" applyFill="1" applyBorder="1" applyAlignment="1" applyProtection="1">
      <alignment horizontal="left" vertical="center" wrapText="1"/>
      <protection locked="0"/>
    </xf>
    <xf numFmtId="0" fontId="14" fillId="2" borderId="1" xfId="1" applyFont="1" applyFill="1" applyBorder="1" applyAlignment="1" applyProtection="1">
      <alignment horizontal="justify" vertical="top" wrapText="1"/>
      <protection locked="0"/>
    </xf>
    <xf numFmtId="0" fontId="14" fillId="2" borderId="1" xfId="1" applyFont="1" applyFill="1" applyBorder="1" applyAlignment="1" applyProtection="1">
      <alignment horizontal="justify" vertical="top"/>
      <protection locked="0"/>
    </xf>
    <xf numFmtId="0" fontId="11" fillId="2" borderId="1" xfId="0" applyFont="1" applyFill="1" applyBorder="1" applyAlignment="1" applyProtection="1">
      <alignment horizontal="center" vertical="top"/>
      <protection locked="0"/>
    </xf>
    <xf numFmtId="0" fontId="21" fillId="2" borderId="1" xfId="0" applyFont="1" applyFill="1" applyBorder="1" applyAlignment="1" applyProtection="1">
      <alignment horizontal="left" vertical="center" wrapText="1"/>
      <protection locked="0"/>
    </xf>
    <xf numFmtId="166" fontId="14" fillId="2" borderId="1" xfId="0" quotePrefix="1" applyNumberFormat="1" applyFont="1" applyFill="1" applyBorder="1" applyAlignment="1" applyProtection="1">
      <alignment horizontal="center" vertical="top" wrapText="1"/>
      <protection locked="0"/>
    </xf>
    <xf numFmtId="0" fontId="10" fillId="2" borderId="1" xfId="22" applyFont="1" applyFill="1" applyBorder="1" applyAlignment="1">
      <alignment horizontal="center" vertical="top" wrapText="1"/>
    </xf>
    <xf numFmtId="0" fontId="10" fillId="2" borderId="1" xfId="22" applyFont="1" applyFill="1" applyBorder="1" applyAlignment="1">
      <alignment horizontal="justify" vertical="top" wrapText="1"/>
    </xf>
    <xf numFmtId="0" fontId="14" fillId="2" borderId="1" xfId="22" applyFont="1" applyFill="1" applyBorder="1" applyAlignment="1">
      <alignment horizontal="center" vertical="top" wrapText="1"/>
    </xf>
    <xf numFmtId="0" fontId="17" fillId="2" borderId="1" xfId="22" applyFont="1" applyFill="1" applyBorder="1" applyAlignment="1">
      <alignment horizontal="justify" vertical="top" wrapText="1"/>
    </xf>
    <xf numFmtId="0" fontId="12" fillId="2" borderId="1" xfId="0" applyFont="1" applyFill="1" applyBorder="1" applyProtection="1">
      <protection locked="0"/>
    </xf>
    <xf numFmtId="0" fontId="10" fillId="2" borderId="1" xfId="0" applyFont="1" applyFill="1" applyBorder="1" applyAlignment="1">
      <alignment horizontal="left" vertical="center"/>
    </xf>
    <xf numFmtId="0" fontId="14" fillId="2" borderId="1" xfId="19" applyFont="1" applyFill="1" applyBorder="1" applyAlignment="1">
      <alignment horizontal="justify" vertical="center" wrapText="1"/>
    </xf>
    <xf numFmtId="0" fontId="14" fillId="2" borderId="1" xfId="19" applyFont="1" applyFill="1" applyBorder="1" applyAlignment="1">
      <alignment horizontal="center" vertical="center" wrapText="1"/>
    </xf>
    <xf numFmtId="0" fontId="10" fillId="2" borderId="1" xfId="0" applyFont="1" applyFill="1" applyBorder="1" applyAlignment="1">
      <alignment horizontal="justify" vertical="top" wrapText="1"/>
    </xf>
    <xf numFmtId="0" fontId="14" fillId="2" borderId="1" xfId="0" applyFont="1" applyFill="1" applyBorder="1" applyAlignment="1">
      <alignment horizontal="justify" vertical="top" wrapText="1"/>
    </xf>
    <xf numFmtId="0" fontId="14" fillId="2" borderId="1" xfId="0" applyFont="1" applyFill="1" applyBorder="1" applyAlignment="1">
      <alignment horizontal="justify" vertical="top"/>
    </xf>
    <xf numFmtId="0" fontId="14" fillId="2" borderId="1" xfId="0" applyFont="1" applyFill="1" applyBorder="1"/>
    <xf numFmtId="0" fontId="10" fillId="2" borderId="1" xfId="0" applyFont="1" applyFill="1" applyBorder="1" applyAlignment="1">
      <alignment horizontal="left" wrapText="1"/>
    </xf>
    <xf numFmtId="0" fontId="10" fillId="2" borderId="1" xfId="0" applyFont="1" applyFill="1" applyBorder="1" applyAlignment="1">
      <alignment horizontal="left"/>
    </xf>
    <xf numFmtId="0" fontId="14" fillId="2" borderId="1" xfId="0" applyFont="1" applyFill="1" applyBorder="1" applyAlignment="1">
      <alignment horizontal="center"/>
    </xf>
    <xf numFmtId="0" fontId="10" fillId="2" borderId="1" xfId="0" applyFont="1" applyFill="1" applyBorder="1" applyAlignment="1">
      <alignment horizontal="justify" vertical="center" wrapText="1"/>
    </xf>
    <xf numFmtId="169" fontId="11" fillId="2" borderId="0" xfId="13" applyNumberFormat="1" applyFont="1" applyFill="1"/>
    <xf numFmtId="169" fontId="11" fillId="2" borderId="0" xfId="13" applyNumberFormat="1" applyFont="1" applyFill="1" applyAlignment="1">
      <alignment horizontal="center"/>
    </xf>
    <xf numFmtId="0" fontId="12" fillId="2" borderId="1" xfId="0" applyFont="1" applyFill="1" applyBorder="1" applyAlignment="1">
      <alignment vertical="center" wrapText="1"/>
    </xf>
    <xf numFmtId="0" fontId="11" fillId="8" borderId="1" xfId="0" applyFont="1" applyFill="1" applyBorder="1" applyAlignment="1">
      <alignment horizontal="center"/>
    </xf>
    <xf numFmtId="0" fontId="10" fillId="2" borderId="4" xfId="12" applyFont="1" applyFill="1" applyBorder="1" applyAlignment="1">
      <alignment horizontal="center" vertical="center" wrapText="1"/>
    </xf>
    <xf numFmtId="0" fontId="11" fillId="2" borderId="0" xfId="0" applyFont="1" applyFill="1" applyAlignment="1">
      <alignment horizontal="center" vertical="center"/>
    </xf>
    <xf numFmtId="2" fontId="17" fillId="0" borderId="0" xfId="0" applyNumberFormat="1" applyFont="1"/>
    <xf numFmtId="2" fontId="22" fillId="0" borderId="10" xfId="0" applyNumberFormat="1" applyFont="1" applyBorder="1" applyAlignment="1">
      <alignment horizontal="center" vertical="center"/>
    </xf>
    <xf numFmtId="0" fontId="29" fillId="0" borderId="10" xfId="0" applyFont="1" applyBorder="1" applyAlignment="1">
      <alignment vertical="center"/>
    </xf>
    <xf numFmtId="2" fontId="17" fillId="0" borderId="10" xfId="0" applyNumberFormat="1" applyFont="1" applyBorder="1" applyAlignment="1">
      <alignment horizontal="center"/>
    </xf>
    <xf numFmtId="170" fontId="17" fillId="0" borderId="10" xfId="0" applyNumberFormat="1" applyFont="1" applyBorder="1" applyAlignment="1">
      <alignment horizontal="center"/>
    </xf>
    <xf numFmtId="2" fontId="17" fillId="0" borderId="10" xfId="0" applyNumberFormat="1" applyFont="1" applyBorder="1" applyAlignment="1">
      <alignment horizontal="right"/>
    </xf>
    <xf numFmtId="0" fontId="28" fillId="0" borderId="10" xfId="0" applyFont="1" applyBorder="1" applyAlignment="1">
      <alignment horizontal="center"/>
    </xf>
    <xf numFmtId="0" fontId="28" fillId="0" borderId="10" xfId="0" applyFont="1" applyBorder="1"/>
    <xf numFmtId="0" fontId="0" fillId="0" borderId="10" xfId="0" applyBorder="1"/>
    <xf numFmtId="0" fontId="0" fillId="0" borderId="10" xfId="0" applyBorder="1" applyAlignment="1">
      <alignment horizontal="center"/>
    </xf>
    <xf numFmtId="2" fontId="0" fillId="0" borderId="10" xfId="0" applyNumberFormat="1" applyBorder="1"/>
    <xf numFmtId="2" fontId="28" fillId="0" borderId="10" xfId="0" applyNumberFormat="1" applyFont="1" applyBorder="1"/>
    <xf numFmtId="2" fontId="17" fillId="0" borderId="10" xfId="0" applyNumberFormat="1" applyFont="1" applyBorder="1" applyAlignment="1">
      <alignment horizontal="center" vertical="center"/>
    </xf>
    <xf numFmtId="2" fontId="17" fillId="0" borderId="10" xfId="0" applyNumberFormat="1" applyFont="1" applyBorder="1" applyAlignment="1">
      <alignment horizontal="justify" vertical="top"/>
    </xf>
    <xf numFmtId="170" fontId="17" fillId="0" borderId="10" xfId="0" applyNumberFormat="1" applyFont="1" applyBorder="1" applyAlignment="1">
      <alignment horizontal="right"/>
    </xf>
    <xf numFmtId="0" fontId="30" fillId="0" borderId="10" xfId="0" applyFont="1" applyBorder="1"/>
    <xf numFmtId="0" fontId="12" fillId="0" borderId="10" xfId="0" applyFont="1" applyBorder="1"/>
    <xf numFmtId="0" fontId="14" fillId="2" borderId="10" xfId="0" applyFont="1" applyFill="1" applyBorder="1" applyAlignment="1">
      <alignment horizontal="justify" vertical="center" wrapText="1"/>
    </xf>
    <xf numFmtId="0" fontId="29" fillId="2" borderId="10" xfId="0" applyFont="1" applyFill="1" applyBorder="1" applyAlignment="1">
      <alignment horizontal="justify" vertical="center" wrapText="1"/>
    </xf>
    <xf numFmtId="0" fontId="28" fillId="12" borderId="10" xfId="0" applyFont="1" applyFill="1" applyBorder="1"/>
    <xf numFmtId="0" fontId="14" fillId="2" borderId="10" xfId="0" applyFont="1" applyFill="1" applyBorder="1" applyAlignment="1">
      <alignment vertical="center" wrapText="1"/>
    </xf>
    <xf numFmtId="0" fontId="14" fillId="2" borderId="10" xfId="1" applyFont="1" applyFill="1" applyBorder="1" applyAlignment="1">
      <alignment vertical="center" wrapText="1"/>
    </xf>
    <xf numFmtId="0" fontId="17" fillId="2" borderId="10" xfId="0" applyFont="1" applyFill="1" applyBorder="1" applyAlignment="1" applyProtection="1">
      <alignment horizontal="center" vertical="top"/>
      <protection locked="0"/>
    </xf>
    <xf numFmtId="0" fontId="10" fillId="2" borderId="10"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0" fillId="12" borderId="10" xfId="0" applyFill="1" applyBorder="1"/>
    <xf numFmtId="0" fontId="30" fillId="0" borderId="10" xfId="0" applyFont="1" applyBorder="1" applyAlignment="1">
      <alignment horizontal="left" vertical="top" wrapText="1"/>
    </xf>
    <xf numFmtId="0" fontId="11" fillId="0" borderId="10" xfId="0" applyFont="1" applyBorder="1"/>
    <xf numFmtId="0" fontId="11" fillId="0" borderId="10" xfId="0" applyFont="1" applyBorder="1" applyAlignment="1">
      <alignment wrapText="1"/>
    </xf>
    <xf numFmtId="2" fontId="28" fillId="0" borderId="10" xfId="0" applyNumberFormat="1" applyFont="1" applyBorder="1" applyAlignment="1">
      <alignment horizontal="center"/>
    </xf>
    <xf numFmtId="0" fontId="14" fillId="2" borderId="10" xfId="1" applyFont="1" applyFill="1" applyBorder="1" applyAlignment="1" applyProtection="1">
      <alignment horizontal="justify" vertical="top"/>
      <protection locked="0"/>
    </xf>
    <xf numFmtId="2" fontId="0" fillId="12" borderId="10" xfId="0" applyNumberFormat="1" applyFill="1" applyBorder="1"/>
    <xf numFmtId="0" fontId="32" fillId="5" borderId="10"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top" wrapText="1"/>
      <protection locked="0"/>
    </xf>
    <xf numFmtId="0" fontId="14" fillId="5" borderId="10" xfId="0" applyFont="1" applyFill="1" applyBorder="1" applyAlignment="1" applyProtection="1">
      <alignment horizontal="left" vertical="center" wrapText="1"/>
      <protection locked="0"/>
    </xf>
    <xf numFmtId="0" fontId="21" fillId="5" borderId="10" xfId="0" applyFont="1" applyFill="1" applyBorder="1" applyAlignment="1" applyProtection="1">
      <alignment horizontal="left" vertical="top" wrapText="1"/>
      <protection locked="0"/>
    </xf>
    <xf numFmtId="166" fontId="14" fillId="5" borderId="10" xfId="0" applyNumberFormat="1" applyFont="1" applyFill="1" applyBorder="1" applyAlignment="1" applyProtection="1">
      <alignment horizontal="center" vertical="top" wrapText="1"/>
      <protection locked="0"/>
    </xf>
    <xf numFmtId="0" fontId="21" fillId="2" borderId="10" xfId="0" applyFont="1" applyFill="1" applyBorder="1" applyAlignment="1" applyProtection="1">
      <alignment horizontal="left" vertical="center" wrapText="1"/>
      <protection locked="0"/>
    </xf>
    <xf numFmtId="0" fontId="17" fillId="2" borderId="10" xfId="22" applyFont="1" applyFill="1" applyBorder="1" applyAlignment="1">
      <alignment horizontal="justify" vertical="top" wrapText="1"/>
    </xf>
    <xf numFmtId="0" fontId="14" fillId="2" borderId="10" xfId="22" applyFont="1" applyFill="1" applyBorder="1" applyAlignment="1">
      <alignment horizontal="center" vertical="top" wrapText="1"/>
    </xf>
    <xf numFmtId="0" fontId="34" fillId="0" borderId="10" xfId="1" applyFont="1" applyBorder="1" applyAlignment="1" applyProtection="1">
      <alignment vertical="top" wrapText="1"/>
      <protection locked="0"/>
    </xf>
    <xf numFmtId="0" fontId="35" fillId="0" borderId="10" xfId="1" applyFont="1" applyBorder="1" applyAlignment="1" applyProtection="1">
      <alignment horizontal="justify" vertical="top"/>
      <protection locked="0"/>
    </xf>
    <xf numFmtId="166" fontId="14" fillId="2" borderId="10" xfId="0" quotePrefix="1" applyNumberFormat="1" applyFont="1" applyFill="1" applyBorder="1" applyAlignment="1" applyProtection="1">
      <alignment horizontal="center" vertical="top" wrapText="1"/>
      <protection locked="0"/>
    </xf>
    <xf numFmtId="0" fontId="10" fillId="0" borderId="10" xfId="0" applyFont="1" applyBorder="1" applyAlignment="1">
      <alignment vertical="center"/>
    </xf>
    <xf numFmtId="2" fontId="17" fillId="0" borderId="0" xfId="0" applyNumberFormat="1" applyFont="1" applyAlignment="1">
      <alignment horizontal="center" vertical="center"/>
    </xf>
    <xf numFmtId="2" fontId="17" fillId="0" borderId="0" xfId="0" applyNumberFormat="1" applyFont="1" applyAlignment="1">
      <alignment horizontal="justify" vertical="top"/>
    </xf>
    <xf numFmtId="2" fontId="17" fillId="0" borderId="0" xfId="0" applyNumberFormat="1" applyFont="1" applyAlignment="1">
      <alignment horizontal="center"/>
    </xf>
    <xf numFmtId="2" fontId="17" fillId="0" borderId="0" xfId="0" applyNumberFormat="1" applyFont="1" applyAlignment="1">
      <alignment horizontal="right"/>
    </xf>
    <xf numFmtId="170" fontId="17" fillId="0" borderId="0" xfId="0" applyNumberFormat="1" applyFont="1" applyAlignment="1">
      <alignment horizontal="right"/>
    </xf>
    <xf numFmtId="2" fontId="11" fillId="2" borderId="0" xfId="0" applyNumberFormat="1" applyFont="1" applyFill="1"/>
    <xf numFmtId="2" fontId="22" fillId="0" borderId="15" xfId="0" applyNumberFormat="1" applyFont="1" applyBorder="1" applyAlignment="1">
      <alignment horizontal="center" vertical="center"/>
    </xf>
    <xf numFmtId="0" fontId="29" fillId="0" borderId="16" xfId="0" applyFont="1" applyBorder="1" applyAlignment="1">
      <alignment vertical="center"/>
    </xf>
    <xf numFmtId="2" fontId="17" fillId="0" borderId="15" xfId="0" applyNumberFormat="1" applyFont="1" applyBorder="1" applyAlignment="1">
      <alignment horizontal="center"/>
    </xf>
    <xf numFmtId="170" fontId="17" fillId="0" borderId="15" xfId="0" applyNumberFormat="1" applyFont="1" applyBorder="1" applyAlignment="1">
      <alignment horizontal="center"/>
    </xf>
    <xf numFmtId="2" fontId="17" fillId="0" borderId="15" xfId="0" applyNumberFormat="1" applyFont="1" applyBorder="1" applyAlignment="1">
      <alignment horizontal="right"/>
    </xf>
    <xf numFmtId="0" fontId="28" fillId="0" borderId="12" xfId="0" applyFont="1" applyBorder="1"/>
    <xf numFmtId="0" fontId="28" fillId="0" borderId="11" xfId="0" applyFont="1" applyBorder="1"/>
    <xf numFmtId="0" fontId="28" fillId="0" borderId="11" xfId="0" applyFont="1" applyBorder="1" applyAlignment="1">
      <alignment horizontal="center"/>
    </xf>
    <xf numFmtId="0" fontId="28" fillId="0" borderId="12" xfId="0" applyFont="1" applyBorder="1" applyAlignment="1">
      <alignment horizontal="center"/>
    </xf>
    <xf numFmtId="0" fontId="28" fillId="0" borderId="13" xfId="0" applyFont="1" applyBorder="1" applyAlignment="1">
      <alignment horizontal="center"/>
    </xf>
    <xf numFmtId="0" fontId="28" fillId="0" borderId="0" xfId="0" applyFont="1"/>
    <xf numFmtId="0" fontId="29" fillId="2" borderId="1" xfId="0" applyFont="1" applyFill="1" applyBorder="1" applyAlignment="1">
      <alignment horizontal="left" vertical="center" wrapText="1"/>
    </xf>
    <xf numFmtId="0" fontId="28" fillId="2" borderId="10" xfId="0" applyFont="1" applyFill="1" applyBorder="1"/>
    <xf numFmtId="0" fontId="0" fillId="0" borderId="5" xfId="0" applyBorder="1" applyAlignment="1">
      <alignment horizontal="center"/>
    </xf>
    <xf numFmtId="2" fontId="0" fillId="0" borderId="5" xfId="0" applyNumberFormat="1" applyBorder="1"/>
    <xf numFmtId="0" fontId="0" fillId="0" borderId="11" xfId="0" applyBorder="1" applyAlignment="1">
      <alignment horizontal="center"/>
    </xf>
    <xf numFmtId="2" fontId="28" fillId="0" borderId="24" xfId="0" applyNumberFormat="1" applyFont="1" applyBorder="1"/>
    <xf numFmtId="0" fontId="0" fillId="0" borderId="25" xfId="0" applyBorder="1" applyAlignment="1">
      <alignment horizontal="center"/>
    </xf>
    <xf numFmtId="0" fontId="0" fillId="0" borderId="25" xfId="0" applyBorder="1"/>
    <xf numFmtId="0" fontId="36" fillId="0" borderId="10" xfId="0" applyFont="1" applyBorder="1" applyAlignment="1">
      <alignment horizontal="left" vertical="center" wrapText="1"/>
    </xf>
    <xf numFmtId="0" fontId="36" fillId="0" borderId="10" xfId="0" applyFont="1" applyBorder="1" applyAlignment="1">
      <alignment horizontal="center" vertical="center" wrapText="1"/>
    </xf>
    <xf numFmtId="0" fontId="0" fillId="2" borderId="10" xfId="0" applyFill="1" applyBorder="1" applyAlignment="1">
      <alignment horizontal="center"/>
    </xf>
    <xf numFmtId="0" fontId="0" fillId="2" borderId="10" xfId="0" applyFill="1" applyBorder="1"/>
    <xf numFmtId="0" fontId="28" fillId="2" borderId="10" xfId="0" applyFont="1" applyFill="1" applyBorder="1" applyAlignment="1">
      <alignment horizontal="center"/>
    </xf>
    <xf numFmtId="0" fontId="28" fillId="2" borderId="12" xfId="0" applyFont="1" applyFill="1" applyBorder="1" applyAlignment="1">
      <alignment horizontal="center"/>
    </xf>
    <xf numFmtId="0" fontId="28" fillId="2" borderId="11" xfId="0" applyFont="1" applyFill="1" applyBorder="1"/>
    <xf numFmtId="0" fontId="28" fillId="12" borderId="11" xfId="0" applyFont="1" applyFill="1" applyBorder="1"/>
    <xf numFmtId="0" fontId="14" fillId="2" borderId="0" xfId="1" applyFont="1" applyFill="1" applyAlignment="1" applyProtection="1">
      <alignment horizontal="justify" vertical="top"/>
      <protection locked="0"/>
    </xf>
    <xf numFmtId="0" fontId="36" fillId="0" borderId="26" xfId="0" applyFont="1" applyBorder="1" applyAlignment="1">
      <alignment horizontal="center" vertical="center"/>
    </xf>
    <xf numFmtId="0" fontId="37" fillId="0" borderId="10" xfId="0" applyFont="1" applyBorder="1" applyAlignment="1">
      <alignment horizontal="left" vertical="center" wrapText="1"/>
    </xf>
    <xf numFmtId="0" fontId="28" fillId="2" borderId="10" xfId="0" applyFont="1" applyFill="1" applyBorder="1" applyAlignment="1">
      <alignment horizontal="right"/>
    </xf>
    <xf numFmtId="0" fontId="0" fillId="2" borderId="10" xfId="0" applyFill="1" applyBorder="1" applyAlignment="1">
      <alignment horizontal="center" vertical="center"/>
    </xf>
    <xf numFmtId="0" fontId="0" fillId="2" borderId="12" xfId="0" applyFill="1" applyBorder="1" applyAlignment="1">
      <alignment horizontal="center"/>
    </xf>
    <xf numFmtId="0" fontId="0" fillId="2" borderId="11" xfId="0" applyFill="1" applyBorder="1" applyAlignment="1">
      <alignment horizontal="center"/>
    </xf>
    <xf numFmtId="0" fontId="32" fillId="5" borderId="1" xfId="0" applyFont="1" applyFill="1" applyBorder="1" applyAlignment="1" applyProtection="1">
      <alignment horizontal="left" vertical="center" wrapText="1"/>
      <protection locked="0"/>
    </xf>
    <xf numFmtId="0" fontId="0" fillId="12" borderId="10" xfId="0" applyFill="1" applyBorder="1" applyAlignment="1">
      <alignment horizontal="center"/>
    </xf>
    <xf numFmtId="0" fontId="32" fillId="5" borderId="1" xfId="0" applyFont="1" applyFill="1" applyBorder="1" applyAlignment="1" applyProtection="1">
      <alignment horizontal="left" vertical="top" wrapText="1"/>
      <protection locked="0"/>
    </xf>
    <xf numFmtId="0" fontId="28" fillId="12" borderId="10" xfId="0" applyFont="1" applyFill="1" applyBorder="1" applyAlignment="1">
      <alignment horizontal="right"/>
    </xf>
    <xf numFmtId="166" fontId="14" fillId="2" borderId="0" xfId="0" quotePrefix="1" applyNumberFormat="1" applyFont="1" applyFill="1" applyAlignment="1" applyProtection="1">
      <alignment horizontal="center" vertical="top" wrapText="1"/>
      <protection locked="0"/>
    </xf>
    <xf numFmtId="0" fontId="0" fillId="0" borderId="5" xfId="0" applyBorder="1"/>
    <xf numFmtId="0" fontId="28" fillId="0" borderId="27" xfId="0" applyFont="1" applyBorder="1" applyAlignment="1">
      <alignment horizontal="center"/>
    </xf>
    <xf numFmtId="0" fontId="28" fillId="0" borderId="28" xfId="0" applyFont="1" applyBorder="1" applyAlignment="1">
      <alignment horizontal="center"/>
    </xf>
    <xf numFmtId="0" fontId="28" fillId="0" borderId="5" xfId="0" applyFont="1" applyBorder="1"/>
    <xf numFmtId="0" fontId="0" fillId="12" borderId="10" xfId="0" applyFill="1" applyBorder="1" applyAlignment="1">
      <alignment horizontal="right"/>
    </xf>
    <xf numFmtId="0" fontId="10" fillId="0" borderId="1" xfId="0" applyFont="1" applyBorder="1" applyAlignment="1">
      <alignment vertical="center"/>
    </xf>
    <xf numFmtId="0" fontId="39" fillId="2" borderId="1" xfId="0" applyFont="1" applyFill="1" applyBorder="1" applyAlignment="1">
      <alignment horizontal="justify" vertical="center" wrapText="1"/>
    </xf>
    <xf numFmtId="0" fontId="14" fillId="2" borderId="10" xfId="0" applyFont="1" applyFill="1" applyBorder="1"/>
    <xf numFmtId="0" fontId="28" fillId="0" borderId="0" xfId="0" applyFont="1" applyAlignment="1">
      <alignment horizontal="center"/>
    </xf>
    <xf numFmtId="0" fontId="0" fillId="0" borderId="0" xfId="0" applyAlignment="1">
      <alignment horizontal="center"/>
    </xf>
    <xf numFmtId="169" fontId="10" fillId="2" borderId="10" xfId="13" applyNumberFormat="1" applyFont="1" applyFill="1" applyBorder="1" applyAlignment="1">
      <alignment horizontal="center" vertical="center"/>
    </xf>
    <xf numFmtId="0" fontId="12" fillId="2" borderId="10"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10" xfId="0" applyFont="1" applyFill="1" applyBorder="1" applyAlignment="1">
      <alignment vertical="center"/>
    </xf>
    <xf numFmtId="0" fontId="14" fillId="3" borderId="10" xfId="0" applyFont="1" applyFill="1" applyBorder="1" applyAlignment="1">
      <alignment horizontal="center" vertical="center"/>
    </xf>
    <xf numFmtId="0" fontId="14" fillId="3" borderId="10" xfId="0" applyFont="1" applyFill="1" applyBorder="1" applyAlignment="1">
      <alignment horizontal="center" vertical="center" readingOrder="1"/>
    </xf>
    <xf numFmtId="0" fontId="11" fillId="2" borderId="10" xfId="0" applyFont="1" applyFill="1" applyBorder="1"/>
    <xf numFmtId="0" fontId="0" fillId="0" borderId="12" xfId="0" applyBorder="1" applyAlignment="1">
      <alignment horizontal="center"/>
    </xf>
    <xf numFmtId="0" fontId="0" fillId="0" borderId="10" xfId="0" applyBorder="1" applyAlignment="1">
      <alignment horizontal="left"/>
    </xf>
    <xf numFmtId="2" fontId="0" fillId="0" borderId="10" xfId="0" applyNumberFormat="1" applyBorder="1" applyAlignment="1">
      <alignment horizontal="right"/>
    </xf>
    <xf numFmtId="2" fontId="28" fillId="2" borderId="10" xfId="0" applyNumberFormat="1" applyFont="1" applyFill="1" applyBorder="1"/>
    <xf numFmtId="0" fontId="11" fillId="2" borderId="0" xfId="0" applyFont="1" applyFill="1" applyAlignment="1">
      <alignment vertical="center"/>
    </xf>
    <xf numFmtId="0" fontId="11" fillId="2" borderId="10" xfId="0" applyFont="1" applyFill="1" applyBorder="1" applyAlignment="1">
      <alignment vertical="center"/>
    </xf>
    <xf numFmtId="0" fontId="11" fillId="2" borderId="7" xfId="0" applyFont="1" applyFill="1" applyBorder="1" applyAlignment="1">
      <alignment wrapText="1"/>
    </xf>
    <xf numFmtId="0" fontId="10" fillId="10" borderId="10" xfId="0" applyFont="1" applyFill="1" applyBorder="1" applyAlignment="1">
      <alignment horizontal="center" vertical="top" wrapText="1"/>
    </xf>
    <xf numFmtId="169" fontId="10" fillId="10" borderId="10" xfId="13" applyNumberFormat="1" applyFont="1" applyFill="1" applyBorder="1" applyAlignment="1">
      <alignment horizontal="center" vertical="top" wrapText="1"/>
    </xf>
    <xf numFmtId="169" fontId="14" fillId="10" borderId="10" xfId="13" applyNumberFormat="1" applyFont="1" applyFill="1" applyBorder="1" applyAlignment="1">
      <alignment horizontal="center" vertical="top" wrapText="1"/>
    </xf>
    <xf numFmtId="1" fontId="15" fillId="2" borderId="10" xfId="0" applyNumberFormat="1" applyFont="1" applyFill="1" applyBorder="1" applyAlignment="1">
      <alignment horizontal="center" vertical="center" shrinkToFit="1"/>
    </xf>
    <xf numFmtId="0" fontId="14" fillId="2" borderId="10" xfId="0" applyFont="1" applyFill="1" applyBorder="1" applyAlignment="1">
      <alignment horizontal="center" vertical="top" wrapText="1"/>
    </xf>
    <xf numFmtId="0" fontId="14" fillId="2" borderId="10" xfId="0" applyFont="1" applyFill="1" applyBorder="1" applyAlignment="1">
      <alignment horizontal="center" vertical="center" wrapText="1"/>
    </xf>
    <xf numFmtId="169" fontId="15" fillId="2" borderId="10" xfId="13" applyNumberFormat="1" applyFont="1" applyFill="1" applyBorder="1" applyAlignment="1">
      <alignment horizontal="center" vertical="center" shrinkToFit="1"/>
    </xf>
    <xf numFmtId="2" fontId="11" fillId="2" borderId="10" xfId="0" applyNumberFormat="1" applyFont="1" applyFill="1" applyBorder="1" applyAlignment="1">
      <alignment vertical="center"/>
    </xf>
    <xf numFmtId="0" fontId="29" fillId="2" borderId="10" xfId="0" applyFont="1" applyFill="1" applyBorder="1" applyAlignment="1">
      <alignment horizontal="center" vertical="top"/>
    </xf>
    <xf numFmtId="0" fontId="14" fillId="2" borderId="10" xfId="0" applyFont="1" applyFill="1" applyBorder="1" applyAlignment="1">
      <alignment vertical="top" wrapText="1"/>
    </xf>
    <xf numFmtId="169" fontId="14" fillId="2" borderId="10" xfId="13" applyNumberFormat="1" applyFont="1" applyFill="1" applyBorder="1" applyAlignment="1">
      <alignment vertical="top" wrapText="1"/>
    </xf>
    <xf numFmtId="0" fontId="11" fillId="2" borderId="10" xfId="0" applyFont="1" applyFill="1" applyBorder="1" applyAlignment="1">
      <alignment horizontal="left" vertical="center" wrapText="1"/>
    </xf>
    <xf numFmtId="0" fontId="11" fillId="2" borderId="10" xfId="0" applyFont="1" applyFill="1" applyBorder="1" applyAlignment="1">
      <alignment wrapText="1"/>
    </xf>
    <xf numFmtId="0" fontId="11" fillId="2" borderId="10" xfId="0" applyFont="1" applyFill="1" applyBorder="1" applyAlignment="1">
      <alignment horizontal="left" vertical="center"/>
    </xf>
    <xf numFmtId="165" fontId="11" fillId="2" borderId="10" xfId="0" applyNumberFormat="1" applyFont="1" applyFill="1" applyBorder="1" applyAlignment="1">
      <alignment horizontal="left" vertical="center" wrapText="1"/>
    </xf>
    <xf numFmtId="0" fontId="14" fillId="2" borderId="10" xfId="0" applyFont="1" applyFill="1" applyBorder="1" applyAlignment="1">
      <alignment horizontal="left" vertical="center"/>
    </xf>
    <xf numFmtId="1" fontId="14" fillId="2" borderId="10" xfId="0" quotePrefix="1" applyNumberFormat="1" applyFont="1" applyFill="1" applyBorder="1" applyAlignment="1">
      <alignment horizontal="justify" vertical="justify" wrapText="1"/>
    </xf>
    <xf numFmtId="0" fontId="15" fillId="2" borderId="10" xfId="0" applyFont="1" applyFill="1" applyBorder="1" applyAlignment="1">
      <alignment horizontal="justify" vertical="center" wrapText="1"/>
    </xf>
    <xf numFmtId="0" fontId="14" fillId="2" borderId="10" xfId="0" applyFont="1" applyFill="1" applyBorder="1" applyAlignment="1">
      <alignment horizontal="left" vertical="center" wrapText="1"/>
    </xf>
    <xf numFmtId="0" fontId="14" fillId="2" borderId="10" xfId="0" applyFont="1" applyFill="1" applyBorder="1" applyAlignment="1">
      <alignment horizontal="left" vertical="top" wrapText="1"/>
    </xf>
    <xf numFmtId="0" fontId="11" fillId="2" borderId="10" xfId="0" applyFont="1" applyFill="1" applyBorder="1" applyAlignment="1">
      <alignment horizontal="center" vertical="top" wrapText="1"/>
    </xf>
    <xf numFmtId="169" fontId="11" fillId="2" borderId="10" xfId="13" applyNumberFormat="1" applyFont="1" applyFill="1" applyBorder="1" applyAlignment="1">
      <alignment horizontal="center" vertical="top" wrapText="1"/>
    </xf>
    <xf numFmtId="0" fontId="11" fillId="2" borderId="10" xfId="0" applyFont="1" applyFill="1" applyBorder="1" applyAlignment="1">
      <alignment horizontal="center" wrapText="1"/>
    </xf>
    <xf numFmtId="169" fontId="15" fillId="2" borderId="10" xfId="13" applyNumberFormat="1" applyFont="1" applyFill="1" applyBorder="1" applyAlignment="1">
      <alignment horizontal="center" vertical="top" shrinkToFit="1"/>
    </xf>
    <xf numFmtId="0" fontId="11" fillId="2" borderId="10" xfId="0" applyFont="1" applyFill="1" applyBorder="1" applyAlignment="1">
      <alignment horizontal="left" vertical="top" wrapText="1"/>
    </xf>
    <xf numFmtId="169" fontId="11" fillId="2" borderId="10" xfId="13" applyNumberFormat="1" applyFont="1" applyFill="1" applyBorder="1" applyAlignment="1">
      <alignment horizontal="center" wrapText="1"/>
    </xf>
    <xf numFmtId="1" fontId="15" fillId="2" borderId="10" xfId="0" applyNumberFormat="1" applyFont="1" applyFill="1" applyBorder="1" applyAlignment="1">
      <alignment horizontal="center" vertical="top" shrinkToFit="1"/>
    </xf>
    <xf numFmtId="0" fontId="11" fillId="2" borderId="10" xfId="0" applyFont="1" applyFill="1" applyBorder="1" applyAlignment="1">
      <alignment horizontal="left" wrapText="1"/>
    </xf>
    <xf numFmtId="0" fontId="11" fillId="2" borderId="10" xfId="0" applyFont="1" applyFill="1" applyBorder="1" applyAlignment="1">
      <alignment vertical="top" wrapText="1"/>
    </xf>
    <xf numFmtId="169" fontId="14" fillId="2" borderId="10" xfId="13" applyNumberFormat="1" applyFont="1" applyFill="1" applyBorder="1" applyAlignment="1">
      <alignment horizontal="center" vertical="top"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left" vertical="center" wrapText="1" shrinkToFit="1"/>
    </xf>
    <xf numFmtId="169" fontId="14" fillId="2" borderId="10" xfId="13" applyNumberFormat="1" applyFont="1" applyFill="1" applyBorder="1" applyAlignment="1">
      <alignment horizontal="center" vertical="center" wrapText="1"/>
    </xf>
    <xf numFmtId="49" fontId="17" fillId="4" borderId="10" xfId="0" applyNumberFormat="1" applyFont="1" applyFill="1" applyBorder="1" applyAlignment="1">
      <alignment horizontal="left" vertical="center"/>
    </xf>
    <xf numFmtId="49" fontId="17" fillId="4" borderId="10" xfId="0" applyNumberFormat="1" applyFont="1" applyFill="1" applyBorder="1" applyAlignment="1">
      <alignment horizontal="left" vertical="center" wrapText="1"/>
    </xf>
    <xf numFmtId="0" fontId="11" fillId="2" borderId="10" xfId="0" applyFont="1" applyFill="1" applyBorder="1" applyAlignment="1">
      <alignment horizontal="center" vertical="center"/>
    </xf>
    <xf numFmtId="0" fontId="11" fillId="2" borderId="10" xfId="0" applyFont="1" applyFill="1" applyBorder="1" applyAlignment="1">
      <alignment vertical="center" wrapText="1"/>
    </xf>
    <xf numFmtId="0" fontId="14" fillId="2" borderId="10" xfId="0" applyFont="1" applyFill="1" applyBorder="1" applyAlignment="1">
      <alignment horizontal="right" wrapText="1"/>
    </xf>
    <xf numFmtId="166" fontId="15" fillId="2" borderId="10" xfId="0" applyNumberFormat="1" applyFont="1" applyFill="1" applyBorder="1" applyAlignment="1">
      <alignment horizontal="center" vertical="center" wrapText="1" shrinkToFit="1"/>
    </xf>
    <xf numFmtId="0" fontId="14" fillId="2" borderId="10" xfId="0" applyFont="1" applyFill="1" applyBorder="1" applyAlignment="1">
      <alignment horizontal="justify" vertical="center" wrapText="1" shrinkToFit="1"/>
    </xf>
    <xf numFmtId="0" fontId="11" fillId="2" borderId="10" xfId="0" applyFont="1" applyFill="1" applyBorder="1" applyAlignment="1">
      <alignment horizontal="center"/>
    </xf>
    <xf numFmtId="166" fontId="15" fillId="2" borderId="10" xfId="0" applyNumberFormat="1" applyFont="1" applyFill="1" applyBorder="1" applyAlignment="1">
      <alignment horizontal="center" vertical="center" shrinkToFit="1"/>
    </xf>
    <xf numFmtId="0" fontId="20" fillId="2" borderId="10" xfId="0" applyFont="1" applyFill="1" applyBorder="1" applyAlignment="1">
      <alignment vertical="center" wrapText="1"/>
    </xf>
    <xf numFmtId="166" fontId="15" fillId="2" borderId="10" xfId="0" applyNumberFormat="1" applyFont="1" applyFill="1" applyBorder="1" applyAlignment="1">
      <alignment horizontal="right" shrinkToFit="1"/>
    </xf>
    <xf numFmtId="169" fontId="15" fillId="2" borderId="10" xfId="13" applyNumberFormat="1" applyFont="1" applyFill="1" applyBorder="1" applyAlignment="1">
      <alignment horizontal="center" shrinkToFit="1"/>
    </xf>
    <xf numFmtId="0" fontId="11" fillId="8" borderId="10" xfId="0" applyFont="1" applyFill="1" applyBorder="1" applyAlignment="1">
      <alignment horizontal="center"/>
    </xf>
    <xf numFmtId="0" fontId="11" fillId="8" borderId="10" xfId="0" applyFont="1" applyFill="1" applyBorder="1" applyAlignment="1">
      <alignment wrapText="1"/>
    </xf>
    <xf numFmtId="0" fontId="12" fillId="8" borderId="10" xfId="0" applyFont="1" applyFill="1" applyBorder="1" applyAlignment="1">
      <alignment horizontal="right" wrapText="1"/>
    </xf>
    <xf numFmtId="169" fontId="11" fillId="8" borderId="10" xfId="13" applyNumberFormat="1" applyFont="1" applyFill="1" applyBorder="1" applyAlignment="1">
      <alignment horizontal="center"/>
    </xf>
    <xf numFmtId="0" fontId="40" fillId="10" borderId="10" xfId="0" applyFont="1" applyFill="1" applyBorder="1" applyAlignment="1">
      <alignment vertical="center"/>
    </xf>
    <xf numFmtId="2" fontId="40" fillId="8" borderId="10" xfId="0" applyNumberFormat="1" applyFont="1" applyFill="1" applyBorder="1" applyAlignment="1">
      <alignment vertical="center"/>
    </xf>
    <xf numFmtId="169" fontId="41" fillId="8" borderId="10" xfId="13" applyNumberFormat="1" applyFont="1" applyFill="1" applyBorder="1" applyAlignment="1">
      <alignment horizontal="center"/>
    </xf>
    <xf numFmtId="2" fontId="11" fillId="2" borderId="10" xfId="0" applyNumberFormat="1" applyFont="1" applyFill="1" applyBorder="1"/>
    <xf numFmtId="169" fontId="14" fillId="2" borderId="10" xfId="13" applyNumberFormat="1" applyFont="1" applyFill="1" applyBorder="1" applyAlignment="1">
      <alignment wrapText="1"/>
    </xf>
    <xf numFmtId="169" fontId="14" fillId="2" borderId="10" xfId="13" applyNumberFormat="1" applyFont="1" applyFill="1" applyBorder="1" applyAlignment="1">
      <alignment horizontal="center" wrapText="1"/>
    </xf>
    <xf numFmtId="2" fontId="40" fillId="8" borderId="10" xfId="0" applyNumberFormat="1" applyFont="1" applyFill="1" applyBorder="1"/>
    <xf numFmtId="0" fontId="12" fillId="2" borderId="10" xfId="0" applyFont="1" applyFill="1" applyBorder="1" applyAlignment="1">
      <alignment horizontal="right" wrapText="1"/>
    </xf>
    <xf numFmtId="169" fontId="11" fillId="2" borderId="10" xfId="13" applyNumberFormat="1" applyFont="1" applyFill="1" applyBorder="1" applyAlignment="1">
      <alignment horizontal="center"/>
    </xf>
    <xf numFmtId="0" fontId="10" fillId="7" borderId="10" xfId="0" applyFont="1" applyFill="1" applyBorder="1" applyAlignment="1">
      <alignment horizontal="center" vertical="center" readingOrder="1"/>
    </xf>
    <xf numFmtId="0" fontId="10" fillId="7" borderId="10" xfId="0" applyFont="1" applyFill="1" applyBorder="1" applyAlignment="1">
      <alignment vertical="center"/>
    </xf>
    <xf numFmtId="169" fontId="10" fillId="7" borderId="10" xfId="13" applyNumberFormat="1" applyFont="1" applyFill="1" applyBorder="1" applyAlignment="1">
      <alignment horizontal="center" vertical="center" readingOrder="1"/>
    </xf>
    <xf numFmtId="0" fontId="14" fillId="2" borderId="10" xfId="0" applyFont="1" applyFill="1" applyBorder="1" applyAlignment="1">
      <alignment horizontal="center" vertical="center"/>
    </xf>
    <xf numFmtId="167" fontId="10" fillId="2" borderId="10" xfId="13" applyNumberFormat="1" applyFont="1" applyFill="1" applyBorder="1" applyAlignment="1" applyProtection="1">
      <alignment vertical="center"/>
    </xf>
    <xf numFmtId="169" fontId="14" fillId="2" borderId="10" xfId="13" applyNumberFormat="1" applyFont="1" applyFill="1" applyBorder="1" applyAlignment="1">
      <alignment horizontal="center" vertical="center" readingOrder="1"/>
    </xf>
    <xf numFmtId="169" fontId="14" fillId="2" borderId="10" xfId="13" applyNumberFormat="1" applyFont="1" applyFill="1" applyBorder="1" applyAlignment="1">
      <alignment horizontal="center" vertical="center"/>
    </xf>
    <xf numFmtId="167" fontId="14" fillId="2" borderId="10" xfId="13" applyNumberFormat="1" applyFont="1" applyFill="1" applyBorder="1" applyAlignment="1" applyProtection="1">
      <alignment horizontal="center" vertical="center"/>
    </xf>
    <xf numFmtId="0" fontId="14" fillId="2" borderId="10" xfId="0" applyFont="1" applyFill="1" applyBorder="1" applyAlignment="1">
      <alignment vertical="center"/>
    </xf>
    <xf numFmtId="4" fontId="14" fillId="2" borderId="10" xfId="15" applyNumberFormat="1" applyFont="1" applyFill="1" applyBorder="1" applyAlignment="1">
      <alignment horizontal="center" vertical="center"/>
    </xf>
    <xf numFmtId="169" fontId="14" fillId="5" borderId="10" xfId="13" applyNumberFormat="1" applyFont="1" applyFill="1" applyBorder="1" applyAlignment="1">
      <alignment horizontal="center" vertical="center" shrinkToFit="1"/>
    </xf>
    <xf numFmtId="169" fontId="14" fillId="3" borderId="10" xfId="13" applyNumberFormat="1" applyFont="1" applyFill="1" applyBorder="1" applyAlignment="1">
      <alignment horizontal="center" vertical="center" readingOrder="1"/>
    </xf>
    <xf numFmtId="0" fontId="14" fillId="2" borderId="10" xfId="0" applyFont="1" applyFill="1" applyBorder="1" applyAlignment="1" applyProtection="1">
      <alignment vertical="center" wrapText="1"/>
      <protection locked="0"/>
    </xf>
    <xf numFmtId="169" fontId="14" fillId="2" borderId="10" xfId="13" applyNumberFormat="1" applyFont="1" applyFill="1" applyBorder="1" applyAlignment="1" applyProtection="1">
      <alignment horizontal="center" vertical="center" readingOrder="1"/>
    </xf>
    <xf numFmtId="0" fontId="14" fillId="2" borderId="10" xfId="12" applyFont="1" applyFill="1" applyBorder="1" applyAlignment="1">
      <alignment horizontal="left" vertical="center" wrapText="1"/>
    </xf>
    <xf numFmtId="0" fontId="14" fillId="2" borderId="10" xfId="12" applyFont="1" applyFill="1" applyBorder="1" applyAlignment="1">
      <alignment horizontal="center" vertical="center" wrapText="1"/>
    </xf>
    <xf numFmtId="166" fontId="10" fillId="2" borderId="10" xfId="15" applyNumberFormat="1" applyFont="1" applyFill="1" applyBorder="1" applyAlignment="1" applyProtection="1">
      <alignment horizontal="center" vertical="center" wrapText="1"/>
      <protection locked="0"/>
    </xf>
    <xf numFmtId="0" fontId="21" fillId="2" borderId="10" xfId="15" applyFont="1" applyFill="1" applyBorder="1" applyAlignment="1" applyProtection="1">
      <alignment vertical="center"/>
      <protection locked="0"/>
    </xf>
    <xf numFmtId="0" fontId="10" fillId="2" borderId="10" xfId="15" applyFont="1" applyFill="1" applyBorder="1" applyAlignment="1" applyProtection="1">
      <alignment horizontal="center" vertical="center"/>
      <protection locked="0"/>
    </xf>
    <xf numFmtId="169" fontId="10" fillId="2" borderId="10" xfId="13" applyNumberFormat="1" applyFont="1" applyFill="1" applyBorder="1" applyAlignment="1" applyProtection="1">
      <alignment horizontal="center" vertical="center"/>
      <protection locked="0"/>
    </xf>
    <xf numFmtId="0" fontId="14" fillId="2" borderId="10" xfId="15" applyFont="1" applyFill="1" applyBorder="1" applyAlignment="1">
      <alignment horizontal="center" vertical="center"/>
    </xf>
    <xf numFmtId="0" fontId="10" fillId="2" borderId="10" xfId="15" applyFont="1" applyFill="1" applyBorder="1" applyAlignment="1">
      <alignment horizontal="left" vertical="center" wrapText="1" shrinkToFit="1"/>
    </xf>
    <xf numFmtId="0" fontId="10" fillId="2" borderId="10" xfId="15" applyFont="1" applyFill="1" applyBorder="1" applyAlignment="1">
      <alignment horizontal="center" vertical="center" shrinkToFit="1"/>
    </xf>
    <xf numFmtId="169" fontId="10" fillId="2" borderId="10" xfId="13" applyNumberFormat="1" applyFont="1" applyFill="1" applyBorder="1" applyAlignment="1">
      <alignment horizontal="center" vertical="center" shrinkToFit="1"/>
    </xf>
    <xf numFmtId="0" fontId="14" fillId="2" borderId="10" xfId="1" applyFont="1" applyFill="1" applyBorder="1" applyAlignment="1">
      <alignment horizontal="center" vertical="center"/>
    </xf>
    <xf numFmtId="167" fontId="14" fillId="2" borderId="10" xfId="14" applyFont="1" applyFill="1" applyBorder="1" applyAlignment="1">
      <alignment horizontal="center" vertical="center"/>
    </xf>
    <xf numFmtId="0" fontId="10" fillId="6" borderId="10" xfId="0" applyFont="1" applyFill="1" applyBorder="1" applyAlignment="1">
      <alignment horizontal="center" vertical="center"/>
    </xf>
    <xf numFmtId="0" fontId="11" fillId="8" borderId="10" xfId="0" applyFont="1" applyFill="1" applyBorder="1"/>
    <xf numFmtId="167" fontId="10" fillId="6" borderId="10" xfId="13" applyNumberFormat="1" applyFont="1" applyFill="1" applyBorder="1" applyAlignment="1" applyProtection="1">
      <alignment vertical="center"/>
    </xf>
    <xf numFmtId="169" fontId="10" fillId="6" borderId="10" xfId="13" applyNumberFormat="1" applyFont="1" applyFill="1" applyBorder="1" applyAlignment="1">
      <alignment horizontal="center" vertical="center"/>
    </xf>
    <xf numFmtId="2" fontId="12" fillId="10" borderId="10" xfId="0" applyNumberFormat="1" applyFont="1" applyFill="1" applyBorder="1" applyAlignment="1">
      <alignment vertical="center"/>
    </xf>
    <xf numFmtId="0" fontId="11" fillId="12" borderId="0" xfId="0" applyFont="1" applyFill="1"/>
    <xf numFmtId="0" fontId="11" fillId="2" borderId="7" xfId="0" applyFont="1" applyFill="1" applyBorder="1" applyAlignment="1" applyProtection="1">
      <alignment horizontal="center" vertical="top"/>
      <protection locked="0"/>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166" fontId="10" fillId="9" borderId="10" xfId="0" applyNumberFormat="1" applyFont="1" applyFill="1" applyBorder="1" applyAlignment="1" applyProtection="1">
      <alignment horizontal="center" vertical="top" wrapText="1"/>
      <protection locked="0"/>
    </xf>
    <xf numFmtId="0" fontId="12" fillId="10" borderId="10" xfId="0" applyFont="1" applyFill="1" applyBorder="1" applyAlignment="1">
      <alignment horizontal="center" vertical="center"/>
    </xf>
    <xf numFmtId="0" fontId="10" fillId="9" borderId="10" xfId="0" applyFont="1" applyFill="1" applyBorder="1" applyAlignment="1" applyProtection="1">
      <alignment horizontal="center" vertical="top"/>
      <protection locked="0"/>
    </xf>
    <xf numFmtId="1" fontId="10" fillId="9" borderId="10" xfId="0" applyNumberFormat="1" applyFont="1" applyFill="1" applyBorder="1" applyAlignment="1" applyProtection="1">
      <alignment horizontal="center" vertical="top" wrapText="1"/>
      <protection locked="0"/>
    </xf>
    <xf numFmtId="169" fontId="10" fillId="9" borderId="10" xfId="13" applyNumberFormat="1" applyFont="1" applyFill="1" applyBorder="1" applyAlignment="1" applyProtection="1">
      <alignment horizontal="center" vertical="top" wrapText="1"/>
      <protection locked="0"/>
    </xf>
    <xf numFmtId="0" fontId="11" fillId="10" borderId="10" xfId="0" applyFont="1" applyFill="1" applyBorder="1" applyAlignment="1">
      <alignment vertical="center"/>
    </xf>
    <xf numFmtId="166" fontId="10" fillId="5" borderId="10" xfId="0" applyNumberFormat="1" applyFont="1" applyFill="1" applyBorder="1" applyAlignment="1" applyProtection="1">
      <alignment horizontal="center" vertical="top" wrapText="1"/>
      <protection locked="0"/>
    </xf>
    <xf numFmtId="0" fontId="21" fillId="5" borderId="10" xfId="0" applyFont="1" applyFill="1" applyBorder="1" applyAlignment="1" applyProtection="1">
      <alignment horizontal="left" vertical="center" wrapText="1"/>
      <protection locked="0"/>
    </xf>
    <xf numFmtId="1" fontId="14" fillId="5" borderId="10" xfId="0" applyNumberFormat="1" applyFont="1" applyFill="1" applyBorder="1" applyAlignment="1" applyProtection="1">
      <alignment horizontal="center" vertical="center"/>
      <protection locked="0"/>
    </xf>
    <xf numFmtId="169" fontId="14" fillId="5" borderId="10" xfId="13" applyNumberFormat="1" applyFont="1" applyFill="1" applyBorder="1" applyAlignment="1" applyProtection="1">
      <alignment horizontal="center" vertical="center"/>
      <protection locked="0"/>
    </xf>
    <xf numFmtId="0" fontId="14" fillId="2" borderId="10" xfId="0" applyFont="1" applyFill="1" applyBorder="1" applyAlignment="1" applyProtection="1">
      <alignment horizontal="justify" vertical="top" wrapText="1"/>
      <protection locked="0"/>
    </xf>
    <xf numFmtId="0" fontId="14" fillId="2" borderId="10" xfId="1" applyFont="1" applyFill="1" applyBorder="1" applyAlignment="1" applyProtection="1">
      <alignment horizontal="justify" vertical="top" wrapText="1"/>
      <protection locked="0"/>
    </xf>
    <xf numFmtId="0" fontId="14" fillId="2" borderId="10" xfId="1" applyFont="1" applyFill="1" applyBorder="1" applyAlignment="1" applyProtection="1">
      <alignment vertical="top" wrapText="1"/>
      <protection locked="0"/>
    </xf>
    <xf numFmtId="0" fontId="10" fillId="5" borderId="10" xfId="0" applyFont="1" applyFill="1" applyBorder="1" applyAlignment="1" applyProtection="1">
      <alignment horizontal="left" vertical="center" wrapText="1"/>
      <protection locked="0"/>
    </xf>
    <xf numFmtId="0" fontId="14" fillId="2" borderId="10" xfId="1" applyFont="1" applyFill="1" applyBorder="1" applyAlignment="1" applyProtection="1">
      <alignment horizontal="center" vertical="top" wrapText="1"/>
      <protection locked="0"/>
    </xf>
    <xf numFmtId="169" fontId="14" fillId="2" borderId="10" xfId="13" applyNumberFormat="1" applyFont="1" applyFill="1" applyBorder="1" applyAlignment="1" applyProtection="1">
      <alignment horizontal="center" vertical="top" wrapText="1"/>
      <protection locked="0"/>
    </xf>
    <xf numFmtId="1" fontId="14" fillId="5" borderId="10" xfId="0" applyNumberFormat="1" applyFont="1" applyFill="1" applyBorder="1" applyAlignment="1" applyProtection="1">
      <alignment horizontal="center" vertical="top"/>
      <protection locked="0"/>
    </xf>
    <xf numFmtId="169" fontId="14" fillId="5" borderId="10" xfId="13" applyNumberFormat="1" applyFont="1" applyFill="1" applyBorder="1" applyAlignment="1" applyProtection="1">
      <alignment horizontal="center" vertical="top"/>
      <protection locked="0"/>
    </xf>
    <xf numFmtId="0" fontId="21" fillId="5" borderId="10" xfId="0" applyFont="1" applyFill="1" applyBorder="1" applyAlignment="1" applyProtection="1">
      <alignment vertical="top"/>
      <protection locked="0"/>
    </xf>
    <xf numFmtId="0" fontId="10" fillId="2" borderId="10" xfId="0" applyFont="1" applyFill="1" applyBorder="1" applyAlignment="1" applyProtection="1">
      <alignment horizontal="justify" vertical="top" wrapText="1"/>
      <protection locked="0"/>
    </xf>
    <xf numFmtId="0" fontId="14" fillId="2" borderId="10" xfId="0" applyFont="1" applyFill="1" applyBorder="1" applyAlignment="1" applyProtection="1">
      <alignment vertical="top"/>
      <protection locked="0"/>
    </xf>
    <xf numFmtId="166" fontId="22" fillId="2" borderId="10" xfId="0" applyNumberFormat="1" applyFont="1" applyFill="1" applyBorder="1" applyAlignment="1" applyProtection="1">
      <alignment horizontal="center" vertical="top"/>
      <protection locked="0"/>
    </xf>
    <xf numFmtId="0" fontId="11" fillId="2" borderId="10" xfId="0" applyFont="1" applyFill="1" applyBorder="1" applyAlignment="1" applyProtection="1">
      <alignment vertical="center"/>
      <protection locked="0"/>
    </xf>
    <xf numFmtId="169" fontId="11" fillId="2" borderId="10" xfId="13" applyNumberFormat="1" applyFont="1" applyFill="1" applyBorder="1" applyAlignment="1" applyProtection="1">
      <alignment vertical="center"/>
      <protection locked="0"/>
    </xf>
    <xf numFmtId="0" fontId="21" fillId="2" borderId="10" xfId="0" applyFont="1" applyFill="1" applyBorder="1" applyAlignment="1" applyProtection="1">
      <alignment vertical="top" wrapText="1"/>
      <protection locked="0"/>
    </xf>
    <xf numFmtId="0" fontId="17" fillId="2" borderId="10" xfId="0" applyFont="1" applyFill="1" applyBorder="1" applyAlignment="1" applyProtection="1">
      <alignment horizontal="center" vertical="center" wrapText="1"/>
      <protection locked="0"/>
    </xf>
    <xf numFmtId="169" fontId="17" fillId="2" borderId="10" xfId="13" applyNumberFormat="1" applyFont="1" applyFill="1" applyBorder="1" applyAlignment="1" applyProtection="1">
      <alignment horizontal="center" vertical="center" wrapText="1"/>
      <protection locked="0"/>
    </xf>
    <xf numFmtId="0" fontId="14" fillId="2" borderId="10" xfId="0" applyFont="1" applyFill="1" applyBorder="1" applyAlignment="1" applyProtection="1">
      <alignment horizontal="justify" vertical="top"/>
      <protection locked="0"/>
    </xf>
    <xf numFmtId="0" fontId="10" fillId="2" borderId="10" xfId="0" applyFont="1" applyFill="1" applyBorder="1" applyAlignment="1" applyProtection="1">
      <alignment vertical="top" wrapText="1"/>
      <protection locked="0"/>
    </xf>
    <xf numFmtId="0" fontId="17" fillId="2" borderId="10" xfId="0" applyFont="1" applyFill="1" applyBorder="1" applyAlignment="1" applyProtection="1">
      <alignment horizontal="center" vertical="top" wrapText="1"/>
      <protection locked="0"/>
    </xf>
    <xf numFmtId="169" fontId="17" fillId="2" borderId="10" xfId="13" applyNumberFormat="1" applyFont="1" applyFill="1" applyBorder="1" applyAlignment="1" applyProtection="1">
      <alignment horizontal="center" vertical="top" wrapText="1"/>
      <protection locked="0"/>
    </xf>
    <xf numFmtId="169" fontId="16" fillId="2" borderId="10" xfId="13" applyNumberFormat="1" applyFont="1" applyFill="1" applyBorder="1" applyAlignment="1" applyProtection="1">
      <alignment horizontal="center" vertical="top" wrapText="1"/>
      <protection locked="0"/>
    </xf>
    <xf numFmtId="0" fontId="17" fillId="2" borderId="10" xfId="0" applyFont="1" applyFill="1" applyBorder="1" applyAlignment="1" applyProtection="1">
      <alignment vertical="top" wrapText="1"/>
      <protection locked="0"/>
    </xf>
    <xf numFmtId="0" fontId="24" fillId="2" borderId="10" xfId="0" applyFont="1" applyFill="1" applyBorder="1" applyAlignment="1" applyProtection="1">
      <alignment vertical="top" wrapText="1"/>
      <protection locked="0"/>
    </xf>
    <xf numFmtId="0" fontId="22" fillId="2" borderId="10" xfId="0" applyFont="1" applyFill="1" applyBorder="1" applyAlignment="1" applyProtection="1">
      <alignment vertical="top" wrapText="1"/>
      <protection locked="0"/>
    </xf>
    <xf numFmtId="166" fontId="10" fillId="2" borderId="10" xfId="18" applyNumberFormat="1" applyFont="1" applyFill="1" applyBorder="1" applyAlignment="1" applyProtection="1">
      <alignment horizontal="center" vertical="top" wrapText="1"/>
      <protection locked="0"/>
    </xf>
    <xf numFmtId="0" fontId="21" fillId="2" borderId="10" xfId="18" applyFont="1" applyFill="1" applyBorder="1" applyAlignment="1" applyProtection="1">
      <alignment vertical="top"/>
      <protection locked="0"/>
    </xf>
    <xf numFmtId="1" fontId="14" fillId="2" borderId="10" xfId="18" applyNumberFormat="1" applyFont="1" applyFill="1" applyBorder="1" applyAlignment="1" applyProtection="1">
      <alignment horizontal="center" vertical="top"/>
      <protection locked="0"/>
    </xf>
    <xf numFmtId="169" fontId="14" fillId="2" borderId="10" xfId="13" applyNumberFormat="1" applyFont="1" applyFill="1" applyBorder="1" applyAlignment="1" applyProtection="1">
      <alignment horizontal="center" vertical="top"/>
      <protection locked="0"/>
    </xf>
    <xf numFmtId="166" fontId="14" fillId="2" borderId="10" xfId="18" applyNumberFormat="1" applyFont="1" applyFill="1" applyBorder="1" applyAlignment="1" applyProtection="1">
      <alignment horizontal="center" vertical="top" wrapText="1"/>
      <protection locked="0"/>
    </xf>
    <xf numFmtId="0" fontId="14" fillId="2" borderId="10" xfId="1" applyFont="1" applyFill="1" applyBorder="1" applyAlignment="1" applyProtection="1">
      <alignment horizontal="justify"/>
      <protection locked="0"/>
    </xf>
    <xf numFmtId="169" fontId="16" fillId="2" borderId="10" xfId="13" applyNumberFormat="1" applyFont="1" applyFill="1" applyBorder="1" applyAlignment="1" applyProtection="1">
      <alignment horizontal="center" vertical="top"/>
      <protection locked="0"/>
    </xf>
    <xf numFmtId="0" fontId="14" fillId="2" borderId="10" xfId="19" applyFont="1" applyFill="1" applyBorder="1" applyAlignment="1" applyProtection="1">
      <alignment horizontal="justify" vertical="top"/>
      <protection locked="0"/>
    </xf>
    <xf numFmtId="0" fontId="14" fillId="2" borderId="10" xfId="19" applyFont="1" applyFill="1" applyBorder="1" applyAlignment="1" applyProtection="1">
      <alignment horizontal="justify"/>
      <protection locked="0"/>
    </xf>
    <xf numFmtId="0" fontId="14" fillId="2" borderId="10" xfId="1" applyFont="1" applyFill="1" applyBorder="1" applyAlignment="1" applyProtection="1">
      <alignment horizontal="justify" vertical="justify"/>
      <protection locked="0"/>
    </xf>
    <xf numFmtId="0" fontId="11" fillId="2" borderId="10" xfId="18" applyFont="1" applyFill="1" applyBorder="1" applyAlignment="1" applyProtection="1">
      <alignment horizontal="center" vertical="top"/>
      <protection locked="0"/>
    </xf>
    <xf numFmtId="0" fontId="11" fillId="2" borderId="10" xfId="18" applyFont="1" applyFill="1" applyBorder="1" applyAlignment="1" applyProtection="1">
      <alignment horizontal="center"/>
      <protection locked="0"/>
    </xf>
    <xf numFmtId="169" fontId="11" fillId="2" borderId="10" xfId="13" applyNumberFormat="1" applyFont="1" applyFill="1" applyBorder="1" applyAlignment="1" applyProtection="1">
      <alignment horizontal="center"/>
      <protection locked="0"/>
    </xf>
    <xf numFmtId="0" fontId="14" fillId="2" borderId="10" xfId="1" applyFont="1" applyFill="1" applyBorder="1" applyAlignment="1" applyProtection="1">
      <alignment horizontal="center" vertical="top"/>
      <protection locked="0"/>
    </xf>
    <xf numFmtId="0" fontId="10" fillId="2" borderId="10" xfId="1" applyFont="1" applyFill="1" applyBorder="1" applyAlignment="1" applyProtection="1">
      <alignment horizontal="justify" vertical="top" wrapText="1"/>
      <protection locked="0"/>
    </xf>
    <xf numFmtId="0" fontId="10" fillId="2" borderId="10" xfId="1" applyFont="1" applyFill="1" applyBorder="1" applyAlignment="1" applyProtection="1">
      <alignment horizontal="justify" vertical="top"/>
      <protection locked="0"/>
    </xf>
    <xf numFmtId="168" fontId="14" fillId="2" borderId="10" xfId="1" applyNumberFormat="1" applyFont="1" applyFill="1" applyBorder="1" applyAlignment="1" applyProtection="1">
      <alignment horizontal="center" vertical="top" wrapText="1"/>
      <protection locked="0"/>
    </xf>
    <xf numFmtId="0" fontId="11" fillId="2" borderId="10" xfId="0" applyFont="1" applyFill="1" applyBorder="1" applyAlignment="1" applyProtection="1">
      <alignment horizontal="center" vertical="top"/>
      <protection locked="0"/>
    </xf>
    <xf numFmtId="169" fontId="11" fillId="2" borderId="10" xfId="13" applyNumberFormat="1" applyFont="1" applyFill="1" applyBorder="1" applyAlignment="1" applyProtection="1">
      <alignment horizontal="center" vertical="top"/>
      <protection locked="0"/>
    </xf>
    <xf numFmtId="166" fontId="14" fillId="2" borderId="10" xfId="1" applyNumberFormat="1" applyFont="1" applyFill="1" applyBorder="1" applyAlignment="1" applyProtection="1">
      <alignment horizontal="center" vertical="top"/>
      <protection locked="0"/>
    </xf>
    <xf numFmtId="2" fontId="11" fillId="2" borderId="10" xfId="0" applyNumberFormat="1" applyFont="1" applyFill="1" applyBorder="1" applyAlignment="1" applyProtection="1">
      <alignment horizontal="center" vertical="top"/>
      <protection locked="0"/>
    </xf>
    <xf numFmtId="166" fontId="14" fillId="2" borderId="10" xfId="0" applyNumberFormat="1" applyFont="1" applyFill="1" applyBorder="1" applyAlignment="1" applyProtection="1">
      <alignment horizontal="center" vertical="top" wrapText="1"/>
      <protection locked="0"/>
    </xf>
    <xf numFmtId="0" fontId="14" fillId="2" borderId="10" xfId="0" applyFont="1" applyFill="1" applyBorder="1" applyAlignment="1" applyProtection="1">
      <alignment horizontal="left" vertical="center" wrapText="1"/>
      <protection locked="0"/>
    </xf>
    <xf numFmtId="1" fontId="14" fillId="2" borderId="10" xfId="0" applyNumberFormat="1" applyFont="1" applyFill="1" applyBorder="1" applyAlignment="1" applyProtection="1">
      <alignment horizontal="center" vertical="center"/>
      <protection locked="0"/>
    </xf>
    <xf numFmtId="169" fontId="14" fillId="2" borderId="10" xfId="13" applyNumberFormat="1" applyFont="1" applyFill="1" applyBorder="1" applyAlignment="1" applyProtection="1">
      <alignment horizontal="center" vertical="center"/>
      <protection locked="0"/>
    </xf>
    <xf numFmtId="1" fontId="14" fillId="5" borderId="10" xfId="0" applyNumberFormat="1" applyFont="1" applyFill="1" applyBorder="1" applyAlignment="1" applyProtection="1">
      <alignment horizontal="center" vertical="top" wrapText="1"/>
      <protection locked="0"/>
    </xf>
    <xf numFmtId="0" fontId="17" fillId="2" borderId="10" xfId="0" applyFont="1" applyFill="1" applyBorder="1" applyAlignment="1" applyProtection="1">
      <alignment horizontal="left" vertical="top" wrapText="1" readingOrder="1"/>
      <protection locked="0"/>
    </xf>
    <xf numFmtId="0" fontId="14" fillId="5" borderId="10" xfId="0" applyFont="1" applyFill="1" applyBorder="1" applyAlignment="1" applyProtection="1">
      <alignment horizontal="left" vertical="top" wrapText="1"/>
      <protection locked="0"/>
    </xf>
    <xf numFmtId="0" fontId="14" fillId="2" borderId="10" xfId="0" applyFont="1" applyFill="1" applyBorder="1" applyAlignment="1" applyProtection="1">
      <alignment horizontal="justify" vertical="top" wrapText="1" readingOrder="1"/>
      <protection locked="0"/>
    </xf>
    <xf numFmtId="169" fontId="11" fillId="2" borderId="10" xfId="13" applyNumberFormat="1" applyFont="1" applyFill="1" applyBorder="1" applyAlignment="1">
      <alignment horizontal="center" vertical="center"/>
    </xf>
    <xf numFmtId="166" fontId="10" fillId="2" borderId="10" xfId="0" applyNumberFormat="1" applyFont="1" applyFill="1" applyBorder="1" applyAlignment="1" applyProtection="1">
      <alignment horizontal="center" vertical="top" wrapText="1"/>
      <protection locked="0"/>
    </xf>
    <xf numFmtId="1" fontId="14" fillId="2" borderId="10" xfId="0" applyNumberFormat="1" applyFont="1" applyFill="1" applyBorder="1" applyAlignment="1" applyProtection="1">
      <alignment horizontal="center" vertical="top"/>
      <protection locked="0"/>
    </xf>
    <xf numFmtId="0" fontId="14" fillId="2" borderId="10" xfId="1" applyFont="1" applyFill="1" applyBorder="1" applyAlignment="1" applyProtection="1">
      <alignment vertical="top"/>
      <protection locked="0"/>
    </xf>
    <xf numFmtId="0" fontId="10" fillId="2" borderId="10" xfId="22" applyFont="1" applyFill="1" applyBorder="1" applyAlignment="1">
      <alignment horizontal="center" vertical="top" wrapText="1"/>
    </xf>
    <xf numFmtId="0" fontId="10" fillId="2" borderId="10" xfId="22" applyFont="1" applyFill="1" applyBorder="1" applyAlignment="1">
      <alignment horizontal="justify" vertical="top" wrapText="1"/>
    </xf>
    <xf numFmtId="169" fontId="10" fillId="2" borderId="10" xfId="13" applyNumberFormat="1" applyFont="1" applyFill="1" applyBorder="1" applyAlignment="1">
      <alignment horizontal="center" vertical="top"/>
    </xf>
    <xf numFmtId="169" fontId="14" fillId="2" borderId="10" xfId="13" applyNumberFormat="1" applyFont="1" applyFill="1" applyBorder="1" applyAlignment="1">
      <alignment horizontal="center" vertical="top"/>
    </xf>
    <xf numFmtId="0" fontId="14" fillId="2" borderId="10" xfId="22" applyFont="1" applyFill="1" applyBorder="1" applyAlignment="1">
      <alignment horizontal="justify" vertical="top" wrapText="1"/>
    </xf>
    <xf numFmtId="169" fontId="14" fillId="2" borderId="10" xfId="13" applyNumberFormat="1" applyFont="1" applyFill="1" applyBorder="1" applyAlignment="1" applyProtection="1">
      <alignment horizontal="justify"/>
      <protection locked="0"/>
    </xf>
    <xf numFmtId="0" fontId="11" fillId="8" borderId="10" xfId="0" applyFont="1" applyFill="1" applyBorder="1" applyAlignment="1" applyProtection="1">
      <alignment horizontal="center" vertical="top"/>
      <protection locked="0"/>
    </xf>
    <xf numFmtId="169" fontId="11" fillId="8" borderId="10" xfId="13" applyNumberFormat="1" applyFont="1" applyFill="1" applyBorder="1" applyAlignment="1" applyProtection="1">
      <alignment horizontal="center" vertical="top"/>
      <protection locked="0"/>
    </xf>
    <xf numFmtId="0" fontId="11" fillId="2" borderId="0" xfId="0" applyFont="1" applyFill="1" applyAlignment="1" applyProtection="1">
      <alignment horizontal="center" vertical="top"/>
      <protection locked="0"/>
    </xf>
    <xf numFmtId="0" fontId="12" fillId="2" borderId="0" xfId="0" applyFont="1" applyFill="1" applyProtection="1">
      <protection locked="0"/>
    </xf>
    <xf numFmtId="169" fontId="11" fillId="2" borderId="0" xfId="13" applyNumberFormat="1" applyFont="1" applyFill="1" applyBorder="1" applyAlignment="1" applyProtection="1">
      <alignment horizontal="center" vertical="top"/>
      <protection locked="0"/>
    </xf>
    <xf numFmtId="166" fontId="25" fillId="2" borderId="0" xfId="0" applyNumberFormat="1" applyFont="1" applyFill="1" applyAlignment="1" applyProtection="1">
      <alignment horizontal="center" vertical="top" wrapText="1"/>
      <protection locked="0"/>
    </xf>
    <xf numFmtId="0" fontId="26" fillId="2" borderId="0" xfId="0" applyFont="1" applyFill="1" applyAlignment="1">
      <alignment wrapText="1"/>
    </xf>
    <xf numFmtId="0" fontId="25" fillId="2" borderId="0" xfId="0" applyFont="1" applyFill="1" applyAlignment="1">
      <alignment horizontal="justify" vertical="center" wrapText="1" readingOrder="1"/>
    </xf>
    <xf numFmtId="1" fontId="13" fillId="2" borderId="0" xfId="0" applyNumberFormat="1" applyFont="1" applyFill="1" applyAlignment="1" applyProtection="1">
      <alignment horizontal="center" vertical="top"/>
      <protection locked="0"/>
    </xf>
    <xf numFmtId="169" fontId="13" fillId="2" borderId="0" xfId="13" applyNumberFormat="1" applyFont="1" applyFill="1" applyBorder="1" applyAlignment="1" applyProtection="1">
      <alignment horizontal="center" vertical="top"/>
      <protection locked="0"/>
    </xf>
    <xf numFmtId="166" fontId="13" fillId="2" borderId="0" xfId="0" applyNumberFormat="1" applyFont="1" applyFill="1" applyAlignment="1" applyProtection="1">
      <alignment horizontal="center" vertical="top" wrapText="1"/>
      <protection locked="0"/>
    </xf>
    <xf numFmtId="0" fontId="13" fillId="2" borderId="0" xfId="1" applyFont="1" applyFill="1" applyAlignment="1" applyProtection="1">
      <alignment horizontal="justify" vertical="top" wrapText="1"/>
      <protection locked="0"/>
    </xf>
    <xf numFmtId="0" fontId="13" fillId="2" borderId="0" xfId="1" applyFont="1" applyFill="1" applyAlignment="1" applyProtection="1">
      <alignment horizontal="center" vertical="center"/>
      <protection locked="0"/>
    </xf>
    <xf numFmtId="169" fontId="13" fillId="2" borderId="0" xfId="13" applyNumberFormat="1" applyFont="1" applyFill="1" applyBorder="1" applyAlignment="1" applyProtection="1">
      <alignment horizontal="center" vertical="center"/>
      <protection locked="0"/>
    </xf>
    <xf numFmtId="166" fontId="13" fillId="2" borderId="0" xfId="0" quotePrefix="1" applyNumberFormat="1" applyFont="1" applyFill="1" applyAlignment="1" applyProtection="1">
      <alignment horizontal="center" vertical="top" wrapText="1"/>
      <protection locked="0"/>
    </xf>
    <xf numFmtId="0" fontId="13" fillId="2" borderId="0" xfId="1" applyFont="1" applyFill="1" applyAlignment="1" applyProtection="1">
      <alignment horizontal="justify" vertical="top"/>
      <protection locked="0"/>
    </xf>
    <xf numFmtId="0" fontId="13" fillId="2" borderId="0" xfId="1" applyFont="1" applyFill="1" applyAlignment="1" applyProtection="1">
      <alignment horizontal="center" vertical="top"/>
      <protection locked="0"/>
    </xf>
    <xf numFmtId="0" fontId="13" fillId="2" borderId="0" xfId="1" applyFont="1" applyFill="1" applyAlignment="1" applyProtection="1">
      <alignment horizontal="justify"/>
      <protection locked="0"/>
    </xf>
    <xf numFmtId="169" fontId="13" fillId="2" borderId="0" xfId="13" applyNumberFormat="1" applyFont="1" applyFill="1" applyBorder="1" applyAlignment="1" applyProtection="1">
      <alignment horizontal="justify"/>
      <protection locked="0"/>
    </xf>
    <xf numFmtId="0" fontId="26" fillId="2" borderId="0" xfId="0" applyFont="1" applyFill="1" applyAlignment="1" applyProtection="1">
      <alignment horizontal="center" vertical="top"/>
      <protection locked="0"/>
    </xf>
    <xf numFmtId="0" fontId="27" fillId="2" borderId="0" xfId="0" applyFont="1" applyFill="1" applyProtection="1">
      <protection locked="0"/>
    </xf>
    <xf numFmtId="169" fontId="26" fillId="2" borderId="0" xfId="13" applyNumberFormat="1" applyFont="1" applyFill="1" applyBorder="1" applyAlignment="1" applyProtection="1">
      <alignment horizontal="center" vertical="top"/>
      <protection locked="0"/>
    </xf>
    <xf numFmtId="0" fontId="13" fillId="2" borderId="0" xfId="0" applyFont="1" applyFill="1" applyAlignment="1">
      <alignment horizontal="justify" vertical="center" wrapText="1"/>
    </xf>
    <xf numFmtId="0" fontId="25" fillId="2" borderId="0" xfId="0" applyFont="1" applyFill="1" applyAlignment="1">
      <alignment horizontal="justify" vertical="center" wrapText="1"/>
    </xf>
    <xf numFmtId="0" fontId="26" fillId="2" borderId="0" xfId="0" applyFont="1" applyFill="1"/>
    <xf numFmtId="169" fontId="26" fillId="2" borderId="0" xfId="13" applyNumberFormat="1" applyFont="1" applyFill="1" applyBorder="1"/>
    <xf numFmtId="0" fontId="43" fillId="2" borderId="10" xfId="23" applyFont="1" applyFill="1" applyBorder="1" applyAlignment="1">
      <alignment horizontal="right" wrapText="1"/>
    </xf>
    <xf numFmtId="0" fontId="44" fillId="3" borderId="10" xfId="0" applyFont="1" applyFill="1" applyBorder="1" applyAlignment="1">
      <alignment horizontal="right" vertical="center"/>
    </xf>
    <xf numFmtId="0" fontId="45" fillId="2" borderId="10" xfId="23" applyFont="1" applyFill="1" applyBorder="1" applyAlignment="1">
      <alignment horizontal="right" wrapText="1"/>
    </xf>
    <xf numFmtId="2" fontId="41" fillId="2" borderId="10" xfId="0" applyNumberFormat="1" applyFont="1" applyFill="1" applyBorder="1" applyAlignment="1">
      <alignment vertical="center"/>
    </xf>
    <xf numFmtId="169" fontId="29" fillId="2" borderId="10" xfId="13" applyNumberFormat="1" applyFont="1" applyFill="1" applyBorder="1" applyAlignment="1">
      <alignment horizontal="center" vertical="center"/>
    </xf>
    <xf numFmtId="2" fontId="28" fillId="2" borderId="10" xfId="0" applyNumberFormat="1" applyFont="1" applyFill="1" applyBorder="1" applyAlignment="1">
      <alignment vertical="center"/>
    </xf>
    <xf numFmtId="169" fontId="46" fillId="2" borderId="10" xfId="23" applyNumberFormat="1" applyFont="1" applyFill="1" applyBorder="1" applyAlignment="1">
      <alignment horizontal="center"/>
    </xf>
    <xf numFmtId="169" fontId="37" fillId="6" borderId="10" xfId="13" applyNumberFormat="1" applyFont="1" applyFill="1" applyBorder="1" applyAlignment="1">
      <alignment horizontal="center" vertical="center"/>
    </xf>
    <xf numFmtId="0" fontId="38" fillId="3" borderId="10" xfId="0" applyFont="1" applyFill="1" applyBorder="1" applyAlignment="1">
      <alignment horizontal="center" vertical="center"/>
    </xf>
    <xf numFmtId="166" fontId="38" fillId="2" borderId="10" xfId="15" applyNumberFormat="1" applyFont="1" applyFill="1" applyBorder="1" applyAlignment="1" applyProtection="1">
      <alignment horizontal="center" vertical="center" wrapText="1"/>
      <protection locked="0"/>
    </xf>
    <xf numFmtId="0" fontId="10" fillId="6" borderId="10" xfId="0" applyFont="1" applyFill="1" applyBorder="1" applyAlignment="1">
      <alignment horizontal="right" vertical="center"/>
    </xf>
    <xf numFmtId="167" fontId="43" fillId="2" borderId="10" xfId="23" applyNumberFormat="1" applyFont="1" applyFill="1" applyBorder="1" applyAlignment="1" applyProtection="1">
      <alignment horizontal="right" vertical="center"/>
    </xf>
    <xf numFmtId="169" fontId="36" fillId="2" borderId="10" xfId="13" applyNumberFormat="1" applyFont="1" applyFill="1" applyBorder="1" applyAlignment="1">
      <alignment horizontal="center" vertical="center"/>
    </xf>
    <xf numFmtId="0" fontId="41" fillId="2" borderId="10" xfId="0" applyFont="1" applyFill="1" applyBorder="1" applyAlignment="1">
      <alignment vertical="center"/>
    </xf>
    <xf numFmtId="167" fontId="29" fillId="2" borderId="10" xfId="13" applyNumberFormat="1" applyFont="1" applyFill="1" applyBorder="1" applyAlignment="1" applyProtection="1">
      <alignment horizontal="right" vertical="center"/>
    </xf>
    <xf numFmtId="0" fontId="29" fillId="2" borderId="10" xfId="0" applyFont="1" applyFill="1" applyBorder="1" applyAlignment="1">
      <alignment horizontal="center" vertical="center"/>
    </xf>
    <xf numFmtId="2" fontId="40" fillId="2" borderId="10" xfId="0" applyNumberFormat="1" applyFont="1" applyFill="1" applyBorder="1" applyAlignment="1">
      <alignment vertical="center"/>
    </xf>
    <xf numFmtId="0" fontId="29" fillId="3" borderId="10" xfId="0" applyFont="1" applyFill="1" applyBorder="1" applyAlignment="1">
      <alignment vertical="center"/>
    </xf>
    <xf numFmtId="0" fontId="28" fillId="0" borderId="17" xfId="0" applyFont="1" applyBorder="1" applyAlignment="1">
      <alignment horizontal="center"/>
    </xf>
    <xf numFmtId="0" fontId="28" fillId="0" borderId="18" xfId="0" applyFont="1" applyBorder="1" applyAlignment="1">
      <alignment horizontal="center"/>
    </xf>
    <xf numFmtId="1" fontId="44" fillId="2" borderId="10" xfId="13" applyNumberFormat="1" applyFont="1" applyFill="1" applyBorder="1" applyAlignment="1">
      <alignment horizontal="center" vertical="center"/>
    </xf>
    <xf numFmtId="2" fontId="40" fillId="2" borderId="0" xfId="0" applyNumberFormat="1" applyFont="1" applyFill="1" applyAlignment="1">
      <alignment vertical="center"/>
    </xf>
    <xf numFmtId="0" fontId="12" fillId="2" borderId="10" xfId="0" applyFont="1" applyFill="1" applyBorder="1" applyProtection="1">
      <protection locked="0"/>
    </xf>
    <xf numFmtId="0" fontId="12" fillId="8" borderId="10" xfId="0" applyFont="1" applyFill="1" applyBorder="1" applyAlignment="1" applyProtection="1">
      <alignment horizontal="right"/>
      <protection locked="0"/>
    </xf>
    <xf numFmtId="0" fontId="43" fillId="2" borderId="10" xfId="23" applyFont="1" applyFill="1" applyBorder="1" applyAlignment="1" applyProtection="1">
      <alignment horizontal="right"/>
      <protection locked="0"/>
    </xf>
    <xf numFmtId="169" fontId="41" fillId="8" borderId="10" xfId="13" applyNumberFormat="1" applyFont="1" applyFill="1" applyBorder="1" applyAlignment="1" applyProtection="1">
      <alignment horizontal="center" vertical="top"/>
      <protection locked="0"/>
    </xf>
    <xf numFmtId="169" fontId="41" fillId="2" borderId="10" xfId="13" applyNumberFormat="1" applyFont="1" applyFill="1" applyBorder="1" applyAlignment="1" applyProtection="1">
      <alignment horizontal="center" vertical="top"/>
      <protection locked="0"/>
    </xf>
    <xf numFmtId="0" fontId="40" fillId="2" borderId="10" xfId="0" applyFont="1" applyFill="1" applyBorder="1" applyAlignment="1" applyProtection="1">
      <alignment horizontal="right"/>
      <protection locked="0"/>
    </xf>
    <xf numFmtId="0" fontId="11" fillId="2" borderId="10" xfId="0" applyFont="1" applyFill="1" applyBorder="1" applyAlignment="1" applyProtection="1">
      <alignment horizontal="center"/>
      <protection locked="0"/>
    </xf>
    <xf numFmtId="2" fontId="40" fillId="2" borderId="10" xfId="0" applyNumberFormat="1" applyFont="1" applyFill="1" applyBorder="1"/>
    <xf numFmtId="0" fontId="17" fillId="12" borderId="10" xfId="0" applyFont="1" applyFill="1" applyBorder="1" applyAlignment="1" applyProtection="1">
      <alignment horizontal="left" vertical="top" wrapText="1"/>
      <protection locked="0"/>
    </xf>
    <xf numFmtId="0" fontId="29" fillId="2" borderId="1" xfId="0" applyFont="1" applyFill="1" applyBorder="1" applyAlignment="1">
      <alignment horizontal="justify" vertical="center" wrapText="1"/>
    </xf>
    <xf numFmtId="0" fontId="0" fillId="0" borderId="10" xfId="0" applyBorder="1" applyAlignment="1">
      <alignment horizontal="center" vertical="center"/>
    </xf>
    <xf numFmtId="0" fontId="14" fillId="2" borderId="6" xfId="22" applyFont="1" applyFill="1" applyBorder="1" applyAlignment="1">
      <alignment horizontal="center" vertical="top" wrapText="1"/>
    </xf>
    <xf numFmtId="0" fontId="14" fillId="2" borderId="0" xfId="22" applyFont="1" applyFill="1" applyAlignment="1">
      <alignment horizontal="center" vertical="top" wrapText="1"/>
    </xf>
    <xf numFmtId="0" fontId="17" fillId="2" borderId="2" xfId="22" applyFont="1" applyFill="1" applyBorder="1" applyAlignment="1">
      <alignment horizontal="justify" vertical="top" wrapText="1"/>
    </xf>
    <xf numFmtId="1" fontId="10" fillId="2" borderId="1" xfId="3" applyNumberFormat="1" applyFont="1" applyFill="1" applyBorder="1" applyAlignment="1">
      <alignment vertical="center" wrapText="1"/>
    </xf>
    <xf numFmtId="1" fontId="10" fillId="2" borderId="1" xfId="3" applyNumberFormat="1" applyFont="1" applyFill="1" applyBorder="1" applyAlignment="1">
      <alignment horizontal="center" wrapText="1"/>
    </xf>
    <xf numFmtId="1" fontId="11" fillId="2" borderId="0" xfId="13" applyNumberFormat="1" applyFont="1" applyFill="1" applyAlignment="1">
      <alignment horizontal="center"/>
    </xf>
    <xf numFmtId="2" fontId="22" fillId="2" borderId="1" xfId="13" applyNumberFormat="1" applyFont="1" applyFill="1" applyBorder="1" applyAlignment="1">
      <alignment horizontal="right"/>
    </xf>
    <xf numFmtId="2" fontId="14" fillId="2" borderId="1" xfId="13" applyNumberFormat="1" applyFont="1" applyFill="1" applyBorder="1" applyAlignment="1">
      <alignment horizontal="right" wrapText="1"/>
    </xf>
    <xf numFmtId="2" fontId="10" fillId="2" borderId="1" xfId="13" applyNumberFormat="1" applyFont="1" applyFill="1" applyBorder="1" applyAlignment="1">
      <alignment horizontal="right"/>
    </xf>
    <xf numFmtId="2" fontId="14" fillId="2" borderId="1" xfId="13" applyNumberFormat="1" applyFont="1" applyFill="1" applyBorder="1" applyAlignment="1">
      <alignment horizontal="right"/>
    </xf>
    <xf numFmtId="2" fontId="10" fillId="2" borderId="1" xfId="3" applyNumberFormat="1" applyFont="1" applyFill="1" applyBorder="1" applyAlignment="1">
      <alignment horizontal="right" wrapText="1"/>
    </xf>
    <xf numFmtId="2" fontId="11" fillId="2" borderId="0" xfId="13" applyNumberFormat="1" applyFont="1" applyFill="1" applyAlignment="1">
      <alignment horizontal="right"/>
    </xf>
    <xf numFmtId="1" fontId="14" fillId="2" borderId="1" xfId="13" applyNumberFormat="1" applyFont="1" applyFill="1" applyBorder="1" applyAlignment="1">
      <alignment horizontal="center" wrapText="1"/>
    </xf>
    <xf numFmtId="1" fontId="10" fillId="2" borderId="1" xfId="13" applyNumberFormat="1" applyFont="1" applyFill="1" applyBorder="1" applyAlignment="1">
      <alignment horizontal="center"/>
    </xf>
    <xf numFmtId="1" fontId="14" fillId="2" borderId="1" xfId="13" applyNumberFormat="1" applyFont="1" applyFill="1" applyBorder="1" applyAlignment="1">
      <alignment horizontal="center"/>
    </xf>
    <xf numFmtId="1" fontId="11" fillId="2" borderId="1" xfId="13" applyNumberFormat="1" applyFont="1" applyFill="1" applyBorder="1" applyAlignment="1" applyProtection="1">
      <alignment horizontal="center"/>
      <protection locked="0"/>
    </xf>
    <xf numFmtId="1" fontId="10" fillId="2" borderId="10" xfId="13" applyNumberFormat="1" applyFont="1" applyFill="1" applyBorder="1" applyAlignment="1">
      <alignment horizontal="center"/>
    </xf>
    <xf numFmtId="2" fontId="10" fillId="2" borderId="10" xfId="13" applyNumberFormat="1" applyFont="1" applyFill="1" applyBorder="1" applyAlignment="1">
      <alignment horizontal="right"/>
    </xf>
    <xf numFmtId="2" fontId="12" fillId="2" borderId="10" xfId="0" applyNumberFormat="1" applyFont="1" applyFill="1" applyBorder="1" applyAlignment="1">
      <alignment horizontal="right" vertical="center" wrapText="1"/>
    </xf>
    <xf numFmtId="0" fontId="10" fillId="2" borderId="10" xfId="0" applyFont="1" applyFill="1" applyBorder="1" applyAlignment="1">
      <alignment horizontal="center" vertical="top" wrapText="1"/>
    </xf>
    <xf numFmtId="1" fontId="10" fillId="2" borderId="10" xfId="13" applyNumberFormat="1" applyFont="1" applyFill="1" applyBorder="1" applyAlignment="1">
      <alignment horizontal="center" wrapText="1"/>
    </xf>
    <xf numFmtId="2" fontId="10" fillId="2" borderId="10" xfId="13" applyNumberFormat="1" applyFont="1" applyFill="1" applyBorder="1" applyAlignment="1">
      <alignment horizontal="center" vertical="top" wrapText="1"/>
    </xf>
    <xf numFmtId="2" fontId="10" fillId="2" borderId="10" xfId="13" applyNumberFormat="1" applyFont="1" applyFill="1" applyBorder="1" applyAlignment="1">
      <alignment horizontal="center" wrapText="1"/>
    </xf>
    <xf numFmtId="1" fontId="15" fillId="2" borderId="10" xfId="13" applyNumberFormat="1" applyFont="1" applyFill="1" applyBorder="1" applyAlignment="1">
      <alignment horizontal="center" shrinkToFit="1"/>
    </xf>
    <xf numFmtId="2" fontId="15" fillId="2" borderId="10" xfId="13" applyNumberFormat="1" applyFont="1" applyFill="1" applyBorder="1" applyAlignment="1">
      <alignment horizontal="right" shrinkToFit="1"/>
    </xf>
    <xf numFmtId="1" fontId="14" fillId="2" borderId="10" xfId="13" applyNumberFormat="1" applyFont="1" applyFill="1" applyBorder="1" applyAlignment="1">
      <alignment horizontal="center" wrapText="1"/>
    </xf>
    <xf numFmtId="2" fontId="14" fillId="2" borderId="10" xfId="13" applyNumberFormat="1" applyFont="1" applyFill="1" applyBorder="1" applyAlignment="1">
      <alignment horizontal="right" wrapText="1"/>
    </xf>
    <xf numFmtId="1" fontId="11" fillId="2" borderId="10" xfId="13" applyNumberFormat="1" applyFont="1" applyFill="1" applyBorder="1" applyAlignment="1">
      <alignment horizontal="center" wrapText="1"/>
    </xf>
    <xf numFmtId="2" fontId="11" fillId="2" borderId="10" xfId="13" applyNumberFormat="1" applyFont="1" applyFill="1" applyBorder="1" applyAlignment="1">
      <alignment horizontal="right" wrapText="1"/>
    </xf>
    <xf numFmtId="1" fontId="11" fillId="2" borderId="10" xfId="13" applyNumberFormat="1" applyFont="1" applyFill="1" applyBorder="1" applyAlignment="1">
      <alignment horizontal="center"/>
    </xf>
    <xf numFmtId="2" fontId="11" fillId="2" borderId="10" xfId="13" applyNumberFormat="1" applyFont="1" applyFill="1" applyBorder="1" applyAlignment="1">
      <alignment horizontal="right"/>
    </xf>
    <xf numFmtId="0" fontId="11" fillId="14" borderId="10" xfId="0" applyFont="1" applyFill="1" applyBorder="1" applyAlignment="1">
      <alignment horizontal="center"/>
    </xf>
    <xf numFmtId="0" fontId="11" fillId="14" borderId="10" xfId="0" applyFont="1" applyFill="1" applyBorder="1" applyAlignment="1">
      <alignment wrapText="1"/>
    </xf>
    <xf numFmtId="0" fontId="12" fillId="14" borderId="10" xfId="0" applyFont="1" applyFill="1" applyBorder="1" applyAlignment="1">
      <alignment horizontal="right" wrapText="1"/>
    </xf>
    <xf numFmtId="1" fontId="11" fillId="14" borderId="10" xfId="13" applyNumberFormat="1" applyFont="1" applyFill="1" applyBorder="1" applyAlignment="1">
      <alignment horizontal="center"/>
    </xf>
    <xf numFmtId="2" fontId="11" fillId="14" borderId="10" xfId="13" applyNumberFormat="1" applyFont="1" applyFill="1" applyBorder="1" applyAlignment="1">
      <alignment horizontal="right"/>
    </xf>
    <xf numFmtId="2" fontId="41" fillId="14" borderId="10" xfId="13" applyNumberFormat="1" applyFont="1" applyFill="1" applyBorder="1" applyAlignment="1">
      <alignment horizontal="right"/>
    </xf>
    <xf numFmtId="2" fontId="41" fillId="14" borderId="10" xfId="0" applyNumberFormat="1" applyFont="1" applyFill="1" applyBorder="1"/>
    <xf numFmtId="0" fontId="11" fillId="15" borderId="10" xfId="0" applyFont="1" applyFill="1" applyBorder="1" applyAlignment="1">
      <alignment horizontal="center"/>
    </xf>
    <xf numFmtId="0" fontId="11" fillId="15" borderId="10" xfId="0" applyFont="1" applyFill="1" applyBorder="1" applyAlignment="1">
      <alignment wrapText="1"/>
    </xf>
    <xf numFmtId="0" fontId="28" fillId="15" borderId="10" xfId="0" applyFont="1" applyFill="1" applyBorder="1" applyAlignment="1">
      <alignment horizontal="right" wrapText="1"/>
    </xf>
    <xf numFmtId="1" fontId="11" fillId="15" borderId="10" xfId="13" applyNumberFormat="1" applyFont="1" applyFill="1" applyBorder="1" applyAlignment="1">
      <alignment horizontal="center"/>
    </xf>
    <xf numFmtId="2" fontId="11" fillId="15" borderId="10" xfId="13" applyNumberFormat="1" applyFont="1" applyFill="1" applyBorder="1" applyAlignment="1">
      <alignment horizontal="right"/>
    </xf>
    <xf numFmtId="2" fontId="28" fillId="15" borderId="10" xfId="13" applyNumberFormat="1" applyFont="1" applyFill="1" applyBorder="1" applyAlignment="1">
      <alignment horizontal="right"/>
    </xf>
    <xf numFmtId="2" fontId="28" fillId="15" borderId="10" xfId="0" applyNumberFormat="1" applyFont="1" applyFill="1" applyBorder="1"/>
    <xf numFmtId="2" fontId="12" fillId="2" borderId="10" xfId="13" applyNumberFormat="1" applyFont="1" applyFill="1" applyBorder="1" applyAlignment="1">
      <alignment horizontal="right"/>
    </xf>
    <xf numFmtId="0" fontId="10" fillId="3" borderId="10" xfId="0" applyFont="1" applyFill="1" applyBorder="1" applyAlignment="1">
      <alignment horizontal="center" vertical="center" readingOrder="1"/>
    </xf>
    <xf numFmtId="1" fontId="10" fillId="3" borderId="10" xfId="13" applyNumberFormat="1" applyFont="1" applyFill="1" applyBorder="1" applyAlignment="1">
      <alignment horizontal="center" readingOrder="1"/>
    </xf>
    <xf numFmtId="2" fontId="10" fillId="3" borderId="10" xfId="13" applyNumberFormat="1" applyFont="1" applyFill="1" applyBorder="1" applyAlignment="1">
      <alignment horizontal="right" readingOrder="1"/>
    </xf>
    <xf numFmtId="1" fontId="14" fillId="2" borderId="10" xfId="13" applyNumberFormat="1" applyFont="1" applyFill="1" applyBorder="1" applyAlignment="1">
      <alignment horizontal="center" readingOrder="1"/>
    </xf>
    <xf numFmtId="2" fontId="14" fillId="2" borderId="10" xfId="13" applyNumberFormat="1" applyFont="1" applyFill="1" applyBorder="1" applyAlignment="1">
      <alignment horizontal="right" readingOrder="1"/>
    </xf>
    <xf numFmtId="1" fontId="14" fillId="2" borderId="10" xfId="13" applyNumberFormat="1" applyFont="1" applyFill="1" applyBorder="1" applyAlignment="1">
      <alignment horizontal="center"/>
    </xf>
    <xf numFmtId="2" fontId="14" fillId="2" borderId="10" xfId="13" applyNumberFormat="1" applyFont="1" applyFill="1" applyBorder="1" applyAlignment="1">
      <alignment horizontal="right"/>
    </xf>
    <xf numFmtId="2" fontId="14" fillId="2" borderId="10" xfId="13" applyNumberFormat="1" applyFont="1" applyFill="1" applyBorder="1" applyAlignment="1" applyProtection="1">
      <alignment horizontal="right"/>
    </xf>
    <xf numFmtId="2" fontId="14" fillId="2" borderId="10" xfId="13" applyNumberFormat="1" applyFont="1" applyFill="1" applyBorder="1" applyAlignment="1" applyProtection="1">
      <alignment horizontal="right" readingOrder="1"/>
    </xf>
    <xf numFmtId="1" fontId="14" fillId="5" borderId="10" xfId="13" applyNumberFormat="1" applyFont="1" applyFill="1" applyBorder="1" applyAlignment="1">
      <alignment horizontal="center" shrinkToFit="1"/>
    </xf>
    <xf numFmtId="1" fontId="14" fillId="3" borderId="10" xfId="13" applyNumberFormat="1" applyFont="1" applyFill="1" applyBorder="1" applyAlignment="1">
      <alignment horizontal="center" readingOrder="1"/>
    </xf>
    <xf numFmtId="1" fontId="10" fillId="2" borderId="10" xfId="13" applyNumberFormat="1" applyFont="1" applyFill="1" applyBorder="1" applyAlignment="1" applyProtection="1">
      <alignment horizontal="center"/>
      <protection locked="0"/>
    </xf>
    <xf numFmtId="1" fontId="10" fillId="2" borderId="10" xfId="13" applyNumberFormat="1" applyFont="1" applyFill="1" applyBorder="1" applyAlignment="1">
      <alignment horizontal="center" shrinkToFit="1"/>
    </xf>
    <xf numFmtId="167" fontId="10" fillId="3" borderId="10" xfId="13" applyNumberFormat="1" applyFont="1" applyFill="1" applyBorder="1" applyAlignment="1" applyProtection="1">
      <alignment vertical="center"/>
    </xf>
    <xf numFmtId="1" fontId="10" fillId="3" borderId="10" xfId="13" applyNumberFormat="1" applyFont="1" applyFill="1" applyBorder="1" applyAlignment="1">
      <alignment horizontal="center"/>
    </xf>
    <xf numFmtId="2" fontId="0" fillId="2" borderId="10" xfId="0" applyNumberFormat="1" applyFill="1" applyBorder="1"/>
    <xf numFmtId="0" fontId="43" fillId="3" borderId="10" xfId="23" applyFont="1" applyFill="1" applyBorder="1" applyAlignment="1">
      <alignment horizontal="right" vertical="center"/>
    </xf>
    <xf numFmtId="2" fontId="36" fillId="2" borderId="10" xfId="13" applyNumberFormat="1" applyFont="1" applyFill="1" applyBorder="1" applyAlignment="1">
      <alignment horizontal="right"/>
    </xf>
    <xf numFmtId="0" fontId="10" fillId="16" borderId="10" xfId="0" applyFont="1" applyFill="1" applyBorder="1" applyAlignment="1">
      <alignment horizontal="center" vertical="center"/>
    </xf>
    <xf numFmtId="0" fontId="11" fillId="17" borderId="10" xfId="0" applyFont="1" applyFill="1" applyBorder="1"/>
    <xf numFmtId="0" fontId="10" fillId="16" borderId="10" xfId="0" applyFont="1" applyFill="1" applyBorder="1" applyAlignment="1">
      <alignment horizontal="right" vertical="center"/>
    </xf>
    <xf numFmtId="167" fontId="10" fillId="16" borderId="10" xfId="13" applyNumberFormat="1" applyFont="1" applyFill="1" applyBorder="1" applyAlignment="1" applyProtection="1">
      <alignment vertical="center"/>
    </xf>
    <xf numFmtId="1" fontId="10" fillId="16" borderId="10" xfId="13" applyNumberFormat="1" applyFont="1" applyFill="1" applyBorder="1" applyAlignment="1">
      <alignment horizontal="center"/>
    </xf>
    <xf numFmtId="2" fontId="14" fillId="17" borderId="10" xfId="13" applyNumberFormat="1" applyFont="1" applyFill="1" applyBorder="1" applyAlignment="1">
      <alignment horizontal="right"/>
    </xf>
    <xf numFmtId="2" fontId="44" fillId="17" borderId="10" xfId="13" applyNumberFormat="1" applyFont="1" applyFill="1" applyBorder="1" applyAlignment="1">
      <alignment horizontal="right"/>
    </xf>
    <xf numFmtId="2" fontId="0" fillId="17" borderId="10" xfId="0" applyNumberFormat="1" applyFill="1" applyBorder="1"/>
    <xf numFmtId="2" fontId="28" fillId="12" borderId="10" xfId="0" applyNumberFormat="1" applyFont="1" applyFill="1" applyBorder="1"/>
    <xf numFmtId="0" fontId="10" fillId="18" borderId="10" xfId="0" applyFont="1" applyFill="1" applyBorder="1" applyAlignment="1">
      <alignment horizontal="center" vertical="center"/>
    </xf>
    <xf numFmtId="0" fontId="11" fillId="15" borderId="10" xfId="0" applyFont="1" applyFill="1" applyBorder="1"/>
    <xf numFmtId="0" fontId="29" fillId="18" borderId="10" xfId="0" applyFont="1" applyFill="1" applyBorder="1" applyAlignment="1">
      <alignment horizontal="right" vertical="center"/>
    </xf>
    <xf numFmtId="167" fontId="10" fillId="18" borderId="10" xfId="13" applyNumberFormat="1" applyFont="1" applyFill="1" applyBorder="1" applyAlignment="1" applyProtection="1">
      <alignment vertical="center"/>
    </xf>
    <xf numFmtId="1" fontId="10" fillId="18" borderId="10" xfId="13" applyNumberFormat="1" applyFont="1" applyFill="1" applyBorder="1" applyAlignment="1">
      <alignment horizontal="center"/>
    </xf>
    <xf numFmtId="2" fontId="14" fillId="15" borderId="10" xfId="13" applyNumberFormat="1" applyFont="1" applyFill="1" applyBorder="1" applyAlignment="1">
      <alignment horizontal="right"/>
    </xf>
    <xf numFmtId="2" fontId="29" fillId="15" borderId="10" xfId="13" applyNumberFormat="1" applyFont="1" applyFill="1" applyBorder="1" applyAlignment="1">
      <alignment horizontal="right"/>
    </xf>
    <xf numFmtId="0" fontId="10" fillId="2" borderId="16" xfId="0" applyFont="1" applyFill="1" applyBorder="1" applyAlignment="1">
      <alignment horizontal="center" vertical="center"/>
    </xf>
    <xf numFmtId="0" fontId="10" fillId="2" borderId="16" xfId="0" applyFont="1" applyFill="1" applyBorder="1" applyAlignment="1">
      <alignment vertical="center"/>
    </xf>
    <xf numFmtId="167" fontId="10" fillId="2" borderId="16" xfId="13" applyNumberFormat="1" applyFont="1" applyFill="1" applyBorder="1" applyAlignment="1" applyProtection="1">
      <alignment vertical="center"/>
    </xf>
    <xf numFmtId="1" fontId="14" fillId="2" borderId="16" xfId="13" applyNumberFormat="1" applyFont="1" applyFill="1" applyBorder="1" applyAlignment="1">
      <alignment horizontal="center"/>
    </xf>
    <xf numFmtId="2" fontId="14" fillId="2" borderId="16" xfId="13" applyNumberFormat="1" applyFont="1" applyFill="1" applyBorder="1" applyAlignment="1">
      <alignment horizontal="right"/>
    </xf>
    <xf numFmtId="1" fontId="11" fillId="2" borderId="7" xfId="13" applyNumberFormat="1" applyFont="1" applyFill="1" applyBorder="1" applyAlignment="1" applyProtection="1">
      <alignment horizontal="center"/>
      <protection locked="0"/>
    </xf>
    <xf numFmtId="2" fontId="22" fillId="2" borderId="7" xfId="13" applyNumberFormat="1" applyFont="1" applyFill="1" applyBorder="1" applyAlignment="1">
      <alignment horizontal="right"/>
    </xf>
    <xf numFmtId="2" fontId="22" fillId="2" borderId="7" xfId="13" applyNumberFormat="1" applyFont="1" applyFill="1" applyBorder="1" applyAlignment="1" applyProtection="1">
      <alignment horizontal="right"/>
      <protection locked="0"/>
    </xf>
    <xf numFmtId="0" fontId="12" fillId="2" borderId="10" xfId="0" applyFont="1" applyFill="1" applyBorder="1" applyAlignment="1">
      <alignment horizontal="center" vertical="center"/>
    </xf>
    <xf numFmtId="0" fontId="10" fillId="5" borderId="10" xfId="0" applyFont="1" applyFill="1" applyBorder="1" applyAlignment="1" applyProtection="1">
      <alignment horizontal="center" vertical="top"/>
      <protection locked="0"/>
    </xf>
    <xf numFmtId="1" fontId="10" fillId="5" borderId="10" xfId="0" applyNumberFormat="1" applyFont="1" applyFill="1" applyBorder="1" applyAlignment="1" applyProtection="1">
      <alignment horizontal="center" vertical="top" wrapText="1"/>
      <protection locked="0"/>
    </xf>
    <xf numFmtId="1" fontId="10" fillId="5" borderId="10" xfId="13" applyNumberFormat="1" applyFont="1" applyFill="1" applyBorder="1" applyAlignment="1" applyProtection="1">
      <alignment horizontal="center" wrapText="1"/>
      <protection locked="0"/>
    </xf>
    <xf numFmtId="2" fontId="10" fillId="2" borderId="10" xfId="13" applyNumberFormat="1" applyFont="1" applyFill="1" applyBorder="1" applyAlignment="1" applyProtection="1">
      <alignment horizontal="right" wrapText="1"/>
      <protection locked="0"/>
    </xf>
    <xf numFmtId="1" fontId="14" fillId="5" borderId="10" xfId="13" applyNumberFormat="1" applyFont="1" applyFill="1" applyBorder="1" applyAlignment="1" applyProtection="1">
      <alignment horizontal="center"/>
      <protection locked="0"/>
    </xf>
    <xf numFmtId="2" fontId="14" fillId="5" borderId="10" xfId="13" applyNumberFormat="1" applyFont="1" applyFill="1" applyBorder="1" applyAlignment="1" applyProtection="1">
      <alignment horizontal="right"/>
      <protection locked="0"/>
    </xf>
    <xf numFmtId="2" fontId="14" fillId="2" borderId="10" xfId="13" applyNumberFormat="1" applyFont="1" applyFill="1" applyBorder="1" applyAlignment="1" applyProtection="1">
      <alignment horizontal="right"/>
      <protection locked="0"/>
    </xf>
    <xf numFmtId="1" fontId="14" fillId="2" borderId="10" xfId="13" applyNumberFormat="1" applyFont="1" applyFill="1" applyBorder="1" applyAlignment="1" applyProtection="1">
      <alignment horizontal="center" wrapText="1"/>
      <protection locked="0"/>
    </xf>
    <xf numFmtId="2" fontId="17" fillId="2" borderId="10" xfId="13" applyNumberFormat="1" applyFont="1" applyFill="1" applyBorder="1" applyAlignment="1" applyProtection="1">
      <alignment horizontal="right" wrapText="1"/>
      <protection locked="0"/>
    </xf>
    <xf numFmtId="1" fontId="11" fillId="2" borderId="10" xfId="13" applyNumberFormat="1" applyFont="1" applyFill="1" applyBorder="1" applyAlignment="1" applyProtection="1">
      <alignment horizontal="center"/>
      <protection locked="0"/>
    </xf>
    <xf numFmtId="2" fontId="11" fillId="2" borderId="10" xfId="13" applyNumberFormat="1" applyFont="1" applyFill="1" applyBorder="1" applyAlignment="1" applyProtection="1">
      <alignment horizontal="right"/>
      <protection locked="0"/>
    </xf>
    <xf numFmtId="1" fontId="17" fillId="2" borderId="10" xfId="13" applyNumberFormat="1" applyFont="1" applyFill="1" applyBorder="1" applyAlignment="1" applyProtection="1">
      <alignment horizontal="center" wrapText="1"/>
      <protection locked="0"/>
    </xf>
    <xf numFmtId="2" fontId="17" fillId="2" borderId="10" xfId="13" applyNumberFormat="1" applyFont="1" applyFill="1" applyBorder="1" applyAlignment="1" applyProtection="1">
      <alignment horizontal="right"/>
      <protection locked="0"/>
    </xf>
    <xf numFmtId="1" fontId="16" fillId="2" borderId="10" xfId="13" applyNumberFormat="1" applyFont="1" applyFill="1" applyBorder="1" applyAlignment="1" applyProtection="1">
      <alignment horizontal="center" wrapText="1"/>
      <protection locked="0"/>
    </xf>
    <xf numFmtId="2" fontId="22" fillId="2" borderId="10" xfId="13" applyNumberFormat="1" applyFont="1" applyFill="1" applyBorder="1" applyAlignment="1" applyProtection="1">
      <alignment horizontal="right"/>
      <protection locked="0"/>
    </xf>
    <xf numFmtId="1" fontId="14" fillId="2" borderId="10" xfId="13" applyNumberFormat="1" applyFont="1" applyFill="1" applyBorder="1" applyAlignment="1" applyProtection="1">
      <alignment horizontal="center"/>
      <protection locked="0"/>
    </xf>
    <xf numFmtId="1" fontId="16" fillId="2" borderId="10" xfId="13" applyNumberFormat="1" applyFont="1" applyFill="1" applyBorder="1" applyAlignment="1" applyProtection="1">
      <alignment horizontal="center"/>
      <protection locked="0"/>
    </xf>
    <xf numFmtId="2" fontId="22" fillId="2" borderId="10" xfId="13" applyNumberFormat="1" applyFont="1" applyFill="1" applyBorder="1" applyAlignment="1">
      <alignment horizontal="right"/>
    </xf>
    <xf numFmtId="2" fontId="52" fillId="2" borderId="10" xfId="13" applyNumberFormat="1" applyFont="1" applyFill="1" applyBorder="1" applyAlignment="1" applyProtection="1">
      <alignment horizontal="right"/>
      <protection locked="0"/>
    </xf>
    <xf numFmtId="0" fontId="11" fillId="17" borderId="10" xfId="0" applyFont="1" applyFill="1" applyBorder="1" applyAlignment="1" applyProtection="1">
      <alignment horizontal="center" vertical="top"/>
      <protection locked="0"/>
    </xf>
    <xf numFmtId="0" fontId="11" fillId="17" borderId="10" xfId="0" applyFont="1" applyFill="1" applyBorder="1" applyAlignment="1">
      <alignment wrapText="1"/>
    </xf>
    <xf numFmtId="0" fontId="12" fillId="17" borderId="10" xfId="0" applyFont="1" applyFill="1" applyBorder="1" applyAlignment="1" applyProtection="1">
      <alignment horizontal="right"/>
      <protection locked="0"/>
    </xf>
    <xf numFmtId="1" fontId="11" fillId="17" borderId="10" xfId="13" applyNumberFormat="1" applyFont="1" applyFill="1" applyBorder="1" applyAlignment="1" applyProtection="1">
      <alignment horizontal="center"/>
      <protection locked="0"/>
    </xf>
    <xf numFmtId="2" fontId="22" fillId="17" borderId="10" xfId="13" applyNumberFormat="1" applyFont="1" applyFill="1" applyBorder="1" applyAlignment="1">
      <alignment horizontal="right"/>
    </xf>
    <xf numFmtId="2" fontId="52" fillId="17" borderId="10" xfId="13" applyNumberFormat="1" applyFont="1" applyFill="1" applyBorder="1" applyAlignment="1" applyProtection="1">
      <alignment horizontal="right"/>
      <protection locked="0"/>
    </xf>
    <xf numFmtId="0" fontId="11" fillId="12" borderId="10" xfId="0" applyFont="1" applyFill="1" applyBorder="1" applyAlignment="1" applyProtection="1">
      <alignment horizontal="center" vertical="top"/>
      <protection locked="0"/>
    </xf>
    <xf numFmtId="0" fontId="11" fillId="12" borderId="10" xfId="0" applyFont="1" applyFill="1" applyBorder="1" applyAlignment="1">
      <alignment wrapText="1"/>
    </xf>
    <xf numFmtId="0" fontId="28" fillId="12" borderId="10" xfId="0" applyFont="1" applyFill="1" applyBorder="1" applyAlignment="1" applyProtection="1">
      <alignment horizontal="right"/>
      <protection locked="0"/>
    </xf>
    <xf numFmtId="1" fontId="11" fillId="12" borderId="10" xfId="13" applyNumberFormat="1" applyFont="1" applyFill="1" applyBorder="1" applyAlignment="1" applyProtection="1">
      <alignment horizontal="center"/>
      <protection locked="0"/>
    </xf>
    <xf numFmtId="2" fontId="11" fillId="12" borderId="10" xfId="13" applyNumberFormat="1" applyFont="1" applyFill="1" applyBorder="1" applyAlignment="1" applyProtection="1">
      <alignment horizontal="right"/>
      <protection locked="0"/>
    </xf>
    <xf numFmtId="2" fontId="22" fillId="12" borderId="10" xfId="13" applyNumberFormat="1" applyFont="1" applyFill="1" applyBorder="1" applyAlignment="1">
      <alignment horizontal="right"/>
    </xf>
    <xf numFmtId="2" fontId="51" fillId="12" borderId="10" xfId="13" applyNumberFormat="1" applyFont="1" applyFill="1" applyBorder="1" applyAlignment="1" applyProtection="1">
      <alignment horizontal="right"/>
      <protection locked="0"/>
    </xf>
    <xf numFmtId="0" fontId="40" fillId="2" borderId="7" xfId="0" applyFont="1" applyFill="1" applyBorder="1" applyAlignment="1" applyProtection="1">
      <alignment horizontal="right"/>
      <protection locked="0"/>
    </xf>
    <xf numFmtId="2" fontId="40" fillId="2" borderId="0" xfId="0" applyNumberFormat="1" applyFont="1" applyFill="1" applyAlignment="1">
      <alignment horizontal="right"/>
    </xf>
    <xf numFmtId="2" fontId="17" fillId="2" borderId="10" xfId="13" applyNumberFormat="1" applyFont="1" applyFill="1" applyBorder="1" applyAlignment="1">
      <alignment horizontal="right"/>
    </xf>
    <xf numFmtId="2" fontId="41" fillId="2" borderId="10" xfId="0" applyNumberFormat="1" applyFont="1" applyFill="1" applyBorder="1" applyAlignment="1">
      <alignment horizontal="right"/>
    </xf>
    <xf numFmtId="0" fontId="11" fillId="2" borderId="10" xfId="0" applyFont="1" applyFill="1" applyBorder="1" applyAlignment="1" applyProtection="1">
      <alignment horizontal="center" vertical="center"/>
      <protection locked="0"/>
    </xf>
    <xf numFmtId="2" fontId="40" fillId="2" borderId="10" xfId="0" applyNumberFormat="1" applyFont="1" applyFill="1" applyBorder="1" applyAlignment="1">
      <alignment horizontal="right"/>
    </xf>
    <xf numFmtId="0" fontId="40" fillId="14" borderId="10" xfId="0" applyFont="1" applyFill="1" applyBorder="1" applyAlignment="1" applyProtection="1">
      <alignment horizontal="center" vertical="top"/>
      <protection locked="0"/>
    </xf>
    <xf numFmtId="0" fontId="40" fillId="14" borderId="10" xfId="0" applyFont="1" applyFill="1" applyBorder="1" applyAlignment="1">
      <alignment horizontal="center" wrapText="1"/>
    </xf>
    <xf numFmtId="0" fontId="40" fillId="14" borderId="10" xfId="0" applyFont="1" applyFill="1" applyBorder="1" applyAlignment="1" applyProtection="1">
      <alignment horizontal="center"/>
      <protection locked="0"/>
    </xf>
    <xf numFmtId="0" fontId="40" fillId="17" borderId="10" xfId="0" applyFont="1" applyFill="1" applyBorder="1" applyAlignment="1" applyProtection="1">
      <alignment horizontal="right"/>
      <protection locked="0"/>
    </xf>
    <xf numFmtId="2" fontId="22" fillId="17" borderId="10" xfId="13" applyNumberFormat="1" applyFont="1" applyFill="1" applyBorder="1" applyAlignment="1" applyProtection="1">
      <alignment horizontal="right"/>
      <protection locked="0"/>
    </xf>
    <xf numFmtId="2" fontId="40" fillId="17" borderId="10" xfId="0" applyNumberFormat="1" applyFont="1" applyFill="1" applyBorder="1" applyAlignment="1">
      <alignment horizontal="right"/>
    </xf>
    <xf numFmtId="0" fontId="40" fillId="12" borderId="10" xfId="0" applyFont="1" applyFill="1" applyBorder="1" applyAlignment="1" applyProtection="1">
      <alignment horizontal="right"/>
      <protection locked="0"/>
    </xf>
    <xf numFmtId="2" fontId="22" fillId="12" borderId="10" xfId="13" applyNumberFormat="1" applyFont="1" applyFill="1" applyBorder="1" applyAlignment="1" applyProtection="1">
      <alignment horizontal="right"/>
      <protection locked="0"/>
    </xf>
    <xf numFmtId="2" fontId="40" fillId="12" borderId="10" xfId="0" applyNumberFormat="1" applyFont="1" applyFill="1" applyBorder="1" applyAlignment="1">
      <alignment horizontal="right"/>
    </xf>
    <xf numFmtId="0" fontId="10" fillId="3" borderId="6" xfId="0" applyFont="1" applyFill="1" applyBorder="1" applyAlignment="1">
      <alignment horizontal="center" vertical="center"/>
    </xf>
    <xf numFmtId="0" fontId="10" fillId="3" borderId="6" xfId="0" applyFont="1" applyFill="1" applyBorder="1" applyAlignment="1">
      <alignment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readingOrder="1"/>
    </xf>
    <xf numFmtId="169" fontId="10" fillId="2" borderId="6" xfId="13" applyNumberFormat="1" applyFont="1" applyFill="1" applyBorder="1" applyAlignment="1">
      <alignment horizontal="center" vertical="center"/>
    </xf>
    <xf numFmtId="2" fontId="10" fillId="10" borderId="10" xfId="13" applyNumberFormat="1" applyFont="1" applyFill="1" applyBorder="1" applyAlignment="1">
      <alignment horizontal="right" vertical="top" wrapText="1"/>
    </xf>
    <xf numFmtId="2" fontId="10" fillId="10" borderId="10" xfId="13" applyNumberFormat="1" applyFont="1" applyFill="1" applyBorder="1" applyAlignment="1">
      <alignment horizontal="right" vertical="top" wrapText="1" indent="2"/>
    </xf>
    <xf numFmtId="2" fontId="15" fillId="2" borderId="10" xfId="13" applyNumberFormat="1" applyFont="1" applyFill="1" applyBorder="1" applyAlignment="1">
      <alignment horizontal="right" vertical="center" shrinkToFit="1"/>
    </xf>
    <xf numFmtId="2" fontId="14" fillId="2" borderId="10" xfId="13" applyNumberFormat="1" applyFont="1" applyFill="1" applyBorder="1" applyAlignment="1">
      <alignment horizontal="right" vertical="top" wrapText="1"/>
    </xf>
    <xf numFmtId="2" fontId="11" fillId="2" borderId="10" xfId="13" applyNumberFormat="1" applyFont="1" applyFill="1" applyBorder="1" applyAlignment="1">
      <alignment horizontal="right" vertical="top" wrapText="1"/>
    </xf>
    <xf numFmtId="2" fontId="15" fillId="2" borderId="10" xfId="13" applyNumberFormat="1" applyFont="1" applyFill="1" applyBorder="1" applyAlignment="1">
      <alignment horizontal="right" vertical="top" shrinkToFit="1"/>
    </xf>
    <xf numFmtId="2" fontId="14" fillId="2" borderId="10" xfId="13" applyNumberFormat="1" applyFont="1" applyFill="1" applyBorder="1" applyAlignment="1">
      <alignment horizontal="right" vertical="center" wrapText="1"/>
    </xf>
    <xf numFmtId="1" fontId="15" fillId="2" borderId="10" xfId="13" applyNumberFormat="1" applyFont="1" applyFill="1" applyBorder="1" applyAlignment="1">
      <alignment horizontal="right" vertical="center" shrinkToFit="1"/>
    </xf>
    <xf numFmtId="2" fontId="11" fillId="8" borderId="10" xfId="13" applyNumberFormat="1" applyFont="1" applyFill="1" applyBorder="1" applyAlignment="1">
      <alignment horizontal="right"/>
    </xf>
    <xf numFmtId="2" fontId="12" fillId="8" borderId="10" xfId="13" applyNumberFormat="1" applyFont="1" applyFill="1" applyBorder="1" applyAlignment="1">
      <alignment horizontal="right"/>
    </xf>
    <xf numFmtId="0" fontId="29" fillId="3" borderId="10" xfId="0" applyFont="1" applyFill="1" applyBorder="1" applyAlignment="1">
      <alignment horizontal="right" vertical="center"/>
    </xf>
    <xf numFmtId="2" fontId="10" fillId="2" borderId="10" xfId="13" applyNumberFormat="1" applyFont="1" applyFill="1" applyBorder="1" applyAlignment="1">
      <alignment horizontal="right" vertical="center"/>
    </xf>
    <xf numFmtId="2" fontId="29" fillId="2" borderId="10" xfId="13" applyNumberFormat="1" applyFont="1" applyFill="1" applyBorder="1" applyAlignment="1">
      <alignment horizontal="right" vertical="center"/>
    </xf>
    <xf numFmtId="2" fontId="10" fillId="7" borderId="10" xfId="13" applyNumberFormat="1" applyFont="1" applyFill="1" applyBorder="1" applyAlignment="1">
      <alignment horizontal="right" vertical="center" readingOrder="1"/>
    </xf>
    <xf numFmtId="2" fontId="14" fillId="2" borderId="10" xfId="13" applyNumberFormat="1" applyFont="1" applyFill="1" applyBorder="1" applyAlignment="1">
      <alignment horizontal="right" vertical="center" readingOrder="1"/>
    </xf>
    <xf numFmtId="2" fontId="14" fillId="2" borderId="10" xfId="13" applyNumberFormat="1" applyFont="1" applyFill="1" applyBorder="1" applyAlignment="1">
      <alignment horizontal="right" vertical="center"/>
    </xf>
    <xf numFmtId="2" fontId="14" fillId="2" borderId="10" xfId="13" applyNumberFormat="1" applyFont="1" applyFill="1" applyBorder="1" applyAlignment="1" applyProtection="1">
      <alignment horizontal="right" vertical="center"/>
    </xf>
    <xf numFmtId="2" fontId="14" fillId="2" borderId="10" xfId="13" applyNumberFormat="1" applyFont="1" applyFill="1" applyBorder="1" applyAlignment="1" applyProtection="1">
      <alignment horizontal="right" vertical="center" readingOrder="1"/>
    </xf>
    <xf numFmtId="2" fontId="14" fillId="8" borderId="10" xfId="13" applyNumberFormat="1" applyFont="1" applyFill="1" applyBorder="1" applyAlignment="1">
      <alignment horizontal="right" vertical="center"/>
    </xf>
    <xf numFmtId="2" fontId="14" fillId="5" borderId="10" xfId="13" applyNumberFormat="1" applyFont="1" applyFill="1" applyBorder="1" applyAlignment="1" applyProtection="1">
      <alignment horizontal="right" vertical="center"/>
      <protection locked="0"/>
    </xf>
    <xf numFmtId="2" fontId="14" fillId="2" borderId="10" xfId="13" applyNumberFormat="1" applyFont="1" applyFill="1" applyBorder="1" applyAlignment="1" applyProtection="1">
      <alignment horizontal="right" vertical="top"/>
      <protection locked="0"/>
    </xf>
    <xf numFmtId="2" fontId="14" fillId="5" borderId="10" xfId="13" applyNumberFormat="1" applyFont="1" applyFill="1" applyBorder="1" applyAlignment="1" applyProtection="1">
      <alignment horizontal="right" vertical="top"/>
      <protection locked="0"/>
    </xf>
    <xf numFmtId="2" fontId="17" fillId="2" borderId="10" xfId="13" applyNumberFormat="1" applyFont="1" applyFill="1" applyBorder="1" applyAlignment="1" applyProtection="1">
      <alignment horizontal="right" vertical="top" wrapText="1"/>
      <protection locked="0"/>
    </xf>
    <xf numFmtId="2" fontId="11" fillId="2" borderId="10" xfId="13" applyNumberFormat="1" applyFont="1" applyFill="1" applyBorder="1" applyAlignment="1" applyProtection="1">
      <alignment horizontal="right" vertical="center"/>
      <protection locked="0"/>
    </xf>
    <xf numFmtId="2" fontId="17" fillId="2" borderId="10" xfId="13" applyNumberFormat="1" applyFont="1" applyFill="1" applyBorder="1" applyAlignment="1" applyProtection="1">
      <alignment horizontal="right" vertical="center"/>
      <protection locked="0"/>
    </xf>
    <xf numFmtId="2" fontId="17" fillId="2" borderId="10" xfId="13" applyNumberFormat="1" applyFont="1" applyFill="1" applyBorder="1" applyAlignment="1" applyProtection="1">
      <alignment horizontal="right" vertical="top"/>
      <protection locked="0"/>
    </xf>
    <xf numFmtId="2" fontId="22" fillId="2" borderId="10" xfId="13" applyNumberFormat="1" applyFont="1" applyFill="1" applyBorder="1" applyAlignment="1" applyProtection="1">
      <alignment horizontal="right" vertical="top"/>
      <protection locked="0"/>
    </xf>
    <xf numFmtId="2" fontId="11" fillId="2" borderId="10" xfId="13" applyNumberFormat="1" applyFont="1" applyFill="1" applyBorder="1" applyAlignment="1" applyProtection="1">
      <alignment horizontal="right" vertical="top"/>
      <protection locked="0"/>
    </xf>
    <xf numFmtId="2" fontId="14" fillId="2" borderId="10" xfId="13" applyNumberFormat="1" applyFont="1" applyFill="1" applyBorder="1" applyAlignment="1" applyProtection="1">
      <alignment horizontal="right" vertical="center"/>
      <protection locked="0"/>
    </xf>
    <xf numFmtId="2" fontId="22" fillId="8" borderId="10" xfId="13" applyNumberFormat="1" applyFont="1" applyFill="1" applyBorder="1" applyAlignment="1">
      <alignment horizontal="right"/>
    </xf>
    <xf numFmtId="0" fontId="10" fillId="7" borderId="10"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0" xfId="0" applyFont="1" applyFill="1" applyBorder="1" applyAlignment="1">
      <alignment horizontal="center" vertical="center" readingOrder="1"/>
    </xf>
    <xf numFmtId="169" fontId="10" fillId="10" borderId="10" xfId="13" applyNumberFormat="1" applyFont="1" applyFill="1" applyBorder="1" applyAlignment="1">
      <alignment horizontal="center" vertical="center"/>
    </xf>
    <xf numFmtId="2" fontId="10" fillId="10" borderId="10" xfId="13" applyNumberFormat="1" applyFont="1" applyFill="1" applyBorder="1" applyAlignment="1">
      <alignment horizontal="right" vertical="center"/>
    </xf>
    <xf numFmtId="0" fontId="10" fillId="2" borderId="10" xfId="0" applyFont="1" applyFill="1" applyBorder="1" applyAlignment="1">
      <alignment horizontal="left" vertical="center"/>
    </xf>
    <xf numFmtId="0" fontId="14" fillId="2" borderId="10" xfId="19" applyFont="1" applyFill="1" applyBorder="1" applyAlignment="1">
      <alignment horizontal="justify" vertical="center" wrapText="1"/>
    </xf>
    <xf numFmtId="0" fontId="14" fillId="2" borderId="10" xfId="19" applyFont="1" applyFill="1" applyBorder="1" applyAlignment="1">
      <alignment horizontal="center" vertical="center" wrapText="1"/>
    </xf>
    <xf numFmtId="0" fontId="10" fillId="2" borderId="10" xfId="0" applyFont="1" applyFill="1" applyBorder="1" applyAlignment="1">
      <alignment horizontal="justify" vertical="top" wrapText="1"/>
    </xf>
    <xf numFmtId="0" fontId="14" fillId="2" borderId="10" xfId="0" applyFont="1" applyFill="1" applyBorder="1" applyAlignment="1">
      <alignment horizontal="justify" vertical="top" wrapText="1"/>
    </xf>
    <xf numFmtId="169" fontId="14" fillId="2" borderId="10" xfId="13" applyNumberFormat="1" applyFont="1" applyFill="1" applyBorder="1" applyAlignment="1">
      <alignment horizontal="left" vertical="center" wrapText="1"/>
    </xf>
    <xf numFmtId="0" fontId="14" fillId="2" borderId="10" xfId="0" applyFont="1" applyFill="1" applyBorder="1" applyAlignment="1">
      <alignment horizontal="justify" vertical="top"/>
    </xf>
    <xf numFmtId="169" fontId="14" fillId="2" borderId="10" xfId="13" applyNumberFormat="1" applyFont="1" applyFill="1" applyBorder="1"/>
    <xf numFmtId="0" fontId="10" fillId="2" borderId="10" xfId="0" applyFont="1" applyFill="1" applyBorder="1" applyAlignment="1">
      <alignment horizontal="left" wrapText="1"/>
    </xf>
    <xf numFmtId="0" fontId="10" fillId="2" borderId="10" xfId="0" applyFont="1" applyFill="1" applyBorder="1" applyAlignment="1">
      <alignment horizontal="left"/>
    </xf>
    <xf numFmtId="0" fontId="14" fillId="2" borderId="10" xfId="0" applyFont="1" applyFill="1" applyBorder="1" applyAlignment="1">
      <alignment horizontal="center"/>
    </xf>
    <xf numFmtId="0" fontId="10" fillId="2" borderId="10" xfId="0" applyFont="1" applyFill="1" applyBorder="1" applyAlignment="1">
      <alignment horizontal="justify" vertical="center" wrapText="1"/>
    </xf>
    <xf numFmtId="169" fontId="14" fillId="2" borderId="10" xfId="13" applyNumberFormat="1" applyFont="1" applyFill="1" applyBorder="1" applyAlignment="1">
      <alignment horizontal="center"/>
    </xf>
    <xf numFmtId="1" fontId="10" fillId="8" borderId="10" xfId="3" applyNumberFormat="1" applyFont="1" applyFill="1" applyBorder="1" applyAlignment="1">
      <alignment vertical="center" wrapText="1"/>
    </xf>
    <xf numFmtId="2" fontId="10" fillId="8" borderId="10" xfId="3" applyNumberFormat="1" applyFont="1" applyFill="1" applyBorder="1" applyAlignment="1">
      <alignment horizontal="right" vertical="center" wrapText="1"/>
    </xf>
    <xf numFmtId="2" fontId="10" fillId="8" borderId="10" xfId="13" applyNumberFormat="1" applyFont="1" applyFill="1" applyBorder="1" applyAlignment="1">
      <alignment horizontal="right" vertical="center" wrapText="1"/>
    </xf>
    <xf numFmtId="169" fontId="11" fillId="2" borderId="10" xfId="13" applyNumberFormat="1" applyFont="1" applyFill="1" applyBorder="1"/>
    <xf numFmtId="2" fontId="11" fillId="10" borderId="10" xfId="0" applyNumberFormat="1" applyFont="1" applyFill="1" applyBorder="1"/>
    <xf numFmtId="2" fontId="11" fillId="8" borderId="10" xfId="0" applyNumberFormat="1" applyFont="1" applyFill="1" applyBorder="1"/>
    <xf numFmtId="2" fontId="28" fillId="8" borderId="10" xfId="0" applyNumberFormat="1" applyFont="1" applyFill="1" applyBorder="1"/>
    <xf numFmtId="2" fontId="29" fillId="8" borderId="10" xfId="13" applyNumberFormat="1" applyFont="1" applyFill="1" applyBorder="1" applyAlignment="1">
      <alignment horizontal="right" vertical="center"/>
    </xf>
    <xf numFmtId="2" fontId="36" fillId="2" borderId="10" xfId="13" applyNumberFormat="1" applyFont="1" applyFill="1" applyBorder="1" applyAlignment="1">
      <alignment horizontal="right" vertical="center"/>
    </xf>
    <xf numFmtId="2" fontId="41" fillId="2" borderId="10" xfId="0" applyNumberFormat="1" applyFont="1" applyFill="1" applyBorder="1"/>
    <xf numFmtId="2" fontId="51" fillId="8" borderId="10" xfId="13" applyNumberFormat="1" applyFont="1" applyFill="1" applyBorder="1" applyAlignment="1" applyProtection="1">
      <alignment horizontal="right"/>
      <protection locked="0"/>
    </xf>
    <xf numFmtId="2" fontId="50" fillId="2" borderId="10" xfId="13" applyNumberFormat="1" applyFont="1" applyFill="1" applyBorder="1" applyAlignment="1" applyProtection="1">
      <alignment horizontal="right"/>
      <protection locked="0"/>
    </xf>
    <xf numFmtId="2" fontId="51" fillId="2" borderId="10" xfId="13" applyNumberFormat="1" applyFont="1" applyFill="1" applyBorder="1" applyAlignment="1" applyProtection="1">
      <alignment horizontal="right"/>
      <protection locked="0"/>
    </xf>
    <xf numFmtId="0" fontId="28" fillId="2" borderId="10" xfId="0" applyFont="1" applyFill="1" applyBorder="1" applyAlignment="1" applyProtection="1">
      <alignment horizontal="right"/>
      <protection locked="0"/>
    </xf>
    <xf numFmtId="167" fontId="54" fillId="2" borderId="10" xfId="23" applyNumberFormat="1" applyFont="1" applyFill="1" applyBorder="1" applyAlignment="1" applyProtection="1">
      <alignment horizontal="right" vertical="center"/>
    </xf>
    <xf numFmtId="0" fontId="28" fillId="8" borderId="10" xfId="0" applyFont="1" applyFill="1" applyBorder="1" applyAlignment="1" applyProtection="1">
      <alignment horizontal="right"/>
      <protection locked="0"/>
    </xf>
    <xf numFmtId="0" fontId="11" fillId="10" borderId="10" xfId="0" applyFont="1" applyFill="1" applyBorder="1" applyAlignment="1" applyProtection="1">
      <alignment horizontal="center" vertical="top"/>
      <protection locked="0"/>
    </xf>
    <xf numFmtId="0" fontId="11" fillId="10" borderId="10" xfId="0" applyFont="1" applyFill="1" applyBorder="1" applyAlignment="1">
      <alignment wrapText="1"/>
    </xf>
    <xf numFmtId="0" fontId="28" fillId="10" borderId="10" xfId="0" applyFont="1" applyFill="1" applyBorder="1" applyAlignment="1" applyProtection="1">
      <alignment horizontal="right"/>
      <protection locked="0"/>
    </xf>
    <xf numFmtId="169" fontId="11" fillId="10" borderId="10" xfId="13" applyNumberFormat="1" applyFont="1" applyFill="1" applyBorder="1" applyAlignment="1" applyProtection="1">
      <alignment horizontal="center" vertical="top"/>
      <protection locked="0"/>
    </xf>
    <xf numFmtId="2" fontId="22" fillId="10" borderId="10" xfId="13" applyNumberFormat="1" applyFont="1" applyFill="1" applyBorder="1" applyAlignment="1">
      <alignment horizontal="right"/>
    </xf>
    <xf numFmtId="2" fontId="51" fillId="10" borderId="10" xfId="13" applyNumberFormat="1" applyFont="1" applyFill="1" applyBorder="1" applyAlignment="1" applyProtection="1">
      <alignment horizontal="right"/>
      <protection locked="0"/>
    </xf>
    <xf numFmtId="2" fontId="28" fillId="10" borderId="10" xfId="0" applyNumberFormat="1" applyFont="1" applyFill="1" applyBorder="1"/>
    <xf numFmtId="0" fontId="10" fillId="10" borderId="10" xfId="0" applyFont="1" applyFill="1" applyBorder="1" applyAlignment="1">
      <alignment horizontal="center" vertical="center"/>
    </xf>
    <xf numFmtId="0" fontId="10" fillId="10" borderId="10" xfId="0" applyFont="1" applyFill="1" applyBorder="1" applyAlignment="1">
      <alignment vertical="center"/>
    </xf>
    <xf numFmtId="167" fontId="37" fillId="10" borderId="10" xfId="13" applyNumberFormat="1" applyFont="1" applyFill="1" applyBorder="1" applyAlignment="1" applyProtection="1">
      <alignment horizontal="right" vertical="center"/>
    </xf>
    <xf numFmtId="169" fontId="14" fillId="10" borderId="10" xfId="13" applyNumberFormat="1" applyFont="1" applyFill="1" applyBorder="1" applyAlignment="1">
      <alignment horizontal="center" vertical="center"/>
    </xf>
    <xf numFmtId="2" fontId="14" fillId="10" borderId="10" xfId="13" applyNumberFormat="1" applyFont="1" applyFill="1" applyBorder="1" applyAlignment="1">
      <alignment horizontal="right" vertical="center"/>
    </xf>
    <xf numFmtId="0" fontId="10" fillId="8" borderId="10" xfId="0" applyFont="1" applyFill="1" applyBorder="1" applyAlignment="1">
      <alignment horizontal="center" vertical="center"/>
    </xf>
    <xf numFmtId="0" fontId="10" fillId="8" borderId="10" xfId="0" applyFont="1" applyFill="1" applyBorder="1" applyAlignment="1">
      <alignment vertical="center"/>
    </xf>
    <xf numFmtId="167" fontId="37" fillId="8" borderId="10" xfId="13" applyNumberFormat="1" applyFont="1" applyFill="1" applyBorder="1" applyAlignment="1" applyProtection="1">
      <alignment horizontal="right" vertical="center"/>
    </xf>
    <xf numFmtId="169" fontId="14" fillId="8" borderId="10" xfId="13" applyNumberFormat="1" applyFont="1" applyFill="1" applyBorder="1" applyAlignment="1">
      <alignment horizontal="center" vertical="center"/>
    </xf>
    <xf numFmtId="167" fontId="29" fillId="10" borderId="10" xfId="13" applyNumberFormat="1" applyFont="1" applyFill="1" applyBorder="1" applyAlignment="1" applyProtection="1">
      <alignment horizontal="right" vertical="center"/>
    </xf>
    <xf numFmtId="2" fontId="10" fillId="2" borderId="10" xfId="13" applyNumberFormat="1" applyFont="1" applyFill="1" applyBorder="1" applyAlignment="1" applyProtection="1">
      <alignment horizontal="right" vertical="top" wrapText="1"/>
      <protection locked="0"/>
    </xf>
    <xf numFmtId="2" fontId="29" fillId="10" borderId="10" xfId="13" applyNumberFormat="1" applyFont="1" applyFill="1" applyBorder="1" applyAlignment="1">
      <alignment horizontal="right" vertical="center"/>
    </xf>
    <xf numFmtId="2" fontId="12" fillId="12" borderId="8" xfId="0" applyNumberFormat="1" applyFont="1" applyFill="1" applyBorder="1" applyAlignment="1">
      <alignment horizontal="right" vertical="center" wrapText="1"/>
    </xf>
    <xf numFmtId="2" fontId="10" fillId="12" borderId="29" xfId="13" applyNumberFormat="1" applyFont="1" applyFill="1" applyBorder="1" applyAlignment="1">
      <alignment horizontal="right" vertical="center"/>
    </xf>
    <xf numFmtId="2" fontId="10" fillId="12" borderId="10" xfId="13" applyNumberFormat="1" applyFont="1" applyFill="1" applyBorder="1" applyAlignment="1">
      <alignment horizontal="right" vertical="top" wrapText="1"/>
    </xf>
    <xf numFmtId="2" fontId="15" fillId="12" borderId="10" xfId="13" applyNumberFormat="1" applyFont="1" applyFill="1" applyBorder="1" applyAlignment="1">
      <alignment horizontal="right" vertical="center" shrinkToFit="1"/>
    </xf>
    <xf numFmtId="2" fontId="14" fillId="12" borderId="10" xfId="13" applyNumberFormat="1" applyFont="1" applyFill="1" applyBorder="1" applyAlignment="1">
      <alignment horizontal="right" vertical="top" wrapText="1"/>
    </xf>
    <xf numFmtId="2" fontId="11" fillId="12" borderId="10" xfId="13" applyNumberFormat="1" applyFont="1" applyFill="1" applyBorder="1" applyAlignment="1">
      <alignment horizontal="right" vertical="top" wrapText="1"/>
    </xf>
    <xf numFmtId="2" fontId="15" fillId="12" borderId="10" xfId="13" applyNumberFormat="1" applyFont="1" applyFill="1" applyBorder="1" applyAlignment="1">
      <alignment horizontal="right" vertical="top" shrinkToFit="1"/>
    </xf>
    <xf numFmtId="2" fontId="11" fillId="12" borderId="10" xfId="13" applyNumberFormat="1" applyFont="1" applyFill="1" applyBorder="1" applyAlignment="1">
      <alignment horizontal="right" wrapText="1"/>
    </xf>
    <xf numFmtId="2" fontId="14" fillId="12" borderId="10" xfId="13" applyNumberFormat="1" applyFont="1" applyFill="1" applyBorder="1" applyAlignment="1">
      <alignment horizontal="right" vertical="center" wrapText="1"/>
    </xf>
    <xf numFmtId="2" fontId="11" fillId="12" borderId="10" xfId="13" applyNumberFormat="1" applyFont="1" applyFill="1" applyBorder="1" applyAlignment="1">
      <alignment horizontal="right"/>
    </xf>
    <xf numFmtId="2" fontId="10" fillId="12" borderId="10" xfId="13" applyNumberFormat="1" applyFont="1" applyFill="1" applyBorder="1" applyAlignment="1">
      <alignment horizontal="right" vertical="center"/>
    </xf>
    <xf numFmtId="2" fontId="14" fillId="12" borderId="10" xfId="13" applyNumberFormat="1" applyFont="1" applyFill="1" applyBorder="1" applyAlignment="1">
      <alignment horizontal="right" vertical="center" readingOrder="1"/>
    </xf>
    <xf numFmtId="2" fontId="14" fillId="12" borderId="10" xfId="13" applyNumberFormat="1" applyFont="1" applyFill="1" applyBorder="1" applyAlignment="1">
      <alignment horizontal="right" vertical="center"/>
    </xf>
    <xf numFmtId="2" fontId="14" fillId="20" borderId="10" xfId="13" applyNumberFormat="1" applyFont="1" applyFill="1" applyBorder="1" applyAlignment="1">
      <alignment horizontal="right" vertical="center" shrinkToFit="1"/>
    </xf>
    <xf numFmtId="2" fontId="14" fillId="19" borderId="10" xfId="13" applyNumberFormat="1" applyFont="1" applyFill="1" applyBorder="1" applyAlignment="1">
      <alignment horizontal="right" vertical="center" readingOrder="1"/>
    </xf>
    <xf numFmtId="2" fontId="10" fillId="12" borderId="10" xfId="13" applyNumberFormat="1" applyFont="1" applyFill="1" applyBorder="1" applyAlignment="1" applyProtection="1">
      <alignment horizontal="right" vertical="center"/>
      <protection locked="0"/>
    </xf>
    <xf numFmtId="2" fontId="10" fillId="12" borderId="10" xfId="13" applyNumberFormat="1" applyFont="1" applyFill="1" applyBorder="1" applyAlignment="1">
      <alignment horizontal="right" vertical="center" shrinkToFit="1"/>
    </xf>
    <xf numFmtId="2" fontId="10" fillId="19" borderId="10" xfId="13" applyNumberFormat="1" applyFont="1" applyFill="1" applyBorder="1" applyAlignment="1">
      <alignment horizontal="right" vertical="center"/>
    </xf>
    <xf numFmtId="2" fontId="10" fillId="20" borderId="10" xfId="13" applyNumberFormat="1" applyFont="1" applyFill="1" applyBorder="1" applyAlignment="1" applyProtection="1">
      <alignment horizontal="right" vertical="top" wrapText="1"/>
      <protection locked="0"/>
    </xf>
    <xf numFmtId="2" fontId="14" fillId="20" borderId="10" xfId="13" applyNumberFormat="1" applyFont="1" applyFill="1" applyBorder="1" applyAlignment="1" applyProtection="1">
      <alignment horizontal="right" vertical="center"/>
      <protection locked="0"/>
    </xf>
    <xf numFmtId="2" fontId="14" fillId="12" borderId="10" xfId="13" applyNumberFormat="1" applyFont="1" applyFill="1" applyBorder="1" applyAlignment="1" applyProtection="1">
      <alignment horizontal="right" vertical="top" wrapText="1"/>
      <protection locked="0"/>
    </xf>
    <xf numFmtId="2" fontId="14" fillId="20" borderId="10" xfId="13" applyNumberFormat="1" applyFont="1" applyFill="1" applyBorder="1" applyAlignment="1" applyProtection="1">
      <alignment horizontal="right" vertical="top"/>
      <protection locked="0"/>
    </xf>
    <xf numFmtId="2" fontId="11" fillId="12" borderId="10" xfId="13" applyNumberFormat="1" applyFont="1" applyFill="1" applyBorder="1" applyAlignment="1" applyProtection="1">
      <alignment horizontal="right" vertical="center"/>
      <protection locked="0"/>
    </xf>
    <xf numFmtId="2" fontId="17" fillId="12" borderId="10" xfId="13" applyNumberFormat="1" applyFont="1" applyFill="1" applyBorder="1" applyAlignment="1" applyProtection="1">
      <alignment horizontal="right" vertical="center" wrapText="1"/>
      <protection locked="0"/>
    </xf>
    <xf numFmtId="2" fontId="17" fillId="12" borderId="10" xfId="13" applyNumberFormat="1" applyFont="1" applyFill="1" applyBorder="1" applyAlignment="1" applyProtection="1">
      <alignment horizontal="right" vertical="top" wrapText="1"/>
      <protection locked="0"/>
    </xf>
    <xf numFmtId="2" fontId="16" fillId="12" borderId="10" xfId="13" applyNumberFormat="1" applyFont="1" applyFill="1" applyBorder="1" applyAlignment="1" applyProtection="1">
      <alignment horizontal="right" vertical="top" wrapText="1"/>
      <protection locked="0"/>
    </xf>
    <xf numFmtId="2" fontId="14" fillId="12" borderId="10" xfId="13" applyNumberFormat="1" applyFont="1" applyFill="1" applyBorder="1" applyAlignment="1" applyProtection="1">
      <alignment horizontal="right" vertical="top"/>
      <protection locked="0"/>
    </xf>
    <xf numFmtId="2" fontId="16" fillId="12" borderId="10" xfId="13" applyNumberFormat="1" applyFont="1" applyFill="1" applyBorder="1" applyAlignment="1" applyProtection="1">
      <alignment horizontal="right" vertical="top"/>
      <protection locked="0"/>
    </xf>
    <xf numFmtId="2" fontId="11" fillId="12" borderId="10" xfId="13" applyNumberFormat="1" applyFont="1" applyFill="1" applyBorder="1" applyAlignment="1" applyProtection="1">
      <alignment horizontal="right" vertical="top"/>
      <protection locked="0"/>
    </xf>
    <xf numFmtId="2" fontId="14" fillId="12" borderId="10" xfId="13" applyNumberFormat="1" applyFont="1" applyFill="1" applyBorder="1" applyAlignment="1" applyProtection="1">
      <alignment horizontal="right" vertical="center"/>
      <protection locked="0"/>
    </xf>
    <xf numFmtId="2" fontId="11" fillId="12" borderId="10" xfId="13" applyNumberFormat="1" applyFont="1" applyFill="1" applyBorder="1" applyAlignment="1">
      <alignment horizontal="right" vertical="center"/>
    </xf>
    <xf numFmtId="2" fontId="10" fillId="12" borderId="10" xfId="13" applyNumberFormat="1" applyFont="1" applyFill="1" applyBorder="1" applyAlignment="1">
      <alignment horizontal="right" vertical="top"/>
    </xf>
    <xf numFmtId="2" fontId="14" fillId="12" borderId="10" xfId="13" applyNumberFormat="1" applyFont="1" applyFill="1" applyBorder="1" applyAlignment="1">
      <alignment horizontal="right" vertical="top"/>
    </xf>
    <xf numFmtId="2" fontId="14" fillId="12" borderId="10" xfId="13" applyNumberFormat="1" applyFont="1" applyFill="1" applyBorder="1" applyAlignment="1" applyProtection="1">
      <alignment horizontal="right"/>
      <protection locked="0"/>
    </xf>
    <xf numFmtId="2" fontId="14" fillId="12" borderId="10" xfId="13" applyNumberFormat="1" applyFont="1" applyFill="1" applyBorder="1" applyAlignment="1">
      <alignment horizontal="right"/>
    </xf>
    <xf numFmtId="2" fontId="10" fillId="12" borderId="10" xfId="3" applyNumberFormat="1" applyFont="1" applyFill="1" applyBorder="1" applyAlignment="1">
      <alignment horizontal="right" vertical="center" wrapText="1"/>
    </xf>
    <xf numFmtId="2" fontId="11" fillId="12" borderId="0" xfId="13" applyNumberFormat="1" applyFont="1" applyFill="1" applyAlignment="1">
      <alignment horizontal="right"/>
    </xf>
    <xf numFmtId="0" fontId="11" fillId="12" borderId="10" xfId="0" applyFont="1" applyFill="1" applyBorder="1" applyAlignment="1">
      <alignment horizontal="center" wrapText="1"/>
    </xf>
    <xf numFmtId="0" fontId="14" fillId="12" borderId="10" xfId="0" applyFont="1" applyFill="1" applyBorder="1" applyAlignment="1">
      <alignment horizontal="left" vertical="top" wrapText="1"/>
    </xf>
    <xf numFmtId="0" fontId="14" fillId="12" borderId="10" xfId="0" applyFont="1" applyFill="1" applyBorder="1" applyAlignment="1">
      <alignment horizontal="center" vertical="top" wrapText="1"/>
    </xf>
    <xf numFmtId="169" fontId="15" fillId="12" borderId="10" xfId="13" applyNumberFormat="1" applyFont="1" applyFill="1" applyBorder="1" applyAlignment="1">
      <alignment horizontal="center" vertical="top" shrinkToFit="1"/>
    </xf>
    <xf numFmtId="2" fontId="11" fillId="12" borderId="10" xfId="0" applyNumberFormat="1" applyFont="1" applyFill="1" applyBorder="1"/>
    <xf numFmtId="2" fontId="12" fillId="8" borderId="10" xfId="0" applyNumberFormat="1" applyFont="1" applyFill="1" applyBorder="1"/>
    <xf numFmtId="0" fontId="28" fillId="12" borderId="10" xfId="0" applyFont="1" applyFill="1" applyBorder="1" applyAlignment="1">
      <alignment horizontal="center"/>
    </xf>
    <xf numFmtId="2" fontId="17" fillId="12" borderId="0" xfId="0" applyNumberFormat="1" applyFont="1" applyFill="1"/>
    <xf numFmtId="0" fontId="28" fillId="12" borderId="0" xfId="0" applyFont="1" applyFill="1"/>
    <xf numFmtId="164" fontId="10" fillId="12" borderId="10" xfId="13" applyFont="1" applyFill="1" applyBorder="1" applyAlignment="1">
      <alignment horizontal="center" vertical="center"/>
    </xf>
    <xf numFmtId="164" fontId="10" fillId="12" borderId="10" xfId="13" applyFont="1" applyFill="1" applyBorder="1" applyAlignment="1">
      <alignment horizontal="center" vertical="top" wrapText="1"/>
    </xf>
    <xf numFmtId="164" fontId="15" fillId="12" borderId="10" xfId="13" applyFont="1" applyFill="1" applyBorder="1" applyAlignment="1">
      <alignment horizontal="center" vertical="center" shrinkToFit="1"/>
    </xf>
    <xf numFmtId="164" fontId="14" fillId="12" borderId="10" xfId="13" applyFont="1" applyFill="1" applyBorder="1" applyAlignment="1">
      <alignment vertical="top" wrapText="1"/>
    </xf>
    <xf numFmtId="164" fontId="11" fillId="12" borderId="10" xfId="13" applyFont="1" applyFill="1" applyBorder="1" applyAlignment="1">
      <alignment horizontal="center" vertical="top" wrapText="1"/>
    </xf>
    <xf numFmtId="164" fontId="15" fillId="12" borderId="10" xfId="13" applyFont="1" applyFill="1" applyBorder="1" applyAlignment="1">
      <alignment horizontal="center" vertical="top" shrinkToFit="1"/>
    </xf>
    <xf numFmtId="164" fontId="11" fillId="12" borderId="10" xfId="13" applyFont="1" applyFill="1" applyBorder="1" applyAlignment="1">
      <alignment horizontal="center" wrapText="1"/>
    </xf>
    <xf numFmtId="164" fontId="14" fillId="12" borderId="10" xfId="13" applyFont="1" applyFill="1" applyBorder="1" applyAlignment="1">
      <alignment horizontal="center" vertical="top" wrapText="1"/>
    </xf>
    <xf numFmtId="164" fontId="14" fillId="12" borderId="10" xfId="13" applyFont="1" applyFill="1" applyBorder="1" applyAlignment="1">
      <alignment horizontal="center" vertical="center" wrapText="1"/>
    </xf>
    <xf numFmtId="164" fontId="15" fillId="12" borderId="10" xfId="13" applyFont="1" applyFill="1" applyBorder="1" applyAlignment="1">
      <alignment horizontal="center" shrinkToFit="1"/>
    </xf>
    <xf numFmtId="164" fontId="11" fillId="12" borderId="10" xfId="13" applyFont="1" applyFill="1" applyBorder="1" applyAlignment="1">
      <alignment horizontal="center"/>
    </xf>
    <xf numFmtId="164" fontId="10" fillId="19" borderId="10" xfId="13" applyFont="1" applyFill="1" applyBorder="1" applyAlignment="1">
      <alignment horizontal="center" vertical="center" readingOrder="1"/>
    </xf>
    <xf numFmtId="164" fontId="14" fillId="12" borderId="10" xfId="13" applyFont="1" applyFill="1" applyBorder="1" applyAlignment="1">
      <alignment horizontal="center" vertical="center" readingOrder="1"/>
    </xf>
    <xf numFmtId="164" fontId="14" fillId="12" borderId="10" xfId="13" applyFont="1" applyFill="1" applyBorder="1" applyAlignment="1">
      <alignment horizontal="center" vertical="center"/>
    </xf>
    <xf numFmtId="164" fontId="14" fillId="20" borderId="10" xfId="13" applyFont="1" applyFill="1" applyBorder="1" applyAlignment="1">
      <alignment horizontal="center" vertical="center" shrinkToFit="1"/>
    </xf>
    <xf numFmtId="164" fontId="14" fillId="19" borderId="10" xfId="13" applyFont="1" applyFill="1" applyBorder="1" applyAlignment="1">
      <alignment horizontal="center" vertical="center" readingOrder="1"/>
    </xf>
    <xf numFmtId="164" fontId="10" fillId="12" borderId="10" xfId="13" applyFont="1" applyFill="1" applyBorder="1" applyAlignment="1" applyProtection="1">
      <alignment horizontal="center" vertical="center"/>
      <protection locked="0"/>
    </xf>
    <xf numFmtId="164" fontId="10" fillId="12" borderId="10" xfId="13" applyFont="1" applyFill="1" applyBorder="1" applyAlignment="1">
      <alignment horizontal="center" vertical="center" shrinkToFit="1"/>
    </xf>
    <xf numFmtId="164" fontId="10" fillId="19" borderId="10" xfId="13" applyFont="1" applyFill="1" applyBorder="1" applyAlignment="1">
      <alignment horizontal="center" vertical="center"/>
    </xf>
    <xf numFmtId="164" fontId="29" fillId="12" borderId="10" xfId="13" applyFont="1" applyFill="1" applyBorder="1" applyAlignment="1">
      <alignment horizontal="center" vertical="center"/>
    </xf>
    <xf numFmtId="164" fontId="10" fillId="20" borderId="10" xfId="13" applyFont="1" applyFill="1" applyBorder="1" applyAlignment="1" applyProtection="1">
      <alignment horizontal="center" vertical="top" wrapText="1"/>
      <protection locked="0"/>
    </xf>
    <xf numFmtId="164" fontId="14" fillId="20" borderId="10" xfId="13" applyFont="1" applyFill="1" applyBorder="1" applyAlignment="1" applyProtection="1">
      <alignment horizontal="center" vertical="center"/>
      <protection locked="0"/>
    </xf>
    <xf numFmtId="164" fontId="14" fillId="12" borderId="10" xfId="13" applyFont="1" applyFill="1" applyBorder="1" applyAlignment="1" applyProtection="1">
      <alignment horizontal="center" vertical="top" wrapText="1"/>
      <protection locked="0"/>
    </xf>
    <xf numFmtId="164" fontId="14" fillId="20" borderId="10" xfId="13" applyFont="1" applyFill="1" applyBorder="1" applyAlignment="1" applyProtection="1">
      <alignment horizontal="center" vertical="top"/>
      <protection locked="0"/>
    </xf>
    <xf numFmtId="164" fontId="11" fillId="12" borderId="10" xfId="13" applyFont="1" applyFill="1" applyBorder="1" applyAlignment="1" applyProtection="1">
      <alignment vertical="center"/>
      <protection locked="0"/>
    </xf>
    <xf numFmtId="164" fontId="17" fillId="12" borderId="10" xfId="13" applyFont="1" applyFill="1" applyBorder="1" applyAlignment="1" applyProtection="1">
      <alignment horizontal="center" vertical="center" wrapText="1"/>
      <protection locked="0"/>
    </xf>
    <xf numFmtId="164" fontId="17" fillId="12" borderId="10" xfId="13" applyFont="1" applyFill="1" applyBorder="1" applyAlignment="1" applyProtection="1">
      <alignment horizontal="center" vertical="top" wrapText="1"/>
      <protection locked="0"/>
    </xf>
    <xf numFmtId="164" fontId="16" fillId="12" borderId="10" xfId="13" applyFont="1" applyFill="1" applyBorder="1" applyAlignment="1" applyProtection="1">
      <alignment horizontal="center" vertical="top" wrapText="1"/>
      <protection locked="0"/>
    </xf>
    <xf numFmtId="164" fontId="14" fillId="12" borderId="10" xfId="13" applyFont="1" applyFill="1" applyBorder="1" applyAlignment="1" applyProtection="1">
      <alignment horizontal="center" vertical="top"/>
      <protection locked="0"/>
    </xf>
    <xf numFmtId="164" fontId="16" fillId="12" borderId="10" xfId="13" applyFont="1" applyFill="1" applyBorder="1" applyAlignment="1" applyProtection="1">
      <alignment horizontal="center" vertical="top"/>
      <protection locked="0"/>
    </xf>
    <xf numFmtId="164" fontId="11" fillId="12" borderId="10" xfId="13" applyFont="1" applyFill="1" applyBorder="1" applyAlignment="1" applyProtection="1">
      <alignment horizontal="center"/>
      <protection locked="0"/>
    </xf>
    <xf numFmtId="164" fontId="11" fillId="12" borderId="10" xfId="13" applyFont="1" applyFill="1" applyBorder="1" applyAlignment="1" applyProtection="1">
      <alignment horizontal="center" vertical="top"/>
      <protection locked="0"/>
    </xf>
    <xf numFmtId="164" fontId="14" fillId="12" borderId="10" xfId="13" applyFont="1" applyFill="1" applyBorder="1" applyAlignment="1" applyProtection="1">
      <alignment horizontal="center" vertical="center"/>
      <protection locked="0"/>
    </xf>
    <xf numFmtId="164" fontId="11" fillId="12" borderId="10" xfId="13" applyFont="1" applyFill="1" applyBorder="1" applyAlignment="1">
      <alignment horizontal="center" vertical="center"/>
    </xf>
    <xf numFmtId="164" fontId="10" fillId="12" borderId="10" xfId="13" applyFont="1" applyFill="1" applyBorder="1" applyAlignment="1">
      <alignment horizontal="center" vertical="top"/>
    </xf>
    <xf numFmtId="164" fontId="14" fillId="12" borderId="10" xfId="13" applyFont="1" applyFill="1" applyBorder="1" applyAlignment="1">
      <alignment horizontal="center" vertical="top"/>
    </xf>
    <xf numFmtId="164" fontId="14" fillId="12" borderId="10" xfId="13" applyFont="1" applyFill="1" applyBorder="1" applyAlignment="1" applyProtection="1">
      <alignment horizontal="justify"/>
      <protection locked="0"/>
    </xf>
    <xf numFmtId="164" fontId="11" fillId="12" borderId="0" xfId="13" applyFont="1" applyFill="1" applyBorder="1" applyAlignment="1" applyProtection="1">
      <alignment horizontal="center" vertical="top"/>
      <protection locked="0"/>
    </xf>
    <xf numFmtId="164" fontId="13" fillId="12" borderId="0" xfId="13" applyFont="1" applyFill="1" applyBorder="1" applyAlignment="1" applyProtection="1">
      <alignment horizontal="center" vertical="top"/>
      <protection locked="0"/>
    </xf>
    <xf numFmtId="164" fontId="13" fillId="12" borderId="0" xfId="13" applyFont="1" applyFill="1" applyBorder="1" applyAlignment="1" applyProtection="1">
      <alignment horizontal="center" vertical="center"/>
      <protection locked="0"/>
    </xf>
    <xf numFmtId="164" fontId="13" fillId="12" borderId="0" xfId="13" applyFont="1" applyFill="1" applyBorder="1" applyAlignment="1" applyProtection="1">
      <alignment horizontal="justify"/>
      <protection locked="0"/>
    </xf>
    <xf numFmtId="164" fontId="26" fillId="12" borderId="0" xfId="13" applyFont="1" applyFill="1" applyBorder="1" applyAlignment="1" applyProtection="1">
      <alignment horizontal="center" vertical="top"/>
      <protection locked="0"/>
    </xf>
    <xf numFmtId="164" fontId="26" fillId="12" borderId="0" xfId="13" applyFont="1" applyFill="1" applyBorder="1"/>
    <xf numFmtId="164" fontId="11" fillId="12" borderId="0" xfId="13" applyFont="1" applyFill="1" applyAlignment="1">
      <alignment horizontal="center"/>
    </xf>
    <xf numFmtId="0" fontId="28" fillId="17" borderId="10" xfId="0" applyFont="1" applyFill="1" applyBorder="1" applyAlignment="1">
      <alignment horizontal="center"/>
    </xf>
    <xf numFmtId="0" fontId="28" fillId="17" borderId="10" xfId="0" applyFont="1" applyFill="1" applyBorder="1"/>
    <xf numFmtId="0" fontId="0" fillId="17" borderId="10" xfId="0" applyFill="1" applyBorder="1"/>
    <xf numFmtId="0" fontId="0" fillId="17" borderId="10" xfId="0" applyFill="1" applyBorder="1" applyAlignment="1">
      <alignment horizontal="center"/>
    </xf>
    <xf numFmtId="0" fontId="0" fillId="17" borderId="10" xfId="0" applyFill="1" applyBorder="1" applyAlignment="1">
      <alignment horizontal="center" vertical="center"/>
    </xf>
    <xf numFmtId="0" fontId="0" fillId="17" borderId="10" xfId="0" applyFill="1" applyBorder="1" applyAlignment="1">
      <alignment wrapText="1"/>
    </xf>
    <xf numFmtId="2" fontId="28" fillId="17" borderId="10" xfId="0" applyNumberFormat="1" applyFont="1" applyFill="1" applyBorder="1"/>
    <xf numFmtId="0" fontId="28" fillId="21" borderId="10" xfId="0" applyFont="1" applyFill="1" applyBorder="1"/>
    <xf numFmtId="0" fontId="28" fillId="21" borderId="10" xfId="0" applyFont="1" applyFill="1" applyBorder="1" applyAlignment="1">
      <alignment horizontal="center"/>
    </xf>
    <xf numFmtId="2" fontId="28" fillId="21" borderId="10" xfId="0" applyNumberFormat="1" applyFont="1" applyFill="1" applyBorder="1"/>
    <xf numFmtId="2" fontId="17" fillId="2" borderId="10" xfId="0" applyNumberFormat="1" applyFont="1" applyFill="1" applyBorder="1"/>
    <xf numFmtId="0" fontId="0" fillId="17" borderId="11" xfId="0" applyFill="1" applyBorder="1"/>
    <xf numFmtId="0" fontId="0" fillId="17" borderId="12" xfId="0" applyFill="1" applyBorder="1" applyAlignment="1">
      <alignment horizontal="center"/>
    </xf>
    <xf numFmtId="0" fontId="11" fillId="17" borderId="10" xfId="0" applyFont="1" applyFill="1" applyBorder="1" applyAlignment="1">
      <alignment horizontal="center" vertical="center" wrapText="1"/>
    </xf>
    <xf numFmtId="0" fontId="28" fillId="22" borderId="10" xfId="0" applyFont="1" applyFill="1" applyBorder="1" applyAlignment="1">
      <alignment horizontal="center" vertical="center" wrapText="1"/>
    </xf>
    <xf numFmtId="0" fontId="40" fillId="17" borderId="10" xfId="0" applyFont="1" applyFill="1" applyBorder="1" applyAlignment="1">
      <alignment horizontal="center" vertical="center"/>
    </xf>
    <xf numFmtId="0" fontId="11" fillId="17" borderId="10" xfId="0" applyFont="1" applyFill="1" applyBorder="1" applyAlignment="1">
      <alignment horizontal="justify" vertical="center" wrapText="1" shrinkToFit="1"/>
    </xf>
    <xf numFmtId="0" fontId="11" fillId="17" borderId="10" xfId="0" applyFont="1" applyFill="1" applyBorder="1" applyAlignment="1">
      <alignment horizontal="center" vertical="center"/>
    </xf>
    <xf numFmtId="0" fontId="28" fillId="10" borderId="10" xfId="0" applyFont="1" applyFill="1" applyBorder="1"/>
    <xf numFmtId="0" fontId="28" fillId="10" borderId="10" xfId="0" applyFont="1" applyFill="1" applyBorder="1" applyAlignment="1">
      <alignment horizontal="center"/>
    </xf>
    <xf numFmtId="0" fontId="0" fillId="10" borderId="10" xfId="0" applyFill="1" applyBorder="1" applyAlignment="1">
      <alignment horizontal="center"/>
    </xf>
    <xf numFmtId="0" fontId="0" fillId="10" borderId="10" xfId="0" applyFill="1" applyBorder="1"/>
    <xf numFmtId="0" fontId="28" fillId="22" borderId="10" xfId="0" applyFont="1" applyFill="1" applyBorder="1"/>
    <xf numFmtId="0" fontId="28" fillId="22" borderId="10" xfId="0" applyFont="1" applyFill="1" applyBorder="1" applyAlignment="1">
      <alignment horizontal="center"/>
    </xf>
    <xf numFmtId="0" fontId="11" fillId="17" borderId="10" xfId="0" applyFont="1" applyFill="1" applyBorder="1" applyAlignment="1">
      <alignment horizontal="center"/>
    </xf>
    <xf numFmtId="0" fontId="12" fillId="17" borderId="10" xfId="0" applyFont="1" applyFill="1" applyBorder="1" applyAlignment="1">
      <alignment horizontal="center" vertical="center" wrapText="1"/>
    </xf>
    <xf numFmtId="0" fontId="12" fillId="17" borderId="10" xfId="0" applyFont="1" applyFill="1" applyBorder="1" applyAlignment="1">
      <alignment horizontal="center" vertical="center" wrapText="1" shrinkToFit="1"/>
    </xf>
    <xf numFmtId="0" fontId="28" fillId="17" borderId="10" xfId="0" applyFont="1" applyFill="1" applyBorder="1" applyAlignment="1">
      <alignment horizontal="center" vertical="center"/>
    </xf>
    <xf numFmtId="0" fontId="28" fillId="17" borderId="10" xfId="0" applyFont="1" applyFill="1" applyBorder="1" applyAlignment="1">
      <alignment vertical="center"/>
    </xf>
    <xf numFmtId="0" fontId="11" fillId="2" borderId="10" xfId="0" applyFont="1" applyFill="1" applyBorder="1" applyAlignment="1">
      <alignment horizontal="justify" vertical="center" wrapText="1" shrinkToFit="1"/>
    </xf>
    <xf numFmtId="2" fontId="10" fillId="12" borderId="10" xfId="13" applyNumberFormat="1" applyFont="1" applyFill="1" applyBorder="1" applyAlignment="1">
      <alignment horizontal="right"/>
    </xf>
    <xf numFmtId="2" fontId="10" fillId="12" borderId="10" xfId="13" applyNumberFormat="1" applyFont="1" applyFill="1" applyBorder="1" applyAlignment="1">
      <alignment horizontal="right" wrapText="1"/>
    </xf>
    <xf numFmtId="2" fontId="15" fillId="12" borderId="10" xfId="13" applyNumberFormat="1" applyFont="1" applyFill="1" applyBorder="1" applyAlignment="1">
      <alignment horizontal="right" shrinkToFit="1"/>
    </xf>
    <xf numFmtId="2" fontId="14" fillId="12" borderId="10" xfId="13" applyNumberFormat="1" applyFont="1" applyFill="1" applyBorder="1" applyAlignment="1">
      <alignment horizontal="right" wrapText="1"/>
    </xf>
    <xf numFmtId="2" fontId="10" fillId="19" borderId="10" xfId="13" applyNumberFormat="1" applyFont="1" applyFill="1" applyBorder="1" applyAlignment="1">
      <alignment horizontal="right" readingOrder="1"/>
    </xf>
    <xf numFmtId="2" fontId="14" fillId="12" borderId="10" xfId="13" applyNumberFormat="1" applyFont="1" applyFill="1" applyBorder="1" applyAlignment="1">
      <alignment horizontal="right" readingOrder="1"/>
    </xf>
    <xf numFmtId="2" fontId="14" fillId="20" borderId="10" xfId="13" applyNumberFormat="1" applyFont="1" applyFill="1" applyBorder="1" applyAlignment="1">
      <alignment horizontal="right" shrinkToFit="1"/>
    </xf>
    <xf numFmtId="2" fontId="14" fillId="19" borderId="10" xfId="13" applyNumberFormat="1" applyFont="1" applyFill="1" applyBorder="1" applyAlignment="1">
      <alignment horizontal="right" readingOrder="1"/>
    </xf>
    <xf numFmtId="2" fontId="10" fillId="12" borderId="10" xfId="13" applyNumberFormat="1" applyFont="1" applyFill="1" applyBorder="1" applyAlignment="1" applyProtection="1">
      <alignment horizontal="right"/>
      <protection locked="0"/>
    </xf>
    <xf numFmtId="2" fontId="10" fillId="12" borderId="10" xfId="13" applyNumberFormat="1" applyFont="1" applyFill="1" applyBorder="1" applyAlignment="1">
      <alignment horizontal="right" shrinkToFit="1"/>
    </xf>
    <xf numFmtId="2" fontId="10" fillId="19" borderId="10" xfId="13" applyNumberFormat="1" applyFont="1" applyFill="1" applyBorder="1" applyAlignment="1">
      <alignment horizontal="right"/>
    </xf>
    <xf numFmtId="2" fontId="14" fillId="12" borderId="16" xfId="13" applyNumberFormat="1" applyFont="1" applyFill="1" applyBorder="1" applyAlignment="1">
      <alignment horizontal="right"/>
    </xf>
    <xf numFmtId="2" fontId="10" fillId="20" borderId="10" xfId="13" applyNumberFormat="1" applyFont="1" applyFill="1" applyBorder="1" applyAlignment="1" applyProtection="1">
      <alignment horizontal="right" wrapText="1"/>
      <protection locked="0"/>
    </xf>
    <xf numFmtId="2" fontId="14" fillId="20" borderId="10" xfId="13" applyNumberFormat="1" applyFont="1" applyFill="1" applyBorder="1" applyAlignment="1" applyProtection="1">
      <alignment horizontal="right"/>
      <protection locked="0"/>
    </xf>
    <xf numFmtId="2" fontId="14" fillId="12" borderId="10" xfId="13" applyNumberFormat="1" applyFont="1" applyFill="1" applyBorder="1" applyAlignment="1" applyProtection="1">
      <alignment horizontal="right" wrapText="1"/>
      <protection locked="0"/>
    </xf>
    <xf numFmtId="2" fontId="17" fillId="12" borderId="10" xfId="13" applyNumberFormat="1" applyFont="1" applyFill="1" applyBorder="1" applyAlignment="1" applyProtection="1">
      <alignment horizontal="right" wrapText="1"/>
      <protection locked="0"/>
    </xf>
    <xf numFmtId="2" fontId="16" fillId="12" borderId="10" xfId="13" applyNumberFormat="1" applyFont="1" applyFill="1" applyBorder="1" applyAlignment="1" applyProtection="1">
      <alignment horizontal="right" wrapText="1"/>
      <protection locked="0"/>
    </xf>
    <xf numFmtId="2" fontId="16" fillId="12" borderId="10" xfId="13" applyNumberFormat="1" applyFont="1" applyFill="1" applyBorder="1" applyAlignment="1" applyProtection="1">
      <alignment horizontal="right"/>
      <protection locked="0"/>
    </xf>
    <xf numFmtId="2" fontId="11" fillId="12" borderId="7" xfId="13" applyNumberFormat="1" applyFont="1" applyFill="1" applyBorder="1" applyAlignment="1" applyProtection="1">
      <alignment horizontal="right"/>
      <protection locked="0"/>
    </xf>
    <xf numFmtId="2" fontId="11" fillId="12" borderId="1" xfId="13" applyNumberFormat="1" applyFont="1" applyFill="1" applyBorder="1" applyAlignment="1" applyProtection="1">
      <alignment horizontal="right"/>
      <protection locked="0"/>
    </xf>
    <xf numFmtId="2" fontId="10" fillId="12" borderId="1" xfId="13" applyNumberFormat="1" applyFont="1" applyFill="1" applyBorder="1" applyAlignment="1">
      <alignment horizontal="right"/>
    </xf>
    <xf numFmtId="2" fontId="14" fillId="12" borderId="1" xfId="13" applyNumberFormat="1" applyFont="1" applyFill="1" applyBorder="1" applyAlignment="1">
      <alignment horizontal="right" wrapText="1"/>
    </xf>
    <xf numFmtId="2" fontId="14" fillId="12" borderId="1" xfId="13" applyNumberFormat="1" applyFont="1" applyFill="1" applyBorder="1" applyAlignment="1">
      <alignment horizontal="right"/>
    </xf>
    <xf numFmtId="2" fontId="10" fillId="12" borderId="1" xfId="3" applyNumberFormat="1" applyFont="1" applyFill="1" applyBorder="1" applyAlignment="1">
      <alignment horizontal="right" wrapText="1"/>
    </xf>
    <xf numFmtId="166" fontId="38" fillId="12" borderId="10" xfId="15" applyNumberFormat="1" applyFont="1" applyFill="1" applyBorder="1" applyAlignment="1" applyProtection="1">
      <alignment horizontal="center" vertical="center" wrapText="1"/>
      <protection locked="0"/>
    </xf>
    <xf numFmtId="0" fontId="11" fillId="12" borderId="10" xfId="0" applyFont="1" applyFill="1" applyBorder="1"/>
    <xf numFmtId="0" fontId="21" fillId="12" borderId="10" xfId="15" applyFont="1" applyFill="1" applyBorder="1" applyAlignment="1" applyProtection="1">
      <alignment vertical="center"/>
      <protection locked="0"/>
    </xf>
    <xf numFmtId="0" fontId="10" fillId="12" borderId="10" xfId="15" applyFont="1" applyFill="1" applyBorder="1" applyAlignment="1" applyProtection="1">
      <alignment horizontal="center" vertical="center"/>
      <protection locked="0"/>
    </xf>
    <xf numFmtId="169" fontId="10" fillId="12" borderId="10" xfId="13" applyNumberFormat="1" applyFont="1" applyFill="1" applyBorder="1" applyAlignment="1" applyProtection="1">
      <alignment horizontal="center" vertical="center"/>
      <protection locked="0"/>
    </xf>
    <xf numFmtId="2" fontId="11" fillId="12" borderId="10" xfId="0" applyNumberFormat="1" applyFont="1" applyFill="1" applyBorder="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167" fontId="10" fillId="2" borderId="0" xfId="13" applyNumberFormat="1" applyFont="1" applyFill="1" applyBorder="1" applyAlignment="1" applyProtection="1">
      <alignment vertical="center"/>
    </xf>
    <xf numFmtId="1" fontId="14" fillId="2" borderId="0" xfId="13" applyNumberFormat="1" applyFont="1" applyFill="1" applyBorder="1" applyAlignment="1">
      <alignment horizontal="center"/>
    </xf>
    <xf numFmtId="2" fontId="14" fillId="12" borderId="0" xfId="13" applyNumberFormat="1" applyFont="1" applyFill="1" applyBorder="1" applyAlignment="1">
      <alignment horizontal="right"/>
    </xf>
    <xf numFmtId="2" fontId="14" fillId="2" borderId="0" xfId="13" applyNumberFormat="1" applyFont="1" applyFill="1" applyBorder="1" applyAlignment="1">
      <alignment horizontal="right"/>
    </xf>
    <xf numFmtId="2" fontId="22" fillId="2" borderId="2" xfId="13" applyNumberFormat="1" applyFont="1" applyFill="1" applyBorder="1" applyAlignment="1" applyProtection="1">
      <alignment horizontal="right"/>
      <protection locked="0"/>
    </xf>
    <xf numFmtId="2" fontId="10" fillId="2" borderId="2" xfId="13" applyNumberFormat="1" applyFont="1" applyFill="1" applyBorder="1" applyAlignment="1">
      <alignment horizontal="right"/>
    </xf>
    <xf numFmtId="2" fontId="14" fillId="2" borderId="2" xfId="13" applyNumberFormat="1" applyFont="1" applyFill="1" applyBorder="1" applyAlignment="1">
      <alignment horizontal="right"/>
    </xf>
    <xf numFmtId="2" fontId="14" fillId="2" borderId="2" xfId="13" applyNumberFormat="1" applyFont="1" applyFill="1" applyBorder="1" applyAlignment="1">
      <alignment horizontal="right" wrapText="1"/>
    </xf>
    <xf numFmtId="2" fontId="10" fillId="2" borderId="2" xfId="13" applyNumberFormat="1" applyFont="1" applyFill="1" applyBorder="1" applyAlignment="1">
      <alignment horizontal="right" wrapText="1"/>
    </xf>
    <xf numFmtId="2" fontId="0" fillId="2" borderId="10" xfId="0" applyNumberFormat="1" applyFill="1" applyBorder="1" applyAlignment="1">
      <alignment vertical="center"/>
    </xf>
    <xf numFmtId="43" fontId="41" fillId="2" borderId="10" xfId="0" applyNumberFormat="1" applyFont="1" applyFill="1" applyBorder="1" applyAlignment="1">
      <alignment vertical="center"/>
    </xf>
    <xf numFmtId="169" fontId="11" fillId="12" borderId="10" xfId="13" applyNumberFormat="1" applyFont="1" applyFill="1" applyBorder="1" applyAlignment="1" applyProtection="1">
      <alignment horizontal="center" vertical="top"/>
      <protection locked="0"/>
    </xf>
    <xf numFmtId="0" fontId="10" fillId="2" borderId="2" xfId="12" applyFont="1" applyFill="1" applyBorder="1" applyAlignment="1">
      <alignment vertical="center" wrapText="1"/>
    </xf>
    <xf numFmtId="0" fontId="11" fillId="2" borderId="2" xfId="0" applyFont="1" applyFill="1" applyBorder="1" applyAlignment="1">
      <alignment horizontal="left"/>
    </xf>
    <xf numFmtId="0" fontId="11" fillId="2" borderId="2" xfId="0" applyFont="1" applyFill="1" applyBorder="1" applyAlignment="1">
      <alignment horizontal="center"/>
    </xf>
    <xf numFmtId="0" fontId="11" fillId="8" borderId="2" xfId="0" applyFont="1" applyFill="1" applyBorder="1" applyAlignment="1">
      <alignment horizontal="center"/>
    </xf>
    <xf numFmtId="0" fontId="10" fillId="2" borderId="9" xfId="12" applyFont="1" applyFill="1" applyBorder="1" applyAlignment="1">
      <alignment horizontal="center" vertical="center" wrapText="1"/>
    </xf>
    <xf numFmtId="169" fontId="10" fillId="12" borderId="10" xfId="13" applyNumberFormat="1" applyFont="1" applyFill="1" applyBorder="1" applyAlignment="1">
      <alignment horizontal="center" vertical="center" wrapText="1"/>
    </xf>
    <xf numFmtId="169" fontId="11" fillId="12" borderId="10" xfId="13" applyNumberFormat="1" applyFont="1" applyFill="1" applyBorder="1" applyAlignment="1">
      <alignment horizontal="center" vertical="center"/>
    </xf>
    <xf numFmtId="169" fontId="12" fillId="12" borderId="10" xfId="13" applyNumberFormat="1" applyFont="1" applyFill="1" applyBorder="1" applyAlignment="1">
      <alignment horizontal="center" vertical="center"/>
    </xf>
    <xf numFmtId="164" fontId="11" fillId="2" borderId="0" xfId="13" applyFont="1" applyFill="1"/>
    <xf numFmtId="164" fontId="11" fillId="2" borderId="10" xfId="13" applyFont="1" applyFill="1" applyBorder="1"/>
    <xf numFmtId="164" fontId="12" fillId="2" borderId="10" xfId="13" applyFont="1" applyFill="1" applyBorder="1"/>
    <xf numFmtId="0" fontId="11" fillId="0" borderId="25" xfId="0" applyFont="1" applyBorder="1" applyAlignment="1">
      <alignment horizontal="center" vertical="center" wrapText="1"/>
    </xf>
    <xf numFmtId="0" fontId="28" fillId="0" borderId="25" xfId="0" applyFont="1" applyBorder="1" applyAlignment="1">
      <alignment horizontal="center" vertical="center" wrapText="1"/>
    </xf>
    <xf numFmtId="0" fontId="12" fillId="0" borderId="25" xfId="0" applyFont="1" applyBorder="1" applyAlignment="1">
      <alignment horizontal="center" vertical="center" wrapText="1"/>
    </xf>
    <xf numFmtId="0" fontId="40" fillId="0" borderId="25" xfId="0" applyFont="1" applyBorder="1" applyAlignment="1">
      <alignment horizontal="center" vertical="center"/>
    </xf>
    <xf numFmtId="0" fontId="12" fillId="0" borderId="25" xfId="0" applyFont="1" applyBorder="1" applyAlignment="1">
      <alignment horizontal="center" vertical="center" wrapText="1" shrinkToFit="1"/>
    </xf>
    <xf numFmtId="2" fontId="40" fillId="0" borderId="25" xfId="0" applyNumberFormat="1" applyFont="1" applyBorder="1" applyAlignment="1">
      <alignment horizontal="center" vertical="center" wrapText="1"/>
    </xf>
    <xf numFmtId="0" fontId="28" fillId="0" borderId="25"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2" fontId="0" fillId="0" borderId="10" xfId="0" applyNumberFormat="1" applyBorder="1" applyAlignment="1">
      <alignment horizontal="center"/>
    </xf>
    <xf numFmtId="0" fontId="0" fillId="0" borderId="10" xfId="0" applyBorder="1" applyAlignment="1">
      <alignment wrapText="1"/>
    </xf>
    <xf numFmtId="2" fontId="0" fillId="0" borderId="10" xfId="0" applyNumberFormat="1" applyBorder="1" applyAlignment="1">
      <alignment horizontal="center" vertical="center"/>
    </xf>
    <xf numFmtId="0" fontId="28" fillId="0" borderId="10" xfId="0" applyFont="1" applyBorder="1" applyAlignment="1">
      <alignment horizontal="center" vertical="center" wrapText="1"/>
    </xf>
    <xf numFmtId="0" fontId="11" fillId="0" borderId="10" xfId="0" applyFont="1" applyBorder="1" applyAlignment="1">
      <alignment horizontal="center"/>
    </xf>
    <xf numFmtId="2" fontId="0" fillId="0" borderId="0" xfId="0" applyNumberFormat="1" applyAlignment="1">
      <alignment horizontal="center"/>
    </xf>
    <xf numFmtId="0" fontId="0" fillId="0" borderId="10" xfId="0" applyBorder="1" applyAlignment="1">
      <alignment vertical="center"/>
    </xf>
    <xf numFmtId="0" fontId="11" fillId="12" borderId="10" xfId="0" applyFont="1" applyFill="1" applyBorder="1" applyAlignment="1" applyProtection="1">
      <alignment horizontal="center"/>
      <protection locked="0"/>
    </xf>
    <xf numFmtId="0" fontId="28" fillId="0" borderId="10" xfId="0" applyFont="1" applyBorder="1" applyAlignment="1">
      <alignment horizontal="center" vertical="center"/>
    </xf>
    <xf numFmtId="2" fontId="0" fillId="2" borderId="10" xfId="0" applyNumberFormat="1" applyFill="1" applyBorder="1" applyAlignment="1">
      <alignment horizontal="center"/>
    </xf>
    <xf numFmtId="164" fontId="11" fillId="2" borderId="10" xfId="13" applyFont="1" applyFill="1" applyBorder="1" applyAlignment="1" applyProtection="1">
      <alignment horizontal="center"/>
      <protection locked="0"/>
    </xf>
    <xf numFmtId="164" fontId="11" fillId="2" borderId="10" xfId="13" applyFont="1" applyFill="1" applyBorder="1" applyAlignment="1" applyProtection="1">
      <alignment horizontal="center" vertical="top"/>
      <protection locked="0"/>
    </xf>
    <xf numFmtId="0" fontId="0" fillId="2" borderId="0" xfId="0" applyFill="1"/>
    <xf numFmtId="0" fontId="41" fillId="2" borderId="10" xfId="0" applyFont="1" applyFill="1" applyBorder="1" applyAlignment="1">
      <alignment horizontal="center"/>
    </xf>
    <xf numFmtId="0" fontId="48" fillId="2" borderId="10" xfId="0" applyFont="1" applyFill="1" applyBorder="1" applyAlignment="1">
      <alignment horizontal="right"/>
    </xf>
    <xf numFmtId="2" fontId="48" fillId="0" borderId="10" xfId="0" applyNumberFormat="1" applyFont="1" applyBorder="1" applyAlignment="1">
      <alignment horizontal="center"/>
    </xf>
    <xf numFmtId="0" fontId="48" fillId="0" borderId="10" xfId="0" applyFont="1" applyBorder="1"/>
    <xf numFmtId="0" fontId="28" fillId="2" borderId="10" xfId="0" applyFont="1" applyFill="1" applyBorder="1" applyAlignment="1" applyProtection="1">
      <alignment horizontal="center" vertical="top"/>
      <protection locked="0"/>
    </xf>
    <xf numFmtId="0" fontId="28" fillId="2" borderId="10" xfId="0" applyFont="1" applyFill="1" applyBorder="1" applyAlignment="1">
      <alignment wrapText="1"/>
    </xf>
    <xf numFmtId="169" fontId="28" fillId="2" borderId="10" xfId="13" applyNumberFormat="1" applyFont="1" applyFill="1" applyBorder="1" applyAlignment="1" applyProtection="1">
      <alignment horizontal="center" vertical="top"/>
      <protection locked="0"/>
    </xf>
    <xf numFmtId="164" fontId="28" fillId="12" borderId="10" xfId="13" applyFont="1" applyFill="1" applyBorder="1" applyAlignment="1" applyProtection="1">
      <alignment horizontal="center" vertical="top"/>
      <protection locked="0"/>
    </xf>
    <xf numFmtId="0" fontId="12" fillId="11" borderId="1" xfId="0" applyFont="1" applyFill="1" applyBorder="1" applyAlignment="1">
      <alignment horizontal="center"/>
    </xf>
    <xf numFmtId="0" fontId="12" fillId="11" borderId="2" xfId="0" applyFont="1" applyFill="1" applyBorder="1" applyAlignment="1">
      <alignment horizontal="center"/>
    </xf>
    <xf numFmtId="0" fontId="10" fillId="2" borderId="2" xfId="12" applyFont="1" applyFill="1" applyBorder="1" applyAlignment="1">
      <alignment horizontal="center" vertical="center" wrapText="1"/>
    </xf>
    <xf numFmtId="0" fontId="10" fillId="2" borderId="4" xfId="12" applyFont="1" applyFill="1" applyBorder="1" applyAlignment="1">
      <alignment horizontal="center" vertical="center" wrapText="1"/>
    </xf>
    <xf numFmtId="0" fontId="28" fillId="2" borderId="11" xfId="0" applyFont="1" applyFill="1" applyBorder="1" applyAlignment="1" applyProtection="1">
      <alignment horizontal="center" vertical="top"/>
      <protection locked="0"/>
    </xf>
    <xf numFmtId="0" fontId="28" fillId="2" borderId="12" xfId="0" applyFont="1" applyFill="1" applyBorder="1" applyAlignment="1" applyProtection="1">
      <alignment horizontal="center" vertical="top"/>
      <protection locked="0"/>
    </xf>
    <xf numFmtId="0" fontId="28" fillId="2" borderId="13" xfId="0" applyFont="1" applyFill="1" applyBorder="1" applyAlignment="1" applyProtection="1">
      <alignment horizontal="center" vertical="top"/>
      <protection locked="0"/>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2" fontId="10" fillId="2" borderId="10" xfId="13" applyNumberFormat="1" applyFont="1" applyFill="1" applyBorder="1" applyAlignment="1" applyProtection="1">
      <alignment horizontal="right" vertical="top" wrapText="1"/>
      <protection locked="0"/>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166" fontId="10" fillId="5" borderId="10" xfId="0" applyNumberFormat="1" applyFont="1" applyFill="1" applyBorder="1" applyAlignment="1" applyProtection="1">
      <alignment horizontal="center" vertical="top" wrapText="1"/>
      <protection locked="0"/>
    </xf>
    <xf numFmtId="0" fontId="10" fillId="5" borderId="10" xfId="0" applyFont="1" applyFill="1" applyBorder="1" applyAlignment="1" applyProtection="1">
      <alignment horizontal="center" vertical="top"/>
      <protection locked="0"/>
    </xf>
    <xf numFmtId="1" fontId="10" fillId="5" borderId="10" xfId="0" applyNumberFormat="1" applyFont="1" applyFill="1" applyBorder="1" applyAlignment="1" applyProtection="1">
      <alignment horizontal="center" vertical="top" wrapText="1"/>
      <protection locked="0"/>
    </xf>
    <xf numFmtId="169" fontId="10" fillId="5" borderId="10" xfId="13" applyNumberFormat="1" applyFont="1" applyFill="1" applyBorder="1" applyAlignment="1" applyProtection="1">
      <alignment horizontal="center" vertical="top" wrapText="1"/>
      <protection locked="0"/>
    </xf>
    <xf numFmtId="167" fontId="47" fillId="2" borderId="10" xfId="13" applyNumberFormat="1" applyFont="1" applyFill="1" applyBorder="1" applyAlignment="1" applyProtection="1">
      <alignment horizontal="center" vertical="center"/>
    </xf>
    <xf numFmtId="0" fontId="55" fillId="3" borderId="11" xfId="0" applyFont="1" applyFill="1" applyBorder="1" applyAlignment="1">
      <alignment horizontal="center" vertical="center"/>
    </xf>
    <xf numFmtId="0" fontId="55" fillId="3" borderId="12" xfId="0" applyFont="1" applyFill="1" applyBorder="1" applyAlignment="1">
      <alignment horizontal="center" vertical="center"/>
    </xf>
    <xf numFmtId="0" fontId="55" fillId="3" borderId="13" xfId="0" applyFont="1" applyFill="1" applyBorder="1" applyAlignment="1">
      <alignment horizontal="center" vertical="center"/>
    </xf>
    <xf numFmtId="0" fontId="28" fillId="0" borderId="10" xfId="0" applyFont="1" applyBorder="1" applyAlignment="1">
      <alignment horizontal="center"/>
    </xf>
    <xf numFmtId="2" fontId="22" fillId="0" borderId="10" xfId="0" applyNumberFormat="1" applyFont="1" applyBorder="1" applyAlignment="1">
      <alignment horizontal="center"/>
    </xf>
    <xf numFmtId="0" fontId="33" fillId="2" borderId="10" xfId="22" applyFont="1" applyFill="1" applyBorder="1" applyAlignment="1">
      <alignment horizontal="center" vertical="top" wrapText="1"/>
    </xf>
    <xf numFmtId="0" fontId="31" fillId="2" borderId="11" xfId="1" applyFont="1" applyFill="1" applyBorder="1" applyAlignment="1">
      <alignment horizontal="center" vertical="center" wrapText="1"/>
    </xf>
    <xf numFmtId="0" fontId="31" fillId="2" borderId="12" xfId="1" applyFont="1" applyFill="1" applyBorder="1" applyAlignment="1">
      <alignment horizontal="center" vertical="center" wrapText="1"/>
    </xf>
    <xf numFmtId="0" fontId="31" fillId="2" borderId="13" xfId="1" applyFont="1" applyFill="1" applyBorder="1" applyAlignment="1">
      <alignment horizontal="center" vertical="center" wrapText="1"/>
    </xf>
    <xf numFmtId="0" fontId="0" fillId="12" borderId="11" xfId="0" applyFill="1" applyBorder="1" applyAlignment="1">
      <alignment horizontal="center"/>
    </xf>
    <xf numFmtId="0" fontId="0" fillId="12" borderId="13" xfId="0" applyFill="1" applyBorder="1" applyAlignment="1">
      <alignment horizontal="center"/>
    </xf>
    <xf numFmtId="0" fontId="0" fillId="0" borderId="10" xfId="0" applyBorder="1" applyAlignment="1">
      <alignment horizontal="center"/>
    </xf>
    <xf numFmtId="2" fontId="10" fillId="2" borderId="10" xfId="13" applyNumberFormat="1" applyFont="1" applyFill="1" applyBorder="1" applyAlignment="1" applyProtection="1">
      <alignment horizontal="right" wrapText="1"/>
      <protection locked="0"/>
    </xf>
    <xf numFmtId="0" fontId="48" fillId="2" borderId="10" xfId="0" applyFont="1" applyFill="1" applyBorder="1" applyAlignment="1">
      <alignment horizontal="center" vertical="center" wrapText="1"/>
    </xf>
    <xf numFmtId="0" fontId="47" fillId="2" borderId="10" xfId="0" applyFont="1" applyFill="1" applyBorder="1" applyAlignment="1">
      <alignment horizontal="left" vertical="center" wrapText="1"/>
    </xf>
    <xf numFmtId="0" fontId="53" fillId="17" borderId="10" xfId="0" applyFont="1" applyFill="1" applyBorder="1" applyAlignment="1" applyProtection="1">
      <alignment horizontal="center" vertical="top"/>
      <protection locked="0"/>
    </xf>
    <xf numFmtId="0" fontId="49" fillId="2" borderId="11" xfId="0" applyFont="1" applyFill="1" applyBorder="1" applyAlignment="1">
      <alignment horizontal="center"/>
    </xf>
    <xf numFmtId="0" fontId="49" fillId="2" borderId="12" xfId="0" applyFont="1" applyFill="1" applyBorder="1" applyAlignment="1">
      <alignment horizontal="center"/>
    </xf>
    <xf numFmtId="0" fontId="49" fillId="2" borderId="13" xfId="0" applyFont="1" applyFill="1" applyBorder="1" applyAlignment="1">
      <alignment horizontal="center"/>
    </xf>
    <xf numFmtId="2" fontId="22" fillId="0" borderId="11" xfId="0" applyNumberFormat="1" applyFont="1" applyBorder="1" applyAlignment="1">
      <alignment horizontal="center"/>
    </xf>
    <xf numFmtId="2" fontId="22" fillId="0" borderId="12" xfId="0" applyNumberFormat="1" applyFont="1" applyBorder="1" applyAlignment="1">
      <alignment horizontal="center"/>
    </xf>
    <xf numFmtId="2" fontId="22" fillId="0" borderId="14" xfId="0" applyNumberFormat="1" applyFont="1" applyBorder="1" applyAlignment="1">
      <alignment horizontal="center"/>
    </xf>
    <xf numFmtId="0" fontId="49" fillId="0" borderId="17" xfId="0" applyFont="1" applyBorder="1" applyAlignment="1">
      <alignment horizontal="center"/>
    </xf>
    <xf numFmtId="0" fontId="49" fillId="0" borderId="0" xfId="0" applyFont="1" applyAlignment="1">
      <alignment horizontal="center"/>
    </xf>
    <xf numFmtId="0" fontId="49" fillId="0" borderId="18" xfId="0" applyFont="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49" fillId="0" borderId="21" xfId="0" applyFont="1" applyBorder="1" applyAlignment="1">
      <alignment horizontal="center"/>
    </xf>
    <xf numFmtId="0" fontId="12" fillId="2" borderId="10" xfId="0" applyFont="1" applyFill="1" applyBorder="1" applyAlignment="1">
      <alignment horizontal="center" vertical="center" wrapText="1"/>
    </xf>
    <xf numFmtId="0" fontId="48" fillId="14" borderId="11" xfId="0" applyFont="1" applyFill="1" applyBorder="1" applyAlignment="1" applyProtection="1">
      <alignment horizontal="center" vertical="top"/>
      <protection locked="0"/>
    </xf>
    <xf numFmtId="0" fontId="48" fillId="14" borderId="12" xfId="0" applyFont="1" applyFill="1" applyBorder="1" applyAlignment="1" applyProtection="1">
      <alignment horizontal="center" vertical="top"/>
      <protection locked="0"/>
    </xf>
    <xf numFmtId="0" fontId="48" fillId="14" borderId="13" xfId="0" applyFont="1" applyFill="1" applyBorder="1" applyAlignment="1" applyProtection="1">
      <alignment horizontal="center" vertical="top"/>
      <protection locked="0"/>
    </xf>
    <xf numFmtId="0" fontId="47" fillId="13" borderId="11" xfId="0" applyFont="1" applyFill="1" applyBorder="1" applyAlignment="1">
      <alignment horizontal="center" vertical="center"/>
    </xf>
    <xf numFmtId="0" fontId="47" fillId="13" borderId="12" xfId="0" applyFont="1" applyFill="1" applyBorder="1" applyAlignment="1">
      <alignment horizontal="center" vertical="center"/>
    </xf>
    <xf numFmtId="0" fontId="47" fillId="13" borderId="13"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13" xfId="0" applyFont="1" applyFill="1" applyBorder="1" applyAlignment="1">
      <alignment horizontal="center" vertical="center"/>
    </xf>
    <xf numFmtId="0" fontId="28" fillId="0" borderId="19" xfId="0" applyFont="1" applyBorder="1" applyAlignment="1">
      <alignment horizontal="center"/>
    </xf>
    <xf numFmtId="0" fontId="28" fillId="0" borderId="20" xfId="0" applyFont="1" applyBorder="1" applyAlignment="1">
      <alignment horizontal="center"/>
    </xf>
    <xf numFmtId="0" fontId="28" fillId="0" borderId="21" xfId="0" applyFont="1" applyBorder="1" applyAlignment="1">
      <alignment horizontal="center"/>
    </xf>
    <xf numFmtId="2" fontId="22" fillId="0" borderId="13" xfId="0" applyNumberFormat="1" applyFont="1" applyBorder="1" applyAlignment="1">
      <alignment horizontal="center"/>
    </xf>
    <xf numFmtId="0" fontId="28" fillId="0" borderId="11" xfId="0" applyFont="1" applyBorder="1" applyAlignment="1">
      <alignment horizontal="center"/>
    </xf>
    <xf numFmtId="0" fontId="28" fillId="0" borderId="12" xfId="0" applyFont="1" applyBorder="1" applyAlignment="1">
      <alignment horizontal="center"/>
    </xf>
    <xf numFmtId="0" fontId="28" fillId="0" borderId="22" xfId="0" applyFont="1" applyBorder="1" applyAlignment="1">
      <alignment horizontal="center"/>
    </xf>
    <xf numFmtId="0" fontId="28" fillId="0" borderId="23"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8" fillId="0" borderId="13" xfId="0" applyFont="1" applyBorder="1" applyAlignment="1">
      <alignment horizontal="center"/>
    </xf>
    <xf numFmtId="166" fontId="38" fillId="2" borderId="10" xfId="0" quotePrefix="1" applyNumberFormat="1" applyFont="1" applyFill="1" applyBorder="1" applyAlignment="1" applyProtection="1">
      <alignment horizontal="center" vertical="top" wrapText="1"/>
      <protection locked="0"/>
    </xf>
    <xf numFmtId="0" fontId="53" fillId="0" borderId="22" xfId="0" applyFont="1" applyBorder="1" applyAlignment="1">
      <alignment horizontal="center"/>
    </xf>
    <xf numFmtId="0" fontId="53" fillId="0" borderId="31" xfId="0" applyFont="1" applyBorder="1" applyAlignment="1">
      <alignment horizontal="center"/>
    </xf>
    <xf numFmtId="0" fontId="53" fillId="0" borderId="32" xfId="0" applyFont="1" applyBorder="1" applyAlignment="1">
      <alignment horizontal="center"/>
    </xf>
  </cellXfs>
  <cellStyles count="24">
    <cellStyle name="Comma" xfId="13" builtinId="3"/>
    <cellStyle name="Comma 12 3" xfId="7" xr:uid="{00000000-0005-0000-0000-000001000000}"/>
    <cellStyle name="Comma 2" xfId="2" xr:uid="{00000000-0005-0000-0000-000002000000}"/>
    <cellStyle name="Comma 2 3" xfId="14" xr:uid="{00000000-0005-0000-0000-000003000000}"/>
    <cellStyle name="Comma 2 9" xfId="17" xr:uid="{00000000-0005-0000-0000-000004000000}"/>
    <cellStyle name="Comma 3" xfId="4" xr:uid="{00000000-0005-0000-0000-000005000000}"/>
    <cellStyle name="Comma 6" xfId="10" xr:uid="{00000000-0005-0000-0000-000006000000}"/>
    <cellStyle name="Excel Built-in Normal" xfId="21" xr:uid="{00000000-0005-0000-0000-000007000000}"/>
    <cellStyle name="Excel Built-in Normal 2" xfId="9" xr:uid="{00000000-0005-0000-0000-000008000000}"/>
    <cellStyle name="Hyperlink" xfId="23" builtinId="8"/>
    <cellStyle name="Normal" xfId="0" builtinId="0"/>
    <cellStyle name="Normal - Style1" xfId="5" xr:uid="{00000000-0005-0000-0000-00000B000000}"/>
    <cellStyle name="Normal 10" xfId="1" xr:uid="{00000000-0005-0000-0000-00000C000000}"/>
    <cellStyle name="Normal 10 3 2 2" xfId="11" xr:uid="{00000000-0005-0000-0000-00000D000000}"/>
    <cellStyle name="Normal 2" xfId="22" xr:uid="{00000000-0005-0000-0000-00000E000000}"/>
    <cellStyle name="Normal 2 2" xfId="12" xr:uid="{00000000-0005-0000-0000-00000F000000}"/>
    <cellStyle name="Normal 2 3" xfId="8" xr:uid="{00000000-0005-0000-0000-000010000000}"/>
    <cellStyle name="Normal 3 2" xfId="15" xr:uid="{00000000-0005-0000-0000-000011000000}"/>
    <cellStyle name="Normal 3 3" xfId="3" xr:uid="{00000000-0005-0000-0000-000012000000}"/>
    <cellStyle name="Normal 3 4" xfId="20" xr:uid="{00000000-0005-0000-0000-000013000000}"/>
    <cellStyle name="Normal 4 10" xfId="16" xr:uid="{00000000-0005-0000-0000-000014000000}"/>
    <cellStyle name="Normal 5 2" xfId="6" xr:uid="{00000000-0005-0000-0000-000015000000}"/>
    <cellStyle name="Normal 7" xfId="18" xr:uid="{00000000-0005-0000-0000-000016000000}"/>
    <cellStyle name="Style 1 3"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22</xdr:row>
      <xdr:rowOff>0</xdr:rowOff>
    </xdr:from>
    <xdr:ext cx="1117679" cy="2651"/>
    <xdr:pic>
      <xdr:nvPicPr>
        <xdr:cNvPr id="2" name="image3.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6642080"/>
          <a:ext cx="1117679" cy="2651"/>
        </a:xfrm>
        <a:prstGeom prst="rect">
          <a:avLst/>
        </a:prstGeom>
      </xdr:spPr>
    </xdr:pic>
    <xdr:clientData/>
  </xdr:oneCellAnchor>
  <xdr:oneCellAnchor>
    <xdr:from>
      <xdr:col>8</xdr:col>
      <xdr:colOff>0</xdr:colOff>
      <xdr:row>23</xdr:row>
      <xdr:rowOff>0</xdr:rowOff>
    </xdr:from>
    <xdr:ext cx="1117679" cy="2651"/>
    <xdr:pic>
      <xdr:nvPicPr>
        <xdr:cNvPr id="3" name="image3.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8044160"/>
          <a:ext cx="1117679" cy="2651"/>
        </a:xfrm>
        <a:prstGeom prst="rect">
          <a:avLst/>
        </a:prstGeom>
      </xdr:spPr>
    </xdr:pic>
    <xdr:clientData/>
  </xdr:oneCellAnchor>
  <xdr:oneCellAnchor>
    <xdr:from>
      <xdr:col>8</xdr:col>
      <xdr:colOff>0</xdr:colOff>
      <xdr:row>22</xdr:row>
      <xdr:rowOff>0</xdr:rowOff>
    </xdr:from>
    <xdr:ext cx="1117679" cy="2651"/>
    <xdr:pic>
      <xdr:nvPicPr>
        <xdr:cNvPr id="9" name="image3.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0248900"/>
          <a:ext cx="1117679" cy="2651"/>
        </a:xfrm>
        <a:prstGeom prst="rect">
          <a:avLst/>
        </a:prstGeom>
      </xdr:spPr>
    </xdr:pic>
    <xdr:clientData/>
  </xdr:oneCellAnchor>
  <xdr:oneCellAnchor>
    <xdr:from>
      <xdr:col>8</xdr:col>
      <xdr:colOff>0</xdr:colOff>
      <xdr:row>23</xdr:row>
      <xdr:rowOff>0</xdr:rowOff>
    </xdr:from>
    <xdr:ext cx="1117679" cy="2651"/>
    <xdr:pic>
      <xdr:nvPicPr>
        <xdr:cNvPr id="10" name="image3.pn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1620500"/>
          <a:ext cx="1117679" cy="2651"/>
        </a:xfrm>
        <a:prstGeom prst="rect">
          <a:avLst/>
        </a:prstGeom>
      </xdr:spPr>
    </xdr:pic>
    <xdr:clientData/>
  </xdr:oneCellAnchor>
  <xdr:oneCellAnchor>
    <xdr:from>
      <xdr:col>8</xdr:col>
      <xdr:colOff>0</xdr:colOff>
      <xdr:row>22</xdr:row>
      <xdr:rowOff>0</xdr:rowOff>
    </xdr:from>
    <xdr:ext cx="1117679" cy="2651"/>
    <xdr:pic>
      <xdr:nvPicPr>
        <xdr:cNvPr id="11" name="image3.pn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26254" y="10248900"/>
          <a:ext cx="1117679" cy="2651"/>
        </a:xfrm>
        <a:prstGeom prst="rect">
          <a:avLst/>
        </a:prstGeom>
      </xdr:spPr>
    </xdr:pic>
    <xdr:clientData/>
  </xdr:oneCellAnchor>
  <xdr:oneCellAnchor>
    <xdr:from>
      <xdr:col>8</xdr:col>
      <xdr:colOff>0</xdr:colOff>
      <xdr:row>23</xdr:row>
      <xdr:rowOff>0</xdr:rowOff>
    </xdr:from>
    <xdr:ext cx="1117679" cy="2651"/>
    <xdr:pic>
      <xdr:nvPicPr>
        <xdr:cNvPr id="12" name="image3.p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26254" y="11620500"/>
          <a:ext cx="1117679" cy="2651"/>
        </a:xfrm>
        <a:prstGeom prst="rect">
          <a:avLst/>
        </a:prstGeom>
      </xdr:spPr>
    </xdr:pic>
    <xdr:clientData/>
  </xdr:oneCellAnchor>
  <xdr:oneCellAnchor>
    <xdr:from>
      <xdr:col>8</xdr:col>
      <xdr:colOff>0</xdr:colOff>
      <xdr:row>22</xdr:row>
      <xdr:rowOff>0</xdr:rowOff>
    </xdr:from>
    <xdr:ext cx="1117679" cy="2651"/>
    <xdr:pic>
      <xdr:nvPicPr>
        <xdr:cNvPr id="13" name="image3.p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97879" y="10248900"/>
          <a:ext cx="1117679" cy="2651"/>
        </a:xfrm>
        <a:prstGeom prst="rect">
          <a:avLst/>
        </a:prstGeom>
      </xdr:spPr>
    </xdr:pic>
    <xdr:clientData/>
  </xdr:oneCellAnchor>
  <xdr:oneCellAnchor>
    <xdr:from>
      <xdr:col>8</xdr:col>
      <xdr:colOff>0</xdr:colOff>
      <xdr:row>23</xdr:row>
      <xdr:rowOff>0</xdr:rowOff>
    </xdr:from>
    <xdr:ext cx="1117679" cy="2651"/>
    <xdr:pic>
      <xdr:nvPicPr>
        <xdr:cNvPr id="14" name="image3.p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97879" y="11620500"/>
          <a:ext cx="1117679" cy="2651"/>
        </a:xfrm>
        <a:prstGeom prst="rect">
          <a:avLst/>
        </a:prstGeom>
      </xdr:spPr>
    </xdr:pic>
    <xdr:clientData/>
  </xdr:oneCellAnchor>
  <xdr:oneCellAnchor>
    <xdr:from>
      <xdr:col>8</xdr:col>
      <xdr:colOff>0</xdr:colOff>
      <xdr:row>22</xdr:row>
      <xdr:rowOff>0</xdr:rowOff>
    </xdr:from>
    <xdr:ext cx="1117679" cy="2651"/>
    <xdr:pic>
      <xdr:nvPicPr>
        <xdr:cNvPr id="15" name="image3.p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69504" y="10248900"/>
          <a:ext cx="1117679" cy="2651"/>
        </a:xfrm>
        <a:prstGeom prst="rect">
          <a:avLst/>
        </a:prstGeom>
      </xdr:spPr>
    </xdr:pic>
    <xdr:clientData/>
  </xdr:oneCellAnchor>
  <xdr:oneCellAnchor>
    <xdr:from>
      <xdr:col>8</xdr:col>
      <xdr:colOff>0</xdr:colOff>
      <xdr:row>23</xdr:row>
      <xdr:rowOff>0</xdr:rowOff>
    </xdr:from>
    <xdr:ext cx="1117679" cy="2651"/>
    <xdr:pic>
      <xdr:nvPicPr>
        <xdr:cNvPr id="16" name="image3.p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69504" y="11620500"/>
          <a:ext cx="1117679" cy="2651"/>
        </a:xfrm>
        <a:prstGeom prst="rect">
          <a:avLst/>
        </a:prstGeom>
      </xdr:spPr>
    </xdr:pic>
    <xdr:clientData/>
  </xdr:oneCellAnchor>
  <xdr:oneCellAnchor>
    <xdr:from>
      <xdr:col>8</xdr:col>
      <xdr:colOff>0</xdr:colOff>
      <xdr:row>22</xdr:row>
      <xdr:rowOff>0</xdr:rowOff>
    </xdr:from>
    <xdr:ext cx="1117679" cy="2651"/>
    <xdr:pic>
      <xdr:nvPicPr>
        <xdr:cNvPr id="17" name="image3.p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69504" y="10248900"/>
          <a:ext cx="1117679" cy="2651"/>
        </a:xfrm>
        <a:prstGeom prst="rect">
          <a:avLst/>
        </a:prstGeom>
      </xdr:spPr>
    </xdr:pic>
    <xdr:clientData/>
  </xdr:oneCellAnchor>
  <xdr:oneCellAnchor>
    <xdr:from>
      <xdr:col>8</xdr:col>
      <xdr:colOff>0</xdr:colOff>
      <xdr:row>23</xdr:row>
      <xdr:rowOff>0</xdr:rowOff>
    </xdr:from>
    <xdr:ext cx="1117679" cy="2651"/>
    <xdr:pic>
      <xdr:nvPicPr>
        <xdr:cNvPr id="18" name="image3.p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69504" y="11620500"/>
          <a:ext cx="1117679" cy="2651"/>
        </a:xfrm>
        <a:prstGeom prst="rect">
          <a:avLst/>
        </a:prstGeom>
      </xdr:spPr>
    </xdr:pic>
    <xdr:clientData/>
  </xdr:oneCellAnchor>
  <xdr:oneCellAnchor>
    <xdr:from>
      <xdr:col>8</xdr:col>
      <xdr:colOff>0</xdr:colOff>
      <xdr:row>22</xdr:row>
      <xdr:rowOff>0</xdr:rowOff>
    </xdr:from>
    <xdr:ext cx="1117679" cy="2651"/>
    <xdr:pic>
      <xdr:nvPicPr>
        <xdr:cNvPr id="19" name="image3.png">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135225" y="10248900"/>
          <a:ext cx="1117679" cy="2651"/>
        </a:xfrm>
        <a:prstGeom prst="rect">
          <a:avLst/>
        </a:prstGeom>
      </xdr:spPr>
    </xdr:pic>
    <xdr:clientData/>
  </xdr:oneCellAnchor>
  <xdr:oneCellAnchor>
    <xdr:from>
      <xdr:col>8</xdr:col>
      <xdr:colOff>0</xdr:colOff>
      <xdr:row>23</xdr:row>
      <xdr:rowOff>0</xdr:rowOff>
    </xdr:from>
    <xdr:ext cx="1117679" cy="2651"/>
    <xdr:pic>
      <xdr:nvPicPr>
        <xdr:cNvPr id="20" name="image3.p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135225" y="11620500"/>
          <a:ext cx="1117679" cy="2651"/>
        </a:xfrm>
        <a:prstGeom prst="rect">
          <a:avLst/>
        </a:prstGeom>
      </xdr:spPr>
    </xdr:pic>
    <xdr:clientData/>
  </xdr:oneCellAnchor>
  <xdr:oneCellAnchor>
    <xdr:from>
      <xdr:col>8</xdr:col>
      <xdr:colOff>0</xdr:colOff>
      <xdr:row>22</xdr:row>
      <xdr:rowOff>0</xdr:rowOff>
    </xdr:from>
    <xdr:ext cx="1117679" cy="2651"/>
    <xdr:pic>
      <xdr:nvPicPr>
        <xdr:cNvPr id="21" name="image3.png">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41129" y="10248900"/>
          <a:ext cx="1117679" cy="2651"/>
        </a:xfrm>
        <a:prstGeom prst="rect">
          <a:avLst/>
        </a:prstGeom>
      </xdr:spPr>
    </xdr:pic>
    <xdr:clientData/>
  </xdr:oneCellAnchor>
  <xdr:oneCellAnchor>
    <xdr:from>
      <xdr:col>8</xdr:col>
      <xdr:colOff>0</xdr:colOff>
      <xdr:row>23</xdr:row>
      <xdr:rowOff>0</xdr:rowOff>
    </xdr:from>
    <xdr:ext cx="1117679" cy="2651"/>
    <xdr:pic>
      <xdr:nvPicPr>
        <xdr:cNvPr id="22" name="image3.png">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41129" y="11620500"/>
          <a:ext cx="1117679" cy="2651"/>
        </a:xfrm>
        <a:prstGeom prst="rect">
          <a:avLst/>
        </a:prstGeom>
      </xdr:spPr>
    </xdr:pic>
    <xdr:clientData/>
  </xdr:oneCellAnchor>
  <xdr:oneCellAnchor>
    <xdr:from>
      <xdr:col>6</xdr:col>
      <xdr:colOff>505904</xdr:colOff>
      <xdr:row>22</xdr:row>
      <xdr:rowOff>0</xdr:rowOff>
    </xdr:from>
    <xdr:ext cx="1117679" cy="2651"/>
    <xdr:pic>
      <xdr:nvPicPr>
        <xdr:cNvPr id="23" name="image3.p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26854" y="10248900"/>
          <a:ext cx="1117679" cy="2651"/>
        </a:xfrm>
        <a:prstGeom prst="rect">
          <a:avLst/>
        </a:prstGeom>
      </xdr:spPr>
    </xdr:pic>
    <xdr:clientData/>
  </xdr:oneCellAnchor>
  <xdr:oneCellAnchor>
    <xdr:from>
      <xdr:col>6</xdr:col>
      <xdr:colOff>505904</xdr:colOff>
      <xdr:row>23</xdr:row>
      <xdr:rowOff>0</xdr:rowOff>
    </xdr:from>
    <xdr:ext cx="1117679" cy="2651"/>
    <xdr:pic>
      <xdr:nvPicPr>
        <xdr:cNvPr id="24" name="image3.png">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26854" y="11620500"/>
          <a:ext cx="1117679" cy="265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22</xdr:row>
      <xdr:rowOff>0</xdr:rowOff>
    </xdr:from>
    <xdr:ext cx="1117679" cy="2651"/>
    <xdr:pic>
      <xdr:nvPicPr>
        <xdr:cNvPr id="2" name="image3.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3049250"/>
          <a:ext cx="1117679" cy="2651"/>
        </a:xfrm>
        <a:prstGeom prst="rect">
          <a:avLst/>
        </a:prstGeom>
      </xdr:spPr>
    </xdr:pic>
    <xdr:clientData/>
  </xdr:oneCellAnchor>
  <xdr:oneCellAnchor>
    <xdr:from>
      <xdr:col>8</xdr:col>
      <xdr:colOff>0</xdr:colOff>
      <xdr:row>23</xdr:row>
      <xdr:rowOff>0</xdr:rowOff>
    </xdr:from>
    <xdr:ext cx="1117679" cy="2651"/>
    <xdr:pic>
      <xdr:nvPicPr>
        <xdr:cNvPr id="3" name="image3.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4506575"/>
          <a:ext cx="1117679" cy="2651"/>
        </a:xfrm>
        <a:prstGeom prst="rect">
          <a:avLst/>
        </a:prstGeom>
      </xdr:spPr>
    </xdr:pic>
    <xdr:clientData/>
  </xdr:oneCellAnchor>
  <xdr:oneCellAnchor>
    <xdr:from>
      <xdr:col>8</xdr:col>
      <xdr:colOff>0</xdr:colOff>
      <xdr:row>22</xdr:row>
      <xdr:rowOff>0</xdr:rowOff>
    </xdr:from>
    <xdr:ext cx="1117679" cy="2651"/>
    <xdr:pic>
      <xdr:nvPicPr>
        <xdr:cNvPr id="9" name="image3.p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7804" y="12496800"/>
          <a:ext cx="1117679" cy="2651"/>
        </a:xfrm>
        <a:prstGeom prst="rect">
          <a:avLst/>
        </a:prstGeom>
      </xdr:spPr>
    </xdr:pic>
    <xdr:clientData/>
  </xdr:oneCellAnchor>
  <xdr:oneCellAnchor>
    <xdr:from>
      <xdr:col>8</xdr:col>
      <xdr:colOff>0</xdr:colOff>
      <xdr:row>23</xdr:row>
      <xdr:rowOff>0</xdr:rowOff>
    </xdr:from>
    <xdr:ext cx="1117679" cy="2651"/>
    <xdr:pic>
      <xdr:nvPicPr>
        <xdr:cNvPr id="10" name="image3.png">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7804" y="14173200"/>
          <a:ext cx="1117679" cy="2651"/>
        </a:xfrm>
        <a:prstGeom prst="rect">
          <a:avLst/>
        </a:prstGeom>
      </xdr:spPr>
    </xdr:pic>
    <xdr:clientData/>
  </xdr:oneCellAnchor>
  <xdr:oneCellAnchor>
    <xdr:from>
      <xdr:col>8</xdr:col>
      <xdr:colOff>0</xdr:colOff>
      <xdr:row>22</xdr:row>
      <xdr:rowOff>0</xdr:rowOff>
    </xdr:from>
    <xdr:ext cx="1117679" cy="2651"/>
    <xdr:pic>
      <xdr:nvPicPr>
        <xdr:cNvPr id="11" name="image3.png">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9429" y="12496800"/>
          <a:ext cx="1117679" cy="2651"/>
        </a:xfrm>
        <a:prstGeom prst="rect">
          <a:avLst/>
        </a:prstGeom>
      </xdr:spPr>
    </xdr:pic>
    <xdr:clientData/>
  </xdr:oneCellAnchor>
  <xdr:oneCellAnchor>
    <xdr:from>
      <xdr:col>8</xdr:col>
      <xdr:colOff>0</xdr:colOff>
      <xdr:row>23</xdr:row>
      <xdr:rowOff>0</xdr:rowOff>
    </xdr:from>
    <xdr:ext cx="1117679" cy="2651"/>
    <xdr:pic>
      <xdr:nvPicPr>
        <xdr:cNvPr id="12" name="image3.png">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9429" y="14173200"/>
          <a:ext cx="1117679" cy="2651"/>
        </a:xfrm>
        <a:prstGeom prst="rect">
          <a:avLst/>
        </a:prstGeom>
      </xdr:spPr>
    </xdr:pic>
    <xdr:clientData/>
  </xdr:oneCellAnchor>
  <xdr:oneCellAnchor>
    <xdr:from>
      <xdr:col>8</xdr:col>
      <xdr:colOff>0</xdr:colOff>
      <xdr:row>22</xdr:row>
      <xdr:rowOff>0</xdr:rowOff>
    </xdr:from>
    <xdr:ext cx="1117679" cy="2651"/>
    <xdr:pic>
      <xdr:nvPicPr>
        <xdr:cNvPr id="13" name="image3.png">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1054" y="12496800"/>
          <a:ext cx="1117679" cy="2651"/>
        </a:xfrm>
        <a:prstGeom prst="rect">
          <a:avLst/>
        </a:prstGeom>
      </xdr:spPr>
    </xdr:pic>
    <xdr:clientData/>
  </xdr:oneCellAnchor>
  <xdr:oneCellAnchor>
    <xdr:from>
      <xdr:col>8</xdr:col>
      <xdr:colOff>0</xdr:colOff>
      <xdr:row>23</xdr:row>
      <xdr:rowOff>0</xdr:rowOff>
    </xdr:from>
    <xdr:ext cx="1117679" cy="2651"/>
    <xdr:pic>
      <xdr:nvPicPr>
        <xdr:cNvPr id="14" name="image3.png">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1054" y="14173200"/>
          <a:ext cx="1117679" cy="2651"/>
        </a:xfrm>
        <a:prstGeom prst="rect">
          <a:avLst/>
        </a:prstGeom>
      </xdr:spPr>
    </xdr:pic>
    <xdr:clientData/>
  </xdr:oneCellAnchor>
  <xdr:oneCellAnchor>
    <xdr:from>
      <xdr:col>8</xdr:col>
      <xdr:colOff>0</xdr:colOff>
      <xdr:row>22</xdr:row>
      <xdr:rowOff>0</xdr:rowOff>
    </xdr:from>
    <xdr:ext cx="1117679" cy="2651"/>
    <xdr:pic>
      <xdr:nvPicPr>
        <xdr:cNvPr id="15" name="image3.png">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02679" y="12496800"/>
          <a:ext cx="1117679" cy="2651"/>
        </a:xfrm>
        <a:prstGeom prst="rect">
          <a:avLst/>
        </a:prstGeom>
      </xdr:spPr>
    </xdr:pic>
    <xdr:clientData/>
  </xdr:oneCellAnchor>
  <xdr:oneCellAnchor>
    <xdr:from>
      <xdr:col>8</xdr:col>
      <xdr:colOff>0</xdr:colOff>
      <xdr:row>23</xdr:row>
      <xdr:rowOff>0</xdr:rowOff>
    </xdr:from>
    <xdr:ext cx="1117679" cy="2651"/>
    <xdr:pic>
      <xdr:nvPicPr>
        <xdr:cNvPr id="16" name="image3.png">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02679" y="14173200"/>
          <a:ext cx="1117679" cy="2651"/>
        </a:xfrm>
        <a:prstGeom prst="rect">
          <a:avLst/>
        </a:prstGeom>
      </xdr:spPr>
    </xdr:pic>
    <xdr:clientData/>
  </xdr:oneCellAnchor>
  <xdr:oneCellAnchor>
    <xdr:from>
      <xdr:col>8</xdr:col>
      <xdr:colOff>0</xdr:colOff>
      <xdr:row>22</xdr:row>
      <xdr:rowOff>0</xdr:rowOff>
    </xdr:from>
    <xdr:ext cx="1117679" cy="2651"/>
    <xdr:pic>
      <xdr:nvPicPr>
        <xdr:cNvPr id="17" name="image3.png">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74304" y="12496800"/>
          <a:ext cx="1117679" cy="2651"/>
        </a:xfrm>
        <a:prstGeom prst="rect">
          <a:avLst/>
        </a:prstGeom>
      </xdr:spPr>
    </xdr:pic>
    <xdr:clientData/>
  </xdr:oneCellAnchor>
  <xdr:oneCellAnchor>
    <xdr:from>
      <xdr:col>8</xdr:col>
      <xdr:colOff>0</xdr:colOff>
      <xdr:row>23</xdr:row>
      <xdr:rowOff>0</xdr:rowOff>
    </xdr:from>
    <xdr:ext cx="1117679" cy="2651"/>
    <xdr:pic>
      <xdr:nvPicPr>
        <xdr:cNvPr id="18" name="image3.png">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74304" y="14173200"/>
          <a:ext cx="1117679" cy="2651"/>
        </a:xfrm>
        <a:prstGeom prst="rect">
          <a:avLst/>
        </a:prstGeom>
      </xdr:spPr>
    </xdr:pic>
    <xdr:clientData/>
  </xdr:oneCellAnchor>
  <xdr:oneCellAnchor>
    <xdr:from>
      <xdr:col>6</xdr:col>
      <xdr:colOff>505904</xdr:colOff>
      <xdr:row>22</xdr:row>
      <xdr:rowOff>0</xdr:rowOff>
    </xdr:from>
    <xdr:ext cx="1117679" cy="2651"/>
    <xdr:pic>
      <xdr:nvPicPr>
        <xdr:cNvPr id="19" name="image3.png">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60029" y="12496800"/>
          <a:ext cx="1117679" cy="2651"/>
        </a:xfrm>
        <a:prstGeom prst="rect">
          <a:avLst/>
        </a:prstGeom>
      </xdr:spPr>
    </xdr:pic>
    <xdr:clientData/>
  </xdr:oneCellAnchor>
  <xdr:oneCellAnchor>
    <xdr:from>
      <xdr:col>6</xdr:col>
      <xdr:colOff>505904</xdr:colOff>
      <xdr:row>23</xdr:row>
      <xdr:rowOff>0</xdr:rowOff>
    </xdr:from>
    <xdr:ext cx="1117679" cy="2651"/>
    <xdr:pic>
      <xdr:nvPicPr>
        <xdr:cNvPr id="20" name="image3.png">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60029" y="14173200"/>
          <a:ext cx="1117679" cy="265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22</xdr:row>
      <xdr:rowOff>0</xdr:rowOff>
    </xdr:from>
    <xdr:ext cx="1117679" cy="2651"/>
    <xdr:pic>
      <xdr:nvPicPr>
        <xdr:cNvPr id="2" name="image3.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2211050"/>
          <a:ext cx="1117679" cy="2651"/>
        </a:xfrm>
        <a:prstGeom prst="rect">
          <a:avLst/>
        </a:prstGeom>
      </xdr:spPr>
    </xdr:pic>
    <xdr:clientData/>
  </xdr:oneCellAnchor>
  <xdr:oneCellAnchor>
    <xdr:from>
      <xdr:col>8</xdr:col>
      <xdr:colOff>0</xdr:colOff>
      <xdr:row>23</xdr:row>
      <xdr:rowOff>0</xdr:rowOff>
    </xdr:from>
    <xdr:ext cx="1117679" cy="2651"/>
    <xdr:pic>
      <xdr:nvPicPr>
        <xdr:cNvPr id="3" name="image3.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3668375"/>
          <a:ext cx="1117679" cy="2651"/>
        </a:xfrm>
        <a:prstGeom prst="rect">
          <a:avLst/>
        </a:prstGeom>
      </xdr:spPr>
    </xdr:pic>
    <xdr:clientData/>
  </xdr:oneCellAnchor>
  <xdr:twoCellAnchor>
    <xdr:from>
      <xdr:col>2</xdr:col>
      <xdr:colOff>19050</xdr:colOff>
      <xdr:row>436</xdr:row>
      <xdr:rowOff>3922</xdr:rowOff>
    </xdr:from>
    <xdr:to>
      <xdr:col>2</xdr:col>
      <xdr:colOff>2430892</xdr:colOff>
      <xdr:row>436</xdr:row>
      <xdr:rowOff>3922</xdr:rowOff>
    </xdr:to>
    <xdr:sp macro="" textlink="">
      <xdr:nvSpPr>
        <xdr:cNvPr id="4" name="Text 78">
          <a:extLst>
            <a:ext uri="{FF2B5EF4-FFF2-40B4-BE49-F238E27FC236}">
              <a16:creationId xmlns:a16="http://schemas.microsoft.com/office/drawing/2014/main" id="{00000000-0008-0000-0300-000004000000}"/>
            </a:ext>
          </a:extLst>
        </xdr:cNvPr>
        <xdr:cNvSpPr txBox="1">
          <a:spLocks noChangeArrowheads="1"/>
        </xdr:cNvSpPr>
      </xdr:nvSpPr>
      <xdr:spPr bwMode="auto">
        <a:xfrm>
          <a:off x="1609725" y="11129402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twoCellAnchor>
    <xdr:from>
      <xdr:col>2</xdr:col>
      <xdr:colOff>9525</xdr:colOff>
      <xdr:row>436</xdr:row>
      <xdr:rowOff>3922</xdr:rowOff>
    </xdr:from>
    <xdr:to>
      <xdr:col>2</xdr:col>
      <xdr:colOff>2423111</xdr:colOff>
      <xdr:row>436</xdr:row>
      <xdr:rowOff>3922</xdr:rowOff>
    </xdr:to>
    <xdr:sp macro="" textlink="">
      <xdr:nvSpPr>
        <xdr:cNvPr id="5" name="Text 79">
          <a:extLst>
            <a:ext uri="{FF2B5EF4-FFF2-40B4-BE49-F238E27FC236}">
              <a16:creationId xmlns:a16="http://schemas.microsoft.com/office/drawing/2014/main" id="{00000000-0008-0000-0300-000005000000}"/>
            </a:ext>
          </a:extLst>
        </xdr:cNvPr>
        <xdr:cNvSpPr txBox="1">
          <a:spLocks noChangeArrowheads="1"/>
        </xdr:cNvSpPr>
      </xdr:nvSpPr>
      <xdr:spPr bwMode="auto">
        <a:xfrm>
          <a:off x="1600200" y="111294022"/>
          <a:ext cx="2413586"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M.S. Structural work fabricated from standard sections i.e. rounds , solid angles, slotted angles, channels including cutting to size, drilling, welding, fixing and welding to insert plates in RCC structural members as directed by Engineer-incharge including cutting and making good the walls and floors (for pipe hangers,supports, clamps, ladders and lockable covers for water storage tanks, etc.).</a:t>
          </a:r>
        </a:p>
      </xdr:txBody>
    </xdr:sp>
    <xdr:clientData/>
  </xdr:twoCellAnchor>
  <xdr:twoCellAnchor>
    <xdr:from>
      <xdr:col>2</xdr:col>
      <xdr:colOff>19050</xdr:colOff>
      <xdr:row>436</xdr:row>
      <xdr:rowOff>3922</xdr:rowOff>
    </xdr:from>
    <xdr:to>
      <xdr:col>2</xdr:col>
      <xdr:colOff>2430892</xdr:colOff>
      <xdr:row>436</xdr:row>
      <xdr:rowOff>3922</xdr:rowOff>
    </xdr:to>
    <xdr:sp macro="" textlink="">
      <xdr:nvSpPr>
        <xdr:cNvPr id="6" name="Text 82">
          <a:extLst>
            <a:ext uri="{FF2B5EF4-FFF2-40B4-BE49-F238E27FC236}">
              <a16:creationId xmlns:a16="http://schemas.microsoft.com/office/drawing/2014/main" id="{00000000-0008-0000-0300-000006000000}"/>
            </a:ext>
          </a:extLst>
        </xdr:cNvPr>
        <xdr:cNvSpPr txBox="1">
          <a:spLocks noChangeArrowheads="1"/>
        </xdr:cNvSpPr>
      </xdr:nvSpPr>
      <xdr:spPr bwMode="auto">
        <a:xfrm>
          <a:off x="1609725" y="11129402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 installation, testing and commissioning of custom built,wall cum floor mounted, cubicle type meter board fabricated out of 2 mm thick CRCA MS sheet, dust and vermin proof, each meter cubicle of size suitable to accommodate one CT KWHR meter,one cubicle for CTs, locking arrangement for meter &amp; CT cubicles, earthing, acrylic sheet cover for meter reading window, labelling, brass compresssion gland for incoming &amp; outgoing cable all as per Airport Authority requirements.(but without Meter and CTs) </a:t>
          </a:r>
        </a:p>
        <a:p>
          <a:pPr algn="just" rtl="0">
            <a:defRPr sz="1000"/>
          </a:pPr>
          <a:r>
            <a:rPr lang="en-US" sz="1000" b="0" i="0" strike="noStrike">
              <a:solidFill>
                <a:srgbClr val="000000"/>
              </a:solidFill>
              <a:latin typeface="Arial"/>
              <a:cs typeface="Arial"/>
            </a:rPr>
            <a:t>   </a:t>
          </a:r>
        </a:p>
      </xdr:txBody>
    </xdr:sp>
    <xdr:clientData/>
  </xdr:twoCellAnchor>
  <xdr:twoCellAnchor>
    <xdr:from>
      <xdr:col>2</xdr:col>
      <xdr:colOff>19050</xdr:colOff>
      <xdr:row>436</xdr:row>
      <xdr:rowOff>3922</xdr:rowOff>
    </xdr:from>
    <xdr:to>
      <xdr:col>2</xdr:col>
      <xdr:colOff>2430892</xdr:colOff>
      <xdr:row>436</xdr:row>
      <xdr:rowOff>3922</xdr:rowOff>
    </xdr:to>
    <xdr:sp macro="" textlink="">
      <xdr:nvSpPr>
        <xdr:cNvPr id="7" name="Text 83">
          <a:extLst>
            <a:ext uri="{FF2B5EF4-FFF2-40B4-BE49-F238E27FC236}">
              <a16:creationId xmlns:a16="http://schemas.microsoft.com/office/drawing/2014/main" id="{00000000-0008-0000-0300-000007000000}"/>
            </a:ext>
          </a:extLst>
        </xdr:cNvPr>
        <xdr:cNvSpPr txBox="1">
          <a:spLocks noChangeArrowheads="1"/>
        </xdr:cNvSpPr>
      </xdr:nvSpPr>
      <xdr:spPr bwMode="auto">
        <a:xfrm>
          <a:off x="1609725" y="11129402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Supplying and fixing 200A 4P isolator housed in a weather proof sheet steel enclosure having degree of protection   IP-54 as per IS-2147  including making connection, providing cable glands etc. as per requirements.</a:t>
          </a:r>
        </a:p>
      </xdr:txBody>
    </xdr:sp>
    <xdr:clientData/>
  </xdr:twoCellAnchor>
  <xdr:twoCellAnchor>
    <xdr:from>
      <xdr:col>2</xdr:col>
      <xdr:colOff>19050</xdr:colOff>
      <xdr:row>436</xdr:row>
      <xdr:rowOff>3922</xdr:rowOff>
    </xdr:from>
    <xdr:to>
      <xdr:col>2</xdr:col>
      <xdr:colOff>2430892</xdr:colOff>
      <xdr:row>436</xdr:row>
      <xdr:rowOff>3922</xdr:rowOff>
    </xdr:to>
    <xdr:sp macro="" textlink="">
      <xdr:nvSpPr>
        <xdr:cNvPr id="8" name="Text 78">
          <a:extLst>
            <a:ext uri="{FF2B5EF4-FFF2-40B4-BE49-F238E27FC236}">
              <a16:creationId xmlns:a16="http://schemas.microsoft.com/office/drawing/2014/main" id="{00000000-0008-0000-0300-000008000000}"/>
            </a:ext>
          </a:extLst>
        </xdr:cNvPr>
        <xdr:cNvSpPr txBox="1">
          <a:spLocks noChangeArrowheads="1"/>
        </xdr:cNvSpPr>
      </xdr:nvSpPr>
      <xdr:spPr bwMode="auto">
        <a:xfrm>
          <a:off x="1609725" y="11129402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oneCellAnchor>
    <xdr:from>
      <xdr:col>8</xdr:col>
      <xdr:colOff>0</xdr:colOff>
      <xdr:row>22</xdr:row>
      <xdr:rowOff>0</xdr:rowOff>
    </xdr:from>
    <xdr:ext cx="1117679" cy="2651"/>
    <xdr:pic>
      <xdr:nvPicPr>
        <xdr:cNvPr id="9" name="image3.png">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9704" y="11887200"/>
          <a:ext cx="1117679" cy="2651"/>
        </a:xfrm>
        <a:prstGeom prst="rect">
          <a:avLst/>
        </a:prstGeom>
      </xdr:spPr>
    </xdr:pic>
    <xdr:clientData/>
  </xdr:oneCellAnchor>
  <xdr:oneCellAnchor>
    <xdr:from>
      <xdr:col>8</xdr:col>
      <xdr:colOff>0</xdr:colOff>
      <xdr:row>23</xdr:row>
      <xdr:rowOff>0</xdr:rowOff>
    </xdr:from>
    <xdr:ext cx="1117679" cy="2651"/>
    <xdr:pic>
      <xdr:nvPicPr>
        <xdr:cNvPr id="10" name="image3.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9704" y="13563600"/>
          <a:ext cx="1117679" cy="2651"/>
        </a:xfrm>
        <a:prstGeom prst="rect">
          <a:avLst/>
        </a:prstGeom>
      </xdr:spPr>
    </xdr:pic>
    <xdr:clientData/>
  </xdr:oneCellAnchor>
  <xdr:oneCellAnchor>
    <xdr:from>
      <xdr:col>8</xdr:col>
      <xdr:colOff>0</xdr:colOff>
      <xdr:row>22</xdr:row>
      <xdr:rowOff>0</xdr:rowOff>
    </xdr:from>
    <xdr:ext cx="1117679" cy="2651"/>
    <xdr:pic>
      <xdr:nvPicPr>
        <xdr:cNvPr id="11" name="image3.png">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49904" y="11887200"/>
          <a:ext cx="1117679" cy="2651"/>
        </a:xfrm>
        <a:prstGeom prst="rect">
          <a:avLst/>
        </a:prstGeom>
      </xdr:spPr>
    </xdr:pic>
    <xdr:clientData/>
  </xdr:oneCellAnchor>
  <xdr:oneCellAnchor>
    <xdr:from>
      <xdr:col>8</xdr:col>
      <xdr:colOff>0</xdr:colOff>
      <xdr:row>23</xdr:row>
      <xdr:rowOff>0</xdr:rowOff>
    </xdr:from>
    <xdr:ext cx="1117679" cy="2651"/>
    <xdr:pic>
      <xdr:nvPicPr>
        <xdr:cNvPr id="12" name="image3.png">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49904" y="13563600"/>
          <a:ext cx="1117679" cy="2651"/>
        </a:xfrm>
        <a:prstGeom prst="rect">
          <a:avLst/>
        </a:prstGeom>
      </xdr:spPr>
    </xdr:pic>
    <xdr:clientData/>
  </xdr:oneCellAnchor>
  <xdr:oneCellAnchor>
    <xdr:from>
      <xdr:col>8</xdr:col>
      <xdr:colOff>0</xdr:colOff>
      <xdr:row>22</xdr:row>
      <xdr:rowOff>0</xdr:rowOff>
    </xdr:from>
    <xdr:ext cx="1117679" cy="2651"/>
    <xdr:pic>
      <xdr:nvPicPr>
        <xdr:cNvPr id="13" name="image3.png">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50104" y="12039600"/>
          <a:ext cx="1117679" cy="2651"/>
        </a:xfrm>
        <a:prstGeom prst="rect">
          <a:avLst/>
        </a:prstGeom>
      </xdr:spPr>
    </xdr:pic>
    <xdr:clientData/>
  </xdr:oneCellAnchor>
  <xdr:oneCellAnchor>
    <xdr:from>
      <xdr:col>8</xdr:col>
      <xdr:colOff>0</xdr:colOff>
      <xdr:row>23</xdr:row>
      <xdr:rowOff>0</xdr:rowOff>
    </xdr:from>
    <xdr:ext cx="1117679" cy="2651"/>
    <xdr:pic>
      <xdr:nvPicPr>
        <xdr:cNvPr id="14" name="image3.png">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50104" y="13716000"/>
          <a:ext cx="1117679" cy="2651"/>
        </a:xfrm>
        <a:prstGeom prst="rect">
          <a:avLst/>
        </a:prstGeom>
      </xdr:spPr>
    </xdr:pic>
    <xdr:clientData/>
  </xdr:oneCellAnchor>
  <xdr:oneCellAnchor>
    <xdr:from>
      <xdr:col>8</xdr:col>
      <xdr:colOff>0</xdr:colOff>
      <xdr:row>22</xdr:row>
      <xdr:rowOff>0</xdr:rowOff>
    </xdr:from>
    <xdr:ext cx="1117679" cy="2651"/>
    <xdr:pic>
      <xdr:nvPicPr>
        <xdr:cNvPr id="15" name="image3.png">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50304" y="11887200"/>
          <a:ext cx="1117679" cy="2651"/>
        </a:xfrm>
        <a:prstGeom prst="rect">
          <a:avLst/>
        </a:prstGeom>
      </xdr:spPr>
    </xdr:pic>
    <xdr:clientData/>
  </xdr:oneCellAnchor>
  <xdr:oneCellAnchor>
    <xdr:from>
      <xdr:col>8</xdr:col>
      <xdr:colOff>0</xdr:colOff>
      <xdr:row>23</xdr:row>
      <xdr:rowOff>0</xdr:rowOff>
    </xdr:from>
    <xdr:ext cx="1117679" cy="2651"/>
    <xdr:pic>
      <xdr:nvPicPr>
        <xdr:cNvPr id="16" name="image3.png">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50304" y="13563600"/>
          <a:ext cx="1117679" cy="2651"/>
        </a:xfrm>
        <a:prstGeom prst="rect">
          <a:avLst/>
        </a:prstGeom>
      </xdr:spPr>
    </xdr:pic>
    <xdr:clientData/>
  </xdr:oneCellAnchor>
  <xdr:oneCellAnchor>
    <xdr:from>
      <xdr:col>8</xdr:col>
      <xdr:colOff>0</xdr:colOff>
      <xdr:row>22</xdr:row>
      <xdr:rowOff>0</xdr:rowOff>
    </xdr:from>
    <xdr:ext cx="1117679" cy="2651"/>
    <xdr:pic>
      <xdr:nvPicPr>
        <xdr:cNvPr id="17" name="image3.png">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50504" y="11887200"/>
          <a:ext cx="1117679" cy="2651"/>
        </a:xfrm>
        <a:prstGeom prst="rect">
          <a:avLst/>
        </a:prstGeom>
      </xdr:spPr>
    </xdr:pic>
    <xdr:clientData/>
  </xdr:oneCellAnchor>
  <xdr:oneCellAnchor>
    <xdr:from>
      <xdr:col>8</xdr:col>
      <xdr:colOff>0</xdr:colOff>
      <xdr:row>23</xdr:row>
      <xdr:rowOff>0</xdr:rowOff>
    </xdr:from>
    <xdr:ext cx="1117679" cy="2651"/>
    <xdr:pic>
      <xdr:nvPicPr>
        <xdr:cNvPr id="18" name="image3.png">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50504" y="13563600"/>
          <a:ext cx="1117679" cy="265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heeraj_Onedrive/OneDrive%20-%20Travel%20food%20Services/TFS%20Projects/Karnal/Kitchen%20Layouts/BOQ/R0-Electrical%20BOQ-Karims-_20.02.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0f53128316650882/Desktop/BACK%20OFFICE%20bill%20%5eJ%20Karnal%20(la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1.PANEL &amp; DB"/>
      <sheetName val="2.MV CABLES"/>
      <sheetName val="3.RACEWAYS &amp; CABLE TRAY"/>
      <sheetName val="4.POINT WIRING"/>
      <sheetName val="5.SWITCHES"/>
      <sheetName val="6.GEN EARTHING"/>
      <sheetName val="7.LIGHT FIXTURE"/>
      <sheetName val="8.MISC"/>
      <sheetName val="9.CCTV"/>
      <sheetName val="10.UPS"/>
      <sheetName val="APPROVED MAK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office bill,Karnal"/>
      <sheetName val="Back Office MB"/>
      <sheetName val="Sheet3"/>
    </sheetNames>
    <sheetDataSet>
      <sheetData sheetId="0">
        <row r="114">
          <cell r="F114">
            <v>295490.54934999999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ST@18%25" TargetMode="External"/><Relationship Id="rId7" Type="http://schemas.openxmlformats.org/officeDocument/2006/relationships/drawing" Target="../drawings/drawing1.xml"/><Relationship Id="rId2" Type="http://schemas.openxmlformats.org/officeDocument/2006/relationships/hyperlink" Target="mailto:GST@18%25" TargetMode="External"/><Relationship Id="rId1" Type="http://schemas.openxmlformats.org/officeDocument/2006/relationships/hyperlink" Target="mailto:GST@18%25" TargetMode="External"/><Relationship Id="rId6" Type="http://schemas.openxmlformats.org/officeDocument/2006/relationships/printerSettings" Target="../printerSettings/printerSettings2.bin"/><Relationship Id="rId5" Type="http://schemas.openxmlformats.org/officeDocument/2006/relationships/hyperlink" Target="mailto:GST@18%25" TargetMode="External"/><Relationship Id="rId4" Type="http://schemas.openxmlformats.org/officeDocument/2006/relationships/hyperlink" Target="mailto:Gst@18%2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GST@18%25" TargetMode="External"/><Relationship Id="rId2" Type="http://schemas.openxmlformats.org/officeDocument/2006/relationships/hyperlink" Target="mailto:GST@18%25" TargetMode="External"/><Relationship Id="rId1" Type="http://schemas.openxmlformats.org/officeDocument/2006/relationships/hyperlink" Target="mailto:GST@18%25"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GST@18%25" TargetMode="External"/><Relationship Id="rId2" Type="http://schemas.openxmlformats.org/officeDocument/2006/relationships/hyperlink" Target="mailto:GST@18%25" TargetMode="External"/><Relationship Id="rId1" Type="http://schemas.openxmlformats.org/officeDocument/2006/relationships/hyperlink" Target="mailto:GST@18%25"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opLeftCell="A16" workbookViewId="0">
      <selection activeCell="I30" sqref="I30"/>
    </sheetView>
  </sheetViews>
  <sheetFormatPr defaultColWidth="9.140625" defaultRowHeight="12"/>
  <cols>
    <col min="1" max="1" width="9.5703125" style="1" customWidth="1"/>
    <col min="2" max="2" width="22.140625" style="1" customWidth="1"/>
    <col min="3" max="3" width="10.85546875" style="51" bestFit="1" customWidth="1"/>
    <col min="4" max="4" width="14.85546875" style="787" customWidth="1"/>
    <col min="5" max="16384" width="9.140625" style="1"/>
  </cols>
  <sheetData>
    <row r="1" spans="1:4">
      <c r="A1" s="2"/>
      <c r="B1" s="2"/>
      <c r="C1" s="19"/>
    </row>
    <row r="2" spans="1:4" ht="12" customHeight="1">
      <c r="A2" s="822" t="s">
        <v>92</v>
      </c>
      <c r="B2" s="823"/>
      <c r="C2" s="50"/>
    </row>
    <row r="3" spans="1:4" ht="12" customHeight="1">
      <c r="A3" s="822" t="s">
        <v>93</v>
      </c>
      <c r="B3" s="823"/>
      <c r="C3" s="783"/>
    </row>
    <row r="4" spans="1:4">
      <c r="A4" s="3" t="s">
        <v>94</v>
      </c>
      <c r="B4" s="779" t="s">
        <v>2</v>
      </c>
      <c r="C4" s="784" t="s">
        <v>453</v>
      </c>
      <c r="D4" s="788" t="s">
        <v>818</v>
      </c>
    </row>
    <row r="5" spans="1:4">
      <c r="A5" s="4">
        <v>1</v>
      </c>
      <c r="B5" s="780" t="s">
        <v>95</v>
      </c>
      <c r="C5" s="785"/>
      <c r="D5" s="788"/>
    </row>
    <row r="6" spans="1:4">
      <c r="A6" s="4" t="s">
        <v>13</v>
      </c>
      <c r="B6" s="781" t="s">
        <v>99</v>
      </c>
      <c r="C6" s="785">
        <f>'Karim''s'!H63</f>
        <v>770667.27647499996</v>
      </c>
      <c r="D6" s="788">
        <f>'Karim''s'!I63</f>
        <v>517113.15552499995</v>
      </c>
    </row>
    <row r="7" spans="1:4">
      <c r="A7" s="4"/>
      <c r="B7" s="781" t="s">
        <v>813</v>
      </c>
      <c r="C7" s="785"/>
      <c r="D7" s="788">
        <f>'Karim''s'!I92</f>
        <v>78530.538559999986</v>
      </c>
    </row>
    <row r="8" spans="1:4">
      <c r="A8" s="4" t="s">
        <v>14</v>
      </c>
      <c r="B8" s="781" t="s">
        <v>50</v>
      </c>
      <c r="C8" s="785">
        <f>'Karim''s'!H159</f>
        <v>120375</v>
      </c>
      <c r="D8" s="788">
        <f>'Karim''s'!I159</f>
        <v>121036</v>
      </c>
    </row>
    <row r="9" spans="1:4">
      <c r="A9" s="4"/>
      <c r="B9" s="781" t="s">
        <v>814</v>
      </c>
      <c r="C9" s="785"/>
      <c r="D9" s="788">
        <f>'Karim''s'!I169</f>
        <v>22050</v>
      </c>
    </row>
    <row r="10" spans="1:4">
      <c r="A10" s="4" t="s">
        <v>15</v>
      </c>
      <c r="B10" s="781" t="s">
        <v>101</v>
      </c>
      <c r="C10" s="785">
        <f>'Karim''s'!H382</f>
        <v>256188</v>
      </c>
      <c r="D10" s="788">
        <f>'Karim''s'!I382</f>
        <v>226052.4</v>
      </c>
    </row>
    <row r="11" spans="1:4">
      <c r="A11" s="4"/>
      <c r="B11" s="781" t="s">
        <v>815</v>
      </c>
      <c r="C11" s="785"/>
      <c r="D11" s="788">
        <f>'Karim''s'!I391</f>
        <v>19197.5</v>
      </c>
    </row>
    <row r="12" spans="1:4">
      <c r="A12" s="4" t="s">
        <v>29</v>
      </c>
      <c r="B12" s="781" t="s">
        <v>100</v>
      </c>
      <c r="C12" s="785">
        <f>'Karim''s'!H474</f>
        <v>314423</v>
      </c>
      <c r="D12" s="788">
        <f>'Karim''s'!I474</f>
        <v>133900.92000000001</v>
      </c>
    </row>
    <row r="13" spans="1:4">
      <c r="A13" s="4"/>
      <c r="B13" s="781" t="s">
        <v>816</v>
      </c>
      <c r="C13" s="785"/>
      <c r="D13" s="788">
        <f>'Karim''s'!I478</f>
        <v>12950</v>
      </c>
    </row>
    <row r="14" spans="1:4">
      <c r="A14" s="49"/>
      <c r="B14" s="782" t="s">
        <v>8</v>
      </c>
      <c r="C14" s="786">
        <f t="shared" ref="C14" si="0">SUM(C6:C12)</f>
        <v>1461653.276475</v>
      </c>
      <c r="D14" s="789">
        <f>SUM(D6:D13)</f>
        <v>1130830.5140849999</v>
      </c>
    </row>
    <row r="15" spans="1:4">
      <c r="A15" s="4">
        <v>2</v>
      </c>
      <c r="B15" s="780" t="s">
        <v>96</v>
      </c>
      <c r="C15" s="785"/>
      <c r="D15" s="788"/>
    </row>
    <row r="16" spans="1:4">
      <c r="A16" s="4" t="s">
        <v>13</v>
      </c>
      <c r="B16" s="781" t="s">
        <v>99</v>
      </c>
      <c r="C16" s="785">
        <f>Noodle!H61</f>
        <v>365172.5</v>
      </c>
      <c r="D16" s="788">
        <f>Noodle!I61</f>
        <v>336350.56891099998</v>
      </c>
    </row>
    <row r="17" spans="1:6">
      <c r="A17" s="4"/>
      <c r="B17" s="781" t="s">
        <v>813</v>
      </c>
      <c r="C17" s="785"/>
      <c r="D17" s="788">
        <f>Noodle!I91</f>
        <v>67875.679999999993</v>
      </c>
    </row>
    <row r="18" spans="1:6">
      <c r="A18" s="4" t="s">
        <v>14</v>
      </c>
      <c r="B18" s="781" t="s">
        <v>50</v>
      </c>
      <c r="C18" s="785">
        <f>Noodle!H156</f>
        <v>113507.5</v>
      </c>
      <c r="D18" s="788">
        <f>Noodle!I156</f>
        <v>96486.25</v>
      </c>
    </row>
    <row r="19" spans="1:6">
      <c r="A19" s="4"/>
      <c r="B19" s="781" t="s">
        <v>814</v>
      </c>
      <c r="C19" s="785"/>
      <c r="D19" s="788">
        <f>Noodle!I164</f>
        <v>23500</v>
      </c>
    </row>
    <row r="20" spans="1:6">
      <c r="A20" s="4" t="s">
        <v>15</v>
      </c>
      <c r="B20" s="781" t="s">
        <v>101</v>
      </c>
      <c r="C20" s="785">
        <f>Noodle!H375</f>
        <v>246558</v>
      </c>
      <c r="D20" s="788">
        <f>Noodle!I375</f>
        <v>158358</v>
      </c>
      <c r="F20" s="1" t="s">
        <v>69</v>
      </c>
    </row>
    <row r="21" spans="1:6">
      <c r="A21" s="4"/>
      <c r="B21" s="781" t="s">
        <v>815</v>
      </c>
      <c r="C21" s="785"/>
      <c r="D21" s="788">
        <f>Noodle!I384</f>
        <v>20670</v>
      </c>
    </row>
    <row r="22" spans="1:6">
      <c r="A22" s="4" t="s">
        <v>29</v>
      </c>
      <c r="B22" s="781" t="s">
        <v>100</v>
      </c>
      <c r="C22" s="785">
        <f>Noodle!H468</f>
        <v>294173</v>
      </c>
      <c r="D22" s="788">
        <f>Noodle!I468</f>
        <v>89341.38</v>
      </c>
    </row>
    <row r="23" spans="1:6">
      <c r="A23" s="4"/>
      <c r="B23" s="781" t="s">
        <v>816</v>
      </c>
      <c r="C23" s="785"/>
      <c r="D23" s="788">
        <f>Noodle!I472</f>
        <v>12950</v>
      </c>
    </row>
    <row r="24" spans="1:6">
      <c r="A24" s="49"/>
      <c r="B24" s="782" t="s">
        <v>8</v>
      </c>
      <c r="C24" s="786">
        <f>SUM(C16:C22)</f>
        <v>1019411</v>
      </c>
      <c r="D24" s="789">
        <f>SUM(D16:D23)</f>
        <v>805531.87891099998</v>
      </c>
    </row>
    <row r="25" spans="1:6">
      <c r="A25" s="4">
        <v>3</v>
      </c>
      <c r="B25" s="780" t="s">
        <v>97</v>
      </c>
      <c r="C25" s="785"/>
      <c r="D25" s="788"/>
    </row>
    <row r="26" spans="1:6">
      <c r="A26" s="4" t="s">
        <v>13</v>
      </c>
      <c r="B26" s="781" t="s">
        <v>99</v>
      </c>
      <c r="C26" s="785">
        <f>GIANIS!H61</f>
        <v>248415</v>
      </c>
      <c r="D26" s="788">
        <f>GIANIS!I61</f>
        <v>268733.02639999997</v>
      </c>
    </row>
    <row r="27" spans="1:6">
      <c r="A27" s="4"/>
      <c r="B27" s="781"/>
      <c r="C27" s="785"/>
      <c r="D27" s="788">
        <f>GIANIS!I89</f>
        <v>121550.30988159998</v>
      </c>
    </row>
    <row r="28" spans="1:6">
      <c r="A28" s="4" t="s">
        <v>14</v>
      </c>
      <c r="B28" s="781" t="s">
        <v>50</v>
      </c>
      <c r="C28" s="785">
        <f>GIANIS!H153</f>
        <v>65980</v>
      </c>
      <c r="D28" s="788">
        <f>GIANIS!I153</f>
        <v>51543.25</v>
      </c>
    </row>
    <row r="29" spans="1:6">
      <c r="A29" s="4"/>
      <c r="B29" s="781"/>
      <c r="C29" s="785"/>
      <c r="D29" s="788">
        <f>GIANIS!I160</f>
        <v>6600</v>
      </c>
    </row>
    <row r="30" spans="1:6">
      <c r="A30" s="4" t="s">
        <v>15</v>
      </c>
      <c r="B30" s="781" t="s">
        <v>101</v>
      </c>
      <c r="C30" s="785">
        <f>GIANIS!H371</f>
        <v>173248.5</v>
      </c>
      <c r="D30" s="788">
        <f>GIANIS!I371</f>
        <v>116166</v>
      </c>
    </row>
    <row r="31" spans="1:6">
      <c r="A31" s="4"/>
      <c r="B31" s="781"/>
      <c r="C31" s="785"/>
      <c r="D31" s="788">
        <f>GIANIS!I384</f>
        <v>11505</v>
      </c>
    </row>
    <row r="32" spans="1:6">
      <c r="A32" s="49"/>
      <c r="B32" s="782" t="s">
        <v>8</v>
      </c>
      <c r="C32" s="786">
        <f>SUM(C26:C31)</f>
        <v>487643.5</v>
      </c>
      <c r="D32" s="789">
        <f>SUM(D26:D31)</f>
        <v>576097.58628159994</v>
      </c>
    </row>
    <row r="33" spans="1:4">
      <c r="A33" s="49">
        <v>4</v>
      </c>
      <c r="B33" s="782" t="s">
        <v>819</v>
      </c>
      <c r="C33" s="786"/>
      <c r="D33" s="789">
        <f>' Common area'!I42</f>
        <v>383647.06334240001</v>
      </c>
    </row>
    <row r="34" spans="1:4">
      <c r="A34" s="49">
        <v>5</v>
      </c>
      <c r="B34" s="782" t="s">
        <v>844</v>
      </c>
      <c r="C34" s="786"/>
      <c r="D34" s="789">
        <f>'[2]Back office bill,Karnal'!$F$114</f>
        <v>295490.54934999999</v>
      </c>
    </row>
    <row r="35" spans="1:4">
      <c r="A35" s="820" t="s">
        <v>98</v>
      </c>
      <c r="B35" s="821"/>
      <c r="C35" s="786">
        <f>C14+C24+C32</f>
        <v>2968707.7764750002</v>
      </c>
      <c r="D35" s="789">
        <f>D34+D33+D32+D24+D14</f>
        <v>3191597.5919699995</v>
      </c>
    </row>
  </sheetData>
  <mergeCells count="3">
    <mergeCell ref="A35:B35"/>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87"/>
  <sheetViews>
    <sheetView topLeftCell="A58" zoomScale="78" zoomScaleNormal="78" workbookViewId="0">
      <selection activeCell="F64" sqref="F64"/>
    </sheetView>
  </sheetViews>
  <sheetFormatPr defaultColWidth="9.140625" defaultRowHeight="12"/>
  <cols>
    <col min="1" max="1" width="7.28515625" style="6" customWidth="1"/>
    <col min="2" max="2" width="20.85546875" style="5" customWidth="1"/>
    <col min="3" max="3" width="82.140625" style="5" customWidth="1"/>
    <col min="4" max="4" width="14.28515625" style="6" customWidth="1"/>
    <col min="5" max="5" width="12.42578125" style="47" customWidth="1"/>
    <col min="6" max="6" width="12.42578125" style="651" customWidth="1"/>
    <col min="7" max="8" width="12.42578125" style="402" customWidth="1"/>
    <col min="9" max="9" width="16.85546875" style="101" customWidth="1"/>
    <col min="10" max="16384" width="9.140625" style="1"/>
  </cols>
  <sheetData>
    <row r="1" spans="1:9" ht="12" customHeight="1">
      <c r="A1" s="832" t="s">
        <v>186</v>
      </c>
      <c r="B1" s="833"/>
      <c r="C1" s="834"/>
      <c r="D1" s="48"/>
      <c r="E1" s="48"/>
      <c r="F1" s="615"/>
      <c r="G1" s="827"/>
      <c r="H1" s="828"/>
    </row>
    <row r="2" spans="1:9">
      <c r="A2" s="527" t="s">
        <v>27</v>
      </c>
      <c r="B2" s="528" t="s">
        <v>187</v>
      </c>
      <c r="C2" s="529"/>
      <c r="D2" s="530"/>
      <c r="E2" s="531"/>
      <c r="F2" s="616"/>
      <c r="G2" s="829"/>
      <c r="H2" s="830"/>
    </row>
    <row r="3" spans="1:9">
      <c r="A3" s="165" t="s">
        <v>0</v>
      </c>
      <c r="B3" s="165" t="s">
        <v>1</v>
      </c>
      <c r="C3" s="165" t="s">
        <v>2</v>
      </c>
      <c r="D3" s="165" t="s">
        <v>3</v>
      </c>
      <c r="E3" s="166" t="s">
        <v>4</v>
      </c>
      <c r="F3" s="617" t="s">
        <v>558</v>
      </c>
      <c r="G3" s="532" t="s">
        <v>5</v>
      </c>
      <c r="H3" s="533" t="s">
        <v>6</v>
      </c>
      <c r="I3" s="584" t="s">
        <v>559</v>
      </c>
    </row>
    <row r="4" spans="1:9" ht="24">
      <c r="A4" s="168">
        <v>1</v>
      </c>
      <c r="B4" s="169" t="s">
        <v>405</v>
      </c>
      <c r="C4" s="72" t="s">
        <v>410</v>
      </c>
      <c r="D4" s="170" t="s">
        <v>406</v>
      </c>
      <c r="E4" s="171">
        <v>1</v>
      </c>
      <c r="F4" s="618">
        <v>0</v>
      </c>
      <c r="G4" s="534">
        <v>8700</v>
      </c>
      <c r="H4" s="534">
        <f>$E4*G4</f>
        <v>8700</v>
      </c>
      <c r="I4" s="217">
        <f>G4*F4</f>
        <v>0</v>
      </c>
    </row>
    <row r="5" spans="1:9" ht="15" customHeight="1">
      <c r="A5" s="174" t="s">
        <v>22</v>
      </c>
      <c r="B5" s="174"/>
      <c r="C5" s="174"/>
      <c r="D5" s="174"/>
      <c r="E5" s="175"/>
      <c r="F5" s="619"/>
      <c r="G5" s="535">
        <v>0</v>
      </c>
      <c r="H5" s="535"/>
      <c r="I5" s="217">
        <f t="shared" ref="I5:I62" si="0">G5*F5</f>
        <v>0</v>
      </c>
    </row>
    <row r="6" spans="1:9" ht="60">
      <c r="A6" s="168">
        <v>2</v>
      </c>
      <c r="B6" s="176" t="s">
        <v>355</v>
      </c>
      <c r="C6" s="177" t="s">
        <v>356</v>
      </c>
      <c r="D6" s="170" t="s">
        <v>25</v>
      </c>
      <c r="E6" s="171" t="s">
        <v>31</v>
      </c>
      <c r="F6" s="618"/>
      <c r="G6" s="534">
        <v>98</v>
      </c>
      <c r="H6" s="534"/>
      <c r="I6" s="217">
        <f t="shared" si="0"/>
        <v>0</v>
      </c>
    </row>
    <row r="7" spans="1:9">
      <c r="A7" s="168">
        <v>3</v>
      </c>
      <c r="B7" s="178" t="s">
        <v>354</v>
      </c>
      <c r="C7" s="179" t="e">
        <f>'Karim''s'!#REF!</f>
        <v>#REF!</v>
      </c>
      <c r="D7" s="170" t="s">
        <v>25</v>
      </c>
      <c r="E7" s="171">
        <v>300</v>
      </c>
      <c r="F7" s="618">
        <f>'MB Karim''s'!H16</f>
        <v>370.60451999999998</v>
      </c>
      <c r="G7" s="534">
        <v>110</v>
      </c>
      <c r="H7" s="534">
        <f>$E7*G7</f>
        <v>33000</v>
      </c>
      <c r="I7" s="217">
        <f t="shared" si="0"/>
        <v>40766.497199999998</v>
      </c>
    </row>
    <row r="8" spans="1:9" ht="48">
      <c r="A8" s="168">
        <v>4</v>
      </c>
      <c r="B8" s="180" t="s">
        <v>16</v>
      </c>
      <c r="C8" s="72" t="s">
        <v>411</v>
      </c>
      <c r="D8" s="170" t="s">
        <v>25</v>
      </c>
      <c r="E8" s="171">
        <v>700</v>
      </c>
      <c r="F8" s="618">
        <f>'MB Karim''s'!H26</f>
        <v>765.10511999999994</v>
      </c>
      <c r="G8" s="534">
        <v>26</v>
      </c>
      <c r="H8" s="534">
        <f>$E8*G8</f>
        <v>18200</v>
      </c>
      <c r="I8" s="217">
        <f t="shared" si="0"/>
        <v>19892.733119999997</v>
      </c>
    </row>
    <row r="9" spans="1:9">
      <c r="A9" s="168">
        <v>5</v>
      </c>
      <c r="B9" s="180"/>
      <c r="C9" s="181" t="s">
        <v>353</v>
      </c>
      <c r="D9" s="170"/>
      <c r="E9" s="171"/>
      <c r="F9" s="618"/>
      <c r="G9" s="534">
        <v>0</v>
      </c>
      <c r="H9" s="534"/>
      <c r="I9" s="217">
        <f t="shared" si="0"/>
        <v>0</v>
      </c>
    </row>
    <row r="10" spans="1:9" ht="48">
      <c r="A10" s="168">
        <v>6</v>
      </c>
      <c r="B10" s="180" t="s">
        <v>17</v>
      </c>
      <c r="C10" s="72" t="s">
        <v>412</v>
      </c>
      <c r="D10" s="170" t="s">
        <v>25</v>
      </c>
      <c r="E10" s="171">
        <v>400</v>
      </c>
      <c r="F10" s="618">
        <f>'MB Karim''s'!H29</f>
        <v>196.87355999999997</v>
      </c>
      <c r="G10" s="534">
        <v>45</v>
      </c>
      <c r="H10" s="534">
        <f>$E10*G10</f>
        <v>18000</v>
      </c>
      <c r="I10" s="217">
        <f t="shared" si="0"/>
        <v>8859.3101999999981</v>
      </c>
    </row>
    <row r="11" spans="1:9" ht="24">
      <c r="A11" s="168">
        <v>7</v>
      </c>
      <c r="B11" s="180" t="s">
        <v>18</v>
      </c>
      <c r="C11" s="182" t="s">
        <v>413</v>
      </c>
      <c r="D11" s="170" t="s">
        <v>25</v>
      </c>
      <c r="E11" s="171">
        <v>0</v>
      </c>
      <c r="F11" s="618"/>
      <c r="G11" s="534">
        <v>80</v>
      </c>
      <c r="H11" s="534"/>
      <c r="I11" s="217">
        <f t="shared" si="0"/>
        <v>0</v>
      </c>
    </row>
    <row r="12" spans="1:9" ht="72">
      <c r="A12" s="168">
        <v>8</v>
      </c>
      <c r="B12" s="180" t="s">
        <v>19</v>
      </c>
      <c r="C12" s="72" t="s">
        <v>20</v>
      </c>
      <c r="D12" s="170"/>
      <c r="E12" s="171"/>
      <c r="F12" s="618"/>
      <c r="G12" s="534">
        <v>0</v>
      </c>
      <c r="H12" s="534"/>
      <c r="I12" s="217">
        <f t="shared" si="0"/>
        <v>0</v>
      </c>
    </row>
    <row r="13" spans="1:9">
      <c r="A13" s="168"/>
      <c r="B13" s="169"/>
      <c r="C13" s="72" t="s">
        <v>21</v>
      </c>
      <c r="D13" s="170" t="s">
        <v>25</v>
      </c>
      <c r="E13" s="171">
        <v>0</v>
      </c>
      <c r="F13" s="618"/>
      <c r="G13" s="534">
        <v>72</v>
      </c>
      <c r="H13" s="534"/>
      <c r="I13" s="217">
        <f t="shared" si="0"/>
        <v>0</v>
      </c>
    </row>
    <row r="14" spans="1:9" ht="48">
      <c r="A14" s="168">
        <v>9</v>
      </c>
      <c r="B14" s="183" t="s">
        <v>7</v>
      </c>
      <c r="C14" s="184" t="s">
        <v>84</v>
      </c>
      <c r="D14" s="185"/>
      <c r="E14" s="186"/>
      <c r="F14" s="620"/>
      <c r="G14" s="536">
        <v>0</v>
      </c>
      <c r="H14" s="536"/>
      <c r="I14" s="217">
        <f t="shared" si="0"/>
        <v>0</v>
      </c>
    </row>
    <row r="15" spans="1:9">
      <c r="A15" s="187"/>
      <c r="B15" s="187"/>
      <c r="C15" s="184" t="s">
        <v>10</v>
      </c>
      <c r="D15" s="169" t="s">
        <v>362</v>
      </c>
      <c r="E15" s="188">
        <v>120</v>
      </c>
      <c r="F15" s="621">
        <f>'MB Karim''s'!H32</f>
        <v>121.5568</v>
      </c>
      <c r="G15" s="537">
        <v>63</v>
      </c>
      <c r="H15" s="537">
        <f>$E15*G15</f>
        <v>7560</v>
      </c>
      <c r="I15" s="217">
        <f t="shared" si="0"/>
        <v>7658.0783999999994</v>
      </c>
    </row>
    <row r="16" spans="1:9" ht="60">
      <c r="A16" s="168">
        <v>10</v>
      </c>
      <c r="B16" s="183" t="s">
        <v>407</v>
      </c>
      <c r="C16" s="176" t="s">
        <v>414</v>
      </c>
      <c r="D16" s="170" t="s">
        <v>362</v>
      </c>
      <c r="E16" s="171">
        <v>80</v>
      </c>
      <c r="F16" s="618">
        <f>'MB Karim''s'!H37</f>
        <v>67.96159999999999</v>
      </c>
      <c r="G16" s="534">
        <v>270</v>
      </c>
      <c r="H16" s="534">
        <f>$E16*G16</f>
        <v>21600</v>
      </c>
      <c r="I16" s="217">
        <f t="shared" si="0"/>
        <v>18349.631999999998</v>
      </c>
    </row>
    <row r="17" spans="1:9" ht="96">
      <c r="A17" s="168">
        <v>11</v>
      </c>
      <c r="B17" s="183" t="s">
        <v>357</v>
      </c>
      <c r="C17" s="184" t="s">
        <v>361</v>
      </c>
      <c r="D17" s="170" t="s">
        <v>9</v>
      </c>
      <c r="E17" s="171">
        <v>0</v>
      </c>
      <c r="F17" s="618"/>
      <c r="G17" s="534">
        <v>21000</v>
      </c>
      <c r="H17" s="538"/>
      <c r="I17" s="217">
        <f t="shared" si="0"/>
        <v>0</v>
      </c>
    </row>
    <row r="18" spans="1:9" ht="108">
      <c r="A18" s="168">
        <v>12</v>
      </c>
      <c r="B18" s="183" t="s">
        <v>11</v>
      </c>
      <c r="C18" s="184" t="s">
        <v>360</v>
      </c>
      <c r="D18" s="170" t="s">
        <v>9</v>
      </c>
      <c r="E18" s="171">
        <v>1</v>
      </c>
      <c r="F18" s="618">
        <f>'MB Karim''s'!H39</f>
        <v>1</v>
      </c>
      <c r="G18" s="534">
        <v>18500</v>
      </c>
      <c r="H18" s="534">
        <f>$E18*G18</f>
        <v>18500</v>
      </c>
      <c r="I18" s="217">
        <f t="shared" si="0"/>
        <v>18500</v>
      </c>
    </row>
    <row r="19" spans="1:9">
      <c r="A19" s="187"/>
      <c r="B19" s="187"/>
      <c r="C19" s="184" t="s">
        <v>66</v>
      </c>
      <c r="D19" s="169"/>
      <c r="E19" s="188"/>
      <c r="F19" s="621"/>
      <c r="G19" s="534">
        <v>0</v>
      </c>
      <c r="H19" s="537"/>
      <c r="I19" s="217">
        <f t="shared" si="0"/>
        <v>0</v>
      </c>
    </row>
    <row r="20" spans="1:9" ht="72">
      <c r="A20" s="168">
        <v>11</v>
      </c>
      <c r="B20" s="170" t="s">
        <v>408</v>
      </c>
      <c r="C20" s="189" t="s">
        <v>415</v>
      </c>
      <c r="D20" s="170" t="s">
        <v>362</v>
      </c>
      <c r="E20" s="171">
        <v>12</v>
      </c>
      <c r="F20" s="618">
        <f>'MB Karim''s'!H47</f>
        <v>48.052000000000007</v>
      </c>
      <c r="G20" s="534">
        <v>495</v>
      </c>
      <c r="H20" s="534">
        <f>$E20*G20</f>
        <v>5940</v>
      </c>
      <c r="I20" s="217">
        <f t="shared" si="0"/>
        <v>23785.74</v>
      </c>
    </row>
    <row r="21" spans="1:9">
      <c r="A21" s="187"/>
      <c r="B21" s="187"/>
      <c r="C21" s="184" t="s">
        <v>416</v>
      </c>
      <c r="D21" s="187"/>
      <c r="E21" s="190"/>
      <c r="F21" s="622"/>
      <c r="G21" s="419">
        <v>0</v>
      </c>
      <c r="H21" s="419"/>
      <c r="I21" s="217">
        <f t="shared" si="0"/>
        <v>0</v>
      </c>
    </row>
    <row r="22" spans="1:9">
      <c r="A22" s="187"/>
      <c r="B22" s="187"/>
      <c r="C22" s="184" t="s">
        <v>12</v>
      </c>
      <c r="D22" s="169" t="s">
        <v>362</v>
      </c>
      <c r="E22" s="188">
        <v>0</v>
      </c>
      <c r="F22" s="621"/>
      <c r="G22" s="534">
        <v>585</v>
      </c>
      <c r="H22" s="537"/>
      <c r="I22" s="217">
        <f t="shared" si="0"/>
        <v>0</v>
      </c>
    </row>
    <row r="23" spans="1:9" ht="108">
      <c r="A23" s="168">
        <v>12</v>
      </c>
      <c r="B23" s="170" t="s">
        <v>409</v>
      </c>
      <c r="C23" s="184" t="s">
        <v>358</v>
      </c>
      <c r="D23" s="170" t="s">
        <v>9</v>
      </c>
      <c r="E23" s="171">
        <v>1</v>
      </c>
      <c r="F23" s="618">
        <f>'MB Karim''s'!H49</f>
        <v>1</v>
      </c>
      <c r="G23" s="534">
        <v>22950</v>
      </c>
      <c r="H23" s="534">
        <f>$E23*G23</f>
        <v>22950</v>
      </c>
      <c r="I23" s="217">
        <f t="shared" si="0"/>
        <v>22950</v>
      </c>
    </row>
    <row r="24" spans="1:9">
      <c r="A24" s="191"/>
      <c r="B24" s="169" t="s">
        <v>23</v>
      </c>
      <c r="C24" s="192"/>
      <c r="D24" s="169"/>
      <c r="E24" s="188"/>
      <c r="F24" s="621"/>
      <c r="G24" s="419">
        <v>0</v>
      </c>
      <c r="H24" s="419"/>
      <c r="I24" s="217">
        <f t="shared" si="0"/>
        <v>0</v>
      </c>
    </row>
    <row r="25" spans="1:9" ht="60">
      <c r="A25" s="168">
        <v>14</v>
      </c>
      <c r="B25" s="193"/>
      <c r="C25" s="184" t="s">
        <v>359</v>
      </c>
      <c r="D25" s="185"/>
      <c r="E25" s="186"/>
      <c r="F25" s="620"/>
      <c r="G25" s="536">
        <v>0</v>
      </c>
      <c r="H25" s="536"/>
      <c r="I25" s="217">
        <f t="shared" si="0"/>
        <v>0</v>
      </c>
    </row>
    <row r="26" spans="1:9">
      <c r="A26" s="168"/>
      <c r="B26" s="193"/>
      <c r="C26" s="184" t="s">
        <v>67</v>
      </c>
      <c r="D26" s="169" t="s">
        <v>362</v>
      </c>
      <c r="E26" s="188">
        <v>15</v>
      </c>
      <c r="F26" s="621">
        <f>'MB Karim''s'!H51</f>
        <v>12.56</v>
      </c>
      <c r="G26" s="534">
        <v>4050</v>
      </c>
      <c r="H26" s="537">
        <f>$E26*G26</f>
        <v>60750</v>
      </c>
      <c r="I26" s="217">
        <f t="shared" si="0"/>
        <v>50868</v>
      </c>
    </row>
    <row r="27" spans="1:9" ht="60">
      <c r="A27" s="168">
        <v>15</v>
      </c>
      <c r="B27" s="185"/>
      <c r="C27" s="184" t="s">
        <v>417</v>
      </c>
      <c r="D27" s="185"/>
      <c r="E27" s="186"/>
      <c r="F27" s="620"/>
      <c r="G27" s="536">
        <v>0</v>
      </c>
      <c r="H27" s="536"/>
      <c r="I27" s="217">
        <f t="shared" si="0"/>
        <v>0</v>
      </c>
    </row>
    <row r="28" spans="1:9">
      <c r="A28" s="187"/>
      <c r="B28" s="187"/>
      <c r="C28" s="184" t="s">
        <v>68</v>
      </c>
      <c r="D28" s="169" t="s">
        <v>89</v>
      </c>
      <c r="E28" s="188">
        <v>45</v>
      </c>
      <c r="F28" s="621">
        <f>'MB Karim''s'!H53</f>
        <v>37.516639999999995</v>
      </c>
      <c r="G28" s="534">
        <v>337.5</v>
      </c>
      <c r="H28" s="537">
        <f>$E28*G28</f>
        <v>15187.5</v>
      </c>
      <c r="I28" s="217">
        <f t="shared" si="0"/>
        <v>12661.865999999998</v>
      </c>
    </row>
    <row r="29" spans="1:9" ht="36">
      <c r="A29" s="187">
        <v>16</v>
      </c>
      <c r="B29" s="187"/>
      <c r="C29" s="184" t="s">
        <v>418</v>
      </c>
      <c r="D29" s="169" t="s">
        <v>89</v>
      </c>
      <c r="E29" s="188">
        <v>45</v>
      </c>
      <c r="F29" s="621"/>
      <c r="G29" s="534">
        <v>315</v>
      </c>
      <c r="H29" s="537">
        <f>$E29*G29</f>
        <v>14175</v>
      </c>
      <c r="I29" s="217">
        <f t="shared" si="0"/>
        <v>0</v>
      </c>
    </row>
    <row r="30" spans="1:9" ht="36">
      <c r="A30" s="187">
        <v>17</v>
      </c>
      <c r="B30" s="652"/>
      <c r="C30" s="653" t="s">
        <v>419</v>
      </c>
      <c r="D30" s="654" t="s">
        <v>89</v>
      </c>
      <c r="E30" s="655">
        <v>10</v>
      </c>
      <c r="F30" s="621">
        <f>'MB Karim''s'!H55</f>
        <v>11.188735999999999</v>
      </c>
      <c r="G30" s="618">
        <v>360</v>
      </c>
      <c r="H30" s="621">
        <f>$E30*G30</f>
        <v>3600</v>
      </c>
      <c r="I30" s="656">
        <f>G30*F30</f>
        <v>4027.9449599999994</v>
      </c>
    </row>
    <row r="31" spans="1:9">
      <c r="A31" s="187"/>
      <c r="B31" s="187"/>
      <c r="C31" s="184"/>
      <c r="D31" s="169"/>
      <c r="E31" s="188"/>
      <c r="F31" s="621"/>
      <c r="G31" s="534">
        <v>0</v>
      </c>
      <c r="H31" s="537"/>
      <c r="I31" s="217">
        <f t="shared" si="0"/>
        <v>0</v>
      </c>
    </row>
    <row r="32" spans="1:9">
      <c r="A32" s="187"/>
      <c r="B32" s="187" t="s">
        <v>56</v>
      </c>
      <c r="C32" s="184"/>
      <c r="D32" s="169"/>
      <c r="E32" s="194"/>
      <c r="F32" s="619"/>
      <c r="G32" s="534">
        <v>0</v>
      </c>
      <c r="H32" s="537"/>
      <c r="I32" s="217">
        <f t="shared" si="0"/>
        <v>0</v>
      </c>
    </row>
    <row r="33" spans="1:9" ht="60">
      <c r="A33" s="195">
        <v>18</v>
      </c>
      <c r="B33" s="187"/>
      <c r="C33" s="184" t="s">
        <v>55</v>
      </c>
      <c r="D33" s="169"/>
      <c r="E33" s="194"/>
      <c r="F33" s="619"/>
      <c r="G33" s="534">
        <v>0</v>
      </c>
      <c r="H33" s="537"/>
      <c r="I33" s="217">
        <f t="shared" si="0"/>
        <v>0</v>
      </c>
    </row>
    <row r="34" spans="1:9">
      <c r="A34" s="187"/>
      <c r="B34" s="187"/>
      <c r="C34" s="184" t="s">
        <v>68</v>
      </c>
      <c r="D34" s="169" t="s">
        <v>362</v>
      </c>
      <c r="E34" s="188">
        <v>28</v>
      </c>
      <c r="F34" s="621"/>
      <c r="G34" s="534">
        <v>4050</v>
      </c>
      <c r="H34" s="537">
        <f>$E34*G34</f>
        <v>113400</v>
      </c>
      <c r="I34" s="217">
        <f t="shared" si="0"/>
        <v>0</v>
      </c>
    </row>
    <row r="35" spans="1:9">
      <c r="A35" s="187"/>
      <c r="B35" s="187" t="s">
        <v>60</v>
      </c>
      <c r="C35" s="184"/>
      <c r="D35" s="169"/>
      <c r="E35" s="194"/>
      <c r="F35" s="619"/>
      <c r="G35" s="534">
        <v>0</v>
      </c>
      <c r="H35" s="537"/>
      <c r="I35" s="217">
        <f t="shared" si="0"/>
        <v>0</v>
      </c>
    </row>
    <row r="36" spans="1:9" ht="36">
      <c r="A36" s="195">
        <v>19</v>
      </c>
      <c r="B36" s="195" t="s">
        <v>65</v>
      </c>
      <c r="C36" s="177" t="s">
        <v>57</v>
      </c>
      <c r="D36" s="169"/>
      <c r="E36" s="194"/>
      <c r="F36" s="619"/>
      <c r="G36" s="534">
        <v>0</v>
      </c>
      <c r="H36" s="537"/>
      <c r="I36" s="217">
        <f t="shared" si="0"/>
        <v>0</v>
      </c>
    </row>
    <row r="37" spans="1:9">
      <c r="A37" s="187"/>
      <c r="B37" s="187"/>
      <c r="C37" s="184" t="s">
        <v>58</v>
      </c>
      <c r="D37" s="169" t="s">
        <v>89</v>
      </c>
      <c r="E37" s="188">
        <v>456</v>
      </c>
      <c r="F37" s="621">
        <f>'MB Karim''s'!H62</f>
        <v>376.36326000000003</v>
      </c>
      <c r="G37" s="534">
        <v>121.5</v>
      </c>
      <c r="H37" s="537">
        <f>$E37*G37</f>
        <v>55404</v>
      </c>
      <c r="I37" s="217">
        <f t="shared" si="0"/>
        <v>45728.13609</v>
      </c>
    </row>
    <row r="38" spans="1:9" ht="84">
      <c r="A38" s="195">
        <v>20</v>
      </c>
      <c r="B38" s="195" t="s">
        <v>59</v>
      </c>
      <c r="C38" s="196" t="s">
        <v>420</v>
      </c>
      <c r="D38" s="170" t="s">
        <v>89</v>
      </c>
      <c r="E38" s="197">
        <v>520</v>
      </c>
      <c r="F38" s="623">
        <f>'MB Karim''s'!H70</f>
        <v>215.60291999999995</v>
      </c>
      <c r="G38" s="534">
        <v>171</v>
      </c>
      <c r="H38" s="534">
        <f>$E38*G38</f>
        <v>88920</v>
      </c>
      <c r="I38" s="217">
        <f t="shared" si="0"/>
        <v>36868.099319999994</v>
      </c>
    </row>
    <row r="39" spans="1:9" ht="96">
      <c r="A39" s="195">
        <v>21</v>
      </c>
      <c r="B39" s="195" t="s">
        <v>64</v>
      </c>
      <c r="C39" s="196" t="s">
        <v>421</v>
      </c>
      <c r="D39" s="170" t="s">
        <v>89</v>
      </c>
      <c r="E39" s="197">
        <v>60</v>
      </c>
      <c r="F39" s="623">
        <f>'MB Karim''s'!H84</f>
        <v>759.26564999999994</v>
      </c>
      <c r="G39" s="534">
        <v>121.5</v>
      </c>
      <c r="H39" s="534">
        <f>G39*F39</f>
        <v>92250.776474999991</v>
      </c>
      <c r="I39" s="217">
        <f t="shared" si="0"/>
        <v>92250.776474999991</v>
      </c>
    </row>
    <row r="40" spans="1:9">
      <c r="A40" s="195"/>
      <c r="B40" s="195" t="s">
        <v>61</v>
      </c>
      <c r="C40" s="196"/>
      <c r="D40" s="170"/>
      <c r="E40" s="197"/>
      <c r="F40" s="623"/>
      <c r="G40" s="534">
        <v>0</v>
      </c>
      <c r="H40" s="534"/>
      <c r="I40" s="217">
        <f t="shared" si="0"/>
        <v>0</v>
      </c>
    </row>
    <row r="41" spans="1:9" ht="144">
      <c r="A41" s="195">
        <v>22</v>
      </c>
      <c r="B41" s="195" t="s">
        <v>63</v>
      </c>
      <c r="C41" s="176" t="s">
        <v>90</v>
      </c>
      <c r="D41" s="170"/>
      <c r="E41" s="197"/>
      <c r="F41" s="623"/>
      <c r="G41" s="534">
        <v>0</v>
      </c>
      <c r="H41" s="534"/>
      <c r="I41" s="217">
        <f t="shared" si="0"/>
        <v>0</v>
      </c>
    </row>
    <row r="42" spans="1:9">
      <c r="A42" s="195"/>
      <c r="B42" s="195"/>
      <c r="C42" s="176" t="s">
        <v>62</v>
      </c>
      <c r="D42" s="170" t="s">
        <v>89</v>
      </c>
      <c r="E42" s="197">
        <v>130</v>
      </c>
      <c r="F42" s="623">
        <f>'MB Karim''s'!H87</f>
        <v>97.414200000000008</v>
      </c>
      <c r="G42" s="534">
        <v>103.5</v>
      </c>
      <c r="H42" s="534">
        <f>$E42*G42</f>
        <v>13455</v>
      </c>
      <c r="I42" s="217">
        <f t="shared" si="0"/>
        <v>10082.369700000001</v>
      </c>
    </row>
    <row r="43" spans="1:9" ht="36">
      <c r="A43" s="195">
        <v>22.1</v>
      </c>
      <c r="B43" s="198" t="s">
        <v>374</v>
      </c>
      <c r="C43" s="199" t="s">
        <v>375</v>
      </c>
      <c r="D43" s="157"/>
      <c r="E43" s="197"/>
      <c r="F43" s="623"/>
      <c r="G43" s="534">
        <v>0</v>
      </c>
      <c r="H43" s="534"/>
      <c r="I43" s="217">
        <f t="shared" si="0"/>
        <v>0</v>
      </c>
    </row>
    <row r="44" spans="1:9">
      <c r="A44" s="195"/>
      <c r="B44" s="195"/>
      <c r="C44" s="199" t="s">
        <v>376</v>
      </c>
      <c r="D44" s="170" t="s">
        <v>89</v>
      </c>
      <c r="E44" s="197">
        <v>250</v>
      </c>
      <c r="F44" s="623">
        <f>'MB Karim''s'!H92</f>
        <v>363.71555999999998</v>
      </c>
      <c r="G44" s="534">
        <v>193.5</v>
      </c>
      <c r="H44" s="534">
        <f>$E44*G44</f>
        <v>48375</v>
      </c>
      <c r="I44" s="217">
        <f t="shared" si="0"/>
        <v>70378.960859999992</v>
      </c>
    </row>
    <row r="45" spans="1:9">
      <c r="A45" s="200"/>
      <c r="B45" s="170" t="s">
        <v>70</v>
      </c>
      <c r="C45" s="189"/>
      <c r="D45" s="170"/>
      <c r="E45" s="171"/>
      <c r="F45" s="618"/>
      <c r="G45" s="534">
        <v>0</v>
      </c>
      <c r="H45" s="534"/>
      <c r="I45" s="217">
        <f t="shared" si="0"/>
        <v>0</v>
      </c>
    </row>
    <row r="46" spans="1:9" ht="48">
      <c r="A46" s="200">
        <v>23</v>
      </c>
      <c r="B46" s="170" t="s">
        <v>71</v>
      </c>
      <c r="C46" s="201" t="s">
        <v>72</v>
      </c>
      <c r="D46" s="170" t="s">
        <v>28</v>
      </c>
      <c r="E46" s="171">
        <v>1</v>
      </c>
      <c r="F46" s="618">
        <f>'MB Karim''s'!H94</f>
        <v>1</v>
      </c>
      <c r="G46" s="534">
        <v>32400</v>
      </c>
      <c r="H46" s="534">
        <f>$E46*G46</f>
        <v>32400</v>
      </c>
      <c r="I46" s="217">
        <f t="shared" si="0"/>
        <v>32400</v>
      </c>
    </row>
    <row r="47" spans="1:9">
      <c r="A47" s="200"/>
      <c r="B47" s="170"/>
      <c r="C47" s="183" t="s">
        <v>82</v>
      </c>
      <c r="D47" s="170"/>
      <c r="E47" s="171"/>
      <c r="F47" s="618"/>
      <c r="G47" s="534">
        <v>0</v>
      </c>
      <c r="H47" s="534"/>
      <c r="I47" s="217">
        <f t="shared" si="0"/>
        <v>0</v>
      </c>
    </row>
    <row r="48" spans="1:9">
      <c r="A48" s="200"/>
      <c r="B48" s="202" t="s">
        <v>74</v>
      </c>
      <c r="C48" s="183" t="s">
        <v>73</v>
      </c>
      <c r="D48" s="170"/>
      <c r="E48" s="171"/>
      <c r="F48" s="618"/>
      <c r="G48" s="534">
        <v>0</v>
      </c>
      <c r="H48" s="534"/>
      <c r="I48" s="217">
        <f t="shared" si="0"/>
        <v>0</v>
      </c>
    </row>
    <row r="49" spans="1:9" ht="24">
      <c r="A49" s="200"/>
      <c r="B49" s="202" t="s">
        <v>74</v>
      </c>
      <c r="C49" s="201" t="s">
        <v>75</v>
      </c>
      <c r="D49" s="170"/>
      <c r="E49" s="171"/>
      <c r="F49" s="618"/>
      <c r="G49" s="534">
        <v>0</v>
      </c>
      <c r="H49" s="534"/>
      <c r="I49" s="217">
        <f t="shared" si="0"/>
        <v>0</v>
      </c>
    </row>
    <row r="50" spans="1:9">
      <c r="A50" s="200"/>
      <c r="B50" s="202" t="s">
        <v>74</v>
      </c>
      <c r="C50" s="183" t="s">
        <v>76</v>
      </c>
      <c r="D50" s="170"/>
      <c r="E50" s="171"/>
      <c r="F50" s="618"/>
      <c r="G50" s="534">
        <v>0</v>
      </c>
      <c r="H50" s="534"/>
      <c r="I50" s="217">
        <f t="shared" si="0"/>
        <v>0</v>
      </c>
    </row>
    <row r="51" spans="1:9">
      <c r="A51" s="200"/>
      <c r="B51" s="202" t="s">
        <v>74</v>
      </c>
      <c r="C51" s="183" t="s">
        <v>77</v>
      </c>
      <c r="D51" s="170"/>
      <c r="E51" s="171"/>
      <c r="F51" s="618"/>
      <c r="G51" s="534">
        <v>0</v>
      </c>
      <c r="H51" s="534"/>
      <c r="I51" s="217">
        <f t="shared" si="0"/>
        <v>0</v>
      </c>
    </row>
    <row r="52" spans="1:9" ht="48">
      <c r="A52" s="200">
        <v>24</v>
      </c>
      <c r="B52" s="170" t="s">
        <v>78</v>
      </c>
      <c r="C52" s="183" t="s">
        <v>79</v>
      </c>
      <c r="D52" s="170" t="s">
        <v>28</v>
      </c>
      <c r="E52" s="171">
        <v>1</v>
      </c>
      <c r="F52" s="618"/>
      <c r="G52" s="534">
        <v>49500</v>
      </c>
      <c r="H52" s="534">
        <f>$E52*G52</f>
        <v>49500</v>
      </c>
      <c r="I52" s="217">
        <f t="shared" si="0"/>
        <v>0</v>
      </c>
    </row>
    <row r="53" spans="1:9">
      <c r="A53" s="200"/>
      <c r="B53" s="170"/>
      <c r="C53" s="183" t="s">
        <v>83</v>
      </c>
      <c r="D53" s="170"/>
      <c r="E53" s="171"/>
      <c r="F53" s="618"/>
      <c r="G53" s="534">
        <v>0</v>
      </c>
      <c r="H53" s="534"/>
      <c r="I53" s="217">
        <f t="shared" si="0"/>
        <v>0</v>
      </c>
    </row>
    <row r="54" spans="1:9" ht="24">
      <c r="A54" s="200"/>
      <c r="B54" s="202" t="s">
        <v>74</v>
      </c>
      <c r="C54" s="183" t="s">
        <v>80</v>
      </c>
      <c r="D54" s="170"/>
      <c r="E54" s="171"/>
      <c r="F54" s="618"/>
      <c r="G54" s="534">
        <v>0</v>
      </c>
      <c r="H54" s="534"/>
      <c r="I54" s="217">
        <f t="shared" si="0"/>
        <v>0</v>
      </c>
    </row>
    <row r="55" spans="1:9">
      <c r="A55" s="200"/>
      <c r="B55" s="202" t="s">
        <v>74</v>
      </c>
      <c r="C55" s="183" t="s">
        <v>81</v>
      </c>
      <c r="D55" s="170"/>
      <c r="E55" s="171"/>
      <c r="F55" s="618"/>
      <c r="G55" s="534">
        <v>0</v>
      </c>
      <c r="H55" s="534"/>
      <c r="I55" s="217">
        <f t="shared" si="0"/>
        <v>0</v>
      </c>
    </row>
    <row r="56" spans="1:9">
      <c r="A56" s="200">
        <v>25</v>
      </c>
      <c r="B56" s="203" t="s">
        <v>91</v>
      </c>
      <c r="C56" s="204" t="s">
        <v>44</v>
      </c>
      <c r="D56" s="200" t="s">
        <v>362</v>
      </c>
      <c r="E56" s="188">
        <v>10</v>
      </c>
      <c r="F56" s="621"/>
      <c r="G56" s="534">
        <v>270</v>
      </c>
      <c r="H56" s="534">
        <f>$E56*G56</f>
        <v>2700</v>
      </c>
      <c r="I56" s="217">
        <f t="shared" si="0"/>
        <v>0</v>
      </c>
    </row>
    <row r="57" spans="1:9">
      <c r="A57" s="205"/>
      <c r="B57" s="206"/>
      <c r="C57" s="183"/>
      <c r="D57" s="205"/>
      <c r="E57" s="188"/>
      <c r="F57" s="621"/>
      <c r="G57" s="534">
        <v>0</v>
      </c>
      <c r="H57" s="534"/>
      <c r="I57" s="217">
        <f t="shared" si="0"/>
        <v>0</v>
      </c>
    </row>
    <row r="58" spans="1:9" ht="96">
      <c r="A58" s="200">
        <v>26</v>
      </c>
      <c r="B58" s="206" t="s">
        <v>85</v>
      </c>
      <c r="C58" s="207" t="s">
        <v>86</v>
      </c>
      <c r="D58" s="205"/>
      <c r="E58" s="188"/>
      <c r="F58" s="621"/>
      <c r="G58" s="534">
        <v>0</v>
      </c>
      <c r="H58" s="534"/>
      <c r="I58" s="217">
        <f t="shared" si="0"/>
        <v>0</v>
      </c>
    </row>
    <row r="59" spans="1:9">
      <c r="A59" s="205"/>
      <c r="B59" s="208" t="s">
        <v>74</v>
      </c>
      <c r="C59" s="183" t="s">
        <v>87</v>
      </c>
      <c r="D59" s="205" t="s">
        <v>88</v>
      </c>
      <c r="E59" s="188">
        <v>400</v>
      </c>
      <c r="F59" s="621">
        <f>'MB Karim''s'!H100</f>
        <v>34.444800000000001</v>
      </c>
      <c r="G59" s="534">
        <v>31.5</v>
      </c>
      <c r="H59" s="534">
        <f>$E59*G59</f>
        <v>12600</v>
      </c>
      <c r="I59" s="217">
        <f t="shared" si="0"/>
        <v>1085.0111999999999</v>
      </c>
    </row>
    <row r="60" spans="1:9" ht="48">
      <c r="A60" s="205">
        <v>27</v>
      </c>
      <c r="B60" s="206" t="s">
        <v>188</v>
      </c>
      <c r="C60" s="183" t="s">
        <v>373</v>
      </c>
      <c r="D60" s="205" t="s">
        <v>48</v>
      </c>
      <c r="E60" s="539">
        <v>1</v>
      </c>
      <c r="F60" s="618">
        <v>0</v>
      </c>
      <c r="G60" s="534">
        <v>13500</v>
      </c>
      <c r="H60" s="534">
        <f>$E60*G60</f>
        <v>13500</v>
      </c>
      <c r="I60" s="217">
        <f t="shared" si="0"/>
        <v>0</v>
      </c>
    </row>
    <row r="61" spans="1:9">
      <c r="A61" s="205"/>
      <c r="B61" s="208"/>
      <c r="C61" s="183"/>
      <c r="D61" s="205"/>
      <c r="E61" s="188"/>
      <c r="F61" s="621"/>
      <c r="G61" s="534">
        <v>0</v>
      </c>
      <c r="H61" s="534"/>
      <c r="I61" s="217">
        <f t="shared" si="0"/>
        <v>0</v>
      </c>
    </row>
    <row r="62" spans="1:9">
      <c r="A62" s="205"/>
      <c r="B62" s="206"/>
      <c r="C62" s="183"/>
      <c r="D62" s="205"/>
      <c r="E62" s="188" t="s">
        <v>69</v>
      </c>
      <c r="F62" s="621"/>
      <c r="G62" s="534">
        <v>0</v>
      </c>
      <c r="H62" s="534"/>
      <c r="I62" s="217">
        <f t="shared" si="0"/>
        <v>0</v>
      </c>
    </row>
    <row r="63" spans="1:9">
      <c r="A63" s="210"/>
      <c r="B63" s="211"/>
      <c r="C63" s="212" t="s">
        <v>8</v>
      </c>
      <c r="D63" s="210"/>
      <c r="E63" s="213"/>
      <c r="F63" s="624"/>
      <c r="G63" s="540">
        <v>0</v>
      </c>
      <c r="H63" s="541">
        <f>SUM(H4:H60)</f>
        <v>770667.27647499996</v>
      </c>
      <c r="I63" s="585">
        <f>SUM(I4:I62)</f>
        <v>517113.15552499995</v>
      </c>
    </row>
    <row r="64" spans="1:9" ht="15">
      <c r="A64" s="205"/>
      <c r="B64" s="177"/>
      <c r="C64" s="358" t="s">
        <v>628</v>
      </c>
      <c r="D64" s="205"/>
      <c r="E64" s="222"/>
      <c r="F64" s="624"/>
      <c r="G64" s="421">
        <v>0</v>
      </c>
      <c r="H64" s="436">
        <f>H63*0.18</f>
        <v>138720.10976549998</v>
      </c>
      <c r="I64" s="217">
        <f>I63*0.18</f>
        <v>93080.367994499989</v>
      </c>
    </row>
    <row r="65" spans="1:9" ht="15">
      <c r="A65" s="153"/>
      <c r="B65" s="154"/>
      <c r="C65" s="542" t="s">
        <v>629</v>
      </c>
      <c r="D65" s="156"/>
      <c r="E65" s="151"/>
      <c r="F65" s="625"/>
      <c r="G65" s="543">
        <v>0</v>
      </c>
      <c r="H65" s="544">
        <f>SUM(H63:H64)</f>
        <v>909387.38624049991</v>
      </c>
      <c r="I65" s="161">
        <f>SUM(I63:I64)</f>
        <v>610193.52351949993</v>
      </c>
    </row>
    <row r="66" spans="1:9" ht="24.95" customHeight="1">
      <c r="A66" s="840" t="s">
        <v>805</v>
      </c>
      <c r="B66" s="841"/>
      <c r="C66" s="841"/>
      <c r="D66" s="841"/>
      <c r="E66" s="841"/>
      <c r="F66" s="841"/>
      <c r="G66" s="841"/>
      <c r="H66" s="841"/>
      <c r="I66" s="842"/>
    </row>
    <row r="67" spans="1:9" ht="15">
      <c r="A67" s="153">
        <v>1</v>
      </c>
      <c r="B67" s="154"/>
      <c r="C67" s="707" t="s">
        <v>703</v>
      </c>
      <c r="D67" s="156" t="s">
        <v>705</v>
      </c>
      <c r="E67" s="151"/>
      <c r="F67" s="625">
        <f>'MB Karim''s'!H105</f>
        <v>40.147199999999991</v>
      </c>
      <c r="G67" s="543">
        <v>250</v>
      </c>
      <c r="H67" s="544"/>
      <c r="I67" s="452">
        <f>G67*F67</f>
        <v>10036.799999999997</v>
      </c>
    </row>
    <row r="68" spans="1:9" ht="15">
      <c r="A68" s="153"/>
      <c r="B68" s="154"/>
      <c r="C68" s="542"/>
      <c r="D68" s="156"/>
      <c r="E68" s="151"/>
      <c r="F68" s="625"/>
      <c r="G68" s="543"/>
      <c r="H68" s="544"/>
      <c r="I68" s="452"/>
    </row>
    <row r="69" spans="1:9" ht="30">
      <c r="A69" s="153">
        <v>2</v>
      </c>
      <c r="B69" s="154"/>
      <c r="C69" s="710" t="s">
        <v>706</v>
      </c>
      <c r="D69" s="156" t="s">
        <v>626</v>
      </c>
      <c r="E69" s="151"/>
      <c r="F69" s="625">
        <f>'MB Karim''s'!H107</f>
        <v>31.1025344</v>
      </c>
      <c r="G69" s="543">
        <v>600</v>
      </c>
      <c r="H69" s="544"/>
      <c r="I69" s="452">
        <f>G69*F69</f>
        <v>18661.520639999999</v>
      </c>
    </row>
    <row r="70" spans="1:9" ht="15">
      <c r="A70" s="153"/>
      <c r="B70" s="154"/>
      <c r="C70" s="542"/>
      <c r="D70" s="156"/>
      <c r="E70" s="151"/>
      <c r="F70" s="625"/>
      <c r="G70" s="543"/>
      <c r="H70" s="544"/>
      <c r="I70" s="452"/>
    </row>
    <row r="71" spans="1:9" ht="15">
      <c r="A71" s="153">
        <v>3</v>
      </c>
      <c r="B71" s="154"/>
      <c r="C71" s="707" t="s">
        <v>707</v>
      </c>
      <c r="D71" s="156" t="s">
        <v>28</v>
      </c>
      <c r="E71" s="151"/>
      <c r="F71" s="625">
        <f>'MB Karim''s'!H109</f>
        <v>2</v>
      </c>
      <c r="G71" s="543">
        <v>4000</v>
      </c>
      <c r="H71" s="544"/>
      <c r="I71" s="452">
        <f>G71*F71</f>
        <v>8000</v>
      </c>
    </row>
    <row r="72" spans="1:9" ht="15">
      <c r="A72" s="153"/>
      <c r="B72" s="154"/>
      <c r="C72" s="542"/>
      <c r="D72" s="156"/>
      <c r="E72" s="151"/>
      <c r="F72" s="625"/>
      <c r="G72" s="543"/>
      <c r="H72" s="544"/>
      <c r="I72" s="452"/>
    </row>
    <row r="73" spans="1:9" ht="15">
      <c r="A73" s="153">
        <v>4</v>
      </c>
      <c r="B73" s="154"/>
      <c r="C73" s="707" t="s">
        <v>708</v>
      </c>
      <c r="D73" s="156" t="s">
        <v>626</v>
      </c>
      <c r="E73" s="151"/>
      <c r="F73" s="625">
        <f>'MB Karim''s'!H111</f>
        <v>17.056000000000001</v>
      </c>
      <c r="G73" s="543">
        <v>35</v>
      </c>
      <c r="H73" s="544"/>
      <c r="I73" s="452">
        <f>G73*F73</f>
        <v>596.96</v>
      </c>
    </row>
    <row r="74" spans="1:9" ht="15">
      <c r="A74" s="153"/>
      <c r="B74" s="154"/>
      <c r="C74" s="542"/>
      <c r="D74" s="156"/>
      <c r="E74" s="151"/>
      <c r="F74" s="625"/>
      <c r="G74" s="543"/>
      <c r="H74" s="544"/>
      <c r="I74" s="452"/>
    </row>
    <row r="75" spans="1:9" ht="30">
      <c r="A75" s="153">
        <v>5</v>
      </c>
      <c r="B75" s="154"/>
      <c r="C75" s="710" t="s">
        <v>710</v>
      </c>
      <c r="D75" s="156" t="s">
        <v>626</v>
      </c>
      <c r="E75" s="151"/>
      <c r="F75" s="625">
        <f>'MB Karim''s'!H116</f>
        <v>21.592108799999995</v>
      </c>
      <c r="G75" s="543">
        <v>350</v>
      </c>
      <c r="H75" s="544"/>
      <c r="I75" s="452">
        <f>G75*F75</f>
        <v>7557.2380799999983</v>
      </c>
    </row>
    <row r="76" spans="1:9" ht="15">
      <c r="A76" s="153"/>
      <c r="B76" s="154"/>
      <c r="C76" s="542"/>
      <c r="D76" s="156"/>
      <c r="E76" s="151"/>
      <c r="F76" s="625"/>
      <c r="G76" s="543"/>
      <c r="H76" s="544"/>
      <c r="I76" s="452"/>
    </row>
    <row r="77" spans="1:9" ht="15">
      <c r="A77" s="153">
        <v>6</v>
      </c>
      <c r="B77" s="154"/>
      <c r="C77" s="707" t="s">
        <v>711</v>
      </c>
      <c r="D77" s="156" t="s">
        <v>626</v>
      </c>
      <c r="E77" s="151"/>
      <c r="F77" s="625">
        <f>'MB Karim''s'!H118</f>
        <v>66.013542399999992</v>
      </c>
      <c r="G77" s="543">
        <v>100</v>
      </c>
      <c r="H77" s="544"/>
      <c r="I77" s="452">
        <f>G77*F77</f>
        <v>6601.3542399999988</v>
      </c>
    </row>
    <row r="78" spans="1:9" ht="15">
      <c r="A78" s="153"/>
      <c r="B78" s="154"/>
      <c r="C78" s="542"/>
      <c r="D78" s="156"/>
      <c r="E78" s="151"/>
      <c r="F78" s="625"/>
      <c r="G78" s="543"/>
      <c r="H78" s="544"/>
      <c r="I78" s="452"/>
    </row>
    <row r="79" spans="1:9" ht="15">
      <c r="A79" s="153">
        <v>7</v>
      </c>
      <c r="B79" s="154"/>
      <c r="C79" s="707" t="s">
        <v>712</v>
      </c>
      <c r="D79" s="156" t="s">
        <v>626</v>
      </c>
      <c r="E79" s="151"/>
      <c r="F79" s="625">
        <f>'MB Karim''s'!H120</f>
        <v>3.2275199999999993</v>
      </c>
      <c r="G79" s="543">
        <v>150</v>
      </c>
      <c r="H79" s="544"/>
      <c r="I79" s="452">
        <f>G79*F79</f>
        <v>484.12799999999987</v>
      </c>
    </row>
    <row r="80" spans="1:9" ht="15">
      <c r="A80" s="153"/>
      <c r="B80" s="154"/>
      <c r="C80" s="542"/>
      <c r="D80" s="156"/>
      <c r="E80" s="151"/>
      <c r="F80" s="625"/>
      <c r="G80" s="543"/>
      <c r="H80" s="544"/>
      <c r="I80" s="452"/>
    </row>
    <row r="81" spans="1:9" ht="15">
      <c r="A81" s="153">
        <v>8</v>
      </c>
      <c r="B81" s="154"/>
      <c r="C81" s="707" t="s">
        <v>713</v>
      </c>
      <c r="D81" s="156" t="s">
        <v>28</v>
      </c>
      <c r="E81" s="151"/>
      <c r="F81" s="625">
        <f>'MB Karim''s'!H122</f>
        <v>3</v>
      </c>
      <c r="G81" s="543">
        <v>1000</v>
      </c>
      <c r="H81" s="544"/>
      <c r="I81" s="452">
        <f>G81*F81</f>
        <v>3000</v>
      </c>
    </row>
    <row r="82" spans="1:9" ht="15">
      <c r="A82" s="153"/>
      <c r="B82" s="154"/>
      <c r="C82" s="542"/>
      <c r="D82" s="156"/>
      <c r="E82" s="151"/>
      <c r="F82" s="625"/>
      <c r="G82" s="543"/>
      <c r="H82" s="544"/>
      <c r="I82" s="452"/>
    </row>
    <row r="83" spans="1:9" ht="15">
      <c r="A83" s="153">
        <v>9</v>
      </c>
      <c r="B83" s="154"/>
      <c r="C83" s="707" t="s">
        <v>714</v>
      </c>
      <c r="D83" s="156" t="s">
        <v>28</v>
      </c>
      <c r="E83" s="151"/>
      <c r="F83" s="625">
        <f>'MB Karim''s'!H124</f>
        <v>1</v>
      </c>
      <c r="G83" s="543">
        <v>1000</v>
      </c>
      <c r="H83" s="544"/>
      <c r="I83" s="452">
        <f>G83*F83</f>
        <v>1000</v>
      </c>
    </row>
    <row r="84" spans="1:9" ht="15">
      <c r="A84" s="153"/>
      <c r="B84" s="154"/>
      <c r="C84" s="542"/>
      <c r="D84" s="156"/>
      <c r="E84" s="151"/>
      <c r="F84" s="625"/>
      <c r="G84" s="543"/>
      <c r="H84" s="544"/>
      <c r="I84" s="452"/>
    </row>
    <row r="85" spans="1:9" ht="15">
      <c r="A85" s="153">
        <v>10</v>
      </c>
      <c r="B85" s="154"/>
      <c r="C85" s="707" t="s">
        <v>715</v>
      </c>
      <c r="D85" s="156" t="s">
        <v>626</v>
      </c>
      <c r="E85" s="151"/>
      <c r="F85" s="625">
        <v>0</v>
      </c>
      <c r="G85" s="543">
        <v>30</v>
      </c>
      <c r="H85" s="544"/>
      <c r="I85" s="452">
        <f>G85*F85</f>
        <v>0</v>
      </c>
    </row>
    <row r="86" spans="1:9" ht="15">
      <c r="A86" s="153"/>
      <c r="B86" s="154"/>
      <c r="C86" s="542"/>
      <c r="D86" s="156"/>
      <c r="E86" s="151"/>
      <c r="F86" s="625"/>
      <c r="G86" s="543"/>
      <c r="H86" s="544"/>
      <c r="I86" s="452"/>
    </row>
    <row r="87" spans="1:9" ht="15">
      <c r="A87" s="153">
        <v>11</v>
      </c>
      <c r="B87" s="154"/>
      <c r="C87" s="707" t="s">
        <v>718</v>
      </c>
      <c r="D87" s="156" t="s">
        <v>28</v>
      </c>
      <c r="E87" s="151"/>
      <c r="F87" s="625">
        <f>'MB Karim''s'!H134</f>
        <v>2</v>
      </c>
      <c r="G87" s="543">
        <v>3500</v>
      </c>
      <c r="H87" s="544"/>
      <c r="I87" s="452">
        <f>G87*F87</f>
        <v>7000</v>
      </c>
    </row>
    <row r="88" spans="1:9" ht="15">
      <c r="A88" s="153"/>
      <c r="B88" s="154"/>
      <c r="C88" s="542"/>
      <c r="D88" s="156"/>
      <c r="E88" s="151"/>
      <c r="F88" s="625"/>
      <c r="G88" s="543"/>
      <c r="H88" s="544"/>
      <c r="I88" s="452"/>
    </row>
    <row r="89" spans="1:9" ht="15">
      <c r="A89" s="153">
        <v>12</v>
      </c>
      <c r="B89" s="154"/>
      <c r="C89" s="707" t="s">
        <v>719</v>
      </c>
      <c r="D89" s="156" t="s">
        <v>28</v>
      </c>
      <c r="E89" s="151"/>
      <c r="F89" s="625">
        <f>'MB Karim''s'!H136</f>
        <v>6</v>
      </c>
      <c r="G89" s="543">
        <v>1500</v>
      </c>
      <c r="H89" s="544"/>
      <c r="I89" s="452">
        <f>G89*F89</f>
        <v>9000</v>
      </c>
    </row>
    <row r="90" spans="1:9" ht="15">
      <c r="A90" s="153"/>
      <c r="B90" s="154"/>
      <c r="C90" s="542"/>
      <c r="D90" s="156"/>
      <c r="E90" s="151"/>
      <c r="F90" s="625"/>
      <c r="G90" s="543"/>
      <c r="H90" s="544"/>
      <c r="I90" s="452"/>
    </row>
    <row r="91" spans="1:9" ht="15">
      <c r="A91" s="153">
        <v>13</v>
      </c>
      <c r="B91" s="154"/>
      <c r="C91" s="721" t="s">
        <v>786</v>
      </c>
      <c r="D91" s="156" t="s">
        <v>626</v>
      </c>
      <c r="E91" s="151"/>
      <c r="F91" s="625">
        <f>'MB Karim''s'!H138</f>
        <v>26.3701504</v>
      </c>
      <c r="G91" s="543">
        <v>250</v>
      </c>
      <c r="H91" s="544"/>
      <c r="I91" s="452">
        <f>G91*F91</f>
        <v>6592.5375999999997</v>
      </c>
    </row>
    <row r="92" spans="1:9" ht="15">
      <c r="A92" s="153"/>
      <c r="B92" s="154"/>
      <c r="C92" s="542"/>
      <c r="D92" s="156"/>
      <c r="E92" s="151"/>
      <c r="F92" s="625"/>
      <c r="G92" s="543"/>
      <c r="H92" s="544"/>
      <c r="I92" s="161">
        <f>SUM(I67:I91)</f>
        <v>78530.538559999986</v>
      </c>
    </row>
    <row r="93" spans="1:9" ht="15">
      <c r="A93" s="153"/>
      <c r="B93" s="154"/>
      <c r="C93" s="542"/>
      <c r="D93" s="156"/>
      <c r="E93" s="151"/>
      <c r="F93" s="625"/>
      <c r="G93" s="543"/>
      <c r="H93" s="544"/>
      <c r="I93" s="161"/>
    </row>
    <row r="94" spans="1:9" ht="15">
      <c r="A94" s="153"/>
      <c r="B94" s="154"/>
      <c r="C94" s="542"/>
      <c r="D94" s="156"/>
      <c r="E94" s="151"/>
      <c r="F94" s="625"/>
      <c r="G94" s="543"/>
      <c r="H94" s="544"/>
      <c r="I94" s="161"/>
    </row>
    <row r="95" spans="1:9" ht="15">
      <c r="A95" s="153" t="s">
        <v>27</v>
      </c>
      <c r="B95" s="154" t="s">
        <v>132</v>
      </c>
      <c r="C95" s="542"/>
      <c r="D95" s="156"/>
      <c r="E95" s="151"/>
      <c r="F95" s="625"/>
      <c r="G95" s="543"/>
      <c r="H95" s="544"/>
      <c r="I95" s="161"/>
    </row>
    <row r="96" spans="1:9">
      <c r="A96" s="223" t="s">
        <v>135</v>
      </c>
      <c r="B96" s="223"/>
      <c r="C96" s="223" t="s">
        <v>134</v>
      </c>
      <c r="D96" s="223" t="s">
        <v>26</v>
      </c>
      <c r="E96" s="225" t="s">
        <v>133</v>
      </c>
      <c r="F96" s="545"/>
      <c r="G96" s="545"/>
      <c r="H96" s="545"/>
      <c r="I96" s="584"/>
    </row>
    <row r="97" spans="1:9" ht="84">
      <c r="A97" s="226">
        <v>1</v>
      </c>
      <c r="B97" s="157"/>
      <c r="C97" s="72" t="s">
        <v>131</v>
      </c>
      <c r="D97" s="227"/>
      <c r="E97" s="228"/>
      <c r="F97" s="626"/>
      <c r="G97" s="543">
        <v>0</v>
      </c>
      <c r="H97" s="543"/>
      <c r="I97" s="217"/>
    </row>
    <row r="98" spans="1:9">
      <c r="A98" s="226">
        <v>1.1000000000000001</v>
      </c>
      <c r="B98" s="157"/>
      <c r="C98" s="72" t="s">
        <v>130</v>
      </c>
      <c r="D98" s="226" t="s">
        <v>109</v>
      </c>
      <c r="E98" s="229">
        <v>30</v>
      </c>
      <c r="F98" s="627"/>
      <c r="G98" s="547">
        <v>180</v>
      </c>
      <c r="H98" s="547">
        <f>$E98*G98</f>
        <v>5400</v>
      </c>
      <c r="I98" s="217"/>
    </row>
    <row r="99" spans="1:9">
      <c r="A99" s="226">
        <v>1.2</v>
      </c>
      <c r="B99" s="157"/>
      <c r="C99" s="72" t="s">
        <v>129</v>
      </c>
      <c r="D99" s="226" t="s">
        <v>109</v>
      </c>
      <c r="E99" s="229">
        <v>6</v>
      </c>
      <c r="F99" s="627">
        <f>'MB Karim''s'!H145</f>
        <v>36.200000000000003</v>
      </c>
      <c r="G99" s="548">
        <v>202.5</v>
      </c>
      <c r="H99" s="547">
        <f>$E99*G99</f>
        <v>1215</v>
      </c>
      <c r="I99" s="217">
        <f>G99*F99</f>
        <v>7330.5000000000009</v>
      </c>
    </row>
    <row r="100" spans="1:9">
      <c r="A100" s="226">
        <v>1.3</v>
      </c>
      <c r="B100" s="157"/>
      <c r="C100" s="72" t="s">
        <v>128</v>
      </c>
      <c r="D100" s="226" t="s">
        <v>109</v>
      </c>
      <c r="E100" s="229">
        <v>3</v>
      </c>
      <c r="F100" s="627">
        <f>'MB Karim''s'!H146</f>
        <v>2</v>
      </c>
      <c r="G100" s="548">
        <v>270</v>
      </c>
      <c r="H100" s="547">
        <f>$E100*G100</f>
        <v>810</v>
      </c>
      <c r="I100" s="217">
        <f t="shared" ref="I100:I157" si="1">G100*F100</f>
        <v>540</v>
      </c>
    </row>
    <row r="101" spans="1:9">
      <c r="A101" s="226">
        <v>1.4</v>
      </c>
      <c r="B101" s="157"/>
      <c r="C101" s="72" t="s">
        <v>125</v>
      </c>
      <c r="D101" s="226" t="s">
        <v>109</v>
      </c>
      <c r="E101" s="228">
        <v>0</v>
      </c>
      <c r="F101" s="626"/>
      <c r="G101" s="548">
        <v>315</v>
      </c>
      <c r="H101" s="547"/>
      <c r="I101" s="217">
        <f t="shared" si="1"/>
        <v>0</v>
      </c>
    </row>
    <row r="102" spans="1:9">
      <c r="A102" s="226"/>
      <c r="B102" s="157"/>
      <c r="C102" s="72"/>
      <c r="D102" s="226"/>
      <c r="E102" s="228"/>
      <c r="F102" s="626"/>
      <c r="G102" s="547">
        <v>0</v>
      </c>
      <c r="H102" s="547"/>
      <c r="I102" s="217">
        <f t="shared" si="1"/>
        <v>0</v>
      </c>
    </row>
    <row r="103" spans="1:9" ht="24">
      <c r="A103" s="226">
        <v>2</v>
      </c>
      <c r="B103" s="157"/>
      <c r="C103" s="72" t="s">
        <v>127</v>
      </c>
      <c r="D103" s="226"/>
      <c r="E103" s="228"/>
      <c r="F103" s="626"/>
      <c r="G103" s="547">
        <v>0</v>
      </c>
      <c r="H103" s="547"/>
      <c r="I103" s="217">
        <f t="shared" si="1"/>
        <v>0</v>
      </c>
    </row>
    <row r="104" spans="1:9">
      <c r="A104" s="226">
        <v>2.1</v>
      </c>
      <c r="B104" s="157"/>
      <c r="C104" s="72" t="s">
        <v>363</v>
      </c>
      <c r="D104" s="230" t="s">
        <v>28</v>
      </c>
      <c r="E104" s="228">
        <v>4</v>
      </c>
      <c r="F104" s="626"/>
      <c r="G104" s="549">
        <v>675</v>
      </c>
      <c r="H104" s="547">
        <f>$E104*G104</f>
        <v>2700</v>
      </c>
      <c r="I104" s="217">
        <f t="shared" si="1"/>
        <v>0</v>
      </c>
    </row>
    <row r="105" spans="1:9">
      <c r="A105" s="226">
        <v>2.2000000000000002</v>
      </c>
      <c r="B105" s="157"/>
      <c r="C105" s="72" t="s">
        <v>126</v>
      </c>
      <c r="D105" s="230" t="s">
        <v>28</v>
      </c>
      <c r="E105" s="228">
        <v>2</v>
      </c>
      <c r="F105" s="626"/>
      <c r="G105" s="549">
        <v>765</v>
      </c>
      <c r="H105" s="547">
        <f>$E105*G105</f>
        <v>1530</v>
      </c>
      <c r="I105" s="217">
        <f t="shared" si="1"/>
        <v>0</v>
      </c>
    </row>
    <row r="106" spans="1:9">
      <c r="A106" s="226">
        <v>2.2999999999999998</v>
      </c>
      <c r="B106" s="157"/>
      <c r="C106" s="72" t="s">
        <v>122</v>
      </c>
      <c r="D106" s="230" t="s">
        <v>28</v>
      </c>
      <c r="E106" s="228" t="s">
        <v>31</v>
      </c>
      <c r="F106" s="626"/>
      <c r="G106" s="549">
        <v>945</v>
      </c>
      <c r="H106" s="547"/>
      <c r="I106" s="217">
        <f t="shared" si="1"/>
        <v>0</v>
      </c>
    </row>
    <row r="107" spans="1:9">
      <c r="A107" s="226">
        <v>2.4</v>
      </c>
      <c r="B107" s="157"/>
      <c r="C107" s="231" t="s">
        <v>125</v>
      </c>
      <c r="D107" s="230" t="s">
        <v>28</v>
      </c>
      <c r="E107" s="228">
        <v>0</v>
      </c>
      <c r="F107" s="626"/>
      <c r="G107" s="547">
        <v>1260</v>
      </c>
      <c r="H107" s="547"/>
      <c r="I107" s="217">
        <f t="shared" si="1"/>
        <v>0</v>
      </c>
    </row>
    <row r="108" spans="1:9">
      <c r="A108" s="226"/>
      <c r="B108" s="157"/>
      <c r="C108" s="231"/>
      <c r="D108" s="230"/>
      <c r="E108" s="228"/>
      <c r="F108" s="626"/>
      <c r="G108" s="547">
        <v>0</v>
      </c>
      <c r="H108" s="547"/>
      <c r="I108" s="217">
        <f t="shared" si="1"/>
        <v>0</v>
      </c>
    </row>
    <row r="109" spans="1:9" ht="24">
      <c r="A109" s="226">
        <v>3</v>
      </c>
      <c r="B109" s="157"/>
      <c r="C109" s="72" t="s">
        <v>124</v>
      </c>
      <c r="D109" s="230"/>
      <c r="E109" s="228"/>
      <c r="F109" s="626"/>
      <c r="G109" s="547">
        <v>0</v>
      </c>
      <c r="H109" s="547"/>
      <c r="I109" s="217">
        <f t="shared" si="1"/>
        <v>0</v>
      </c>
    </row>
    <row r="110" spans="1:9">
      <c r="A110" s="226">
        <v>3.1</v>
      </c>
      <c r="B110" s="157"/>
      <c r="C110" s="72" t="s">
        <v>122</v>
      </c>
      <c r="D110" s="230" t="s">
        <v>28</v>
      </c>
      <c r="E110" s="228" t="s">
        <v>31</v>
      </c>
      <c r="F110" s="626"/>
      <c r="G110" s="547">
        <v>2340</v>
      </c>
      <c r="H110" s="547"/>
      <c r="I110" s="217">
        <f t="shared" si="1"/>
        <v>0</v>
      </c>
    </row>
    <row r="111" spans="1:9">
      <c r="A111" s="226"/>
      <c r="B111" s="157"/>
      <c r="C111" s="231"/>
      <c r="D111" s="230"/>
      <c r="E111" s="228"/>
      <c r="F111" s="626"/>
      <c r="G111" s="547">
        <v>0</v>
      </c>
      <c r="H111" s="547"/>
      <c r="I111" s="217">
        <f t="shared" si="1"/>
        <v>0</v>
      </c>
    </row>
    <row r="112" spans="1:9" ht="24">
      <c r="A112" s="226">
        <v>4</v>
      </c>
      <c r="B112" s="157"/>
      <c r="C112" s="72" t="s">
        <v>123</v>
      </c>
      <c r="D112" s="230"/>
      <c r="E112" s="228"/>
      <c r="F112" s="626"/>
      <c r="G112" s="547">
        <v>0</v>
      </c>
      <c r="H112" s="547"/>
      <c r="I112" s="217">
        <f t="shared" si="1"/>
        <v>0</v>
      </c>
    </row>
    <row r="113" spans="1:9">
      <c r="A113" s="226">
        <v>4.0999999999999996</v>
      </c>
      <c r="B113" s="157"/>
      <c r="C113" s="72" t="s">
        <v>122</v>
      </c>
      <c r="D113" s="230" t="s">
        <v>28</v>
      </c>
      <c r="E113" s="228" t="s">
        <v>31</v>
      </c>
      <c r="F113" s="626"/>
      <c r="G113" s="547">
        <v>2700</v>
      </c>
      <c r="H113" s="547"/>
      <c r="I113" s="217">
        <f t="shared" si="1"/>
        <v>0</v>
      </c>
    </row>
    <row r="114" spans="1:9">
      <c r="A114" s="226"/>
      <c r="B114" s="157"/>
      <c r="C114" s="231"/>
      <c r="D114" s="230"/>
      <c r="E114" s="228"/>
      <c r="F114" s="626"/>
      <c r="G114" s="547">
        <v>0</v>
      </c>
      <c r="H114" s="547"/>
      <c r="I114" s="217">
        <f t="shared" si="1"/>
        <v>0</v>
      </c>
    </row>
    <row r="115" spans="1:9" ht="36">
      <c r="A115" s="226">
        <v>5</v>
      </c>
      <c r="B115" s="157"/>
      <c r="C115" s="72" t="s">
        <v>121</v>
      </c>
      <c r="D115" s="230"/>
      <c r="E115" s="228"/>
      <c r="F115" s="626"/>
      <c r="G115" s="547">
        <v>0</v>
      </c>
      <c r="H115" s="547"/>
      <c r="I115" s="217">
        <f t="shared" si="1"/>
        <v>0</v>
      </c>
    </row>
    <row r="116" spans="1:9">
      <c r="A116" s="226">
        <v>5.0999999999999996</v>
      </c>
      <c r="B116" s="157"/>
      <c r="C116" s="72" t="s">
        <v>422</v>
      </c>
      <c r="D116" s="230" t="s">
        <v>28</v>
      </c>
      <c r="E116" s="228" t="s">
        <v>31</v>
      </c>
      <c r="F116" s="626"/>
      <c r="G116" s="547">
        <v>3330</v>
      </c>
      <c r="H116" s="547"/>
      <c r="I116" s="217">
        <f t="shared" si="1"/>
        <v>0</v>
      </c>
    </row>
    <row r="117" spans="1:9">
      <c r="A117" s="226">
        <v>5.2</v>
      </c>
      <c r="B117" s="157"/>
      <c r="C117" s="72" t="s">
        <v>120</v>
      </c>
      <c r="D117" s="230" t="s">
        <v>28</v>
      </c>
      <c r="E117" s="228">
        <v>0</v>
      </c>
      <c r="F117" s="626"/>
      <c r="G117" s="547">
        <v>3847.5</v>
      </c>
      <c r="H117" s="547"/>
      <c r="I117" s="217">
        <f t="shared" si="1"/>
        <v>0</v>
      </c>
    </row>
    <row r="118" spans="1:9">
      <c r="A118" s="226">
        <v>5.3</v>
      </c>
      <c r="B118" s="157"/>
      <c r="C118" s="72" t="s">
        <v>423</v>
      </c>
      <c r="D118" s="230" t="s">
        <v>28</v>
      </c>
      <c r="E118" s="228">
        <v>0</v>
      </c>
      <c r="F118" s="626"/>
      <c r="G118" s="547">
        <v>5130</v>
      </c>
      <c r="H118" s="547"/>
      <c r="I118" s="217">
        <f t="shared" si="1"/>
        <v>0</v>
      </c>
    </row>
    <row r="119" spans="1:9">
      <c r="A119" s="226"/>
      <c r="B119" s="157"/>
      <c r="C119" s="72"/>
      <c r="D119" s="230"/>
      <c r="E119" s="228"/>
      <c r="F119" s="626"/>
      <c r="G119" s="547">
        <v>0</v>
      </c>
      <c r="H119" s="547"/>
      <c r="I119" s="217">
        <f t="shared" si="1"/>
        <v>0</v>
      </c>
    </row>
    <row r="120" spans="1:9" ht="48">
      <c r="A120" s="226">
        <v>6</v>
      </c>
      <c r="B120" s="157"/>
      <c r="C120" s="69" t="s">
        <v>119</v>
      </c>
      <c r="D120" s="230" t="s">
        <v>69</v>
      </c>
      <c r="E120" s="228"/>
      <c r="F120" s="626"/>
      <c r="G120" s="547">
        <v>0</v>
      </c>
      <c r="H120" s="547"/>
      <c r="I120" s="217">
        <f t="shared" si="1"/>
        <v>0</v>
      </c>
    </row>
    <row r="121" spans="1:9">
      <c r="A121" s="226">
        <v>6.1</v>
      </c>
      <c r="B121" s="157"/>
      <c r="C121" s="69" t="s">
        <v>118</v>
      </c>
      <c r="D121" s="230" t="s">
        <v>28</v>
      </c>
      <c r="E121" s="228">
        <v>0</v>
      </c>
      <c r="F121" s="626"/>
      <c r="G121" s="547">
        <v>6412.5</v>
      </c>
      <c r="H121" s="547"/>
      <c r="I121" s="217">
        <f t="shared" si="1"/>
        <v>0</v>
      </c>
    </row>
    <row r="122" spans="1:9">
      <c r="A122" s="226">
        <v>6.2</v>
      </c>
      <c r="B122" s="157"/>
      <c r="C122" s="69" t="s">
        <v>117</v>
      </c>
      <c r="D122" s="230" t="s">
        <v>28</v>
      </c>
      <c r="E122" s="228">
        <v>0</v>
      </c>
      <c r="F122" s="626">
        <f>'MB Karim''s'!H148</f>
        <v>1</v>
      </c>
      <c r="G122" s="549">
        <v>12150</v>
      </c>
      <c r="H122" s="547"/>
      <c r="I122" s="217">
        <f t="shared" si="1"/>
        <v>12150</v>
      </c>
    </row>
    <row r="123" spans="1:9">
      <c r="A123" s="226">
        <v>6.3</v>
      </c>
      <c r="B123" s="157"/>
      <c r="C123" s="69" t="s">
        <v>364</v>
      </c>
      <c r="D123" s="230" t="s">
        <v>28</v>
      </c>
      <c r="E123" s="228">
        <v>1</v>
      </c>
      <c r="F123" s="626"/>
      <c r="G123" s="549">
        <v>16650</v>
      </c>
      <c r="H123" s="547">
        <f>$E123*G123</f>
        <v>16650</v>
      </c>
      <c r="I123" s="217">
        <f t="shared" si="1"/>
        <v>0</v>
      </c>
    </row>
    <row r="124" spans="1:9">
      <c r="A124" s="226"/>
      <c r="B124" s="157"/>
      <c r="C124" s="69"/>
      <c r="D124" s="230"/>
      <c r="E124" s="228"/>
      <c r="F124" s="626"/>
      <c r="G124" s="547">
        <v>0</v>
      </c>
      <c r="H124" s="547"/>
      <c r="I124" s="217">
        <f t="shared" si="1"/>
        <v>0</v>
      </c>
    </row>
    <row r="125" spans="1:9">
      <c r="A125" s="226">
        <v>7</v>
      </c>
      <c r="B125" s="157"/>
      <c r="C125" s="183" t="s">
        <v>116</v>
      </c>
      <c r="D125" s="232" t="s">
        <v>47</v>
      </c>
      <c r="E125" s="233">
        <v>0</v>
      </c>
      <c r="F125" s="628"/>
      <c r="G125" s="547">
        <v>0</v>
      </c>
      <c r="H125" s="547"/>
      <c r="I125" s="217">
        <f t="shared" si="1"/>
        <v>0</v>
      </c>
    </row>
    <row r="126" spans="1:9" ht="24">
      <c r="A126" s="226">
        <v>8</v>
      </c>
      <c r="B126" s="157"/>
      <c r="C126" s="72" t="s">
        <v>424</v>
      </c>
      <c r="D126" s="232" t="s">
        <v>47</v>
      </c>
      <c r="E126" s="233">
        <v>1</v>
      </c>
      <c r="F126" s="628">
        <f>'MB Karim''s'!H149</f>
        <v>1</v>
      </c>
      <c r="G126" s="547">
        <v>27000</v>
      </c>
      <c r="H126" s="547">
        <f>$E126*G126</f>
        <v>27000</v>
      </c>
      <c r="I126" s="217">
        <f t="shared" si="1"/>
        <v>27000</v>
      </c>
    </row>
    <row r="127" spans="1:9">
      <c r="A127" s="226">
        <v>9</v>
      </c>
      <c r="B127" s="157"/>
      <c r="C127" s="72" t="s">
        <v>425</v>
      </c>
      <c r="D127" s="232" t="s">
        <v>47</v>
      </c>
      <c r="E127" s="233">
        <v>0</v>
      </c>
      <c r="F127" s="628"/>
      <c r="G127" s="547">
        <v>58500</v>
      </c>
      <c r="H127" s="547"/>
      <c r="I127" s="217">
        <f t="shared" si="1"/>
        <v>0</v>
      </c>
    </row>
    <row r="128" spans="1:9">
      <c r="A128" s="226"/>
      <c r="B128" s="157"/>
      <c r="C128" s="72"/>
      <c r="D128" s="232"/>
      <c r="E128" s="233"/>
      <c r="F128" s="628"/>
      <c r="G128" s="547">
        <v>0</v>
      </c>
      <c r="H128" s="547"/>
      <c r="I128" s="217">
        <f t="shared" si="1"/>
        <v>0</v>
      </c>
    </row>
    <row r="129" spans="1:9">
      <c r="A129" s="153" t="s">
        <v>24</v>
      </c>
      <c r="B129" s="157"/>
      <c r="C129" s="154" t="s">
        <v>115</v>
      </c>
      <c r="D129" s="154"/>
      <c r="E129" s="234"/>
      <c r="F129" s="629"/>
      <c r="G129" s="547">
        <v>0</v>
      </c>
      <c r="H129" s="547"/>
      <c r="I129" s="217">
        <f t="shared" si="1"/>
        <v>0</v>
      </c>
    </row>
    <row r="130" spans="1:9" ht="48">
      <c r="A130" s="226">
        <v>1</v>
      </c>
      <c r="B130" s="157"/>
      <c r="C130" s="235" t="s">
        <v>114</v>
      </c>
      <c r="D130" s="227"/>
      <c r="E130" s="228"/>
      <c r="F130" s="626"/>
      <c r="G130" s="547">
        <v>0</v>
      </c>
      <c r="H130" s="547"/>
      <c r="I130" s="217">
        <f t="shared" si="1"/>
        <v>0</v>
      </c>
    </row>
    <row r="131" spans="1:9">
      <c r="A131" s="226">
        <v>1.1000000000000001</v>
      </c>
      <c r="B131" s="157"/>
      <c r="C131" s="231" t="s">
        <v>113</v>
      </c>
      <c r="D131" s="226" t="s">
        <v>109</v>
      </c>
      <c r="E131" s="228">
        <v>5</v>
      </c>
      <c r="F131" s="626">
        <f>'MB Karim''s'!H155</f>
        <v>3.9</v>
      </c>
      <c r="G131" s="549">
        <v>340</v>
      </c>
      <c r="H131" s="547">
        <f>$E131*G131</f>
        <v>1700</v>
      </c>
      <c r="I131" s="217">
        <f t="shared" si="1"/>
        <v>1326</v>
      </c>
    </row>
    <row r="132" spans="1:9">
      <c r="A132" s="226">
        <v>1.2</v>
      </c>
      <c r="B132" s="157"/>
      <c r="C132" s="231" t="s">
        <v>112</v>
      </c>
      <c r="D132" s="226" t="s">
        <v>109</v>
      </c>
      <c r="E132" s="228">
        <v>0</v>
      </c>
      <c r="F132" s="626"/>
      <c r="G132" s="549">
        <v>495</v>
      </c>
      <c r="H132" s="547"/>
      <c r="I132" s="217">
        <f t="shared" si="1"/>
        <v>0</v>
      </c>
    </row>
    <row r="133" spans="1:9">
      <c r="A133" s="226">
        <v>1.3</v>
      </c>
      <c r="B133" s="157"/>
      <c r="C133" s="231" t="s">
        <v>111</v>
      </c>
      <c r="D133" s="230" t="s">
        <v>109</v>
      </c>
      <c r="E133" s="228">
        <v>10</v>
      </c>
      <c r="F133" s="626">
        <f>'MB Karim''s'!H156</f>
        <v>9.1</v>
      </c>
      <c r="G133" s="549">
        <v>595</v>
      </c>
      <c r="H133" s="547">
        <f>$E133*G133</f>
        <v>5950</v>
      </c>
      <c r="I133" s="217">
        <f t="shared" si="1"/>
        <v>5414.5</v>
      </c>
    </row>
    <row r="134" spans="1:9">
      <c r="A134" s="226">
        <v>1.4</v>
      </c>
      <c r="B134" s="157"/>
      <c r="C134" s="231" t="s">
        <v>110</v>
      </c>
      <c r="D134" s="230" t="s">
        <v>109</v>
      </c>
      <c r="E134" s="228">
        <v>0</v>
      </c>
      <c r="F134" s="626"/>
      <c r="G134" s="549">
        <v>900</v>
      </c>
      <c r="H134" s="547"/>
      <c r="I134" s="217">
        <f t="shared" si="1"/>
        <v>0</v>
      </c>
    </row>
    <row r="135" spans="1:9">
      <c r="A135" s="226"/>
      <c r="B135" s="157"/>
      <c r="C135" s="231"/>
      <c r="D135" s="230"/>
      <c r="E135" s="228"/>
      <c r="F135" s="626"/>
      <c r="G135" s="547">
        <v>0</v>
      </c>
      <c r="H135" s="547"/>
      <c r="I135" s="217">
        <f t="shared" si="1"/>
        <v>0</v>
      </c>
    </row>
    <row r="136" spans="1:9" ht="48">
      <c r="A136" s="226">
        <v>2</v>
      </c>
      <c r="B136" s="157"/>
      <c r="C136" s="237" t="s">
        <v>108</v>
      </c>
      <c r="D136" s="238"/>
      <c r="E136" s="228"/>
      <c r="F136" s="626"/>
      <c r="G136" s="548">
        <v>0</v>
      </c>
      <c r="H136" s="547"/>
      <c r="I136" s="217">
        <f t="shared" si="1"/>
        <v>0</v>
      </c>
    </row>
    <row r="137" spans="1:9">
      <c r="A137" s="226">
        <v>2.1</v>
      </c>
      <c r="B137" s="157"/>
      <c r="C137" s="237" t="s">
        <v>107</v>
      </c>
      <c r="D137" s="238" t="s">
        <v>51</v>
      </c>
      <c r="E137" s="228">
        <v>1</v>
      </c>
      <c r="F137" s="626">
        <f>'MB Karim''s'!H158</f>
        <v>2</v>
      </c>
      <c r="G137" s="548">
        <v>855</v>
      </c>
      <c r="H137" s="547">
        <f>$E137*G137</f>
        <v>855</v>
      </c>
      <c r="I137" s="217">
        <f t="shared" si="1"/>
        <v>1710</v>
      </c>
    </row>
    <row r="138" spans="1:9">
      <c r="A138" s="226">
        <v>2.2000000000000002</v>
      </c>
      <c r="B138" s="157"/>
      <c r="C138" s="237" t="s">
        <v>106</v>
      </c>
      <c r="D138" s="238" t="s">
        <v>51</v>
      </c>
      <c r="E138" s="228">
        <v>0</v>
      </c>
      <c r="F138" s="626"/>
      <c r="G138" s="548">
        <v>945</v>
      </c>
      <c r="H138" s="547"/>
      <c r="I138" s="217">
        <f t="shared" si="1"/>
        <v>0</v>
      </c>
    </row>
    <row r="139" spans="1:9">
      <c r="A139" s="226">
        <v>2.2999999999999998</v>
      </c>
      <c r="B139" s="157"/>
      <c r="C139" s="237" t="s">
        <v>368</v>
      </c>
      <c r="D139" s="238" t="s">
        <v>51</v>
      </c>
      <c r="E139" s="228">
        <v>2</v>
      </c>
      <c r="F139" s="626">
        <f>'MB Karim''s'!H159</f>
        <v>2</v>
      </c>
      <c r="G139" s="547">
        <v>1170</v>
      </c>
      <c r="H139" s="547">
        <f>$E139*G139</f>
        <v>2340</v>
      </c>
      <c r="I139" s="217">
        <f t="shared" si="1"/>
        <v>2340</v>
      </c>
    </row>
    <row r="140" spans="1:9">
      <c r="A140" s="226">
        <v>2.4</v>
      </c>
      <c r="B140" s="157"/>
      <c r="C140" s="237" t="s">
        <v>369</v>
      </c>
      <c r="D140" s="238" t="s">
        <v>51</v>
      </c>
      <c r="E140" s="228">
        <v>3</v>
      </c>
      <c r="F140" s="626">
        <f>'MB Karim''s'!H160</f>
        <v>3</v>
      </c>
      <c r="G140" s="549">
        <v>1215</v>
      </c>
      <c r="H140" s="547">
        <f>$E140*G140</f>
        <v>3645</v>
      </c>
      <c r="I140" s="217">
        <f t="shared" si="1"/>
        <v>3645</v>
      </c>
    </row>
    <row r="141" spans="1:9">
      <c r="A141" s="239" t="s">
        <v>46</v>
      </c>
      <c r="B141" s="157"/>
      <c r="C141" s="240" t="s">
        <v>105</v>
      </c>
      <c r="D141" s="241"/>
      <c r="E141" s="242"/>
      <c r="F141" s="630"/>
      <c r="G141" s="547">
        <v>0</v>
      </c>
      <c r="H141" s="547"/>
      <c r="I141" s="217">
        <f t="shared" si="1"/>
        <v>0</v>
      </c>
    </row>
    <row r="142" spans="1:9">
      <c r="A142" s="243"/>
      <c r="B142" s="157"/>
      <c r="C142" s="244" t="s">
        <v>104</v>
      </c>
      <c r="D142" s="245"/>
      <c r="E142" s="246"/>
      <c r="F142" s="631"/>
      <c r="G142" s="547">
        <v>0</v>
      </c>
      <c r="H142" s="547"/>
      <c r="I142" s="217">
        <f t="shared" si="1"/>
        <v>0</v>
      </c>
    </row>
    <row r="143" spans="1:9">
      <c r="A143" s="243"/>
      <c r="B143" s="157"/>
      <c r="C143" s="244"/>
      <c r="D143" s="245"/>
      <c r="E143" s="246"/>
      <c r="F143" s="631"/>
      <c r="G143" s="547">
        <v>0</v>
      </c>
      <c r="H143" s="547"/>
      <c r="I143" s="217">
        <f t="shared" si="1"/>
        <v>0</v>
      </c>
    </row>
    <row r="144" spans="1:9">
      <c r="A144" s="226">
        <v>1.1000000000000001</v>
      </c>
      <c r="B144" s="157"/>
      <c r="C144" s="72" t="s">
        <v>365</v>
      </c>
      <c r="D144" s="232" t="s">
        <v>47</v>
      </c>
      <c r="E144" s="233">
        <v>10</v>
      </c>
      <c r="F144" s="628">
        <f>'MB Karim''s'!H163</f>
        <v>6</v>
      </c>
      <c r="G144" s="547">
        <v>225</v>
      </c>
      <c r="H144" s="547">
        <f>$E144*G144</f>
        <v>2250</v>
      </c>
      <c r="I144" s="217">
        <f t="shared" si="1"/>
        <v>1350</v>
      </c>
    </row>
    <row r="145" spans="1:9" ht="24">
      <c r="A145" s="226"/>
      <c r="B145" s="157"/>
      <c r="C145" s="72" t="s">
        <v>366</v>
      </c>
      <c r="D145" s="232" t="s">
        <v>47</v>
      </c>
      <c r="E145" s="233">
        <v>2</v>
      </c>
      <c r="F145" s="628">
        <f>'MB Karim''s'!H164</f>
        <v>2</v>
      </c>
      <c r="G145" s="547">
        <v>495</v>
      </c>
      <c r="H145" s="547">
        <f>$E145*G145</f>
        <v>990</v>
      </c>
      <c r="I145" s="217">
        <f t="shared" si="1"/>
        <v>990</v>
      </c>
    </row>
    <row r="146" spans="1:9" ht="24">
      <c r="A146" s="226"/>
      <c r="B146" s="157"/>
      <c r="C146" s="72" t="s">
        <v>426</v>
      </c>
      <c r="D146" s="232" t="s">
        <v>47</v>
      </c>
      <c r="E146" s="233">
        <v>1</v>
      </c>
      <c r="F146" s="628">
        <f>'MB Karim''s'!H165</f>
        <v>1</v>
      </c>
      <c r="G146" s="547">
        <v>495</v>
      </c>
      <c r="H146" s="547">
        <f>$E146*G146</f>
        <v>495</v>
      </c>
      <c r="I146" s="217">
        <f t="shared" si="1"/>
        <v>495</v>
      </c>
    </row>
    <row r="147" spans="1:9" ht="24">
      <c r="A147" s="226"/>
      <c r="B147" s="157"/>
      <c r="C147" s="72" t="s">
        <v>367</v>
      </c>
      <c r="D147" s="232" t="s">
        <v>47</v>
      </c>
      <c r="E147" s="233">
        <v>1</v>
      </c>
      <c r="F147" s="628">
        <f>'MB Karim''s'!H166</f>
        <v>1</v>
      </c>
      <c r="G147" s="547">
        <v>495</v>
      </c>
      <c r="H147" s="547">
        <f>$E147*G147</f>
        <v>495</v>
      </c>
      <c r="I147" s="217">
        <f t="shared" si="1"/>
        <v>495</v>
      </c>
    </row>
    <row r="148" spans="1:9">
      <c r="A148" s="239" t="s">
        <v>45</v>
      </c>
      <c r="B148" s="157"/>
      <c r="C148" s="240" t="s">
        <v>103</v>
      </c>
      <c r="D148" s="241"/>
      <c r="E148" s="242"/>
      <c r="F148" s="630"/>
      <c r="G148" s="547">
        <v>0</v>
      </c>
      <c r="H148" s="547"/>
      <c r="I148" s="217">
        <f t="shared" si="1"/>
        <v>0</v>
      </c>
    </row>
    <row r="149" spans="1:9">
      <c r="A149" s="243"/>
      <c r="B149" s="157"/>
      <c r="C149" s="244" t="s">
        <v>102</v>
      </c>
      <c r="D149" s="245"/>
      <c r="E149" s="246"/>
      <c r="F149" s="631"/>
      <c r="G149" s="547">
        <v>0</v>
      </c>
      <c r="H149" s="547"/>
      <c r="I149" s="217">
        <f t="shared" si="1"/>
        <v>0</v>
      </c>
    </row>
    <row r="150" spans="1:9">
      <c r="A150" s="243"/>
      <c r="B150" s="157"/>
      <c r="C150" s="244"/>
      <c r="D150" s="245"/>
      <c r="E150" s="246"/>
      <c r="F150" s="631"/>
      <c r="G150" s="547">
        <v>0</v>
      </c>
      <c r="H150" s="547"/>
      <c r="I150" s="217">
        <f t="shared" si="1"/>
        <v>0</v>
      </c>
    </row>
    <row r="151" spans="1:9" ht="48">
      <c r="A151" s="247">
        <v>1</v>
      </c>
      <c r="B151" s="157"/>
      <c r="C151" s="73" t="s">
        <v>427</v>
      </c>
      <c r="D151" s="248" t="s">
        <v>28</v>
      </c>
      <c r="E151" s="228">
        <v>4</v>
      </c>
      <c r="F151" s="626">
        <f>'MB Karim''s'!H169</f>
        <v>3</v>
      </c>
      <c r="G151" s="546">
        <v>4500</v>
      </c>
      <c r="H151" s="547">
        <f>$E151*G151</f>
        <v>18000</v>
      </c>
      <c r="I151" s="217">
        <f t="shared" si="1"/>
        <v>13500</v>
      </c>
    </row>
    <row r="152" spans="1:9" ht="48">
      <c r="A152" s="247">
        <v>2</v>
      </c>
      <c r="B152" s="157"/>
      <c r="C152" s="73" t="s">
        <v>428</v>
      </c>
      <c r="D152" s="248" t="s">
        <v>28</v>
      </c>
      <c r="E152" s="228" t="s">
        <v>31</v>
      </c>
      <c r="F152" s="626">
        <f>'MB Karim''s'!H170</f>
        <v>2</v>
      </c>
      <c r="G152" s="546">
        <v>7200</v>
      </c>
      <c r="H152" s="547"/>
      <c r="I152" s="217">
        <f t="shared" si="1"/>
        <v>14400</v>
      </c>
    </row>
    <row r="153" spans="1:9">
      <c r="A153" s="247"/>
      <c r="B153" s="157"/>
      <c r="C153" s="73"/>
      <c r="D153" s="248"/>
      <c r="E153" s="228"/>
      <c r="F153" s="626"/>
      <c r="G153" s="546">
        <v>0</v>
      </c>
      <c r="H153" s="547"/>
      <c r="I153" s="217">
        <f t="shared" si="1"/>
        <v>0</v>
      </c>
    </row>
    <row r="154" spans="1:9">
      <c r="A154" s="239" t="s">
        <v>49</v>
      </c>
      <c r="B154" s="157"/>
      <c r="C154" s="240" t="s">
        <v>400</v>
      </c>
      <c r="D154" s="248"/>
      <c r="E154" s="228"/>
      <c r="F154" s="626"/>
      <c r="G154" s="546">
        <v>0</v>
      </c>
      <c r="H154" s="547"/>
      <c r="I154" s="217">
        <f t="shared" si="1"/>
        <v>0</v>
      </c>
    </row>
    <row r="155" spans="1:9">
      <c r="A155" s="239"/>
      <c r="B155" s="157"/>
      <c r="C155" s="240"/>
      <c r="D155" s="248"/>
      <c r="E155" s="228"/>
      <c r="F155" s="626"/>
      <c r="G155" s="546">
        <v>0</v>
      </c>
      <c r="H155" s="547"/>
      <c r="I155" s="217">
        <f t="shared" si="1"/>
        <v>0</v>
      </c>
    </row>
    <row r="156" spans="1:9">
      <c r="A156" s="247">
        <v>1</v>
      </c>
      <c r="B156" s="157"/>
      <c r="C156" s="73" t="s">
        <v>402</v>
      </c>
      <c r="D156" s="248" t="s">
        <v>401</v>
      </c>
      <c r="E156" s="228">
        <v>6</v>
      </c>
      <c r="F156" s="626">
        <f>'MB Karim''s'!H173</f>
        <v>6</v>
      </c>
      <c r="G156" s="546">
        <v>4050</v>
      </c>
      <c r="H156" s="547">
        <f>$E156*G156</f>
        <v>24300</v>
      </c>
      <c r="I156" s="217">
        <f t="shared" si="1"/>
        <v>24300</v>
      </c>
    </row>
    <row r="157" spans="1:9">
      <c r="A157" s="247">
        <v>2</v>
      </c>
      <c r="B157" s="157"/>
      <c r="C157" s="73" t="s">
        <v>403</v>
      </c>
      <c r="D157" s="248" t="s">
        <v>401</v>
      </c>
      <c r="E157" s="228">
        <v>1</v>
      </c>
      <c r="F157" s="626">
        <f>'MB Karim''s'!H174</f>
        <v>1</v>
      </c>
      <c r="G157" s="546">
        <v>4050</v>
      </c>
      <c r="H157" s="547">
        <f>$E157*G157</f>
        <v>4050</v>
      </c>
      <c r="I157" s="217">
        <f t="shared" si="1"/>
        <v>4050</v>
      </c>
    </row>
    <row r="158" spans="1:9">
      <c r="A158" s="247"/>
      <c r="B158" s="157"/>
      <c r="C158" s="73"/>
      <c r="D158" s="248"/>
      <c r="E158" s="228"/>
      <c r="F158" s="626"/>
      <c r="G158" s="546">
        <v>0</v>
      </c>
      <c r="H158" s="547"/>
      <c r="I158" s="217"/>
    </row>
    <row r="159" spans="1:9" ht="15">
      <c r="A159" s="249"/>
      <c r="B159" s="250"/>
      <c r="C159" s="368" t="s">
        <v>399</v>
      </c>
      <c r="D159" s="251"/>
      <c r="E159" s="252"/>
      <c r="F159" s="632"/>
      <c r="G159" s="550">
        <v>0</v>
      </c>
      <c r="H159" s="587">
        <f>SUM(H98:H157)</f>
        <v>120375</v>
      </c>
      <c r="I159" s="586">
        <f>SUM(I97:I158)</f>
        <v>121036</v>
      </c>
    </row>
    <row r="160" spans="1:9" ht="15">
      <c r="A160" s="256"/>
      <c r="B160" s="257"/>
      <c r="C160" s="369" t="s">
        <v>628</v>
      </c>
      <c r="D160" s="256"/>
      <c r="E160" s="229"/>
      <c r="F160" s="627"/>
      <c r="G160" s="547"/>
      <c r="H160" s="588">
        <f>H159*0.18</f>
        <v>21667.5</v>
      </c>
      <c r="I160" s="589">
        <f>I159*0.18</f>
        <v>21786.48</v>
      </c>
    </row>
    <row r="161" spans="1:9" ht="15">
      <c r="A161" s="603"/>
      <c r="B161" s="604"/>
      <c r="C161" s="605" t="s">
        <v>629</v>
      </c>
      <c r="D161" s="603"/>
      <c r="E161" s="606"/>
      <c r="F161" s="627"/>
      <c r="G161" s="607"/>
      <c r="H161" s="614">
        <f>SUM(H159:H160)</f>
        <v>142042.5</v>
      </c>
      <c r="I161" s="602">
        <f>SUM(I159:I160)</f>
        <v>142822.48000000001</v>
      </c>
    </row>
    <row r="162" spans="1:9">
      <c r="A162" s="256"/>
      <c r="B162" s="257"/>
      <c r="C162" s="227"/>
      <c r="D162" s="256"/>
      <c r="E162" s="229"/>
      <c r="F162" s="627"/>
      <c r="G162" s="547"/>
      <c r="H162" s="547"/>
      <c r="I162" s="217"/>
    </row>
    <row r="163" spans="1:9" ht="15.75">
      <c r="A163" s="256"/>
      <c r="B163" s="257"/>
      <c r="C163" s="839" t="s">
        <v>690</v>
      </c>
      <c r="D163" s="839"/>
      <c r="E163" s="839"/>
      <c r="F163" s="839"/>
      <c r="G163" s="839"/>
      <c r="H163" s="839"/>
      <c r="I163" s="217"/>
    </row>
    <row r="164" spans="1:9">
      <c r="A164" s="256">
        <v>1</v>
      </c>
      <c r="B164" s="257"/>
      <c r="C164" s="67" t="s">
        <v>365</v>
      </c>
      <c r="D164" s="256" t="s">
        <v>28</v>
      </c>
      <c r="E164" s="229"/>
      <c r="F164" s="627">
        <f>'MB Karim''s'!H176</f>
        <v>6</v>
      </c>
      <c r="G164" s="547">
        <v>1100</v>
      </c>
      <c r="H164" s="547"/>
      <c r="I164" s="217">
        <f>F164*G164</f>
        <v>6600</v>
      </c>
    </row>
    <row r="165" spans="1:9" ht="24">
      <c r="A165" s="256">
        <v>2</v>
      </c>
      <c r="B165" s="257"/>
      <c r="C165" s="72" t="s">
        <v>366</v>
      </c>
      <c r="D165" s="256" t="s">
        <v>28</v>
      </c>
      <c r="E165" s="229"/>
      <c r="F165" s="627">
        <f>'MB Karim''s'!H177</f>
        <v>2</v>
      </c>
      <c r="G165" s="547">
        <v>3500</v>
      </c>
      <c r="H165" s="547"/>
      <c r="I165" s="217">
        <f>F165*G165</f>
        <v>7000</v>
      </c>
    </row>
    <row r="166" spans="1:9" ht="24">
      <c r="A166" s="256">
        <v>3</v>
      </c>
      <c r="B166" s="257"/>
      <c r="C166" s="72" t="s">
        <v>426</v>
      </c>
      <c r="D166" s="256" t="s">
        <v>28</v>
      </c>
      <c r="E166" s="229"/>
      <c r="F166" s="627">
        <f>'MB Karim''s'!H178</f>
        <v>1</v>
      </c>
      <c r="G166" s="547">
        <v>5500</v>
      </c>
      <c r="H166" s="547"/>
      <c r="I166" s="217">
        <f>F166*G166</f>
        <v>5500</v>
      </c>
    </row>
    <row r="167" spans="1:9" ht="24">
      <c r="A167" s="256">
        <v>4</v>
      </c>
      <c r="B167" s="257"/>
      <c r="C167" s="72" t="s">
        <v>367</v>
      </c>
      <c r="D167" s="256" t="s">
        <v>28</v>
      </c>
      <c r="E167" s="229"/>
      <c r="F167" s="627">
        <f>'MB Karim''s'!H179</f>
        <v>1</v>
      </c>
      <c r="G167" s="547">
        <v>2950</v>
      </c>
      <c r="H167" s="547"/>
      <c r="I167" s="217">
        <f>F167*G167</f>
        <v>2950</v>
      </c>
    </row>
    <row r="168" spans="1:9">
      <c r="A168" s="256"/>
      <c r="B168" s="257"/>
      <c r="C168" s="227"/>
      <c r="D168" s="256"/>
      <c r="E168" s="229"/>
      <c r="F168" s="627"/>
      <c r="G168" s="547"/>
      <c r="H168" s="547"/>
      <c r="I168" s="217"/>
    </row>
    <row r="169" spans="1:9" ht="12.75">
      <c r="A169" s="608"/>
      <c r="B169" s="609"/>
      <c r="C169" s="610" t="s">
        <v>695</v>
      </c>
      <c r="D169" s="608"/>
      <c r="E169" s="611"/>
      <c r="F169" s="627"/>
      <c r="G169" s="550"/>
      <c r="H169" s="550"/>
      <c r="I169" s="657">
        <f>SUM(I164:I168)</f>
        <v>22050</v>
      </c>
    </row>
    <row r="170" spans="1:9" ht="15">
      <c r="A170" s="256"/>
      <c r="B170" s="257"/>
      <c r="C170" s="594" t="s">
        <v>628</v>
      </c>
      <c r="D170" s="256"/>
      <c r="E170" s="229"/>
      <c r="F170" s="627"/>
      <c r="G170" s="547"/>
      <c r="H170" s="547"/>
      <c r="I170" s="217"/>
    </row>
    <row r="171" spans="1:9" ht="15">
      <c r="A171" s="603"/>
      <c r="B171" s="604"/>
      <c r="C171" s="612" t="s">
        <v>629</v>
      </c>
      <c r="D171" s="603"/>
      <c r="E171" s="606"/>
      <c r="F171" s="627"/>
      <c r="G171" s="607"/>
      <c r="H171" s="607"/>
      <c r="I171" s="584"/>
    </row>
    <row r="172" spans="1:9" ht="15">
      <c r="A172" s="153" t="s">
        <v>49</v>
      </c>
      <c r="B172" s="375" t="s">
        <v>189</v>
      </c>
      <c r="C172" s="155"/>
      <c r="D172" s="156"/>
      <c r="E172" s="151"/>
      <c r="F172" s="625"/>
      <c r="G172" s="543">
        <v>0</v>
      </c>
      <c r="H172" s="543"/>
      <c r="I172" s="217"/>
    </row>
    <row r="173" spans="1:9">
      <c r="A173" s="835" t="s">
        <v>136</v>
      </c>
      <c r="B173" s="157"/>
      <c r="C173" s="836" t="s">
        <v>2</v>
      </c>
      <c r="D173" s="837" t="s">
        <v>3</v>
      </c>
      <c r="E173" s="838" t="s">
        <v>137</v>
      </c>
      <c r="F173" s="633"/>
      <c r="G173" s="613"/>
      <c r="H173" s="831"/>
      <c r="I173" s="217"/>
    </row>
    <row r="174" spans="1:9">
      <c r="A174" s="835"/>
      <c r="B174" s="157"/>
      <c r="C174" s="836"/>
      <c r="D174" s="837"/>
      <c r="E174" s="838"/>
      <c r="F174" s="633"/>
      <c r="G174" s="613">
        <v>0</v>
      </c>
      <c r="H174" s="831"/>
      <c r="I174" s="217"/>
    </row>
    <row r="175" spans="1:9">
      <c r="A175" s="264"/>
      <c r="B175" s="157"/>
      <c r="C175" s="265"/>
      <c r="D175" s="266"/>
      <c r="E175" s="267"/>
      <c r="F175" s="634"/>
      <c r="G175" s="486"/>
      <c r="H175" s="486"/>
      <c r="I175" s="217"/>
    </row>
    <row r="176" spans="1:9">
      <c r="A176" s="264">
        <v>1</v>
      </c>
      <c r="B176" s="157"/>
      <c r="C176" s="265" t="s">
        <v>139</v>
      </c>
      <c r="D176" s="266"/>
      <c r="E176" s="267"/>
      <c r="F176" s="634"/>
      <c r="G176" s="486"/>
      <c r="H176" s="486"/>
      <c r="I176" s="217"/>
    </row>
    <row r="177" spans="1:9">
      <c r="A177" s="264">
        <v>1.1000000000000001</v>
      </c>
      <c r="B177" s="157"/>
      <c r="C177" s="265" t="s">
        <v>140</v>
      </c>
      <c r="D177" s="266" t="s">
        <v>28</v>
      </c>
      <c r="E177" s="267">
        <v>0</v>
      </c>
      <c r="F177" s="634"/>
      <c r="G177" s="486"/>
      <c r="H177" s="486"/>
      <c r="I177" s="217"/>
    </row>
    <row r="178" spans="1:9">
      <c r="A178" s="264"/>
      <c r="B178" s="157"/>
      <c r="C178" s="268" t="s">
        <v>141</v>
      </c>
      <c r="D178" s="266"/>
      <c r="E178" s="267"/>
      <c r="F178" s="634"/>
      <c r="G178" s="486"/>
      <c r="H178" s="486"/>
      <c r="I178" s="217"/>
    </row>
    <row r="179" spans="1:9" ht="24">
      <c r="A179" s="264"/>
      <c r="B179" s="157"/>
      <c r="C179" s="268" t="s">
        <v>142</v>
      </c>
      <c r="D179" s="266"/>
      <c r="E179" s="267"/>
      <c r="F179" s="634"/>
      <c r="G179" s="486"/>
      <c r="H179" s="486"/>
      <c r="I179" s="217"/>
    </row>
    <row r="180" spans="1:9">
      <c r="A180" s="264"/>
      <c r="B180" s="157"/>
      <c r="C180" s="86" t="s">
        <v>143</v>
      </c>
      <c r="D180" s="266"/>
      <c r="E180" s="267"/>
      <c r="F180" s="634"/>
      <c r="G180" s="486"/>
      <c r="H180" s="486"/>
      <c r="I180" s="217"/>
    </row>
    <row r="181" spans="1:9">
      <c r="A181" s="264"/>
      <c r="B181" s="157"/>
      <c r="C181" s="86" t="s">
        <v>144</v>
      </c>
      <c r="D181" s="266"/>
      <c r="E181" s="267"/>
      <c r="F181" s="634"/>
      <c r="G181" s="486"/>
      <c r="H181" s="486"/>
      <c r="I181" s="217"/>
    </row>
    <row r="182" spans="1:9">
      <c r="A182" s="264"/>
      <c r="B182" s="157"/>
      <c r="C182" s="86" t="s">
        <v>145</v>
      </c>
      <c r="D182" s="266"/>
      <c r="E182" s="267"/>
      <c r="F182" s="634"/>
      <c r="G182" s="486"/>
      <c r="H182" s="486"/>
      <c r="I182" s="217"/>
    </row>
    <row r="183" spans="1:9">
      <c r="A183" s="264"/>
      <c r="B183" s="157"/>
      <c r="C183" s="86" t="s">
        <v>146</v>
      </c>
      <c r="D183" s="266"/>
      <c r="E183" s="267"/>
      <c r="F183" s="634"/>
      <c r="G183" s="486"/>
      <c r="H183" s="486"/>
      <c r="I183" s="217"/>
    </row>
    <row r="184" spans="1:9">
      <c r="A184" s="264"/>
      <c r="B184" s="157"/>
      <c r="C184" s="86" t="s">
        <v>147</v>
      </c>
      <c r="D184" s="266"/>
      <c r="E184" s="267"/>
      <c r="F184" s="634"/>
      <c r="G184" s="486"/>
      <c r="H184" s="486"/>
      <c r="I184" s="217"/>
    </row>
    <row r="185" spans="1:9" ht="24">
      <c r="A185" s="264"/>
      <c r="B185" s="157"/>
      <c r="C185" s="86" t="s">
        <v>148</v>
      </c>
      <c r="D185" s="266"/>
      <c r="E185" s="267"/>
      <c r="F185" s="634"/>
      <c r="G185" s="486"/>
      <c r="H185" s="486"/>
      <c r="I185" s="217"/>
    </row>
    <row r="186" spans="1:9">
      <c r="A186" s="264"/>
      <c r="B186" s="157"/>
      <c r="C186" s="86"/>
      <c r="D186" s="266"/>
      <c r="E186" s="267"/>
      <c r="F186" s="634"/>
      <c r="G186" s="486"/>
      <c r="H186" s="486"/>
      <c r="I186" s="217"/>
    </row>
    <row r="187" spans="1:9">
      <c r="A187" s="264">
        <v>1.2</v>
      </c>
      <c r="B187" s="157"/>
      <c r="C187" s="265" t="s">
        <v>149</v>
      </c>
      <c r="D187" s="266" t="s">
        <v>28</v>
      </c>
      <c r="E187" s="267">
        <v>0</v>
      </c>
      <c r="F187" s="634"/>
      <c r="G187" s="486"/>
      <c r="H187" s="486"/>
      <c r="I187" s="217"/>
    </row>
    <row r="188" spans="1:9">
      <c r="A188" s="264"/>
      <c r="B188" s="157"/>
      <c r="C188" s="268" t="s">
        <v>150</v>
      </c>
      <c r="D188" s="266"/>
      <c r="E188" s="267"/>
      <c r="F188" s="634"/>
      <c r="G188" s="486"/>
      <c r="H188" s="486"/>
      <c r="I188" s="217"/>
    </row>
    <row r="189" spans="1:9" ht="24">
      <c r="A189" s="264"/>
      <c r="B189" s="157"/>
      <c r="C189" s="268" t="s">
        <v>151</v>
      </c>
      <c r="D189" s="266"/>
      <c r="E189" s="267"/>
      <c r="F189" s="634"/>
      <c r="G189" s="486"/>
      <c r="H189" s="486"/>
      <c r="I189" s="217"/>
    </row>
    <row r="190" spans="1:9">
      <c r="A190" s="264"/>
      <c r="B190" s="157"/>
      <c r="C190" s="86" t="s">
        <v>143</v>
      </c>
      <c r="D190" s="266"/>
      <c r="E190" s="267"/>
      <c r="F190" s="634"/>
      <c r="G190" s="486"/>
      <c r="H190" s="486"/>
      <c r="I190" s="217"/>
    </row>
    <row r="191" spans="1:9">
      <c r="A191" s="264"/>
      <c r="B191" s="157"/>
      <c r="C191" s="86" t="s">
        <v>152</v>
      </c>
      <c r="D191" s="266"/>
      <c r="E191" s="267"/>
      <c r="F191" s="634"/>
      <c r="G191" s="486"/>
      <c r="H191" s="486"/>
      <c r="I191" s="217"/>
    </row>
    <row r="192" spans="1:9">
      <c r="A192" s="264"/>
      <c r="B192" s="157"/>
      <c r="C192" s="86" t="s">
        <v>145</v>
      </c>
      <c r="D192" s="266"/>
      <c r="E192" s="267"/>
      <c r="F192" s="634"/>
      <c r="G192" s="486"/>
      <c r="H192" s="486"/>
      <c r="I192" s="217"/>
    </row>
    <row r="193" spans="1:9">
      <c r="A193" s="264"/>
      <c r="B193" s="157"/>
      <c r="C193" s="86" t="s">
        <v>153</v>
      </c>
      <c r="D193" s="266"/>
      <c r="E193" s="267"/>
      <c r="F193" s="634"/>
      <c r="G193" s="486"/>
      <c r="H193" s="486"/>
      <c r="I193" s="217"/>
    </row>
    <row r="194" spans="1:9">
      <c r="A194" s="264"/>
      <c r="B194" s="157"/>
      <c r="C194" s="86" t="s">
        <v>154</v>
      </c>
      <c r="D194" s="266"/>
      <c r="E194" s="267"/>
      <c r="F194" s="634"/>
      <c r="G194" s="486"/>
      <c r="H194" s="486"/>
      <c r="I194" s="217"/>
    </row>
    <row r="195" spans="1:9">
      <c r="A195" s="264"/>
      <c r="B195" s="157"/>
      <c r="C195" s="86" t="s">
        <v>155</v>
      </c>
      <c r="D195" s="266"/>
      <c r="E195" s="267"/>
      <c r="F195" s="634"/>
      <c r="G195" s="486"/>
      <c r="H195" s="486"/>
      <c r="I195" s="217"/>
    </row>
    <row r="196" spans="1:9">
      <c r="A196" s="264"/>
      <c r="B196" s="157"/>
      <c r="C196" s="86" t="s">
        <v>156</v>
      </c>
      <c r="D196" s="266"/>
      <c r="E196" s="267"/>
      <c r="F196" s="634"/>
      <c r="G196" s="486"/>
      <c r="H196" s="486"/>
      <c r="I196" s="217"/>
    </row>
    <row r="197" spans="1:9">
      <c r="A197" s="264"/>
      <c r="B197" s="157"/>
      <c r="C197" s="86"/>
      <c r="D197" s="266"/>
      <c r="E197" s="267"/>
      <c r="F197" s="634"/>
      <c r="G197" s="486"/>
      <c r="H197" s="486"/>
      <c r="I197" s="217"/>
    </row>
    <row r="198" spans="1:9">
      <c r="A198" s="264">
        <v>2</v>
      </c>
      <c r="B198" s="157"/>
      <c r="C198" s="265" t="s">
        <v>157</v>
      </c>
      <c r="D198" s="266"/>
      <c r="E198" s="267"/>
      <c r="F198" s="634"/>
      <c r="G198" s="486"/>
      <c r="H198" s="486"/>
      <c r="I198" s="217"/>
    </row>
    <row r="199" spans="1:9" ht="24">
      <c r="A199" s="264"/>
      <c r="B199" s="157"/>
      <c r="C199" s="269" t="s">
        <v>158</v>
      </c>
      <c r="D199" s="266"/>
      <c r="E199" s="267"/>
      <c r="F199" s="634"/>
      <c r="G199" s="486"/>
      <c r="H199" s="486"/>
      <c r="I199" s="217"/>
    </row>
    <row r="200" spans="1:9">
      <c r="A200" s="264"/>
      <c r="B200" s="157"/>
      <c r="C200" s="270" t="s">
        <v>159</v>
      </c>
      <c r="D200" s="266"/>
      <c r="E200" s="267"/>
      <c r="F200" s="634"/>
      <c r="G200" s="486"/>
      <c r="H200" s="486"/>
      <c r="I200" s="217"/>
    </row>
    <row r="201" spans="1:9">
      <c r="A201" s="264"/>
      <c r="B201" s="157"/>
      <c r="C201" s="269" t="s">
        <v>160</v>
      </c>
      <c r="D201" s="266"/>
      <c r="E201" s="267"/>
      <c r="F201" s="634"/>
      <c r="G201" s="486"/>
      <c r="H201" s="486"/>
      <c r="I201" s="217"/>
    </row>
    <row r="202" spans="1:9">
      <c r="A202" s="264"/>
      <c r="B202" s="157"/>
      <c r="C202" s="270"/>
      <c r="D202" s="266"/>
      <c r="E202" s="267"/>
      <c r="F202" s="634"/>
      <c r="G202" s="486"/>
      <c r="H202" s="486"/>
      <c r="I202" s="217"/>
    </row>
    <row r="203" spans="1:9">
      <c r="A203" s="264">
        <v>2.1</v>
      </c>
      <c r="B203" s="157"/>
      <c r="C203" s="265" t="s">
        <v>161</v>
      </c>
      <c r="D203" s="266"/>
      <c r="E203" s="267"/>
      <c r="F203" s="634"/>
      <c r="G203" s="486"/>
      <c r="H203" s="486"/>
      <c r="I203" s="217"/>
    </row>
    <row r="204" spans="1:9">
      <c r="A204" s="264" t="s">
        <v>162</v>
      </c>
      <c r="B204" s="157"/>
      <c r="C204" s="271" t="s">
        <v>163</v>
      </c>
      <c r="D204" s="266"/>
      <c r="E204" s="267"/>
      <c r="F204" s="634"/>
      <c r="G204" s="486"/>
      <c r="H204" s="486"/>
      <c r="I204" s="217"/>
    </row>
    <row r="205" spans="1:9">
      <c r="A205" s="264"/>
      <c r="B205" s="157"/>
      <c r="C205" s="270"/>
      <c r="D205" s="266"/>
      <c r="E205" s="267"/>
      <c r="F205" s="634"/>
      <c r="G205" s="486"/>
      <c r="H205" s="486"/>
      <c r="I205" s="217"/>
    </row>
    <row r="206" spans="1:9" ht="24">
      <c r="A206" s="272" t="s">
        <v>164</v>
      </c>
      <c r="B206" s="157"/>
      <c r="C206" s="268" t="s">
        <v>165</v>
      </c>
      <c r="D206" s="272" t="s">
        <v>28</v>
      </c>
      <c r="E206" s="273"/>
      <c r="F206" s="635"/>
      <c r="G206" s="552"/>
      <c r="H206" s="486"/>
      <c r="I206" s="217"/>
    </row>
    <row r="207" spans="1:9">
      <c r="A207" s="272"/>
      <c r="B207" s="157"/>
      <c r="C207" s="268"/>
      <c r="D207" s="272"/>
      <c r="E207" s="273"/>
      <c r="F207" s="635"/>
      <c r="G207" s="552"/>
      <c r="H207" s="552"/>
      <c r="I207" s="217"/>
    </row>
    <row r="208" spans="1:9">
      <c r="A208" s="272" t="s">
        <v>166</v>
      </c>
      <c r="B208" s="157"/>
      <c r="C208" s="268" t="s">
        <v>167</v>
      </c>
      <c r="D208" s="272"/>
      <c r="E208" s="273">
        <v>0</v>
      </c>
      <c r="F208" s="635"/>
      <c r="G208" s="552"/>
      <c r="H208" s="486"/>
      <c r="I208" s="217"/>
    </row>
    <row r="209" spans="1:9">
      <c r="A209" s="264"/>
      <c r="B209" s="157"/>
      <c r="C209" s="270"/>
      <c r="D209" s="274"/>
      <c r="E209" s="275"/>
      <c r="F209" s="636"/>
      <c r="G209" s="552"/>
      <c r="H209" s="552"/>
      <c r="I209" s="217"/>
    </row>
    <row r="210" spans="1:9" ht="24">
      <c r="A210" s="272" t="s">
        <v>168</v>
      </c>
      <c r="B210" s="157"/>
      <c r="C210" s="268" t="s">
        <v>429</v>
      </c>
      <c r="D210" s="272" t="s">
        <v>28</v>
      </c>
      <c r="E210" s="273">
        <v>0</v>
      </c>
      <c r="F210" s="635"/>
      <c r="G210" s="552"/>
      <c r="H210" s="486"/>
      <c r="I210" s="217"/>
    </row>
    <row r="211" spans="1:9">
      <c r="A211" s="264"/>
      <c r="B211" s="157"/>
      <c r="C211" s="270"/>
      <c r="D211" s="274"/>
      <c r="E211" s="275"/>
      <c r="F211" s="636"/>
      <c r="G211" s="552"/>
      <c r="H211" s="552"/>
      <c r="I211" s="217"/>
    </row>
    <row r="212" spans="1:9" ht="24">
      <c r="A212" s="272" t="s">
        <v>169</v>
      </c>
      <c r="B212" s="157"/>
      <c r="C212" s="268" t="s">
        <v>430</v>
      </c>
      <c r="D212" s="272" t="s">
        <v>28</v>
      </c>
      <c r="E212" s="273"/>
      <c r="F212" s="635"/>
      <c r="G212" s="552"/>
      <c r="H212" s="486"/>
      <c r="I212" s="217"/>
    </row>
    <row r="213" spans="1:9">
      <c r="A213" s="272"/>
      <c r="B213" s="157"/>
      <c r="C213" s="268"/>
      <c r="D213" s="272"/>
      <c r="E213" s="273"/>
      <c r="F213" s="635"/>
      <c r="G213" s="552"/>
      <c r="H213" s="486"/>
      <c r="I213" s="217"/>
    </row>
    <row r="214" spans="1:9" ht="24">
      <c r="A214" s="272" t="s">
        <v>169</v>
      </c>
      <c r="B214" s="157"/>
      <c r="C214" s="268" t="s">
        <v>431</v>
      </c>
      <c r="D214" s="272" t="s">
        <v>28</v>
      </c>
      <c r="E214" s="273">
        <v>0</v>
      </c>
      <c r="F214" s="635"/>
      <c r="G214" s="552"/>
      <c r="H214" s="486"/>
      <c r="I214" s="217"/>
    </row>
    <row r="215" spans="1:9">
      <c r="A215" s="272"/>
      <c r="B215" s="157"/>
      <c r="C215" s="268"/>
      <c r="D215" s="272"/>
      <c r="E215" s="273"/>
      <c r="F215" s="635"/>
      <c r="G215" s="552"/>
      <c r="H215" s="486"/>
      <c r="I215" s="217"/>
    </row>
    <row r="216" spans="1:9">
      <c r="A216" s="272" t="s">
        <v>170</v>
      </c>
      <c r="B216" s="157"/>
      <c r="C216" s="268" t="s">
        <v>432</v>
      </c>
      <c r="D216" s="272" t="s">
        <v>28</v>
      </c>
      <c r="E216" s="273">
        <v>0</v>
      </c>
      <c r="F216" s="635"/>
      <c r="G216" s="552"/>
      <c r="H216" s="486"/>
      <c r="I216" s="217"/>
    </row>
    <row r="217" spans="1:9">
      <c r="A217" s="272"/>
      <c r="B217" s="157"/>
      <c r="C217" s="268"/>
      <c r="D217" s="272"/>
      <c r="E217" s="273"/>
      <c r="F217" s="635"/>
      <c r="G217" s="552"/>
      <c r="H217" s="486"/>
      <c r="I217" s="217"/>
    </row>
    <row r="218" spans="1:9">
      <c r="A218" s="264">
        <v>2.2000000000000002</v>
      </c>
      <c r="B218" s="157"/>
      <c r="C218" s="276" t="s">
        <v>171</v>
      </c>
      <c r="D218" s="274"/>
      <c r="E218" s="275"/>
      <c r="F218" s="636"/>
      <c r="G218" s="552">
        <v>0</v>
      </c>
      <c r="H218" s="552"/>
      <c r="I218" s="217"/>
    </row>
    <row r="219" spans="1:9">
      <c r="A219" s="88" t="s">
        <v>172</v>
      </c>
      <c r="B219" s="157"/>
      <c r="C219" s="277" t="s">
        <v>173</v>
      </c>
      <c r="D219" s="274" t="s">
        <v>28</v>
      </c>
      <c r="E219" s="275">
        <v>1</v>
      </c>
      <c r="F219" s="636">
        <f>'MB Karim''s'!H183</f>
        <v>1</v>
      </c>
      <c r="G219" s="552">
        <v>7500</v>
      </c>
      <c r="H219" s="486">
        <f>$E219*G219</f>
        <v>7500</v>
      </c>
      <c r="I219" s="217">
        <f>G219*F219</f>
        <v>7500</v>
      </c>
    </row>
    <row r="220" spans="1:9">
      <c r="A220" s="88"/>
      <c r="B220" s="157"/>
      <c r="C220" s="268" t="s">
        <v>174</v>
      </c>
      <c r="D220" s="274"/>
      <c r="E220" s="275"/>
      <c r="F220" s="636"/>
      <c r="G220" s="552">
        <v>0</v>
      </c>
      <c r="H220" s="552"/>
      <c r="I220" s="217">
        <f t="shared" ref="I220:I283" si="2">G220*F220</f>
        <v>0</v>
      </c>
    </row>
    <row r="221" spans="1:9">
      <c r="A221" s="88"/>
      <c r="B221" s="157"/>
      <c r="C221" s="268" t="s">
        <v>175</v>
      </c>
      <c r="D221" s="274"/>
      <c r="E221" s="275"/>
      <c r="F221" s="636"/>
      <c r="G221" s="552">
        <v>0</v>
      </c>
      <c r="H221" s="552"/>
      <c r="I221" s="217">
        <f t="shared" si="2"/>
        <v>0</v>
      </c>
    </row>
    <row r="222" spans="1:9">
      <c r="A222" s="88"/>
      <c r="B222" s="157"/>
      <c r="C222" s="276"/>
      <c r="D222" s="274"/>
      <c r="E222" s="275"/>
      <c r="F222" s="636"/>
      <c r="G222" s="552">
        <v>0</v>
      </c>
      <c r="H222" s="552"/>
      <c r="I222" s="217">
        <f t="shared" si="2"/>
        <v>0</v>
      </c>
    </row>
    <row r="223" spans="1:9">
      <c r="A223" s="88" t="s">
        <v>176</v>
      </c>
      <c r="B223" s="157"/>
      <c r="C223" s="277" t="s">
        <v>177</v>
      </c>
      <c r="D223" s="274" t="s">
        <v>28</v>
      </c>
      <c r="E223" s="275">
        <v>1</v>
      </c>
      <c r="F223" s="636">
        <f>'MB Karim''s'!H184</f>
        <v>1</v>
      </c>
      <c r="G223" s="552">
        <v>17550</v>
      </c>
      <c r="H223" s="486">
        <f>$E223*G223</f>
        <v>17550</v>
      </c>
      <c r="I223" s="217">
        <f t="shared" si="2"/>
        <v>17550</v>
      </c>
    </row>
    <row r="224" spans="1:9">
      <c r="A224" s="88"/>
      <c r="B224" s="157"/>
      <c r="C224" s="268" t="s">
        <v>178</v>
      </c>
      <c r="D224" s="274"/>
      <c r="E224" s="275"/>
      <c r="F224" s="636"/>
      <c r="G224" s="552">
        <v>0</v>
      </c>
      <c r="H224" s="552"/>
      <c r="I224" s="217">
        <f t="shared" si="2"/>
        <v>0</v>
      </c>
    </row>
    <row r="225" spans="1:9">
      <c r="A225" s="88"/>
      <c r="B225" s="157"/>
      <c r="C225" s="268" t="s">
        <v>179</v>
      </c>
      <c r="D225" s="274"/>
      <c r="E225" s="275"/>
      <c r="F225" s="636"/>
      <c r="G225" s="552">
        <v>0</v>
      </c>
      <c r="H225" s="552"/>
      <c r="I225" s="217">
        <f t="shared" si="2"/>
        <v>0</v>
      </c>
    </row>
    <row r="226" spans="1:9">
      <c r="A226" s="88"/>
      <c r="B226" s="157"/>
      <c r="C226" s="268" t="s">
        <v>180</v>
      </c>
      <c r="D226" s="274"/>
      <c r="E226" s="275"/>
      <c r="F226" s="636"/>
      <c r="G226" s="552">
        <v>0</v>
      </c>
      <c r="H226" s="552"/>
      <c r="I226" s="217">
        <f t="shared" si="2"/>
        <v>0</v>
      </c>
    </row>
    <row r="227" spans="1:9">
      <c r="A227" s="88"/>
      <c r="B227" s="157"/>
      <c r="C227" s="268" t="s">
        <v>181</v>
      </c>
      <c r="D227" s="274"/>
      <c r="E227" s="275"/>
      <c r="F227" s="636"/>
      <c r="G227" s="552">
        <v>0</v>
      </c>
      <c r="H227" s="552"/>
      <c r="I227" s="217">
        <f t="shared" si="2"/>
        <v>0</v>
      </c>
    </row>
    <row r="228" spans="1:9">
      <c r="A228" s="88"/>
      <c r="B228" s="157"/>
      <c r="C228" s="268"/>
      <c r="D228" s="274"/>
      <c r="E228" s="275"/>
      <c r="F228" s="636"/>
      <c r="G228" s="552">
        <v>0</v>
      </c>
      <c r="H228" s="552"/>
      <c r="I228" s="217">
        <f t="shared" si="2"/>
        <v>0</v>
      </c>
    </row>
    <row r="229" spans="1:9">
      <c r="A229" s="88" t="s">
        <v>182</v>
      </c>
      <c r="B229" s="157"/>
      <c r="C229" s="277" t="s">
        <v>183</v>
      </c>
      <c r="D229" s="274" t="s">
        <v>28</v>
      </c>
      <c r="E229" s="275">
        <v>0</v>
      </c>
      <c r="F229" s="636"/>
      <c r="G229" s="552">
        <v>9450</v>
      </c>
      <c r="H229" s="486"/>
      <c r="I229" s="217">
        <f t="shared" si="2"/>
        <v>0</v>
      </c>
    </row>
    <row r="230" spans="1:9">
      <c r="A230" s="264"/>
      <c r="B230" s="157"/>
      <c r="C230" s="268" t="s">
        <v>184</v>
      </c>
      <c r="D230" s="278"/>
      <c r="E230" s="275"/>
      <c r="F230" s="636"/>
      <c r="G230" s="552">
        <v>0</v>
      </c>
      <c r="H230" s="552"/>
      <c r="I230" s="217">
        <f t="shared" si="2"/>
        <v>0</v>
      </c>
    </row>
    <row r="231" spans="1:9">
      <c r="A231" s="264"/>
      <c r="B231" s="157"/>
      <c r="C231" s="268" t="s">
        <v>185</v>
      </c>
      <c r="D231" s="278"/>
      <c r="E231" s="275"/>
      <c r="F231" s="636"/>
      <c r="G231" s="552">
        <v>0</v>
      </c>
      <c r="H231" s="552"/>
      <c r="I231" s="217">
        <f t="shared" si="2"/>
        <v>0</v>
      </c>
    </row>
    <row r="232" spans="1:9">
      <c r="A232" s="264"/>
      <c r="B232" s="157"/>
      <c r="C232" s="265"/>
      <c r="D232" s="266"/>
      <c r="E232" s="267"/>
      <c r="F232" s="634"/>
      <c r="G232" s="554">
        <v>0</v>
      </c>
      <c r="H232" s="551"/>
      <c r="I232" s="217">
        <f t="shared" si="2"/>
        <v>0</v>
      </c>
    </row>
    <row r="233" spans="1:9">
      <c r="A233" s="279">
        <v>3</v>
      </c>
      <c r="B233" s="157"/>
      <c r="C233" s="276" t="s">
        <v>190</v>
      </c>
      <c r="D233" s="280"/>
      <c r="E233" s="281"/>
      <c r="F233" s="637"/>
      <c r="G233" s="555">
        <v>0</v>
      </c>
      <c r="H233" s="555"/>
      <c r="I233" s="217">
        <f t="shared" si="2"/>
        <v>0</v>
      </c>
    </row>
    <row r="234" spans="1:9">
      <c r="A234" s="74">
        <v>3.1</v>
      </c>
      <c r="B234" s="157"/>
      <c r="C234" s="282" t="s">
        <v>191</v>
      </c>
      <c r="D234" s="283"/>
      <c r="E234" s="284"/>
      <c r="F234" s="638"/>
      <c r="G234" s="556">
        <v>0</v>
      </c>
      <c r="H234" s="556"/>
      <c r="I234" s="217">
        <f t="shared" si="2"/>
        <v>0</v>
      </c>
    </row>
    <row r="235" spans="1:9" ht="96">
      <c r="A235" s="74"/>
      <c r="B235" s="157"/>
      <c r="C235" s="285" t="s">
        <v>433</v>
      </c>
      <c r="D235" s="283"/>
      <c r="E235" s="284"/>
      <c r="F235" s="638"/>
      <c r="G235" s="556">
        <v>0</v>
      </c>
      <c r="H235" s="556"/>
      <c r="I235" s="217">
        <f t="shared" si="2"/>
        <v>0</v>
      </c>
    </row>
    <row r="236" spans="1:9">
      <c r="A236" s="74" t="s">
        <v>377</v>
      </c>
      <c r="B236" s="157"/>
      <c r="C236" s="286" t="s">
        <v>192</v>
      </c>
      <c r="D236" s="287"/>
      <c r="E236" s="288"/>
      <c r="F236" s="639"/>
      <c r="G236" s="557">
        <v>0</v>
      </c>
      <c r="H236" s="557"/>
      <c r="I236" s="217">
        <f t="shared" si="2"/>
        <v>0</v>
      </c>
    </row>
    <row r="237" spans="1:9">
      <c r="A237" s="74" t="s">
        <v>13</v>
      </c>
      <c r="B237" s="157"/>
      <c r="C237" s="76" t="s">
        <v>193</v>
      </c>
      <c r="D237" s="287" t="s">
        <v>53</v>
      </c>
      <c r="E237" s="288"/>
      <c r="F237" s="639"/>
      <c r="G237" s="557">
        <v>360</v>
      </c>
      <c r="H237" s="557"/>
      <c r="I237" s="217">
        <f t="shared" si="2"/>
        <v>0</v>
      </c>
    </row>
    <row r="238" spans="1:9">
      <c r="A238" s="74" t="s">
        <v>14</v>
      </c>
      <c r="B238" s="157"/>
      <c r="C238" s="76" t="s">
        <v>194</v>
      </c>
      <c r="D238" s="287" t="s">
        <v>53</v>
      </c>
      <c r="E238" s="288"/>
      <c r="F238" s="639">
        <f>'MB Karim''s'!H188</f>
        <v>21.5</v>
      </c>
      <c r="G238" s="557">
        <v>315</v>
      </c>
      <c r="H238" s="557"/>
      <c r="I238" s="217">
        <f t="shared" si="2"/>
        <v>6772.5</v>
      </c>
    </row>
    <row r="239" spans="1:9">
      <c r="A239" s="74" t="s">
        <v>15</v>
      </c>
      <c r="B239" s="157"/>
      <c r="C239" s="76" t="s">
        <v>195</v>
      </c>
      <c r="D239" s="287" t="s">
        <v>53</v>
      </c>
      <c r="E239" s="288" t="s">
        <v>31</v>
      </c>
      <c r="F239" s="639"/>
      <c r="G239" s="557">
        <v>180</v>
      </c>
      <c r="H239" s="557"/>
      <c r="I239" s="217">
        <f t="shared" si="2"/>
        <v>0</v>
      </c>
    </row>
    <row r="240" spans="1:9">
      <c r="A240" s="74" t="s">
        <v>378</v>
      </c>
      <c r="B240" s="157"/>
      <c r="C240" s="75" t="s">
        <v>196</v>
      </c>
      <c r="D240" s="287"/>
      <c r="E240" s="288"/>
      <c r="F240" s="639"/>
      <c r="G240" s="557">
        <v>0</v>
      </c>
      <c r="H240" s="557"/>
      <c r="I240" s="217">
        <f t="shared" si="2"/>
        <v>0</v>
      </c>
    </row>
    <row r="241" spans="1:9">
      <c r="A241" s="74" t="s">
        <v>13</v>
      </c>
      <c r="B241" s="157"/>
      <c r="C241" s="76" t="s">
        <v>197</v>
      </c>
      <c r="D241" s="287" t="s">
        <v>53</v>
      </c>
      <c r="E241" s="273"/>
      <c r="F241" s="635"/>
      <c r="G241" s="557">
        <v>2025</v>
      </c>
      <c r="H241" s="557"/>
      <c r="I241" s="217">
        <f t="shared" si="2"/>
        <v>0</v>
      </c>
    </row>
    <row r="242" spans="1:9">
      <c r="A242" s="74" t="s">
        <v>14</v>
      </c>
      <c r="B242" s="157"/>
      <c r="C242" s="76" t="s">
        <v>198</v>
      </c>
      <c r="D242" s="287" t="s">
        <v>53</v>
      </c>
      <c r="E242" s="273"/>
      <c r="F242" s="635"/>
      <c r="G242" s="557">
        <v>1152</v>
      </c>
      <c r="H242" s="557"/>
      <c r="I242" s="217">
        <f t="shared" si="2"/>
        <v>0</v>
      </c>
    </row>
    <row r="243" spans="1:9">
      <c r="A243" s="74" t="s">
        <v>15</v>
      </c>
      <c r="B243" s="157"/>
      <c r="C243" s="76" t="s">
        <v>195</v>
      </c>
      <c r="D243" s="287" t="s">
        <v>53</v>
      </c>
      <c r="E243" s="288"/>
      <c r="F243" s="639"/>
      <c r="G243" s="557">
        <v>675</v>
      </c>
      <c r="H243" s="557"/>
      <c r="I243" s="217">
        <f t="shared" si="2"/>
        <v>0</v>
      </c>
    </row>
    <row r="244" spans="1:9">
      <c r="A244" s="74" t="s">
        <v>199</v>
      </c>
      <c r="B244" s="157"/>
      <c r="C244" s="76" t="s">
        <v>200</v>
      </c>
      <c r="D244" s="287" t="s">
        <v>53</v>
      </c>
      <c r="E244" s="289"/>
      <c r="F244" s="640"/>
      <c r="G244" s="557">
        <v>495</v>
      </c>
      <c r="H244" s="557"/>
      <c r="I244" s="217">
        <f t="shared" si="2"/>
        <v>0</v>
      </c>
    </row>
    <row r="245" spans="1:9">
      <c r="A245" s="74" t="s">
        <v>30</v>
      </c>
      <c r="B245" s="157"/>
      <c r="C245" s="76" t="s">
        <v>201</v>
      </c>
      <c r="D245" s="287" t="s">
        <v>53</v>
      </c>
      <c r="E245" s="288"/>
      <c r="F245" s="639"/>
      <c r="G245" s="557">
        <v>315</v>
      </c>
      <c r="H245" s="557"/>
      <c r="I245" s="217">
        <f t="shared" si="2"/>
        <v>0</v>
      </c>
    </row>
    <row r="246" spans="1:9">
      <c r="A246" s="74" t="s">
        <v>32</v>
      </c>
      <c r="B246" s="157"/>
      <c r="C246" s="290" t="s">
        <v>202</v>
      </c>
      <c r="D246" s="287" t="s">
        <v>53</v>
      </c>
      <c r="E246" s="288"/>
      <c r="F246" s="639"/>
      <c r="G246" s="557">
        <v>243</v>
      </c>
      <c r="H246" s="557"/>
      <c r="I246" s="217">
        <f t="shared" si="2"/>
        <v>0</v>
      </c>
    </row>
    <row r="247" spans="1:9">
      <c r="A247" s="74" t="s">
        <v>33</v>
      </c>
      <c r="B247" s="157"/>
      <c r="C247" s="76" t="s">
        <v>203</v>
      </c>
      <c r="D247" s="287" t="s">
        <v>53</v>
      </c>
      <c r="E247" s="288"/>
      <c r="F247" s="639"/>
      <c r="G247" s="557">
        <v>315</v>
      </c>
      <c r="H247" s="557"/>
      <c r="I247" s="217">
        <f t="shared" si="2"/>
        <v>0</v>
      </c>
    </row>
    <row r="248" spans="1:9">
      <c r="A248" s="74" t="s">
        <v>34</v>
      </c>
      <c r="B248" s="157"/>
      <c r="C248" s="76" t="s">
        <v>204</v>
      </c>
      <c r="D248" s="287" t="s">
        <v>53</v>
      </c>
      <c r="E248" s="288"/>
      <c r="F248" s="639"/>
      <c r="G248" s="557">
        <v>225</v>
      </c>
      <c r="H248" s="557"/>
      <c r="I248" s="217">
        <f t="shared" si="2"/>
        <v>0</v>
      </c>
    </row>
    <row r="249" spans="1:9">
      <c r="A249" s="74" t="s">
        <v>35</v>
      </c>
      <c r="B249" s="157"/>
      <c r="C249" s="76" t="s">
        <v>205</v>
      </c>
      <c r="D249" s="287" t="s">
        <v>53</v>
      </c>
      <c r="E249" s="288"/>
      <c r="F249" s="639"/>
      <c r="G249" s="557">
        <v>171</v>
      </c>
      <c r="H249" s="557"/>
      <c r="I249" s="217">
        <f t="shared" si="2"/>
        <v>0</v>
      </c>
    </row>
    <row r="250" spans="1:9">
      <c r="A250" s="74" t="s">
        <v>379</v>
      </c>
      <c r="B250" s="157"/>
      <c r="C250" s="75" t="s">
        <v>206</v>
      </c>
      <c r="D250" s="287"/>
      <c r="E250" s="288"/>
      <c r="F250" s="639"/>
      <c r="G250" s="557">
        <v>0</v>
      </c>
      <c r="H250" s="557"/>
      <c r="I250" s="217">
        <f t="shared" si="2"/>
        <v>0</v>
      </c>
    </row>
    <row r="251" spans="1:9">
      <c r="A251" s="74" t="s">
        <v>13</v>
      </c>
      <c r="B251" s="157"/>
      <c r="C251" s="76" t="s">
        <v>200</v>
      </c>
      <c r="D251" s="287" t="s">
        <v>53</v>
      </c>
      <c r="E251" s="288"/>
      <c r="F251" s="639"/>
      <c r="G251" s="557">
        <v>360</v>
      </c>
      <c r="H251" s="557"/>
      <c r="I251" s="217">
        <f t="shared" si="2"/>
        <v>0</v>
      </c>
    </row>
    <row r="252" spans="1:9">
      <c r="A252" s="74" t="s">
        <v>14</v>
      </c>
      <c r="B252" s="157"/>
      <c r="C252" s="76" t="s">
        <v>201</v>
      </c>
      <c r="D252" s="287" t="s">
        <v>53</v>
      </c>
      <c r="E252" s="288"/>
      <c r="F252" s="639"/>
      <c r="G252" s="557">
        <v>247.5</v>
      </c>
      <c r="H252" s="557"/>
      <c r="I252" s="217">
        <f t="shared" si="2"/>
        <v>0</v>
      </c>
    </row>
    <row r="253" spans="1:9">
      <c r="A253" s="74" t="s">
        <v>15</v>
      </c>
      <c r="B253" s="157"/>
      <c r="C253" s="76" t="s">
        <v>204</v>
      </c>
      <c r="D253" s="287" t="s">
        <v>53</v>
      </c>
      <c r="E253" s="288"/>
      <c r="F253" s="639"/>
      <c r="G253" s="557">
        <v>171</v>
      </c>
      <c r="H253" s="557"/>
      <c r="I253" s="217">
        <f t="shared" si="2"/>
        <v>0</v>
      </c>
    </row>
    <row r="254" spans="1:9">
      <c r="A254" s="74" t="s">
        <v>199</v>
      </c>
      <c r="B254" s="157"/>
      <c r="C254" s="76" t="s">
        <v>207</v>
      </c>
      <c r="D254" s="287" t="s">
        <v>53</v>
      </c>
      <c r="E254" s="288"/>
      <c r="F254" s="639">
        <f>'MB Karim''s'!H195</f>
        <v>87</v>
      </c>
      <c r="G254" s="557">
        <v>121.5</v>
      </c>
      <c r="H254" s="557"/>
      <c r="I254" s="217">
        <f t="shared" si="2"/>
        <v>10570.5</v>
      </c>
    </row>
    <row r="255" spans="1:9">
      <c r="A255" s="74" t="s">
        <v>30</v>
      </c>
      <c r="B255" s="157"/>
      <c r="C255" s="76" t="s">
        <v>208</v>
      </c>
      <c r="D255" s="287" t="s">
        <v>53</v>
      </c>
      <c r="E255" s="288"/>
      <c r="F255" s="639"/>
      <c r="G255" s="557">
        <v>99</v>
      </c>
      <c r="H255" s="557"/>
      <c r="I255" s="217">
        <f t="shared" si="2"/>
        <v>0</v>
      </c>
    </row>
    <row r="256" spans="1:9">
      <c r="A256" s="74"/>
      <c r="B256" s="157"/>
      <c r="C256" s="76"/>
      <c r="D256" s="287"/>
      <c r="E256" s="288"/>
      <c r="F256" s="639"/>
      <c r="G256" s="557">
        <v>0</v>
      </c>
      <c r="H256" s="557"/>
      <c r="I256" s="217">
        <f t="shared" si="2"/>
        <v>0</v>
      </c>
    </row>
    <row r="257" spans="1:9">
      <c r="A257" s="74" t="s">
        <v>380</v>
      </c>
      <c r="B257" s="157"/>
      <c r="C257" s="75" t="s">
        <v>209</v>
      </c>
      <c r="D257" s="287"/>
      <c r="E257" s="288"/>
      <c r="F257" s="639"/>
      <c r="G257" s="557">
        <v>0</v>
      </c>
      <c r="H257" s="557"/>
      <c r="I257" s="217">
        <f t="shared" si="2"/>
        <v>0</v>
      </c>
    </row>
    <row r="258" spans="1:9" ht="24">
      <c r="A258" s="74" t="s">
        <v>13</v>
      </c>
      <c r="B258" s="157"/>
      <c r="C258" s="285" t="s">
        <v>210</v>
      </c>
      <c r="D258" s="287" t="s">
        <v>53</v>
      </c>
      <c r="E258" s="288"/>
      <c r="F258" s="639"/>
      <c r="G258" s="557">
        <v>63</v>
      </c>
      <c r="H258" s="557"/>
      <c r="I258" s="217">
        <f t="shared" si="2"/>
        <v>0</v>
      </c>
    </row>
    <row r="259" spans="1:9">
      <c r="A259" s="74"/>
      <c r="B259" s="157"/>
      <c r="C259" s="75" t="s">
        <v>211</v>
      </c>
      <c r="D259" s="287"/>
      <c r="E259" s="288"/>
      <c r="F259" s="639"/>
      <c r="G259" s="557">
        <v>0</v>
      </c>
      <c r="H259" s="558"/>
      <c r="I259" s="217">
        <f t="shared" si="2"/>
        <v>0</v>
      </c>
    </row>
    <row r="260" spans="1:9">
      <c r="A260" s="74"/>
      <c r="B260" s="157"/>
      <c r="C260" s="75"/>
      <c r="D260" s="287"/>
      <c r="E260" s="288"/>
      <c r="F260" s="639"/>
      <c r="G260" s="557">
        <v>0</v>
      </c>
      <c r="H260" s="557"/>
      <c r="I260" s="217">
        <f t="shared" si="2"/>
        <v>0</v>
      </c>
    </row>
    <row r="261" spans="1:9">
      <c r="A261" s="74">
        <v>3.2</v>
      </c>
      <c r="B261" s="157"/>
      <c r="C261" s="291" t="s">
        <v>52</v>
      </c>
      <c r="D261" s="287"/>
      <c r="E261" s="288"/>
      <c r="F261" s="639"/>
      <c r="G261" s="557">
        <v>0</v>
      </c>
      <c r="H261" s="557"/>
      <c r="I261" s="217">
        <f t="shared" si="2"/>
        <v>0</v>
      </c>
    </row>
    <row r="262" spans="1:9" ht="24">
      <c r="A262" s="74"/>
      <c r="B262" s="157"/>
      <c r="C262" s="290" t="s">
        <v>212</v>
      </c>
      <c r="D262" s="287"/>
      <c r="E262" s="288"/>
      <c r="F262" s="639"/>
      <c r="G262" s="557">
        <v>0</v>
      </c>
      <c r="H262" s="557"/>
      <c r="I262" s="217">
        <f t="shared" si="2"/>
        <v>0</v>
      </c>
    </row>
    <row r="263" spans="1:9">
      <c r="A263" s="74" t="s">
        <v>13</v>
      </c>
      <c r="B263" s="157"/>
      <c r="C263" s="76" t="s">
        <v>213</v>
      </c>
      <c r="D263" s="287" t="s">
        <v>28</v>
      </c>
      <c r="E263" s="288"/>
      <c r="F263" s="639"/>
      <c r="G263" s="557">
        <v>675</v>
      </c>
      <c r="H263" s="557"/>
      <c r="I263" s="217">
        <f t="shared" si="2"/>
        <v>0</v>
      </c>
    </row>
    <row r="264" spans="1:9">
      <c r="A264" s="74" t="s">
        <v>14</v>
      </c>
      <c r="B264" s="157"/>
      <c r="C264" s="76" t="s">
        <v>194</v>
      </c>
      <c r="D264" s="287" t="s">
        <v>28</v>
      </c>
      <c r="E264" s="288"/>
      <c r="F264" s="639">
        <f>'MB Karim''s'!H199</f>
        <v>2</v>
      </c>
      <c r="G264" s="557">
        <v>540</v>
      </c>
      <c r="H264" s="557"/>
      <c r="I264" s="217">
        <f t="shared" si="2"/>
        <v>1080</v>
      </c>
    </row>
    <row r="265" spans="1:9">
      <c r="A265" s="74" t="s">
        <v>15</v>
      </c>
      <c r="B265" s="157"/>
      <c r="C265" s="76" t="s">
        <v>195</v>
      </c>
      <c r="D265" s="287" t="s">
        <v>28</v>
      </c>
      <c r="E265" s="288" t="s">
        <v>31</v>
      </c>
      <c r="F265" s="639"/>
      <c r="G265" s="557">
        <v>495</v>
      </c>
      <c r="H265" s="557"/>
      <c r="I265" s="217">
        <f t="shared" si="2"/>
        <v>0</v>
      </c>
    </row>
    <row r="266" spans="1:9">
      <c r="A266" s="74" t="s">
        <v>29</v>
      </c>
      <c r="B266" s="157"/>
      <c r="C266" s="76" t="s">
        <v>214</v>
      </c>
      <c r="D266" s="287" t="s">
        <v>28</v>
      </c>
      <c r="E266" s="288"/>
      <c r="F266" s="639"/>
      <c r="G266" s="557">
        <v>495</v>
      </c>
      <c r="H266" s="557"/>
      <c r="I266" s="217">
        <f t="shared" si="2"/>
        <v>0</v>
      </c>
    </row>
    <row r="267" spans="1:9">
      <c r="A267" s="74" t="s">
        <v>30</v>
      </c>
      <c r="B267" s="157"/>
      <c r="C267" s="76" t="s">
        <v>195</v>
      </c>
      <c r="D267" s="287" t="s">
        <v>28</v>
      </c>
      <c r="E267" s="288"/>
      <c r="F267" s="639"/>
      <c r="G267" s="557">
        <v>450</v>
      </c>
      <c r="H267" s="557"/>
      <c r="I267" s="217">
        <f t="shared" si="2"/>
        <v>0</v>
      </c>
    </row>
    <row r="268" spans="1:9">
      <c r="A268" s="74" t="s">
        <v>32</v>
      </c>
      <c r="B268" s="157"/>
      <c r="C268" s="76" t="s">
        <v>200</v>
      </c>
      <c r="D268" s="287" t="s">
        <v>28</v>
      </c>
      <c r="E268" s="289"/>
      <c r="F268" s="640"/>
      <c r="G268" s="557">
        <v>405</v>
      </c>
      <c r="H268" s="557"/>
      <c r="I268" s="217">
        <f t="shared" si="2"/>
        <v>0</v>
      </c>
    </row>
    <row r="269" spans="1:9">
      <c r="A269" s="74" t="s">
        <v>33</v>
      </c>
      <c r="B269" s="157"/>
      <c r="C269" s="76" t="s">
        <v>201</v>
      </c>
      <c r="D269" s="287" t="s">
        <v>28</v>
      </c>
      <c r="E269" s="288"/>
      <c r="F269" s="639"/>
      <c r="G269" s="557">
        <v>360</v>
      </c>
      <c r="H269" s="557"/>
      <c r="I269" s="217">
        <f t="shared" si="2"/>
        <v>0</v>
      </c>
    </row>
    <row r="270" spans="1:9">
      <c r="A270" s="74" t="s">
        <v>34</v>
      </c>
      <c r="B270" s="157"/>
      <c r="C270" s="290" t="s">
        <v>202</v>
      </c>
      <c r="D270" s="287" t="s">
        <v>28</v>
      </c>
      <c r="E270" s="288"/>
      <c r="F270" s="639"/>
      <c r="G270" s="557">
        <v>315</v>
      </c>
      <c r="H270" s="557"/>
      <c r="I270" s="217">
        <f t="shared" si="2"/>
        <v>0</v>
      </c>
    </row>
    <row r="271" spans="1:9">
      <c r="A271" s="74" t="s">
        <v>35</v>
      </c>
      <c r="B271" s="157"/>
      <c r="C271" s="76" t="s">
        <v>203</v>
      </c>
      <c r="D271" s="287" t="s">
        <v>28</v>
      </c>
      <c r="E271" s="288"/>
      <c r="F271" s="639"/>
      <c r="G271" s="557">
        <v>270</v>
      </c>
      <c r="H271" s="557"/>
      <c r="I271" s="217">
        <f t="shared" si="2"/>
        <v>0</v>
      </c>
    </row>
    <row r="272" spans="1:9">
      <c r="A272" s="74" t="s">
        <v>36</v>
      </c>
      <c r="B272" s="157"/>
      <c r="C272" s="76" t="s">
        <v>204</v>
      </c>
      <c r="D272" s="287" t="s">
        <v>28</v>
      </c>
      <c r="E272" s="288"/>
      <c r="F272" s="639"/>
      <c r="G272" s="557">
        <v>360</v>
      </c>
      <c r="H272" s="557"/>
      <c r="I272" s="217">
        <f t="shared" si="2"/>
        <v>0</v>
      </c>
    </row>
    <row r="273" spans="1:9">
      <c r="A273" s="74" t="s">
        <v>37</v>
      </c>
      <c r="B273" s="157"/>
      <c r="C273" s="76" t="s">
        <v>205</v>
      </c>
      <c r="D273" s="287" t="s">
        <v>28</v>
      </c>
      <c r="E273" s="288"/>
      <c r="F273" s="639"/>
      <c r="G273" s="557">
        <v>270</v>
      </c>
      <c r="H273" s="557"/>
      <c r="I273" s="217">
        <f t="shared" si="2"/>
        <v>0</v>
      </c>
    </row>
    <row r="274" spans="1:9">
      <c r="A274" s="74" t="s">
        <v>38</v>
      </c>
      <c r="B274" s="157"/>
      <c r="C274" s="76" t="s">
        <v>215</v>
      </c>
      <c r="D274" s="287"/>
      <c r="E274" s="288"/>
      <c r="F274" s="639"/>
      <c r="G274" s="557">
        <v>0</v>
      </c>
      <c r="H274" s="557"/>
      <c r="I274" s="217">
        <f t="shared" si="2"/>
        <v>0</v>
      </c>
    </row>
    <row r="275" spans="1:9">
      <c r="A275" s="74" t="s">
        <v>39</v>
      </c>
      <c r="B275" s="157"/>
      <c r="C275" s="76" t="s">
        <v>200</v>
      </c>
      <c r="D275" s="287" t="s">
        <v>28</v>
      </c>
      <c r="E275" s="288"/>
      <c r="F275" s="639"/>
      <c r="G275" s="557">
        <v>360</v>
      </c>
      <c r="H275" s="557"/>
      <c r="I275" s="217">
        <f t="shared" si="2"/>
        <v>0</v>
      </c>
    </row>
    <row r="276" spans="1:9">
      <c r="A276" s="74" t="s">
        <v>40</v>
      </c>
      <c r="B276" s="157"/>
      <c r="C276" s="76" t="s">
        <v>201</v>
      </c>
      <c r="D276" s="287" t="s">
        <v>28</v>
      </c>
      <c r="E276" s="288"/>
      <c r="F276" s="639"/>
      <c r="G276" s="557">
        <v>315</v>
      </c>
      <c r="H276" s="557"/>
      <c r="I276" s="217">
        <f t="shared" si="2"/>
        <v>0</v>
      </c>
    </row>
    <row r="277" spans="1:9">
      <c r="A277" s="74" t="s">
        <v>41</v>
      </c>
      <c r="B277" s="157"/>
      <c r="C277" s="76" t="s">
        <v>204</v>
      </c>
      <c r="D277" s="287" t="s">
        <v>28</v>
      </c>
      <c r="E277" s="288"/>
      <c r="F277" s="639"/>
      <c r="G277" s="557">
        <v>270</v>
      </c>
      <c r="H277" s="557"/>
      <c r="I277" s="217">
        <f t="shared" si="2"/>
        <v>0</v>
      </c>
    </row>
    <row r="278" spans="1:9">
      <c r="A278" s="74" t="s">
        <v>42</v>
      </c>
      <c r="B278" s="157"/>
      <c r="C278" s="76" t="s">
        <v>216</v>
      </c>
      <c r="D278" s="287" t="s">
        <v>28</v>
      </c>
      <c r="E278" s="288"/>
      <c r="F278" s="639"/>
      <c r="G278" s="557">
        <v>225</v>
      </c>
      <c r="H278" s="557"/>
      <c r="I278" s="217">
        <f t="shared" si="2"/>
        <v>0</v>
      </c>
    </row>
    <row r="279" spans="1:9">
      <c r="A279" s="74" t="s">
        <v>43</v>
      </c>
      <c r="B279" s="157"/>
      <c r="C279" s="76" t="s">
        <v>217</v>
      </c>
      <c r="D279" s="287" t="s">
        <v>28</v>
      </c>
      <c r="E279" s="288"/>
      <c r="F279" s="639"/>
      <c r="G279" s="557">
        <v>180</v>
      </c>
      <c r="H279" s="557"/>
      <c r="I279" s="217">
        <f t="shared" si="2"/>
        <v>0</v>
      </c>
    </row>
    <row r="280" spans="1:9">
      <c r="A280" s="74"/>
      <c r="B280" s="157"/>
      <c r="C280" s="76"/>
      <c r="D280" s="287"/>
      <c r="E280" s="288"/>
      <c r="F280" s="639"/>
      <c r="G280" s="557">
        <v>0</v>
      </c>
      <c r="H280" s="557"/>
      <c r="I280" s="217">
        <f t="shared" si="2"/>
        <v>0</v>
      </c>
    </row>
    <row r="281" spans="1:9">
      <c r="A281" s="74"/>
      <c r="B281" s="157"/>
      <c r="C281" s="292"/>
      <c r="D281" s="287"/>
      <c r="E281" s="288"/>
      <c r="F281" s="639"/>
      <c r="G281" s="557">
        <v>0</v>
      </c>
      <c r="H281" s="557"/>
      <c r="I281" s="217">
        <f t="shared" si="2"/>
        <v>0</v>
      </c>
    </row>
    <row r="282" spans="1:9">
      <c r="A282" s="293">
        <v>3.3</v>
      </c>
      <c r="B282" s="157"/>
      <c r="C282" s="294" t="s">
        <v>218</v>
      </c>
      <c r="D282" s="295"/>
      <c r="E282" s="296"/>
      <c r="F282" s="641"/>
      <c r="G282" s="559">
        <v>0</v>
      </c>
      <c r="H282" s="559"/>
      <c r="I282" s="217">
        <f t="shared" si="2"/>
        <v>0</v>
      </c>
    </row>
    <row r="283" spans="1:9" ht="60">
      <c r="A283" s="297" t="s">
        <v>381</v>
      </c>
      <c r="B283" s="157"/>
      <c r="C283" s="82" t="s">
        <v>434</v>
      </c>
      <c r="D283" s="295"/>
      <c r="E283" s="296"/>
      <c r="F283" s="641"/>
      <c r="G283" s="490">
        <v>0</v>
      </c>
      <c r="H283" s="490"/>
      <c r="I283" s="217">
        <f t="shared" si="2"/>
        <v>0</v>
      </c>
    </row>
    <row r="284" spans="1:9">
      <c r="A284" s="297" t="s">
        <v>13</v>
      </c>
      <c r="B284" s="177"/>
      <c r="C284" s="298" t="s">
        <v>219</v>
      </c>
      <c r="D284" s="295" t="s">
        <v>53</v>
      </c>
      <c r="E284" s="299"/>
      <c r="F284" s="642"/>
      <c r="G284" s="490">
        <v>495</v>
      </c>
      <c r="H284" s="490"/>
      <c r="I284" s="217">
        <f t="shared" ref="I284:I347" si="3">G284*F284</f>
        <v>0</v>
      </c>
    </row>
    <row r="285" spans="1:9">
      <c r="A285" s="297" t="s">
        <v>14</v>
      </c>
      <c r="B285" s="177"/>
      <c r="C285" s="298" t="s">
        <v>220</v>
      </c>
      <c r="D285" s="295" t="s">
        <v>53</v>
      </c>
      <c r="E285" s="299"/>
      <c r="F285" s="642"/>
      <c r="G285" s="490">
        <v>405</v>
      </c>
      <c r="H285" s="490"/>
      <c r="I285" s="217">
        <f t="shared" si="3"/>
        <v>0</v>
      </c>
    </row>
    <row r="286" spans="1:9">
      <c r="A286" s="293"/>
      <c r="B286" s="177"/>
      <c r="C286" s="294"/>
      <c r="D286" s="295"/>
      <c r="E286" s="296"/>
      <c r="F286" s="641"/>
      <c r="G286" s="490">
        <v>0</v>
      </c>
      <c r="H286" s="490"/>
      <c r="I286" s="217">
        <f t="shared" si="3"/>
        <v>0</v>
      </c>
    </row>
    <row r="287" spans="1:9" ht="84">
      <c r="A287" s="297" t="s">
        <v>382</v>
      </c>
      <c r="B287" s="177"/>
      <c r="C287" s="300" t="s">
        <v>435</v>
      </c>
      <c r="D287" s="295"/>
      <c r="E287" s="296"/>
      <c r="F287" s="641"/>
      <c r="G287" s="490">
        <v>0</v>
      </c>
      <c r="H287" s="490"/>
      <c r="I287" s="217">
        <f t="shared" si="3"/>
        <v>0</v>
      </c>
    </row>
    <row r="288" spans="1:9">
      <c r="A288" s="297" t="s">
        <v>13</v>
      </c>
      <c r="B288" s="177"/>
      <c r="C288" s="301" t="s">
        <v>221</v>
      </c>
      <c r="D288" s="295" t="s">
        <v>53</v>
      </c>
      <c r="E288" s="296" t="s">
        <v>31</v>
      </c>
      <c r="F288" s="641">
        <f>'MB Karim''s'!H202</f>
        <v>11.1</v>
      </c>
      <c r="G288" s="490">
        <v>675</v>
      </c>
      <c r="H288" s="490"/>
      <c r="I288" s="217">
        <f t="shared" si="3"/>
        <v>7492.5</v>
      </c>
    </row>
    <row r="289" spans="1:9">
      <c r="A289" s="297" t="s">
        <v>14</v>
      </c>
      <c r="B289" s="177"/>
      <c r="C289" s="301" t="s">
        <v>222</v>
      </c>
      <c r="D289" s="295" t="s">
        <v>53</v>
      </c>
      <c r="E289" s="296" t="s">
        <v>31</v>
      </c>
      <c r="F289" s="641"/>
      <c r="G289" s="490">
        <v>495</v>
      </c>
      <c r="H289" s="490"/>
      <c r="I289" s="217">
        <f t="shared" si="3"/>
        <v>0</v>
      </c>
    </row>
    <row r="290" spans="1:9">
      <c r="A290" s="293"/>
      <c r="B290" s="177"/>
      <c r="C290" s="301"/>
      <c r="D290" s="295"/>
      <c r="E290" s="296"/>
      <c r="F290" s="641"/>
      <c r="G290" s="490">
        <v>0</v>
      </c>
      <c r="H290" s="490"/>
      <c r="I290" s="217">
        <f t="shared" si="3"/>
        <v>0</v>
      </c>
    </row>
    <row r="291" spans="1:9" ht="96">
      <c r="A291" s="297" t="s">
        <v>383</v>
      </c>
      <c r="B291" s="177"/>
      <c r="C291" s="300" t="s">
        <v>436</v>
      </c>
      <c r="D291" s="295"/>
      <c r="E291" s="296"/>
      <c r="F291" s="641"/>
      <c r="G291" s="490">
        <v>0</v>
      </c>
      <c r="H291" s="490"/>
      <c r="I291" s="217">
        <f t="shared" si="3"/>
        <v>0</v>
      </c>
    </row>
    <row r="292" spans="1:9">
      <c r="A292" s="293"/>
      <c r="B292" s="177"/>
      <c r="C292" s="302" t="s">
        <v>223</v>
      </c>
      <c r="D292" s="295"/>
      <c r="E292" s="296"/>
      <c r="F292" s="641"/>
      <c r="G292" s="490">
        <v>0</v>
      </c>
      <c r="H292" s="490"/>
      <c r="I292" s="217">
        <f t="shared" si="3"/>
        <v>0</v>
      </c>
    </row>
    <row r="293" spans="1:9">
      <c r="A293" s="297" t="s">
        <v>13</v>
      </c>
      <c r="B293" s="177"/>
      <c r="C293" s="298" t="s">
        <v>224</v>
      </c>
      <c r="D293" s="295" t="s">
        <v>53</v>
      </c>
      <c r="E293" s="296"/>
      <c r="F293" s="641"/>
      <c r="G293" s="490">
        <v>1395</v>
      </c>
      <c r="H293" s="490"/>
      <c r="I293" s="217">
        <f t="shared" si="3"/>
        <v>0</v>
      </c>
    </row>
    <row r="294" spans="1:9">
      <c r="A294" s="297" t="s">
        <v>14</v>
      </c>
      <c r="B294" s="177"/>
      <c r="C294" s="298" t="s">
        <v>225</v>
      </c>
      <c r="D294" s="295" t="s">
        <v>53</v>
      </c>
      <c r="E294" s="296"/>
      <c r="F294" s="641"/>
      <c r="G294" s="490">
        <v>1215</v>
      </c>
      <c r="H294" s="490"/>
      <c r="I294" s="217">
        <f t="shared" si="3"/>
        <v>0</v>
      </c>
    </row>
    <row r="295" spans="1:9">
      <c r="A295" s="297" t="s">
        <v>15</v>
      </c>
      <c r="B295" s="177"/>
      <c r="C295" s="298" t="s">
        <v>226</v>
      </c>
      <c r="D295" s="295" t="s">
        <v>53</v>
      </c>
      <c r="E295" s="296">
        <v>5</v>
      </c>
      <c r="F295" s="641"/>
      <c r="G295" s="490">
        <v>900</v>
      </c>
      <c r="H295" s="490">
        <f>$E295*G295</f>
        <v>4500</v>
      </c>
      <c r="I295" s="217">
        <f t="shared" si="3"/>
        <v>0</v>
      </c>
    </row>
    <row r="296" spans="1:9">
      <c r="A296" s="293"/>
      <c r="B296" s="177"/>
      <c r="C296" s="301"/>
      <c r="D296" s="295"/>
      <c r="E296" s="296"/>
      <c r="F296" s="641"/>
      <c r="G296" s="490">
        <v>0</v>
      </c>
      <c r="H296" s="490"/>
      <c r="I296" s="217">
        <f t="shared" si="3"/>
        <v>0</v>
      </c>
    </row>
    <row r="297" spans="1:9" ht="120">
      <c r="A297" s="297" t="s">
        <v>384</v>
      </c>
      <c r="B297" s="177"/>
      <c r="C297" s="269" t="s">
        <v>437</v>
      </c>
      <c r="D297" s="295"/>
      <c r="E297" s="296"/>
      <c r="F297" s="641"/>
      <c r="G297" s="490">
        <v>0</v>
      </c>
      <c r="H297" s="490"/>
      <c r="I297" s="217">
        <f t="shared" si="3"/>
        <v>0</v>
      </c>
    </row>
    <row r="298" spans="1:9">
      <c r="A298" s="297" t="s">
        <v>13</v>
      </c>
      <c r="B298" s="177"/>
      <c r="C298" s="298" t="s">
        <v>227</v>
      </c>
      <c r="D298" s="295" t="s">
        <v>53</v>
      </c>
      <c r="E298" s="296"/>
      <c r="F298" s="641"/>
      <c r="G298" s="490">
        <v>765</v>
      </c>
      <c r="H298" s="490"/>
      <c r="I298" s="217">
        <f t="shared" si="3"/>
        <v>0</v>
      </c>
    </row>
    <row r="299" spans="1:9">
      <c r="A299" s="297" t="s">
        <v>14</v>
      </c>
      <c r="B299" s="177"/>
      <c r="C299" s="298" t="s">
        <v>228</v>
      </c>
      <c r="D299" s="295" t="s">
        <v>53</v>
      </c>
      <c r="E299" s="296"/>
      <c r="F299" s="641">
        <f>'MB Karim''s'!H204</f>
        <v>5</v>
      </c>
      <c r="G299" s="490">
        <v>585</v>
      </c>
      <c r="H299" s="490"/>
      <c r="I299" s="217">
        <f t="shared" si="3"/>
        <v>2925</v>
      </c>
    </row>
    <row r="300" spans="1:9">
      <c r="A300" s="297" t="s">
        <v>15</v>
      </c>
      <c r="B300" s="177"/>
      <c r="C300" s="298" t="s">
        <v>229</v>
      </c>
      <c r="D300" s="295" t="s">
        <v>53</v>
      </c>
      <c r="E300" s="296"/>
      <c r="F300" s="641"/>
      <c r="G300" s="490">
        <v>495</v>
      </c>
      <c r="H300" s="490"/>
      <c r="I300" s="217">
        <f t="shared" si="3"/>
        <v>0</v>
      </c>
    </row>
    <row r="301" spans="1:9">
      <c r="A301" s="297" t="s">
        <v>29</v>
      </c>
      <c r="B301" s="177"/>
      <c r="C301" s="298" t="s">
        <v>230</v>
      </c>
      <c r="D301" s="295" t="s">
        <v>53</v>
      </c>
      <c r="E301" s="296">
        <v>5</v>
      </c>
      <c r="F301" s="641"/>
      <c r="G301" s="490">
        <v>450</v>
      </c>
      <c r="H301" s="490">
        <f>$E301*G301</f>
        <v>2250</v>
      </c>
      <c r="I301" s="217">
        <f t="shared" si="3"/>
        <v>0</v>
      </c>
    </row>
    <row r="302" spans="1:9">
      <c r="A302" s="297"/>
      <c r="B302" s="177"/>
      <c r="C302" s="301"/>
      <c r="D302" s="295"/>
      <c r="E302" s="296"/>
      <c r="F302" s="641"/>
      <c r="G302" s="490">
        <v>0</v>
      </c>
      <c r="H302" s="490"/>
      <c r="I302" s="217">
        <f t="shared" si="3"/>
        <v>0</v>
      </c>
    </row>
    <row r="303" spans="1:9">
      <c r="A303" s="303"/>
      <c r="B303" s="177"/>
      <c r="C303" s="301"/>
      <c r="D303" s="304"/>
      <c r="E303" s="305"/>
      <c r="F303" s="509"/>
      <c r="G303" s="490">
        <v>0</v>
      </c>
      <c r="H303" s="490"/>
      <c r="I303" s="217">
        <f t="shared" si="3"/>
        <v>0</v>
      </c>
    </row>
    <row r="304" spans="1:9">
      <c r="A304" s="264">
        <v>4</v>
      </c>
      <c r="B304" s="157"/>
      <c r="C304" s="265" t="s">
        <v>231</v>
      </c>
      <c r="D304" s="266"/>
      <c r="E304" s="267"/>
      <c r="F304" s="634"/>
      <c r="G304" s="556">
        <v>0</v>
      </c>
      <c r="H304" s="492"/>
      <c r="I304" s="217">
        <f t="shared" si="3"/>
        <v>0</v>
      </c>
    </row>
    <row r="305" spans="1:9" ht="24">
      <c r="A305" s="306"/>
      <c r="B305" s="177"/>
      <c r="C305" s="307" t="s">
        <v>232</v>
      </c>
      <c r="D305" s="274"/>
      <c r="E305" s="275"/>
      <c r="F305" s="636"/>
      <c r="G305" s="557">
        <v>0</v>
      </c>
      <c r="H305" s="557"/>
      <c r="I305" s="217">
        <f t="shared" si="3"/>
        <v>0</v>
      </c>
    </row>
    <row r="306" spans="1:9" ht="24">
      <c r="A306" s="306"/>
      <c r="B306" s="177"/>
      <c r="C306" s="307" t="s">
        <v>233</v>
      </c>
      <c r="D306" s="274"/>
      <c r="E306" s="275"/>
      <c r="F306" s="636"/>
      <c r="G306" s="557">
        <v>0</v>
      </c>
      <c r="H306" s="557"/>
      <c r="I306" s="217">
        <f t="shared" si="3"/>
        <v>0</v>
      </c>
    </row>
    <row r="307" spans="1:9" ht="24">
      <c r="A307" s="306"/>
      <c r="B307" s="177"/>
      <c r="C307" s="308" t="s">
        <v>234</v>
      </c>
      <c r="D307" s="274"/>
      <c r="E307" s="275"/>
      <c r="F307" s="636"/>
      <c r="G307" s="557">
        <v>0</v>
      </c>
      <c r="H307" s="557"/>
      <c r="I307" s="217">
        <f t="shared" si="3"/>
        <v>0</v>
      </c>
    </row>
    <row r="308" spans="1:9">
      <c r="A308" s="306"/>
      <c r="B308" s="177"/>
      <c r="C308" s="308" t="s">
        <v>235</v>
      </c>
      <c r="D308" s="274"/>
      <c r="E308" s="275"/>
      <c r="F308" s="636"/>
      <c r="G308" s="557">
        <v>0</v>
      </c>
      <c r="H308" s="557"/>
      <c r="I308" s="217">
        <f t="shared" si="3"/>
        <v>0</v>
      </c>
    </row>
    <row r="309" spans="1:9">
      <c r="A309" s="306"/>
      <c r="B309" s="177"/>
      <c r="C309" s="307" t="s">
        <v>236</v>
      </c>
      <c r="D309" s="274"/>
      <c r="E309" s="275"/>
      <c r="F309" s="636"/>
      <c r="G309" s="557">
        <v>0</v>
      </c>
      <c r="H309" s="557"/>
      <c r="I309" s="217">
        <f t="shared" si="3"/>
        <v>0</v>
      </c>
    </row>
    <row r="310" spans="1:9" ht="48">
      <c r="A310" s="306">
        <v>4.0999999999999996</v>
      </c>
      <c r="B310" s="177"/>
      <c r="C310" s="82" t="s">
        <v>237</v>
      </c>
      <c r="D310" s="274"/>
      <c r="E310" s="275"/>
      <c r="F310" s="636"/>
      <c r="G310" s="557">
        <v>0</v>
      </c>
      <c r="H310" s="557"/>
      <c r="I310" s="217">
        <f t="shared" si="3"/>
        <v>0</v>
      </c>
    </row>
    <row r="311" spans="1:9">
      <c r="A311" s="306"/>
      <c r="B311" s="177"/>
      <c r="C311" s="82" t="s">
        <v>239</v>
      </c>
      <c r="D311" s="274" t="s">
        <v>53</v>
      </c>
      <c r="E311" s="275">
        <v>30</v>
      </c>
      <c r="F311" s="636">
        <f>'MB Karim''s'!H210</f>
        <v>56.5</v>
      </c>
      <c r="G311" s="557">
        <v>279</v>
      </c>
      <c r="H311" s="557">
        <f>$E311*G311</f>
        <v>8370</v>
      </c>
      <c r="I311" s="217">
        <f t="shared" si="3"/>
        <v>15763.5</v>
      </c>
    </row>
    <row r="312" spans="1:9">
      <c r="A312" s="306" t="s">
        <v>240</v>
      </c>
      <c r="B312" s="177"/>
      <c r="C312" s="82" t="s">
        <v>241</v>
      </c>
      <c r="D312" s="274" t="s">
        <v>53</v>
      </c>
      <c r="E312" s="275">
        <v>30</v>
      </c>
      <c r="F312" s="636"/>
      <c r="G312" s="557">
        <v>279</v>
      </c>
      <c r="H312" s="557">
        <f>$E312*G312</f>
        <v>8370</v>
      </c>
      <c r="I312" s="217">
        <f t="shared" si="3"/>
        <v>0</v>
      </c>
    </row>
    <row r="313" spans="1:9" ht="48">
      <c r="A313" s="306">
        <v>4.2</v>
      </c>
      <c r="B313" s="177"/>
      <c r="C313" s="82" t="s">
        <v>438</v>
      </c>
      <c r="D313" s="274"/>
      <c r="E313" s="275"/>
      <c r="F313" s="636"/>
      <c r="G313" s="557">
        <v>0</v>
      </c>
      <c r="H313" s="557"/>
      <c r="I313" s="217">
        <f t="shared" si="3"/>
        <v>0</v>
      </c>
    </row>
    <row r="314" spans="1:9">
      <c r="A314" s="309" t="s">
        <v>242</v>
      </c>
      <c r="B314" s="177"/>
      <c r="C314" s="269" t="s">
        <v>243</v>
      </c>
      <c r="D314" s="274" t="s">
        <v>28</v>
      </c>
      <c r="E314" s="275">
        <v>10</v>
      </c>
      <c r="F314" s="636"/>
      <c r="G314" s="557">
        <v>1215</v>
      </c>
      <c r="H314" s="557">
        <f t="shared" ref="H314:H319" si="4">$E314*G314</f>
        <v>12150</v>
      </c>
      <c r="I314" s="217">
        <f t="shared" si="3"/>
        <v>0</v>
      </c>
    </row>
    <row r="315" spans="1:9">
      <c r="A315" s="309" t="s">
        <v>244</v>
      </c>
      <c r="B315" s="177"/>
      <c r="C315" s="269" t="s">
        <v>245</v>
      </c>
      <c r="D315" s="274" t="s">
        <v>28</v>
      </c>
      <c r="E315" s="275">
        <v>10</v>
      </c>
      <c r="F315" s="636">
        <f>'MB Karim''s'!H212</f>
        <v>2</v>
      </c>
      <c r="G315" s="557">
        <v>1845</v>
      </c>
      <c r="H315" s="557">
        <f t="shared" si="4"/>
        <v>18450</v>
      </c>
      <c r="I315" s="217">
        <f t="shared" si="3"/>
        <v>3690</v>
      </c>
    </row>
    <row r="316" spans="1:9">
      <c r="A316" s="309" t="s">
        <v>246</v>
      </c>
      <c r="B316" s="177"/>
      <c r="C316" s="269" t="s">
        <v>247</v>
      </c>
      <c r="D316" s="274" t="s">
        <v>28</v>
      </c>
      <c r="E316" s="275">
        <v>2</v>
      </c>
      <c r="F316" s="636">
        <f>'MB Karim''s'!H213</f>
        <v>1</v>
      </c>
      <c r="G316" s="557">
        <v>1215</v>
      </c>
      <c r="H316" s="557">
        <f t="shared" si="4"/>
        <v>2430</v>
      </c>
      <c r="I316" s="217">
        <f t="shared" si="3"/>
        <v>1215</v>
      </c>
    </row>
    <row r="317" spans="1:9">
      <c r="A317" s="309" t="s">
        <v>248</v>
      </c>
      <c r="B317" s="177"/>
      <c r="C317" s="269" t="s">
        <v>249</v>
      </c>
      <c r="D317" s="274" t="s">
        <v>28</v>
      </c>
      <c r="E317" s="275">
        <v>2</v>
      </c>
      <c r="F317" s="636"/>
      <c r="G317" s="557">
        <v>1822.5</v>
      </c>
      <c r="H317" s="557">
        <f t="shared" si="4"/>
        <v>3645</v>
      </c>
      <c r="I317" s="217">
        <f t="shared" si="3"/>
        <v>0</v>
      </c>
    </row>
    <row r="318" spans="1:9" ht="36">
      <c r="A318" s="306">
        <v>4.3</v>
      </c>
      <c r="B318" s="177"/>
      <c r="C318" s="269" t="s">
        <v>439</v>
      </c>
      <c r="D318" s="274" t="s">
        <v>28</v>
      </c>
      <c r="E318" s="275">
        <v>8</v>
      </c>
      <c r="F318" s="636">
        <f>'MB Karim''s'!H214</f>
        <v>11</v>
      </c>
      <c r="G318" s="557">
        <v>675</v>
      </c>
      <c r="H318" s="557">
        <f t="shared" si="4"/>
        <v>5400</v>
      </c>
      <c r="I318" s="217">
        <f t="shared" si="3"/>
        <v>7425</v>
      </c>
    </row>
    <row r="319" spans="1:9" ht="36">
      <c r="A319" s="306">
        <v>4.4000000000000004</v>
      </c>
      <c r="B319" s="177"/>
      <c r="C319" s="269" t="s">
        <v>440</v>
      </c>
      <c r="D319" s="310" t="s">
        <v>28</v>
      </c>
      <c r="E319" s="311">
        <v>6</v>
      </c>
      <c r="F319" s="643"/>
      <c r="G319" s="557">
        <v>630</v>
      </c>
      <c r="H319" s="557">
        <f t="shared" si="4"/>
        <v>3780</v>
      </c>
      <c r="I319" s="217">
        <f t="shared" si="3"/>
        <v>0</v>
      </c>
    </row>
    <row r="320" spans="1:9" ht="36">
      <c r="A320" s="306">
        <v>4.5</v>
      </c>
      <c r="B320" s="177"/>
      <c r="C320" s="269" t="s">
        <v>250</v>
      </c>
      <c r="D320" s="310"/>
      <c r="E320" s="311"/>
      <c r="F320" s="643"/>
      <c r="G320" s="559">
        <v>0</v>
      </c>
      <c r="H320" s="557"/>
      <c r="I320" s="217">
        <f t="shared" si="3"/>
        <v>0</v>
      </c>
    </row>
    <row r="321" spans="1:9">
      <c r="A321" s="309" t="s">
        <v>251</v>
      </c>
      <c r="B321" s="177"/>
      <c r="C321" s="269" t="s">
        <v>252</v>
      </c>
      <c r="D321" s="310" t="s">
        <v>53</v>
      </c>
      <c r="E321" s="311">
        <v>0</v>
      </c>
      <c r="F321" s="643"/>
      <c r="G321" s="559">
        <v>108</v>
      </c>
      <c r="H321" s="557"/>
      <c r="I321" s="217">
        <f t="shared" si="3"/>
        <v>0</v>
      </c>
    </row>
    <row r="322" spans="1:9">
      <c r="A322" s="309" t="s">
        <v>253</v>
      </c>
      <c r="B322" s="177"/>
      <c r="C322" s="269" t="s">
        <v>441</v>
      </c>
      <c r="D322" s="310" t="s">
        <v>53</v>
      </c>
      <c r="E322" s="311">
        <v>0</v>
      </c>
      <c r="F322" s="643"/>
      <c r="G322" s="559">
        <v>108</v>
      </c>
      <c r="H322" s="557"/>
      <c r="I322" s="217">
        <f t="shared" si="3"/>
        <v>0</v>
      </c>
    </row>
    <row r="323" spans="1:9" ht="24">
      <c r="A323" s="306">
        <v>4.5999999999999996</v>
      </c>
      <c r="B323" s="177"/>
      <c r="C323" s="269" t="s">
        <v>442</v>
      </c>
      <c r="D323" s="310" t="s">
        <v>28</v>
      </c>
      <c r="E323" s="311">
        <v>0</v>
      </c>
      <c r="F323" s="643"/>
      <c r="G323" s="559">
        <v>765</v>
      </c>
      <c r="H323" s="557"/>
      <c r="I323" s="217">
        <f t="shared" si="3"/>
        <v>0</v>
      </c>
    </row>
    <row r="324" spans="1:9" ht="36">
      <c r="A324" s="306">
        <v>4.7</v>
      </c>
      <c r="B324" s="177"/>
      <c r="C324" s="269" t="s">
        <v>443</v>
      </c>
      <c r="D324" s="310" t="s">
        <v>28</v>
      </c>
      <c r="E324" s="296">
        <v>0</v>
      </c>
      <c r="F324" s="641"/>
      <c r="G324" s="559">
        <v>765</v>
      </c>
      <c r="H324" s="557"/>
      <c r="I324" s="217">
        <f t="shared" si="3"/>
        <v>0</v>
      </c>
    </row>
    <row r="325" spans="1:9" ht="48">
      <c r="A325" s="312">
        <v>4.8</v>
      </c>
      <c r="B325" s="177"/>
      <c r="C325" s="82" t="s">
        <v>254</v>
      </c>
      <c r="D325" s="310" t="s">
        <v>53</v>
      </c>
      <c r="E325" s="311">
        <v>160</v>
      </c>
      <c r="F325" s="643">
        <f>'MB Karim''s'!H225</f>
        <v>132.60000000000002</v>
      </c>
      <c r="G325" s="559">
        <v>157.5</v>
      </c>
      <c r="H325" s="557">
        <f>$E325*G325</f>
        <v>25200</v>
      </c>
      <c r="I325" s="217">
        <f t="shared" si="3"/>
        <v>20884.500000000004</v>
      </c>
    </row>
    <row r="326" spans="1:9" ht="48">
      <c r="A326" s="312">
        <v>4.9000000000000004</v>
      </c>
      <c r="B326" s="177"/>
      <c r="C326" s="82" t="s">
        <v>255</v>
      </c>
      <c r="D326" s="310" t="s">
        <v>53</v>
      </c>
      <c r="E326" s="311"/>
      <c r="F326" s="643"/>
      <c r="G326" s="559">
        <v>225</v>
      </c>
      <c r="H326" s="557"/>
      <c r="I326" s="217">
        <f t="shared" si="3"/>
        <v>0</v>
      </c>
    </row>
    <row r="327" spans="1:9" ht="36">
      <c r="A327" s="313">
        <v>4.0999999999999996</v>
      </c>
      <c r="B327" s="177"/>
      <c r="C327" s="82" t="s">
        <v>256</v>
      </c>
      <c r="D327" s="310"/>
      <c r="E327" s="311"/>
      <c r="F327" s="643"/>
      <c r="G327" s="559">
        <v>0</v>
      </c>
      <c r="H327" s="559"/>
      <c r="I327" s="217">
        <f t="shared" si="3"/>
        <v>0</v>
      </c>
    </row>
    <row r="328" spans="1:9">
      <c r="A328" s="310" t="s">
        <v>257</v>
      </c>
      <c r="B328" s="177"/>
      <c r="C328" s="82" t="s">
        <v>258</v>
      </c>
      <c r="D328" s="310" t="s">
        <v>53</v>
      </c>
      <c r="E328" s="311"/>
      <c r="F328" s="643"/>
      <c r="G328" s="559">
        <v>148.5</v>
      </c>
      <c r="H328" s="557"/>
      <c r="I328" s="217">
        <f t="shared" si="3"/>
        <v>0</v>
      </c>
    </row>
    <row r="329" spans="1:9">
      <c r="A329" s="310" t="s">
        <v>259</v>
      </c>
      <c r="B329" s="177"/>
      <c r="C329" s="82" t="s">
        <v>260</v>
      </c>
      <c r="D329" s="310" t="s">
        <v>53</v>
      </c>
      <c r="E329" s="311">
        <v>200</v>
      </c>
      <c r="F329" s="643">
        <f>'MB Karim''s'!H253</f>
        <v>191.4</v>
      </c>
      <c r="G329" s="559">
        <v>171</v>
      </c>
      <c r="H329" s="557">
        <f>$E329*G329</f>
        <v>34200</v>
      </c>
      <c r="I329" s="217">
        <f t="shared" si="3"/>
        <v>32729.4</v>
      </c>
    </row>
    <row r="330" spans="1:9" ht="36">
      <c r="A330" s="313">
        <v>4.1100000000000003</v>
      </c>
      <c r="B330" s="177"/>
      <c r="C330" s="82" t="s">
        <v>261</v>
      </c>
      <c r="D330" s="310"/>
      <c r="E330" s="311"/>
      <c r="F330" s="643"/>
      <c r="G330" s="559">
        <v>0</v>
      </c>
      <c r="H330" s="559"/>
      <c r="I330" s="217">
        <f t="shared" si="3"/>
        <v>0</v>
      </c>
    </row>
    <row r="331" spans="1:9">
      <c r="A331" s="310" t="s">
        <v>262</v>
      </c>
      <c r="B331" s="177"/>
      <c r="C331" s="82" t="s">
        <v>258</v>
      </c>
      <c r="D331" s="310" t="s">
        <v>53</v>
      </c>
      <c r="E331" s="311"/>
      <c r="F331" s="643"/>
      <c r="G331" s="559">
        <v>157.5</v>
      </c>
      <c r="H331" s="557"/>
      <c r="I331" s="217">
        <f t="shared" si="3"/>
        <v>0</v>
      </c>
    </row>
    <row r="332" spans="1:9">
      <c r="A332" s="310" t="s">
        <v>263</v>
      </c>
      <c r="B332" s="177"/>
      <c r="C332" s="82" t="s">
        <v>260</v>
      </c>
      <c r="D332" s="310" t="s">
        <v>53</v>
      </c>
      <c r="E332" s="311">
        <v>20</v>
      </c>
      <c r="F332" s="643"/>
      <c r="G332" s="559">
        <v>189</v>
      </c>
      <c r="H332" s="557">
        <f>$E332*G332</f>
        <v>3780</v>
      </c>
      <c r="I332" s="217">
        <f t="shared" si="3"/>
        <v>0</v>
      </c>
    </row>
    <row r="333" spans="1:9">
      <c r="A333" s="310"/>
      <c r="B333" s="177"/>
      <c r="C333" s="82"/>
      <c r="D333" s="310"/>
      <c r="E333" s="311"/>
      <c r="F333" s="643"/>
      <c r="G333" s="559">
        <v>0</v>
      </c>
      <c r="H333" s="557"/>
      <c r="I333" s="217">
        <f t="shared" si="3"/>
        <v>0</v>
      </c>
    </row>
    <row r="334" spans="1:9">
      <c r="A334" s="310">
        <v>4.12</v>
      </c>
      <c r="B334" s="177"/>
      <c r="C334" s="82" t="s">
        <v>264</v>
      </c>
      <c r="D334" s="310" t="s">
        <v>53</v>
      </c>
      <c r="E334" s="311">
        <v>60</v>
      </c>
      <c r="F334" s="643">
        <f>'MB Karim''s'!H264</f>
        <v>165</v>
      </c>
      <c r="G334" s="559">
        <v>81</v>
      </c>
      <c r="H334" s="557">
        <f>$E334*G334</f>
        <v>4860</v>
      </c>
      <c r="I334" s="217">
        <f t="shared" si="3"/>
        <v>13365</v>
      </c>
    </row>
    <row r="335" spans="1:9">
      <c r="A335" s="310"/>
      <c r="B335" s="177"/>
      <c r="C335" s="82"/>
      <c r="D335" s="310"/>
      <c r="E335" s="311"/>
      <c r="F335" s="643"/>
      <c r="G335" s="559">
        <v>0</v>
      </c>
      <c r="H335" s="557"/>
      <c r="I335" s="217">
        <f t="shared" si="3"/>
        <v>0</v>
      </c>
    </row>
    <row r="336" spans="1:9">
      <c r="A336" s="264">
        <v>5</v>
      </c>
      <c r="B336" s="177"/>
      <c r="C336" s="265" t="s">
        <v>265</v>
      </c>
      <c r="D336" s="266"/>
      <c r="E336" s="267"/>
      <c r="F336" s="634"/>
      <c r="G336" s="492">
        <v>0</v>
      </c>
      <c r="H336" s="492"/>
      <c r="I336" s="217">
        <f t="shared" si="3"/>
        <v>0</v>
      </c>
    </row>
    <row r="337" spans="1:9" ht="48">
      <c r="A337" s="314">
        <v>5.0999999999999996</v>
      </c>
      <c r="B337" s="177"/>
      <c r="C337" s="315" t="s">
        <v>444</v>
      </c>
      <c r="D337" s="316"/>
      <c r="E337" s="317"/>
      <c r="F337" s="644"/>
      <c r="G337" s="492">
        <v>0</v>
      </c>
      <c r="H337" s="492"/>
      <c r="I337" s="217">
        <f t="shared" si="3"/>
        <v>0</v>
      </c>
    </row>
    <row r="338" spans="1:9">
      <c r="A338" s="318"/>
      <c r="B338" s="177"/>
      <c r="C338" s="319"/>
      <c r="D338" s="274"/>
      <c r="E338" s="275"/>
      <c r="F338" s="636"/>
      <c r="G338" s="553">
        <v>0</v>
      </c>
      <c r="H338" s="553"/>
      <c r="I338" s="217">
        <f t="shared" si="3"/>
        <v>0</v>
      </c>
    </row>
    <row r="339" spans="1:9">
      <c r="A339" s="318" t="s">
        <v>266</v>
      </c>
      <c r="B339" s="177"/>
      <c r="C339" s="319" t="s">
        <v>267</v>
      </c>
      <c r="D339" s="274" t="s">
        <v>28</v>
      </c>
      <c r="E339" s="275">
        <v>2</v>
      </c>
      <c r="F339" s="636"/>
      <c r="G339" s="553">
        <v>121.5</v>
      </c>
      <c r="H339" s="553">
        <f>$E339*G339</f>
        <v>243</v>
      </c>
      <c r="I339" s="217">
        <f t="shared" si="3"/>
        <v>0</v>
      </c>
    </row>
    <row r="340" spans="1:9">
      <c r="A340" s="318" t="s">
        <v>268</v>
      </c>
      <c r="B340" s="177"/>
      <c r="C340" s="86" t="s">
        <v>269</v>
      </c>
      <c r="D340" s="274" t="s">
        <v>28</v>
      </c>
      <c r="E340" s="275">
        <v>10</v>
      </c>
      <c r="F340" s="636">
        <f>'MB Karim''s'!H269</f>
        <v>7</v>
      </c>
      <c r="G340" s="553">
        <v>180</v>
      </c>
      <c r="H340" s="553">
        <f>$E340*G340</f>
        <v>1800</v>
      </c>
      <c r="I340" s="217">
        <f t="shared" si="3"/>
        <v>1260</v>
      </c>
    </row>
    <row r="341" spans="1:9">
      <c r="A341" s="318" t="s">
        <v>270</v>
      </c>
      <c r="B341" s="177"/>
      <c r="C341" s="86" t="s">
        <v>271</v>
      </c>
      <c r="D341" s="274" t="s">
        <v>28</v>
      </c>
      <c r="E341" s="275">
        <v>20</v>
      </c>
      <c r="F341" s="636">
        <f>'MB Karim''s'!H273</f>
        <v>14</v>
      </c>
      <c r="G341" s="553">
        <v>279</v>
      </c>
      <c r="H341" s="553">
        <f>$E341*G341</f>
        <v>5580</v>
      </c>
      <c r="I341" s="217">
        <f t="shared" si="3"/>
        <v>3906</v>
      </c>
    </row>
    <row r="342" spans="1:9">
      <c r="A342" s="318" t="s">
        <v>272</v>
      </c>
      <c r="B342" s="177"/>
      <c r="C342" s="268" t="s">
        <v>432</v>
      </c>
      <c r="D342" s="274" t="s">
        <v>28</v>
      </c>
      <c r="E342" s="275">
        <v>1</v>
      </c>
      <c r="F342" s="636"/>
      <c r="G342" s="553">
        <v>450</v>
      </c>
      <c r="H342" s="553">
        <f>$E342*G342</f>
        <v>450</v>
      </c>
      <c r="I342" s="217">
        <f t="shared" si="3"/>
        <v>0</v>
      </c>
    </row>
    <row r="343" spans="1:9">
      <c r="A343" s="318" t="s">
        <v>273</v>
      </c>
      <c r="B343" s="177"/>
      <c r="C343" s="86" t="s">
        <v>274</v>
      </c>
      <c r="D343" s="274" t="s">
        <v>28</v>
      </c>
      <c r="E343" s="275">
        <v>6</v>
      </c>
      <c r="F343" s="636"/>
      <c r="G343" s="553">
        <v>1260</v>
      </c>
      <c r="H343" s="553">
        <f>$E343*G343</f>
        <v>7560</v>
      </c>
      <c r="I343" s="217">
        <f t="shared" si="3"/>
        <v>0</v>
      </c>
    </row>
    <row r="344" spans="1:9">
      <c r="A344" s="318" t="s">
        <v>273</v>
      </c>
      <c r="B344" s="177"/>
      <c r="C344" s="86" t="s">
        <v>275</v>
      </c>
      <c r="D344" s="274" t="s">
        <v>28</v>
      </c>
      <c r="E344" s="275">
        <v>0</v>
      </c>
      <c r="F344" s="636"/>
      <c r="G344" s="553">
        <v>5130</v>
      </c>
      <c r="H344" s="553"/>
      <c r="I344" s="217">
        <f t="shared" si="3"/>
        <v>0</v>
      </c>
    </row>
    <row r="345" spans="1:9">
      <c r="A345" s="318" t="s">
        <v>276</v>
      </c>
      <c r="B345" s="177"/>
      <c r="C345" s="86" t="s">
        <v>277</v>
      </c>
      <c r="D345" s="274" t="s">
        <v>28</v>
      </c>
      <c r="E345" s="275">
        <v>6</v>
      </c>
      <c r="F345" s="636">
        <f>'MB Karim''s'!H274</f>
        <v>9</v>
      </c>
      <c r="G345" s="553">
        <v>1755</v>
      </c>
      <c r="H345" s="553">
        <f>$E345*G345</f>
        <v>10530</v>
      </c>
      <c r="I345" s="217">
        <f t="shared" si="3"/>
        <v>15795</v>
      </c>
    </row>
    <row r="346" spans="1:9">
      <c r="A346" s="318" t="s">
        <v>278</v>
      </c>
      <c r="B346" s="177"/>
      <c r="C346" s="320" t="s">
        <v>279</v>
      </c>
      <c r="D346" s="274" t="s">
        <v>28</v>
      </c>
      <c r="E346" s="275">
        <v>4</v>
      </c>
      <c r="F346" s="636">
        <f>'MB Karim''s'!H275</f>
        <v>1</v>
      </c>
      <c r="G346" s="553">
        <v>2385</v>
      </c>
      <c r="H346" s="553">
        <f>$E346*G346</f>
        <v>9540</v>
      </c>
      <c r="I346" s="217">
        <f t="shared" si="3"/>
        <v>2385</v>
      </c>
    </row>
    <row r="347" spans="1:9">
      <c r="A347" s="318" t="s">
        <v>280</v>
      </c>
      <c r="B347" s="177"/>
      <c r="C347" s="320" t="s">
        <v>281</v>
      </c>
      <c r="D347" s="274" t="s">
        <v>28</v>
      </c>
      <c r="E347" s="275">
        <v>1</v>
      </c>
      <c r="F347" s="636">
        <f>'MB Karim''s'!H276</f>
        <v>1</v>
      </c>
      <c r="G347" s="553">
        <v>1980</v>
      </c>
      <c r="H347" s="553">
        <f>$E347*G347</f>
        <v>1980</v>
      </c>
      <c r="I347" s="217">
        <f t="shared" si="3"/>
        <v>1980</v>
      </c>
    </row>
    <row r="348" spans="1:9">
      <c r="A348" s="318"/>
      <c r="B348" s="177"/>
      <c r="C348" s="320"/>
      <c r="D348" s="274"/>
      <c r="E348" s="275"/>
      <c r="F348" s="636"/>
      <c r="G348" s="553">
        <v>0</v>
      </c>
      <c r="H348" s="553"/>
      <c r="I348" s="217">
        <f t="shared" ref="I348:I398" si="5">G348*F348</f>
        <v>0</v>
      </c>
    </row>
    <row r="349" spans="1:9">
      <c r="A349" s="264">
        <v>6</v>
      </c>
      <c r="B349" s="177"/>
      <c r="C349" s="265" t="s">
        <v>282</v>
      </c>
      <c r="D349" s="266"/>
      <c r="E349" s="267"/>
      <c r="F349" s="634"/>
      <c r="G349" s="560">
        <v>0</v>
      </c>
      <c r="H349" s="560"/>
      <c r="I349" s="217">
        <f t="shared" si="5"/>
        <v>0</v>
      </c>
    </row>
    <row r="350" spans="1:9" ht="36">
      <c r="A350" s="88">
        <v>6.1</v>
      </c>
      <c r="B350" s="177"/>
      <c r="C350" s="321" t="s">
        <v>445</v>
      </c>
      <c r="D350" s="266"/>
      <c r="E350" s="267"/>
      <c r="F350" s="634"/>
      <c r="G350" s="560">
        <v>0</v>
      </c>
      <c r="H350" s="560"/>
      <c r="I350" s="217">
        <f t="shared" si="5"/>
        <v>0</v>
      </c>
    </row>
    <row r="351" spans="1:9">
      <c r="A351" s="318" t="s">
        <v>283</v>
      </c>
      <c r="B351" s="177"/>
      <c r="C351" s="321" t="s">
        <v>284</v>
      </c>
      <c r="D351" s="266" t="s">
        <v>53</v>
      </c>
      <c r="E351" s="267">
        <v>0</v>
      </c>
      <c r="F351" s="634"/>
      <c r="G351" s="560">
        <v>225</v>
      </c>
      <c r="H351" s="560"/>
      <c r="I351" s="217">
        <f t="shared" si="5"/>
        <v>0</v>
      </c>
    </row>
    <row r="352" spans="1:9">
      <c r="A352" s="88">
        <v>6.2</v>
      </c>
      <c r="B352" s="177"/>
      <c r="C352" s="321" t="s">
        <v>446</v>
      </c>
      <c r="D352" s="266"/>
      <c r="E352" s="267"/>
      <c r="F352" s="634"/>
      <c r="G352" s="560">
        <v>0</v>
      </c>
      <c r="H352" s="560"/>
      <c r="I352" s="217">
        <f t="shared" si="5"/>
        <v>0</v>
      </c>
    </row>
    <row r="353" spans="1:9">
      <c r="A353" s="318" t="s">
        <v>285</v>
      </c>
      <c r="B353" s="177"/>
      <c r="C353" s="86" t="s">
        <v>286</v>
      </c>
      <c r="D353" s="266" t="s">
        <v>53</v>
      </c>
      <c r="E353" s="267">
        <v>20</v>
      </c>
      <c r="F353" s="634">
        <f>'MB Karim''s'!H278</f>
        <v>43</v>
      </c>
      <c r="G353" s="560">
        <v>76.5</v>
      </c>
      <c r="H353" s="560">
        <f>$E353*G353</f>
        <v>1530</v>
      </c>
      <c r="I353" s="217">
        <f t="shared" si="5"/>
        <v>3289.5</v>
      </c>
    </row>
    <row r="354" spans="1:9">
      <c r="A354" s="318"/>
      <c r="B354" s="177"/>
      <c r="C354" s="86"/>
      <c r="D354" s="266"/>
      <c r="E354" s="267"/>
      <c r="F354" s="634"/>
      <c r="G354" s="560">
        <v>0</v>
      </c>
      <c r="H354" s="560"/>
      <c r="I354" s="217">
        <f t="shared" si="5"/>
        <v>0</v>
      </c>
    </row>
    <row r="355" spans="1:9">
      <c r="A355" s="264">
        <v>7</v>
      </c>
      <c r="B355" s="177"/>
      <c r="C355" s="87" t="s">
        <v>287</v>
      </c>
      <c r="D355" s="274"/>
      <c r="E355" s="275"/>
      <c r="F355" s="636"/>
      <c r="G355" s="492">
        <v>0</v>
      </c>
      <c r="H355" s="492"/>
      <c r="I355" s="217">
        <f t="shared" si="5"/>
        <v>0</v>
      </c>
    </row>
    <row r="356" spans="1:9" ht="36">
      <c r="A356" s="264">
        <v>7.1</v>
      </c>
      <c r="B356" s="177"/>
      <c r="C356" s="320" t="s">
        <v>288</v>
      </c>
      <c r="D356" s="274"/>
      <c r="E356" s="275"/>
      <c r="F356" s="636"/>
      <c r="G356" s="492">
        <v>0</v>
      </c>
      <c r="H356" s="492"/>
      <c r="I356" s="217">
        <f t="shared" si="5"/>
        <v>0</v>
      </c>
    </row>
    <row r="357" spans="1:9">
      <c r="A357" s="88" t="s">
        <v>289</v>
      </c>
      <c r="B357" s="177"/>
      <c r="C357" s="320" t="s">
        <v>370</v>
      </c>
      <c r="D357" s="274" t="s">
        <v>28</v>
      </c>
      <c r="E357" s="322">
        <v>10</v>
      </c>
      <c r="F357" s="645">
        <f>'MB Karim''s'!H281</f>
        <v>8</v>
      </c>
      <c r="G357" s="492">
        <v>225</v>
      </c>
      <c r="H357" s="557">
        <f>$E357*G357</f>
        <v>2250</v>
      </c>
      <c r="I357" s="217">
        <f t="shared" si="5"/>
        <v>1800</v>
      </c>
    </row>
    <row r="358" spans="1:9">
      <c r="A358" s="88" t="s">
        <v>290</v>
      </c>
      <c r="B358" s="177"/>
      <c r="C358" s="320" t="s">
        <v>371</v>
      </c>
      <c r="D358" s="274" t="s">
        <v>28</v>
      </c>
      <c r="E358" s="322">
        <v>8</v>
      </c>
      <c r="F358" s="645">
        <f>'MB Karim''s'!H282</f>
        <v>6</v>
      </c>
      <c r="G358" s="492">
        <v>270</v>
      </c>
      <c r="H358" s="557">
        <f>$E358*G358</f>
        <v>2160</v>
      </c>
      <c r="I358" s="217">
        <f t="shared" si="5"/>
        <v>1620</v>
      </c>
    </row>
    <row r="359" spans="1:9">
      <c r="A359" s="88" t="s">
        <v>291</v>
      </c>
      <c r="B359" s="177"/>
      <c r="C359" s="320" t="s">
        <v>292</v>
      </c>
      <c r="D359" s="274" t="s">
        <v>28</v>
      </c>
      <c r="E359" s="322"/>
      <c r="F359" s="645"/>
      <c r="G359" s="492">
        <v>270</v>
      </c>
      <c r="H359" s="557"/>
      <c r="I359" s="217">
        <f t="shared" si="5"/>
        <v>0</v>
      </c>
    </row>
    <row r="360" spans="1:9">
      <c r="A360" s="88" t="s">
        <v>293</v>
      </c>
      <c r="B360" s="177"/>
      <c r="C360" s="320" t="s">
        <v>294</v>
      </c>
      <c r="D360" s="274" t="s">
        <v>28</v>
      </c>
      <c r="E360" s="322"/>
      <c r="F360" s="645"/>
      <c r="G360" s="492">
        <v>270</v>
      </c>
      <c r="H360" s="557"/>
      <c r="I360" s="217">
        <f t="shared" si="5"/>
        <v>0</v>
      </c>
    </row>
    <row r="361" spans="1:9">
      <c r="A361" s="88" t="s">
        <v>295</v>
      </c>
      <c r="B361" s="177"/>
      <c r="C361" s="320" t="s">
        <v>296</v>
      </c>
      <c r="D361" s="274" t="s">
        <v>53</v>
      </c>
      <c r="E361" s="322"/>
      <c r="F361" s="645"/>
      <c r="G361" s="492">
        <v>45</v>
      </c>
      <c r="H361" s="557"/>
      <c r="I361" s="217">
        <f t="shared" si="5"/>
        <v>0</v>
      </c>
    </row>
    <row r="362" spans="1:9">
      <c r="A362" s="88" t="s">
        <v>297</v>
      </c>
      <c r="B362" s="177"/>
      <c r="C362" s="320" t="s">
        <v>298</v>
      </c>
      <c r="D362" s="274" t="s">
        <v>28</v>
      </c>
      <c r="E362" s="322"/>
      <c r="F362" s="645"/>
      <c r="G362" s="492">
        <v>225</v>
      </c>
      <c r="H362" s="492"/>
      <c r="I362" s="217">
        <f t="shared" si="5"/>
        <v>0</v>
      </c>
    </row>
    <row r="363" spans="1:9">
      <c r="A363" s="264"/>
      <c r="B363" s="177"/>
      <c r="C363" s="320"/>
      <c r="D363" s="274"/>
      <c r="E363" s="275"/>
      <c r="F363" s="636"/>
      <c r="G363" s="492">
        <v>0</v>
      </c>
      <c r="H363" s="492"/>
      <c r="I363" s="217">
        <f t="shared" si="5"/>
        <v>0</v>
      </c>
    </row>
    <row r="364" spans="1:9">
      <c r="A364" s="323">
        <v>8</v>
      </c>
      <c r="B364" s="177"/>
      <c r="C364" s="89" t="s">
        <v>299</v>
      </c>
      <c r="D364" s="324"/>
      <c r="E364" s="296"/>
      <c r="F364" s="641"/>
      <c r="G364" s="490">
        <v>0</v>
      </c>
      <c r="H364" s="490"/>
      <c r="I364" s="217">
        <f t="shared" si="5"/>
        <v>0</v>
      </c>
    </row>
    <row r="365" spans="1:9">
      <c r="A365" s="314"/>
      <c r="B365" s="177"/>
      <c r="C365" s="325"/>
      <c r="D365" s="306"/>
      <c r="E365" s="296"/>
      <c r="F365" s="641"/>
      <c r="G365" s="559">
        <v>0</v>
      </c>
      <c r="H365" s="559"/>
      <c r="I365" s="217">
        <f t="shared" si="5"/>
        <v>0</v>
      </c>
    </row>
    <row r="366" spans="1:9" ht="24">
      <c r="A366" s="94">
        <v>8.1</v>
      </c>
      <c r="B366" s="177"/>
      <c r="C366" s="82" t="s">
        <v>300</v>
      </c>
      <c r="D366" s="306" t="s">
        <v>28</v>
      </c>
      <c r="E366" s="296">
        <v>1</v>
      </c>
      <c r="F366" s="641"/>
      <c r="G366" s="559">
        <v>900</v>
      </c>
      <c r="H366" s="559">
        <f>$E366*G366</f>
        <v>900</v>
      </c>
      <c r="I366" s="217">
        <f t="shared" si="5"/>
        <v>0</v>
      </c>
    </row>
    <row r="367" spans="1:9">
      <c r="A367" s="323"/>
      <c r="B367" s="177"/>
      <c r="C367" s="82"/>
      <c r="D367" s="306"/>
      <c r="E367" s="296"/>
      <c r="F367" s="641"/>
      <c r="G367" s="559">
        <v>0</v>
      </c>
      <c r="H367" s="559"/>
      <c r="I367" s="217">
        <f t="shared" si="5"/>
        <v>0</v>
      </c>
    </row>
    <row r="368" spans="1:9" ht="36">
      <c r="A368" s="94">
        <v>8.1999999999999993</v>
      </c>
      <c r="B368" s="177"/>
      <c r="C368" s="82" t="s">
        <v>372</v>
      </c>
      <c r="D368" s="306" t="s">
        <v>28</v>
      </c>
      <c r="E368" s="296">
        <v>1</v>
      </c>
      <c r="F368" s="641"/>
      <c r="G368" s="559">
        <v>495</v>
      </c>
      <c r="H368" s="559">
        <f>$E368*G368</f>
        <v>495</v>
      </c>
      <c r="I368" s="217">
        <f t="shared" si="5"/>
        <v>0</v>
      </c>
    </row>
    <row r="369" spans="1:9">
      <c r="A369" s="94"/>
      <c r="B369" s="177"/>
      <c r="C369" s="82"/>
      <c r="D369" s="306"/>
      <c r="E369" s="296"/>
      <c r="F369" s="641"/>
      <c r="G369" s="559">
        <v>0</v>
      </c>
      <c r="H369" s="559"/>
      <c r="I369" s="217">
        <f t="shared" si="5"/>
        <v>0</v>
      </c>
    </row>
    <row r="370" spans="1:9" ht="24">
      <c r="A370" s="94">
        <v>8.3000000000000007</v>
      </c>
      <c r="B370" s="177"/>
      <c r="C370" s="82" t="s">
        <v>447</v>
      </c>
      <c r="D370" s="272" t="s">
        <v>301</v>
      </c>
      <c r="E370" s="273"/>
      <c r="F370" s="635"/>
      <c r="G370" s="559">
        <v>0</v>
      </c>
      <c r="H370" s="559"/>
      <c r="I370" s="217">
        <f t="shared" si="5"/>
        <v>0</v>
      </c>
    </row>
    <row r="371" spans="1:9">
      <c r="A371" s="94"/>
      <c r="B371" s="177"/>
      <c r="C371" s="82"/>
      <c r="D371" s="272"/>
      <c r="E371" s="273"/>
      <c r="F371" s="635"/>
      <c r="G371" s="559">
        <v>0</v>
      </c>
      <c r="H371" s="559"/>
      <c r="I371" s="217">
        <f t="shared" si="5"/>
        <v>0</v>
      </c>
    </row>
    <row r="372" spans="1:9">
      <c r="A372" s="326">
        <v>9</v>
      </c>
      <c r="B372" s="177"/>
      <c r="C372" s="327" t="s">
        <v>393</v>
      </c>
      <c r="D372" s="326"/>
      <c r="E372" s="328"/>
      <c r="F372" s="646"/>
      <c r="G372" s="559">
        <v>0</v>
      </c>
      <c r="H372" s="559"/>
      <c r="I372" s="217">
        <f t="shared" si="5"/>
        <v>0</v>
      </c>
    </row>
    <row r="373" spans="1:9" ht="36">
      <c r="A373" s="91">
        <v>9.1</v>
      </c>
      <c r="B373" s="177"/>
      <c r="C373" s="90" t="s">
        <v>394</v>
      </c>
      <c r="D373" s="91" t="s">
        <v>47</v>
      </c>
      <c r="E373" s="329">
        <v>1</v>
      </c>
      <c r="F373" s="647">
        <v>1</v>
      </c>
      <c r="G373" s="559">
        <v>31500</v>
      </c>
      <c r="H373" s="559">
        <f>$E373*G373</f>
        <v>31500</v>
      </c>
      <c r="I373" s="217">
        <f t="shared" si="5"/>
        <v>31500</v>
      </c>
    </row>
    <row r="374" spans="1:9" ht="60">
      <c r="A374" s="91">
        <v>9.1999999999999993</v>
      </c>
      <c r="B374" s="177"/>
      <c r="C374" s="90" t="s">
        <v>448</v>
      </c>
      <c r="D374" s="91" t="s">
        <v>47</v>
      </c>
      <c r="E374" s="329">
        <v>4</v>
      </c>
      <c r="F374" s="647">
        <f>'MB Karim''s'!H284</f>
        <v>2</v>
      </c>
      <c r="G374" s="559">
        <v>2205</v>
      </c>
      <c r="H374" s="559">
        <f>$E374*G374</f>
        <v>8820</v>
      </c>
      <c r="I374" s="217">
        <f t="shared" si="5"/>
        <v>4410</v>
      </c>
    </row>
    <row r="375" spans="1:9" ht="60">
      <c r="A375" s="91">
        <v>9.3000000000000007</v>
      </c>
      <c r="B375" s="177"/>
      <c r="C375" s="90" t="s">
        <v>449</v>
      </c>
      <c r="D375" s="91" t="s">
        <v>47</v>
      </c>
      <c r="E375" s="329">
        <v>2</v>
      </c>
      <c r="F375" s="647">
        <f>'MB Karim''s'!H285</f>
        <v>1</v>
      </c>
      <c r="G375" s="559">
        <v>2340</v>
      </c>
      <c r="H375" s="559">
        <f>$E375*G375</f>
        <v>4680</v>
      </c>
      <c r="I375" s="217">
        <f>G375*F375</f>
        <v>2340</v>
      </c>
    </row>
    <row r="376" spans="1:9" ht="36">
      <c r="A376" s="91">
        <v>9.4</v>
      </c>
      <c r="B376" s="177"/>
      <c r="C376" s="90" t="s">
        <v>395</v>
      </c>
      <c r="D376" s="91" t="s">
        <v>47</v>
      </c>
      <c r="E376" s="329">
        <v>1</v>
      </c>
      <c r="F376" s="647"/>
      <c r="G376" s="559">
        <v>1125</v>
      </c>
      <c r="H376" s="559">
        <f>$E376*G376</f>
        <v>1125</v>
      </c>
      <c r="I376" s="217">
        <f t="shared" si="5"/>
        <v>0</v>
      </c>
    </row>
    <row r="377" spans="1:9">
      <c r="A377" s="91"/>
      <c r="B377" s="177"/>
      <c r="C377" s="330"/>
      <c r="D377" s="91"/>
      <c r="E377" s="329"/>
      <c r="F377" s="647"/>
      <c r="G377" s="559">
        <v>0</v>
      </c>
      <c r="H377" s="559"/>
      <c r="I377" s="217">
        <f t="shared" si="5"/>
        <v>0</v>
      </c>
    </row>
    <row r="378" spans="1:9">
      <c r="A378" s="91">
        <v>10</v>
      </c>
      <c r="B378" s="177"/>
      <c r="C378" s="90" t="s">
        <v>396</v>
      </c>
      <c r="D378" s="91" t="s">
        <v>397</v>
      </c>
      <c r="E378" s="329">
        <v>20</v>
      </c>
      <c r="F378" s="647">
        <f>'MB Karim''s'!H294</f>
        <v>56</v>
      </c>
      <c r="G378" s="559">
        <v>121.5</v>
      </c>
      <c r="H378" s="559">
        <f>$E378*G378</f>
        <v>2430</v>
      </c>
      <c r="I378" s="217">
        <f t="shared" si="5"/>
        <v>6804</v>
      </c>
    </row>
    <row r="379" spans="1:9">
      <c r="A379" s="91"/>
      <c r="B379" s="177"/>
      <c r="C379" s="330"/>
      <c r="D379" s="91"/>
      <c r="E379" s="329"/>
      <c r="F379" s="647"/>
      <c r="G379" s="559">
        <v>0</v>
      </c>
      <c r="H379" s="559"/>
      <c r="I379" s="217">
        <f t="shared" si="5"/>
        <v>0</v>
      </c>
    </row>
    <row r="380" spans="1:9">
      <c r="A380" s="91">
        <v>11</v>
      </c>
      <c r="B380" s="177"/>
      <c r="C380" s="90" t="s">
        <v>398</v>
      </c>
      <c r="D380" s="91" t="s">
        <v>47</v>
      </c>
      <c r="E380" s="329">
        <v>1</v>
      </c>
      <c r="F380" s="647"/>
      <c r="G380" s="559">
        <v>180</v>
      </c>
      <c r="H380" s="559">
        <f>$E380*G380</f>
        <v>180</v>
      </c>
      <c r="I380" s="217">
        <f t="shared" si="5"/>
        <v>0</v>
      </c>
    </row>
    <row r="381" spans="1:9">
      <c r="A381" s="94"/>
      <c r="B381" s="177"/>
      <c r="C381" s="298"/>
      <c r="D381" s="298"/>
      <c r="E381" s="331"/>
      <c r="F381" s="648"/>
      <c r="G381" s="490">
        <v>0</v>
      </c>
      <c r="H381" s="490"/>
      <c r="I381" s="217">
        <f t="shared" si="5"/>
        <v>0</v>
      </c>
    </row>
    <row r="382" spans="1:9" ht="15">
      <c r="A382" s="332"/>
      <c r="B382" s="211"/>
      <c r="C382" s="381" t="s">
        <v>385</v>
      </c>
      <c r="D382" s="332"/>
      <c r="E382" s="333"/>
      <c r="F382" s="643"/>
      <c r="G382" s="561"/>
      <c r="H382" s="590">
        <f>SUM(H177:H380)</f>
        <v>256188</v>
      </c>
      <c r="I382" s="586">
        <f>SUM(I219:I381)</f>
        <v>226052.4</v>
      </c>
    </row>
    <row r="383" spans="1:9" ht="15">
      <c r="A383" s="310"/>
      <c r="B383" s="177"/>
      <c r="C383" s="382" t="s">
        <v>628</v>
      </c>
      <c r="D383" s="310"/>
      <c r="E383" s="311"/>
      <c r="F383" s="643"/>
      <c r="G383" s="497"/>
      <c r="H383" s="591">
        <f>H382*0.18</f>
        <v>46113.84</v>
      </c>
      <c r="I383" s="589">
        <f>I382*0.18</f>
        <v>40689.432000000001</v>
      </c>
    </row>
    <row r="384" spans="1:9" ht="15">
      <c r="A384" s="596"/>
      <c r="B384" s="597"/>
      <c r="C384" s="598" t="s">
        <v>629</v>
      </c>
      <c r="D384" s="596"/>
      <c r="E384" s="599"/>
      <c r="F384" s="643"/>
      <c r="G384" s="600"/>
      <c r="H384" s="601">
        <f>SUM(H382:H383)</f>
        <v>302301.83999999997</v>
      </c>
      <c r="I384" s="602">
        <f>SUM(I382:I383)</f>
        <v>266741.83199999999</v>
      </c>
    </row>
    <row r="385" spans="1:9" ht="15">
      <c r="A385" s="310"/>
      <c r="B385" s="177"/>
      <c r="C385" s="593"/>
      <c r="D385" s="310"/>
      <c r="E385" s="311"/>
      <c r="F385" s="643"/>
      <c r="G385" s="497"/>
      <c r="H385" s="592"/>
      <c r="I385" s="161"/>
    </row>
    <row r="386" spans="1:9" ht="14.45" customHeight="1">
      <c r="A386" s="824" t="s">
        <v>691</v>
      </c>
      <c r="B386" s="825"/>
      <c r="C386" s="825"/>
      <c r="D386" s="825"/>
      <c r="E386" s="825"/>
      <c r="F386" s="825"/>
      <c r="G386" s="825"/>
      <c r="H386" s="825"/>
      <c r="I386" s="826"/>
    </row>
    <row r="387" spans="1:9" ht="15">
      <c r="A387" s="310">
        <v>1</v>
      </c>
      <c r="B387" s="177"/>
      <c r="C387" s="59" t="s">
        <v>701</v>
      </c>
      <c r="D387" s="310" t="s">
        <v>28</v>
      </c>
      <c r="E387" s="311"/>
      <c r="F387" s="643">
        <f>'MB Karim''s'!H297</f>
        <v>1</v>
      </c>
      <c r="G387" s="497">
        <v>6500</v>
      </c>
      <c r="H387" s="592"/>
      <c r="I387" s="161">
        <f>F387*G387</f>
        <v>6500</v>
      </c>
    </row>
    <row r="388" spans="1:9" ht="25.5">
      <c r="A388" s="310">
        <v>4</v>
      </c>
      <c r="B388" s="177"/>
      <c r="C388" s="93" t="s">
        <v>302</v>
      </c>
      <c r="D388" s="516" t="s">
        <v>692</v>
      </c>
      <c r="E388" s="311"/>
      <c r="F388" s="643">
        <v>183.5</v>
      </c>
      <c r="G388" s="497">
        <v>65</v>
      </c>
      <c r="H388" s="592"/>
      <c r="I388" s="161">
        <f>F388*G388</f>
        <v>11927.5</v>
      </c>
    </row>
    <row r="389" spans="1:9" ht="15">
      <c r="A389" s="310"/>
      <c r="B389" s="177"/>
      <c r="C389" s="93"/>
      <c r="D389" s="516"/>
      <c r="E389" s="311"/>
      <c r="F389" s="643"/>
      <c r="G389" s="497"/>
      <c r="H389" s="592"/>
      <c r="I389" s="161"/>
    </row>
    <row r="390" spans="1:9" ht="15">
      <c r="A390" s="310">
        <v>5</v>
      </c>
      <c r="B390" s="177"/>
      <c r="C390" s="124" t="s">
        <v>823</v>
      </c>
      <c r="D390" s="516" t="s">
        <v>53</v>
      </c>
      <c r="E390" s="311"/>
      <c r="F390" s="559">
        <f>'MB Karim''s'!H317</f>
        <v>11</v>
      </c>
      <c r="G390" s="497">
        <v>70</v>
      </c>
      <c r="H390" s="592"/>
      <c r="I390" s="161">
        <f>G390*F390</f>
        <v>770</v>
      </c>
    </row>
    <row r="391" spans="1:9" ht="15">
      <c r="A391" s="332"/>
      <c r="B391" s="211"/>
      <c r="C391" s="595" t="s">
        <v>694</v>
      </c>
      <c r="D391" s="332"/>
      <c r="E391" s="333"/>
      <c r="F391" s="643"/>
      <c r="G391" s="561"/>
      <c r="H391" s="590"/>
      <c r="I391" s="586">
        <f>SUM(I387:I390)</f>
        <v>19197.5</v>
      </c>
    </row>
    <row r="392" spans="1:9" ht="15">
      <c r="A392" s="310"/>
      <c r="B392" s="177"/>
      <c r="C392" s="382" t="s">
        <v>693</v>
      </c>
      <c r="D392" s="310"/>
      <c r="E392" s="311"/>
      <c r="F392" s="643"/>
      <c r="G392" s="497"/>
      <c r="H392" s="592"/>
      <c r="I392" s="161">
        <f>I391*0.18</f>
        <v>3455.5499999999997</v>
      </c>
    </row>
    <row r="393" spans="1:9" ht="15">
      <c r="A393" s="596"/>
      <c r="B393" s="597"/>
      <c r="C393" s="598" t="s">
        <v>629</v>
      </c>
      <c r="D393" s="596"/>
      <c r="E393" s="599"/>
      <c r="F393" s="643"/>
      <c r="G393" s="600"/>
      <c r="H393" s="601"/>
      <c r="I393" s="602">
        <f>SUM(I391:I392)</f>
        <v>22653.05</v>
      </c>
    </row>
    <row r="394" spans="1:9" ht="15">
      <c r="A394" s="310"/>
      <c r="B394" s="177"/>
      <c r="C394" s="593"/>
      <c r="D394" s="310"/>
      <c r="E394" s="311"/>
      <c r="F394" s="643"/>
      <c r="G394" s="497"/>
      <c r="H394" s="592"/>
      <c r="I394" s="161"/>
    </row>
    <row r="395" spans="1:9">
      <c r="A395" s="562" t="s">
        <v>49</v>
      </c>
      <c r="B395" s="224" t="s">
        <v>352</v>
      </c>
      <c r="C395" s="563"/>
      <c r="D395" s="564"/>
      <c r="E395" s="565"/>
      <c r="F395" s="625"/>
      <c r="G395" s="566">
        <v>0</v>
      </c>
      <c r="H395" s="566"/>
      <c r="I395" s="584">
        <f t="shared" si="5"/>
        <v>0</v>
      </c>
    </row>
    <row r="396" spans="1:9">
      <c r="A396" s="256" t="s">
        <v>27</v>
      </c>
      <c r="B396" s="177"/>
      <c r="C396" s="567" t="s">
        <v>303</v>
      </c>
      <c r="D396" s="256"/>
      <c r="E396" s="151"/>
      <c r="F396" s="625"/>
      <c r="G396" s="547">
        <v>0</v>
      </c>
      <c r="H396" s="547"/>
      <c r="I396" s="217">
        <f t="shared" si="5"/>
        <v>0</v>
      </c>
    </row>
    <row r="397" spans="1:9">
      <c r="A397" s="568"/>
      <c r="B397" s="177"/>
      <c r="C397" s="568"/>
      <c r="D397" s="569"/>
      <c r="E397" s="197"/>
      <c r="F397" s="623"/>
      <c r="G397" s="538">
        <v>0</v>
      </c>
      <c r="H397" s="538"/>
      <c r="I397" s="217">
        <f t="shared" si="5"/>
        <v>0</v>
      </c>
    </row>
    <row r="398" spans="1:9">
      <c r="A398" s="169">
        <v>1</v>
      </c>
      <c r="B398" s="177"/>
      <c r="C398" s="570" t="s">
        <v>304</v>
      </c>
      <c r="D398" s="170"/>
      <c r="E398" s="229"/>
      <c r="F398" s="627"/>
      <c r="G398" s="547">
        <v>0</v>
      </c>
      <c r="H398" s="538"/>
      <c r="I398" s="217">
        <f t="shared" si="5"/>
        <v>0</v>
      </c>
    </row>
    <row r="399" spans="1:9" ht="156">
      <c r="A399" s="169"/>
      <c r="B399" s="177"/>
      <c r="C399" s="571" t="s">
        <v>305</v>
      </c>
      <c r="D399" s="170"/>
      <c r="E399" s="229"/>
      <c r="F399" s="627"/>
      <c r="G399" s="547">
        <v>0</v>
      </c>
      <c r="H399" s="538"/>
      <c r="I399" s="217">
        <f t="shared" ref="I399:I462" si="6">G399*F399</f>
        <v>0</v>
      </c>
    </row>
    <row r="400" spans="1:9">
      <c r="A400" s="169">
        <v>1.1000000000000001</v>
      </c>
      <c r="B400" s="177"/>
      <c r="C400" s="571" t="s">
        <v>306</v>
      </c>
      <c r="D400" s="170" t="s">
        <v>48</v>
      </c>
      <c r="E400" s="229">
        <v>1</v>
      </c>
      <c r="F400" s="627"/>
      <c r="G400" s="547">
        <v>94000</v>
      </c>
      <c r="H400" s="538">
        <f>$E400*G400</f>
        <v>94000</v>
      </c>
      <c r="I400" s="217">
        <f t="shared" si="6"/>
        <v>0</v>
      </c>
    </row>
    <row r="401" spans="1:9">
      <c r="A401" s="169"/>
      <c r="B401" s="177"/>
      <c r="C401" s="571"/>
      <c r="D401" s="170"/>
      <c r="E401" s="229"/>
      <c r="F401" s="627"/>
      <c r="G401" s="547">
        <v>0</v>
      </c>
      <c r="H401" s="538"/>
      <c r="I401" s="217">
        <f t="shared" si="6"/>
        <v>0</v>
      </c>
    </row>
    <row r="402" spans="1:9">
      <c r="A402" s="169">
        <v>2</v>
      </c>
      <c r="B402" s="177"/>
      <c r="C402" s="570" t="s">
        <v>307</v>
      </c>
      <c r="D402" s="170"/>
      <c r="E402" s="229"/>
      <c r="F402" s="627"/>
      <c r="G402" s="547">
        <v>0</v>
      </c>
      <c r="H402" s="538"/>
      <c r="I402" s="217">
        <f t="shared" si="6"/>
        <v>0</v>
      </c>
    </row>
    <row r="403" spans="1:9" ht="156">
      <c r="A403" s="169"/>
      <c r="B403" s="177"/>
      <c r="C403" s="571" t="s">
        <v>308</v>
      </c>
      <c r="D403" s="170"/>
      <c r="E403" s="229"/>
      <c r="F403" s="627"/>
      <c r="G403" s="547">
        <v>0</v>
      </c>
      <c r="H403" s="538"/>
      <c r="I403" s="217">
        <f t="shared" si="6"/>
        <v>0</v>
      </c>
    </row>
    <row r="404" spans="1:9">
      <c r="A404" s="169"/>
      <c r="B404" s="177"/>
      <c r="C404" s="571"/>
      <c r="D404" s="170"/>
      <c r="E404" s="229"/>
      <c r="F404" s="627"/>
      <c r="G404" s="547">
        <v>0</v>
      </c>
      <c r="H404" s="538"/>
      <c r="I404" s="217">
        <f t="shared" si="6"/>
        <v>0</v>
      </c>
    </row>
    <row r="405" spans="1:9">
      <c r="A405" s="169">
        <v>2.1</v>
      </c>
      <c r="B405" s="177"/>
      <c r="C405" s="571" t="s">
        <v>309</v>
      </c>
      <c r="D405" s="170" t="s">
        <v>48</v>
      </c>
      <c r="E405" s="229">
        <v>1</v>
      </c>
      <c r="F405" s="627"/>
      <c r="G405" s="547">
        <v>78300</v>
      </c>
      <c r="H405" s="538">
        <f>$E405*G405</f>
        <v>78300</v>
      </c>
      <c r="I405" s="217">
        <f t="shared" si="6"/>
        <v>0</v>
      </c>
    </row>
    <row r="406" spans="1:9">
      <c r="A406" s="169"/>
      <c r="B406" s="177"/>
      <c r="C406" s="571"/>
      <c r="D406" s="170"/>
      <c r="E406" s="229"/>
      <c r="F406" s="627"/>
      <c r="G406" s="547">
        <v>0</v>
      </c>
      <c r="H406" s="538"/>
      <c r="I406" s="217">
        <f t="shared" si="6"/>
        <v>0</v>
      </c>
    </row>
    <row r="407" spans="1:9">
      <c r="A407" s="410" t="s">
        <v>24</v>
      </c>
      <c r="B407" s="177"/>
      <c r="C407" s="570" t="s">
        <v>310</v>
      </c>
      <c r="D407" s="170"/>
      <c r="E407" s="229"/>
      <c r="F407" s="627"/>
      <c r="G407" s="547">
        <v>0</v>
      </c>
      <c r="H407" s="538"/>
      <c r="I407" s="217">
        <f t="shared" si="6"/>
        <v>0</v>
      </c>
    </row>
    <row r="408" spans="1:9">
      <c r="A408" s="410"/>
      <c r="B408" s="177"/>
      <c r="C408" s="570"/>
      <c r="D408" s="170"/>
      <c r="E408" s="229"/>
      <c r="F408" s="627"/>
      <c r="G408" s="547">
        <v>0</v>
      </c>
      <c r="H408" s="538"/>
      <c r="I408" s="217">
        <f t="shared" si="6"/>
        <v>0</v>
      </c>
    </row>
    <row r="409" spans="1:9">
      <c r="A409" s="410"/>
      <c r="B409" s="177"/>
      <c r="C409" s="183" t="s">
        <v>311</v>
      </c>
      <c r="D409" s="183"/>
      <c r="E409" s="572"/>
      <c r="F409" s="623"/>
      <c r="G409" s="538">
        <v>0</v>
      </c>
      <c r="H409" s="538"/>
      <c r="I409" s="217">
        <f t="shared" si="6"/>
        <v>0</v>
      </c>
    </row>
    <row r="410" spans="1:9" ht="48">
      <c r="A410" s="184">
        <v>1</v>
      </c>
      <c r="B410" s="177"/>
      <c r="C410" s="183" t="s">
        <v>312</v>
      </c>
      <c r="D410" s="183"/>
      <c r="E410" s="572"/>
      <c r="F410" s="623"/>
      <c r="G410" s="538">
        <v>0</v>
      </c>
      <c r="H410" s="538"/>
      <c r="I410" s="217">
        <f t="shared" si="6"/>
        <v>0</v>
      </c>
    </row>
    <row r="411" spans="1:9">
      <c r="A411" s="410"/>
      <c r="B411" s="177"/>
      <c r="C411" s="570"/>
      <c r="D411" s="170"/>
      <c r="E411" s="229"/>
      <c r="F411" s="627"/>
      <c r="G411" s="547">
        <v>0</v>
      </c>
      <c r="H411" s="538"/>
      <c r="I411" s="217">
        <f t="shared" si="6"/>
        <v>0</v>
      </c>
    </row>
    <row r="412" spans="1:9">
      <c r="A412" s="410"/>
      <c r="B412" s="177"/>
      <c r="C412" s="573" t="s">
        <v>313</v>
      </c>
      <c r="D412" s="170" t="s">
        <v>314</v>
      </c>
      <c r="E412" s="229">
        <v>0</v>
      </c>
      <c r="F412" s="627"/>
      <c r="G412" s="547">
        <v>1260</v>
      </c>
      <c r="H412" s="538"/>
      <c r="I412" s="217">
        <f t="shared" si="6"/>
        <v>0</v>
      </c>
    </row>
    <row r="413" spans="1:9">
      <c r="A413" s="410"/>
      <c r="B413" s="177"/>
      <c r="C413" s="573" t="s">
        <v>315</v>
      </c>
      <c r="D413" s="170" t="s">
        <v>314</v>
      </c>
      <c r="E413" s="229">
        <v>5</v>
      </c>
      <c r="F413" s="627"/>
      <c r="G413" s="547">
        <v>1125</v>
      </c>
      <c r="H413" s="538">
        <f>$E413*G413</f>
        <v>5625</v>
      </c>
      <c r="I413" s="217">
        <f t="shared" si="6"/>
        <v>0</v>
      </c>
    </row>
    <row r="414" spans="1:9">
      <c r="A414" s="410"/>
      <c r="B414" s="177"/>
      <c r="C414" s="573" t="s">
        <v>316</v>
      </c>
      <c r="D414" s="170" t="s">
        <v>314</v>
      </c>
      <c r="E414" s="229">
        <v>10</v>
      </c>
      <c r="F414" s="627">
        <v>57.55</v>
      </c>
      <c r="G414" s="547">
        <v>990</v>
      </c>
      <c r="H414" s="538">
        <f>$E414*G414</f>
        <v>9900</v>
      </c>
      <c r="I414" s="217">
        <f t="shared" si="6"/>
        <v>56974.5</v>
      </c>
    </row>
    <row r="415" spans="1:9">
      <c r="A415" s="410"/>
      <c r="B415" s="177"/>
      <c r="C415" s="573" t="s">
        <v>317</v>
      </c>
      <c r="D415" s="170" t="s">
        <v>314</v>
      </c>
      <c r="E415" s="229">
        <v>35</v>
      </c>
      <c r="F415" s="627">
        <v>30.45</v>
      </c>
      <c r="G415" s="547">
        <v>810</v>
      </c>
      <c r="H415" s="538">
        <f>$E415*G415</f>
        <v>28350</v>
      </c>
      <c r="I415" s="217">
        <f t="shared" si="6"/>
        <v>24664.5</v>
      </c>
    </row>
    <row r="416" spans="1:9">
      <c r="A416" s="410"/>
      <c r="B416" s="177"/>
      <c r="C416" s="573" t="s">
        <v>318</v>
      </c>
      <c r="D416" s="170" t="s">
        <v>314</v>
      </c>
      <c r="E416" s="229">
        <v>0</v>
      </c>
      <c r="F416" s="627"/>
      <c r="G416" s="547">
        <v>711</v>
      </c>
      <c r="H416" s="538"/>
      <c r="I416" s="217">
        <f t="shared" si="6"/>
        <v>0</v>
      </c>
    </row>
    <row r="417" spans="1:9">
      <c r="A417" s="169"/>
      <c r="B417" s="177"/>
      <c r="C417" s="571"/>
      <c r="D417" s="170"/>
      <c r="E417" s="229"/>
      <c r="F417" s="627"/>
      <c r="G417" s="547">
        <v>0</v>
      </c>
      <c r="H417" s="538"/>
      <c r="I417" s="217">
        <f t="shared" si="6"/>
        <v>0</v>
      </c>
    </row>
    <row r="418" spans="1:9" ht="48">
      <c r="A418" s="169">
        <v>2</v>
      </c>
      <c r="B418" s="177"/>
      <c r="C418" s="573" t="s">
        <v>319</v>
      </c>
      <c r="D418" s="170"/>
      <c r="E418" s="229"/>
      <c r="F418" s="627"/>
      <c r="G418" s="547">
        <v>0</v>
      </c>
      <c r="H418" s="538"/>
      <c r="I418" s="217">
        <f t="shared" si="6"/>
        <v>0</v>
      </c>
    </row>
    <row r="419" spans="1:9">
      <c r="A419" s="148"/>
      <c r="B419" s="177"/>
      <c r="C419" s="148"/>
      <c r="D419" s="148"/>
      <c r="E419" s="574"/>
      <c r="F419" s="649"/>
      <c r="G419" s="443">
        <v>0</v>
      </c>
      <c r="H419" s="443"/>
      <c r="I419" s="217">
        <f t="shared" si="6"/>
        <v>0</v>
      </c>
    </row>
    <row r="420" spans="1:9">
      <c r="A420" s="169"/>
      <c r="B420" s="177"/>
      <c r="C420" s="573" t="s">
        <v>313</v>
      </c>
      <c r="D420" s="170" t="s">
        <v>314</v>
      </c>
      <c r="E420" s="229">
        <v>5</v>
      </c>
      <c r="F420" s="627"/>
      <c r="G420" s="547">
        <v>1215</v>
      </c>
      <c r="H420" s="538">
        <f>$E420*G420</f>
        <v>6075</v>
      </c>
      <c r="I420" s="217">
        <f t="shared" si="6"/>
        <v>0</v>
      </c>
    </row>
    <row r="421" spans="1:9">
      <c r="A421" s="169"/>
      <c r="B421" s="177"/>
      <c r="C421" s="573" t="s">
        <v>315</v>
      </c>
      <c r="D421" s="170" t="s">
        <v>314</v>
      </c>
      <c r="E421" s="229">
        <v>5</v>
      </c>
      <c r="F421" s="627"/>
      <c r="G421" s="547">
        <v>1080</v>
      </c>
      <c r="H421" s="538">
        <f>$E421*G421</f>
        <v>5400</v>
      </c>
      <c r="I421" s="217">
        <f t="shared" si="6"/>
        <v>0</v>
      </c>
    </row>
    <row r="422" spans="1:9">
      <c r="A422" s="169"/>
      <c r="B422" s="177"/>
      <c r="C422" s="573" t="s">
        <v>316</v>
      </c>
      <c r="D422" s="170" t="s">
        <v>314</v>
      </c>
      <c r="E422" s="229">
        <v>5</v>
      </c>
      <c r="F422" s="627"/>
      <c r="G422" s="547">
        <v>945</v>
      </c>
      <c r="H422" s="538">
        <f>$E422*G422</f>
        <v>4725</v>
      </c>
      <c r="I422" s="217">
        <f t="shared" si="6"/>
        <v>0</v>
      </c>
    </row>
    <row r="423" spans="1:9">
      <c r="A423" s="169"/>
      <c r="B423" s="177"/>
      <c r="C423" s="573" t="s">
        <v>317</v>
      </c>
      <c r="D423" s="170" t="s">
        <v>314</v>
      </c>
      <c r="E423" s="229">
        <v>5</v>
      </c>
      <c r="F423" s="627"/>
      <c r="G423" s="547">
        <v>765</v>
      </c>
      <c r="H423" s="538">
        <f>$E423*G423</f>
        <v>3825</v>
      </c>
      <c r="I423" s="217">
        <f t="shared" si="6"/>
        <v>0</v>
      </c>
    </row>
    <row r="424" spans="1:9">
      <c r="A424" s="169"/>
      <c r="B424" s="177"/>
      <c r="C424" s="573"/>
      <c r="D424" s="170"/>
      <c r="E424" s="229"/>
      <c r="F424" s="627"/>
      <c r="G424" s="547">
        <v>0</v>
      </c>
      <c r="H424" s="538"/>
      <c r="I424" s="217">
        <f t="shared" si="6"/>
        <v>0</v>
      </c>
    </row>
    <row r="425" spans="1:9" ht="36">
      <c r="A425" s="226">
        <v>3</v>
      </c>
      <c r="B425" s="177"/>
      <c r="C425" s="72" t="s">
        <v>320</v>
      </c>
      <c r="D425" s="226" t="s">
        <v>321</v>
      </c>
      <c r="E425" s="229">
        <v>1</v>
      </c>
      <c r="F425" s="627">
        <v>0.96</v>
      </c>
      <c r="G425" s="547">
        <v>7830</v>
      </c>
      <c r="H425" s="538">
        <f>$E425*G425</f>
        <v>7830</v>
      </c>
      <c r="I425" s="217">
        <f t="shared" si="6"/>
        <v>7516.7999999999993</v>
      </c>
    </row>
    <row r="426" spans="1:9">
      <c r="A426" s="226"/>
      <c r="B426" s="177"/>
      <c r="C426" s="72"/>
      <c r="D426" s="226"/>
      <c r="E426" s="229"/>
      <c r="F426" s="627"/>
      <c r="G426" s="547">
        <v>0</v>
      </c>
      <c r="H426" s="547"/>
      <c r="I426" s="217">
        <f t="shared" si="6"/>
        <v>0</v>
      </c>
    </row>
    <row r="427" spans="1:9" ht="60">
      <c r="A427" s="226">
        <v>4</v>
      </c>
      <c r="B427" s="177"/>
      <c r="C427" s="183" t="s">
        <v>450</v>
      </c>
      <c r="D427" s="226" t="s">
        <v>321</v>
      </c>
      <c r="E427" s="229">
        <v>1</v>
      </c>
      <c r="F427" s="627">
        <v>1.4039999999999999</v>
      </c>
      <c r="G427" s="547">
        <v>7380</v>
      </c>
      <c r="H427" s="538">
        <f>$E427*G427</f>
        <v>7380</v>
      </c>
      <c r="I427" s="217">
        <f t="shared" si="6"/>
        <v>10361.519999999999</v>
      </c>
    </row>
    <row r="428" spans="1:9">
      <c r="A428" s="226"/>
      <c r="B428" s="177"/>
      <c r="C428" s="183"/>
      <c r="D428" s="226"/>
      <c r="E428" s="229"/>
      <c r="F428" s="627"/>
      <c r="G428" s="538">
        <v>0</v>
      </c>
      <c r="H428" s="547"/>
      <c r="I428" s="217">
        <f t="shared" si="6"/>
        <v>0</v>
      </c>
    </row>
    <row r="429" spans="1:9" ht="24">
      <c r="A429" s="226">
        <v>5</v>
      </c>
      <c r="B429" s="177"/>
      <c r="C429" s="183" t="s">
        <v>451</v>
      </c>
      <c r="D429" s="226" t="s">
        <v>28</v>
      </c>
      <c r="E429" s="229">
        <v>0</v>
      </c>
      <c r="F429" s="627">
        <v>0.6</v>
      </c>
      <c r="G429" s="538">
        <v>2970</v>
      </c>
      <c r="H429" s="538"/>
      <c r="I429" s="217">
        <f t="shared" si="6"/>
        <v>1782</v>
      </c>
    </row>
    <row r="430" spans="1:9">
      <c r="A430" s="226"/>
      <c r="B430" s="177"/>
      <c r="C430" s="183"/>
      <c r="D430" s="226"/>
      <c r="E430" s="229"/>
      <c r="F430" s="627"/>
      <c r="G430" s="538">
        <v>0</v>
      </c>
      <c r="H430" s="538"/>
      <c r="I430" s="217">
        <f t="shared" si="6"/>
        <v>0</v>
      </c>
    </row>
    <row r="431" spans="1:9" ht="36">
      <c r="A431" s="226">
        <v>6</v>
      </c>
      <c r="B431" s="177"/>
      <c r="C431" s="183" t="s">
        <v>322</v>
      </c>
      <c r="D431" s="226" t="s">
        <v>321</v>
      </c>
      <c r="E431" s="229">
        <v>0.1</v>
      </c>
      <c r="F431" s="627"/>
      <c r="G431" s="547">
        <v>6750</v>
      </c>
      <c r="H431" s="538">
        <f>$E431*G431</f>
        <v>675</v>
      </c>
      <c r="I431" s="217">
        <f t="shared" si="6"/>
        <v>0</v>
      </c>
    </row>
    <row r="432" spans="1:9">
      <c r="A432" s="226"/>
      <c r="B432" s="177"/>
      <c r="C432" s="183"/>
      <c r="D432" s="226"/>
      <c r="E432" s="229"/>
      <c r="F432" s="627"/>
      <c r="G432" s="538">
        <v>0</v>
      </c>
      <c r="H432" s="538"/>
      <c r="I432" s="217">
        <f t="shared" si="6"/>
        <v>0</v>
      </c>
    </row>
    <row r="433" spans="1:9" ht="36">
      <c r="A433" s="226">
        <v>7</v>
      </c>
      <c r="B433" s="177"/>
      <c r="C433" s="183" t="s">
        <v>323</v>
      </c>
      <c r="D433" s="226" t="s">
        <v>321</v>
      </c>
      <c r="E433" s="229">
        <v>0.1</v>
      </c>
      <c r="F433" s="627"/>
      <c r="G433" s="547">
        <v>7380</v>
      </c>
      <c r="H433" s="538">
        <f>$E433*G433</f>
        <v>738</v>
      </c>
      <c r="I433" s="217">
        <f t="shared" si="6"/>
        <v>0</v>
      </c>
    </row>
    <row r="434" spans="1:9">
      <c r="A434" s="226"/>
      <c r="B434" s="177"/>
      <c r="C434" s="183"/>
      <c r="D434" s="226"/>
      <c r="E434" s="229"/>
      <c r="F434" s="627"/>
      <c r="G434" s="538">
        <v>0</v>
      </c>
      <c r="H434" s="538"/>
      <c r="I434" s="217">
        <f t="shared" si="6"/>
        <v>0</v>
      </c>
    </row>
    <row r="435" spans="1:9">
      <c r="A435" s="256" t="s">
        <v>46</v>
      </c>
      <c r="B435" s="177"/>
      <c r="C435" s="575" t="s">
        <v>54</v>
      </c>
      <c r="D435" s="226"/>
      <c r="E435" s="229"/>
      <c r="F435" s="627"/>
      <c r="G435" s="538">
        <v>0</v>
      </c>
      <c r="H435" s="538"/>
      <c r="I435" s="217">
        <f t="shared" si="6"/>
        <v>0</v>
      </c>
    </row>
    <row r="436" spans="1:9">
      <c r="A436" s="226"/>
      <c r="B436" s="177"/>
      <c r="C436" s="183"/>
      <c r="D436" s="226"/>
      <c r="E436" s="229"/>
      <c r="F436" s="627"/>
      <c r="G436" s="538">
        <v>0</v>
      </c>
      <c r="H436" s="547"/>
      <c r="I436" s="217">
        <f t="shared" si="6"/>
        <v>0</v>
      </c>
    </row>
    <row r="437" spans="1:9">
      <c r="A437" s="169">
        <v>1</v>
      </c>
      <c r="B437" s="177"/>
      <c r="C437" s="148" t="s">
        <v>324</v>
      </c>
      <c r="D437" s="170"/>
      <c r="E437" s="229"/>
      <c r="F437" s="627"/>
      <c r="G437" s="547">
        <v>0</v>
      </c>
      <c r="H437" s="538"/>
      <c r="I437" s="217">
        <f t="shared" si="6"/>
        <v>0</v>
      </c>
    </row>
    <row r="438" spans="1:9" ht="60">
      <c r="A438" s="169"/>
      <c r="B438" s="177"/>
      <c r="C438" s="573" t="s">
        <v>325</v>
      </c>
      <c r="D438" s="170"/>
      <c r="E438" s="229"/>
      <c r="F438" s="627"/>
      <c r="G438" s="547">
        <v>0</v>
      </c>
      <c r="H438" s="538"/>
      <c r="I438" s="217">
        <f t="shared" si="6"/>
        <v>0</v>
      </c>
    </row>
    <row r="439" spans="1:9">
      <c r="A439" s="169"/>
      <c r="B439" s="177"/>
      <c r="C439" s="573" t="s">
        <v>326</v>
      </c>
      <c r="D439" s="170" t="s">
        <v>314</v>
      </c>
      <c r="E439" s="229">
        <v>30</v>
      </c>
      <c r="F439" s="627">
        <v>45.28</v>
      </c>
      <c r="G439" s="547">
        <v>720</v>
      </c>
      <c r="H439" s="538">
        <f>$E439*G439</f>
        <v>21600</v>
      </c>
      <c r="I439" s="217">
        <f t="shared" si="6"/>
        <v>32601.600000000002</v>
      </c>
    </row>
    <row r="440" spans="1:9">
      <c r="A440" s="169"/>
      <c r="B440" s="177"/>
      <c r="C440" s="571"/>
      <c r="D440" s="170"/>
      <c r="E440" s="229"/>
      <c r="F440" s="627"/>
      <c r="G440" s="547">
        <v>0</v>
      </c>
      <c r="H440" s="538"/>
      <c r="I440" s="217">
        <f t="shared" si="6"/>
        <v>0</v>
      </c>
    </row>
    <row r="441" spans="1:9">
      <c r="A441" s="410" t="s">
        <v>45</v>
      </c>
      <c r="B441" s="177"/>
      <c r="C441" s="576" t="s">
        <v>327</v>
      </c>
      <c r="D441" s="577"/>
      <c r="E441" s="197"/>
      <c r="F441" s="623"/>
      <c r="G441" s="538">
        <v>0</v>
      </c>
      <c r="H441" s="443"/>
      <c r="I441" s="217">
        <f t="shared" si="6"/>
        <v>0</v>
      </c>
    </row>
    <row r="442" spans="1:9">
      <c r="A442" s="226">
        <v>1</v>
      </c>
      <c r="B442" s="177"/>
      <c r="C442" s="578" t="s">
        <v>328</v>
      </c>
      <c r="D442" s="577"/>
      <c r="E442" s="579"/>
      <c r="F442" s="649"/>
      <c r="G442" s="538">
        <v>0</v>
      </c>
      <c r="H442" s="538"/>
      <c r="I442" s="217">
        <f t="shared" si="6"/>
        <v>0</v>
      </c>
    </row>
    <row r="443" spans="1:9" ht="48">
      <c r="A443" s="169"/>
      <c r="B443" s="177"/>
      <c r="C443" s="573" t="s">
        <v>329</v>
      </c>
      <c r="D443" s="148"/>
      <c r="E443" s="579"/>
      <c r="F443" s="649"/>
      <c r="G443" s="443">
        <v>0</v>
      </c>
      <c r="H443" s="443"/>
      <c r="I443" s="217">
        <f t="shared" si="6"/>
        <v>0</v>
      </c>
    </row>
    <row r="444" spans="1:9">
      <c r="A444" s="169"/>
      <c r="B444" s="177"/>
      <c r="C444" s="571"/>
      <c r="D444" s="148"/>
      <c r="E444" s="579"/>
      <c r="F444" s="649"/>
      <c r="G444" s="443">
        <v>0</v>
      </c>
      <c r="H444" s="443"/>
      <c r="I444" s="217">
        <f t="shared" si="6"/>
        <v>0</v>
      </c>
    </row>
    <row r="445" spans="1:9" ht="24">
      <c r="A445" s="169"/>
      <c r="B445" s="177"/>
      <c r="C445" s="573" t="s">
        <v>330</v>
      </c>
      <c r="D445" s="148"/>
      <c r="E445" s="579"/>
      <c r="F445" s="649"/>
      <c r="G445" s="443">
        <v>0</v>
      </c>
      <c r="H445" s="443"/>
      <c r="I445" s="217">
        <f t="shared" si="6"/>
        <v>0</v>
      </c>
    </row>
    <row r="446" spans="1:9">
      <c r="A446" s="169"/>
      <c r="B446" s="177"/>
      <c r="C446" s="571"/>
      <c r="D446" s="148"/>
      <c r="E446" s="579"/>
      <c r="F446" s="649"/>
      <c r="G446" s="443">
        <v>0</v>
      </c>
      <c r="H446" s="443"/>
      <c r="I446" s="217">
        <f t="shared" si="6"/>
        <v>0</v>
      </c>
    </row>
    <row r="447" spans="1:9" ht="36">
      <c r="A447" s="169"/>
      <c r="B447" s="177"/>
      <c r="C447" s="573" t="s">
        <v>331</v>
      </c>
      <c r="D447" s="148"/>
      <c r="E447" s="579"/>
      <c r="F447" s="649"/>
      <c r="G447" s="443">
        <v>0</v>
      </c>
      <c r="H447" s="443"/>
      <c r="I447" s="217">
        <f t="shared" si="6"/>
        <v>0</v>
      </c>
    </row>
    <row r="448" spans="1:9">
      <c r="A448" s="169"/>
      <c r="B448" s="177"/>
      <c r="C448" s="571"/>
      <c r="D448" s="148"/>
      <c r="E448" s="579"/>
      <c r="F448" s="649"/>
      <c r="G448" s="443">
        <v>0</v>
      </c>
      <c r="H448" s="443"/>
      <c r="I448" s="217">
        <f t="shared" si="6"/>
        <v>0</v>
      </c>
    </row>
    <row r="449" spans="1:9">
      <c r="A449" s="169"/>
      <c r="B449" s="177"/>
      <c r="C449" s="573" t="s">
        <v>332</v>
      </c>
      <c r="D449" s="148"/>
      <c r="E449" s="579"/>
      <c r="F449" s="649"/>
      <c r="G449" s="443">
        <v>0</v>
      </c>
      <c r="H449" s="443"/>
      <c r="I449" s="217">
        <f t="shared" si="6"/>
        <v>0</v>
      </c>
    </row>
    <row r="450" spans="1:9">
      <c r="A450" s="169"/>
      <c r="B450" s="177"/>
      <c r="C450" s="573"/>
      <c r="D450" s="148"/>
      <c r="E450" s="579"/>
      <c r="F450" s="649"/>
      <c r="G450" s="443">
        <v>0</v>
      </c>
      <c r="H450" s="443"/>
      <c r="I450" s="217">
        <f t="shared" si="6"/>
        <v>0</v>
      </c>
    </row>
    <row r="451" spans="1:9" ht="24">
      <c r="A451" s="169" t="s">
        <v>333</v>
      </c>
      <c r="B451" s="177"/>
      <c r="C451" s="573" t="s">
        <v>334</v>
      </c>
      <c r="D451" s="148"/>
      <c r="E451" s="579"/>
      <c r="F451" s="649"/>
      <c r="G451" s="443">
        <v>0</v>
      </c>
      <c r="H451" s="443"/>
      <c r="I451" s="217">
        <f t="shared" si="6"/>
        <v>0</v>
      </c>
    </row>
    <row r="452" spans="1:9">
      <c r="A452" s="169"/>
      <c r="B452" s="177"/>
      <c r="C452" s="573"/>
      <c r="D452" s="148"/>
      <c r="E452" s="579"/>
      <c r="F452" s="649"/>
      <c r="G452" s="443">
        <v>0</v>
      </c>
      <c r="H452" s="443"/>
      <c r="I452" s="217">
        <f t="shared" si="6"/>
        <v>0</v>
      </c>
    </row>
    <row r="453" spans="1:9">
      <c r="A453" s="169" t="s">
        <v>335</v>
      </c>
      <c r="B453" s="177"/>
      <c r="C453" s="573" t="s">
        <v>336</v>
      </c>
      <c r="D453" s="148"/>
      <c r="E453" s="579"/>
      <c r="F453" s="649"/>
      <c r="G453" s="443">
        <v>0</v>
      </c>
      <c r="H453" s="443"/>
      <c r="I453" s="217">
        <f t="shared" si="6"/>
        <v>0</v>
      </c>
    </row>
    <row r="454" spans="1:9">
      <c r="A454" s="169"/>
      <c r="B454" s="177"/>
      <c r="C454" s="573"/>
      <c r="D454" s="148"/>
      <c r="E454" s="579"/>
      <c r="F454" s="649"/>
      <c r="G454" s="443">
        <v>0</v>
      </c>
      <c r="H454" s="443"/>
      <c r="I454" s="217">
        <f t="shared" si="6"/>
        <v>0</v>
      </c>
    </row>
    <row r="455" spans="1:9">
      <c r="A455" s="169" t="s">
        <v>337</v>
      </c>
      <c r="B455" s="177"/>
      <c r="C455" s="573" t="s">
        <v>338</v>
      </c>
      <c r="D455" s="148"/>
      <c r="E455" s="579"/>
      <c r="F455" s="649"/>
      <c r="G455" s="443">
        <v>0</v>
      </c>
      <c r="H455" s="443"/>
      <c r="I455" s="217">
        <f t="shared" si="6"/>
        <v>0</v>
      </c>
    </row>
    <row r="456" spans="1:9">
      <c r="A456" s="169"/>
      <c r="B456" s="177"/>
      <c r="C456" s="573"/>
      <c r="D456" s="148"/>
      <c r="E456" s="579"/>
      <c r="F456" s="649"/>
      <c r="G456" s="443">
        <v>0</v>
      </c>
      <c r="H456" s="443"/>
      <c r="I456" s="217">
        <f t="shared" si="6"/>
        <v>0</v>
      </c>
    </row>
    <row r="457" spans="1:9">
      <c r="A457" s="169" t="s">
        <v>339</v>
      </c>
      <c r="B457" s="177"/>
      <c r="C457" s="573" t="s">
        <v>340</v>
      </c>
      <c r="D457" s="148"/>
      <c r="E457" s="579"/>
      <c r="F457" s="649"/>
      <c r="G457" s="443">
        <v>0</v>
      </c>
      <c r="H457" s="443"/>
      <c r="I457" s="217">
        <f t="shared" si="6"/>
        <v>0</v>
      </c>
    </row>
    <row r="458" spans="1:9">
      <c r="A458" s="169"/>
      <c r="B458" s="177"/>
      <c r="C458" s="573"/>
      <c r="D458" s="148"/>
      <c r="E458" s="579"/>
      <c r="F458" s="649"/>
      <c r="G458" s="443">
        <v>0</v>
      </c>
      <c r="H458" s="443"/>
      <c r="I458" s="217">
        <f t="shared" si="6"/>
        <v>0</v>
      </c>
    </row>
    <row r="459" spans="1:9">
      <c r="A459" s="169" t="s">
        <v>341</v>
      </c>
      <c r="B459" s="177"/>
      <c r="C459" s="573" t="s">
        <v>342</v>
      </c>
      <c r="D459" s="148"/>
      <c r="E459" s="579"/>
      <c r="F459" s="649"/>
      <c r="G459" s="443">
        <v>0</v>
      </c>
      <c r="H459" s="443"/>
      <c r="I459" s="217">
        <f t="shared" si="6"/>
        <v>0</v>
      </c>
    </row>
    <row r="460" spans="1:9">
      <c r="A460" s="169"/>
      <c r="B460" s="177"/>
      <c r="C460" s="573"/>
      <c r="D460" s="148"/>
      <c r="E460" s="579"/>
      <c r="F460" s="649"/>
      <c r="G460" s="443">
        <v>0</v>
      </c>
      <c r="H460" s="443"/>
      <c r="I460" s="217">
        <f t="shared" si="6"/>
        <v>0</v>
      </c>
    </row>
    <row r="461" spans="1:9">
      <c r="A461" s="169" t="s">
        <v>343</v>
      </c>
      <c r="B461" s="177"/>
      <c r="C461" s="573" t="s">
        <v>344</v>
      </c>
      <c r="D461" s="148"/>
      <c r="E461" s="579"/>
      <c r="F461" s="649"/>
      <c r="G461" s="443">
        <v>0</v>
      </c>
      <c r="H461" s="443"/>
      <c r="I461" s="217">
        <f t="shared" si="6"/>
        <v>0</v>
      </c>
    </row>
    <row r="462" spans="1:9">
      <c r="A462" s="169"/>
      <c r="B462" s="177"/>
      <c r="C462" s="573"/>
      <c r="D462" s="148"/>
      <c r="E462" s="579"/>
      <c r="F462" s="649"/>
      <c r="G462" s="443">
        <v>0</v>
      </c>
      <c r="H462" s="443"/>
      <c r="I462" s="217">
        <f t="shared" si="6"/>
        <v>0</v>
      </c>
    </row>
    <row r="463" spans="1:9">
      <c r="A463" s="169" t="s">
        <v>345</v>
      </c>
      <c r="B463" s="177"/>
      <c r="C463" s="573" t="s">
        <v>346</v>
      </c>
      <c r="D463" s="148"/>
      <c r="E463" s="579"/>
      <c r="F463" s="649"/>
      <c r="G463" s="443">
        <v>0</v>
      </c>
      <c r="H463" s="443"/>
      <c r="I463" s="217">
        <f t="shared" ref="I463:I472" si="7">G463*F463</f>
        <v>0</v>
      </c>
    </row>
    <row r="464" spans="1:9">
      <c r="A464" s="169"/>
      <c r="B464" s="177"/>
      <c r="C464" s="573"/>
      <c r="D464" s="148"/>
      <c r="E464" s="579"/>
      <c r="F464" s="649"/>
      <c r="G464" s="443">
        <v>0</v>
      </c>
      <c r="H464" s="443"/>
      <c r="I464" s="217">
        <f t="shared" si="7"/>
        <v>0</v>
      </c>
    </row>
    <row r="465" spans="1:9" ht="24">
      <c r="A465" s="169" t="s">
        <v>34</v>
      </c>
      <c r="B465" s="177"/>
      <c r="C465" s="573" t="s">
        <v>347</v>
      </c>
      <c r="D465" s="148"/>
      <c r="E465" s="579"/>
      <c r="F465" s="649"/>
      <c r="G465" s="443">
        <v>0</v>
      </c>
      <c r="H465" s="443"/>
      <c r="I465" s="217">
        <f t="shared" si="7"/>
        <v>0</v>
      </c>
    </row>
    <row r="466" spans="1:9">
      <c r="A466" s="169"/>
      <c r="B466" s="177"/>
      <c r="C466" s="573"/>
      <c r="D466" s="148"/>
      <c r="E466" s="579"/>
      <c r="F466" s="649"/>
      <c r="G466" s="443">
        <v>0</v>
      </c>
      <c r="H466" s="443"/>
      <c r="I466" s="217">
        <f t="shared" si="7"/>
        <v>0</v>
      </c>
    </row>
    <row r="467" spans="1:9" ht="24">
      <c r="A467" s="169" t="s">
        <v>35</v>
      </c>
      <c r="B467" s="177"/>
      <c r="C467" s="573" t="s">
        <v>348</v>
      </c>
      <c r="D467" s="148"/>
      <c r="E467" s="579"/>
      <c r="F467" s="649"/>
      <c r="G467" s="443">
        <v>0</v>
      </c>
      <c r="H467" s="443"/>
      <c r="I467" s="217">
        <f t="shared" si="7"/>
        <v>0</v>
      </c>
    </row>
    <row r="468" spans="1:9">
      <c r="A468" s="169"/>
      <c r="B468" s="177"/>
      <c r="C468" s="573"/>
      <c r="D468" s="148"/>
      <c r="E468" s="579"/>
      <c r="F468" s="649"/>
      <c r="G468" s="443">
        <v>0</v>
      </c>
      <c r="H468" s="443"/>
      <c r="I468" s="217">
        <f t="shared" si="7"/>
        <v>0</v>
      </c>
    </row>
    <row r="469" spans="1:9">
      <c r="A469" s="169"/>
      <c r="B469" s="177"/>
      <c r="C469" s="573" t="s">
        <v>349</v>
      </c>
      <c r="D469" s="148"/>
      <c r="E469" s="579"/>
      <c r="F469" s="649"/>
      <c r="G469" s="443">
        <v>0</v>
      </c>
      <c r="H469" s="443"/>
      <c r="I469" s="217">
        <f t="shared" si="7"/>
        <v>0</v>
      </c>
    </row>
    <row r="470" spans="1:9">
      <c r="A470" s="148"/>
      <c r="B470" s="177"/>
      <c r="C470" s="148"/>
      <c r="D470" s="148"/>
      <c r="E470" s="579"/>
      <c r="F470" s="649"/>
      <c r="G470" s="443">
        <v>0</v>
      </c>
      <c r="H470" s="443"/>
      <c r="I470" s="217">
        <f t="shared" si="7"/>
        <v>0</v>
      </c>
    </row>
    <row r="471" spans="1:9">
      <c r="A471" s="148"/>
      <c r="B471" s="177"/>
      <c r="C471" s="148" t="s">
        <v>350</v>
      </c>
      <c r="D471" s="148" t="s">
        <v>48</v>
      </c>
      <c r="E471" s="579">
        <v>1</v>
      </c>
      <c r="F471" s="649"/>
      <c r="G471" s="443">
        <v>18000</v>
      </c>
      <c r="H471" s="417">
        <f>$E471*G471</f>
        <v>18000</v>
      </c>
      <c r="I471" s="217">
        <f t="shared" si="7"/>
        <v>0</v>
      </c>
    </row>
    <row r="472" spans="1:9">
      <c r="A472" s="148"/>
      <c r="B472" s="177"/>
      <c r="C472" s="148" t="s">
        <v>351</v>
      </c>
      <c r="D472" s="148" t="s">
        <v>48</v>
      </c>
      <c r="E472" s="579">
        <v>1</v>
      </c>
      <c r="F472" s="649"/>
      <c r="G472" s="443">
        <v>22000</v>
      </c>
      <c r="H472" s="417">
        <f>$E472*G472</f>
        <v>22000</v>
      </c>
      <c r="I472" s="217">
        <f t="shared" si="7"/>
        <v>0</v>
      </c>
    </row>
    <row r="473" spans="1:9">
      <c r="A473" s="256"/>
      <c r="B473" s="177"/>
      <c r="C473" s="69"/>
      <c r="D473" s="226"/>
      <c r="E473" s="229"/>
      <c r="F473" s="627"/>
      <c r="G473" s="547"/>
      <c r="H473" s="547"/>
      <c r="I473" s="217"/>
    </row>
    <row r="474" spans="1:9">
      <c r="A474" s="210"/>
      <c r="B474" s="580"/>
      <c r="C474" s="580"/>
      <c r="D474" s="580"/>
      <c r="E474" s="580"/>
      <c r="F474" s="650"/>
      <c r="G474" s="581"/>
      <c r="H474" s="582">
        <f>SUM(H399:H472)</f>
        <v>314423</v>
      </c>
      <c r="I474" s="585">
        <f>SUM(I396:I473)</f>
        <v>133900.92000000001</v>
      </c>
    </row>
    <row r="475" spans="1:9">
      <c r="A475" s="205"/>
      <c r="B475" s="177" t="s">
        <v>808</v>
      </c>
      <c r="C475" s="177"/>
      <c r="D475" s="205"/>
      <c r="E475" s="222"/>
      <c r="F475" s="624"/>
      <c r="G475" s="421"/>
      <c r="H475" s="421"/>
      <c r="I475" s="217"/>
    </row>
    <row r="476" spans="1:9">
      <c r="A476" s="157"/>
      <c r="B476" s="157" t="s">
        <v>809</v>
      </c>
      <c r="C476" s="157" t="s">
        <v>810</v>
      </c>
      <c r="D476" s="157" t="s">
        <v>47</v>
      </c>
      <c r="E476" s="583"/>
      <c r="F476" s="624">
        <v>2</v>
      </c>
      <c r="G476" s="421">
        <v>5500</v>
      </c>
      <c r="H476" s="421"/>
      <c r="I476" s="217">
        <f>F476*G476</f>
        <v>11000</v>
      </c>
    </row>
    <row r="477" spans="1:9">
      <c r="A477" s="157"/>
      <c r="B477" s="157"/>
      <c r="C477" s="157" t="s">
        <v>811</v>
      </c>
      <c r="D477" s="157" t="s">
        <v>812</v>
      </c>
      <c r="E477" s="583"/>
      <c r="F477" s="624">
        <v>0.3</v>
      </c>
      <c r="G477" s="421">
        <v>6500</v>
      </c>
      <c r="H477" s="421"/>
      <c r="I477" s="217">
        <f>G477*F477</f>
        <v>1950</v>
      </c>
    </row>
    <row r="478" spans="1:9">
      <c r="A478" s="1"/>
      <c r="B478" s="1"/>
      <c r="C478" s="1"/>
      <c r="D478" s="1"/>
      <c r="E478" s="46"/>
      <c r="I478" s="101">
        <f>SUM(I476:I477)</f>
        <v>12950</v>
      </c>
    </row>
    <row r="479" spans="1:9">
      <c r="A479" s="1"/>
      <c r="B479" s="1"/>
      <c r="C479" s="1"/>
      <c r="D479" s="1"/>
      <c r="E479" s="46"/>
      <c r="I479" s="101">
        <f>I478+I474</f>
        <v>146850.92000000001</v>
      </c>
    </row>
    <row r="480" spans="1:9">
      <c r="A480" s="1"/>
      <c r="B480" s="1"/>
      <c r="C480" s="1"/>
      <c r="D480" s="1"/>
      <c r="E480" s="46"/>
    </row>
    <row r="481" spans="1:5">
      <c r="A481" s="1"/>
      <c r="B481" s="1"/>
      <c r="C481" s="1"/>
      <c r="D481" s="1"/>
      <c r="E481" s="46"/>
    </row>
    <row r="482" spans="1:5">
      <c r="A482" s="1"/>
      <c r="B482" s="1"/>
      <c r="C482" s="1"/>
      <c r="D482" s="1"/>
      <c r="E482" s="46"/>
    </row>
    <row r="483" spans="1:5">
      <c r="A483" s="1"/>
      <c r="B483" s="1"/>
      <c r="C483" s="1"/>
      <c r="D483" s="1"/>
      <c r="E483" s="46"/>
    </row>
    <row r="484" spans="1:5">
      <c r="A484" s="1"/>
      <c r="B484" s="1"/>
      <c r="C484" s="1"/>
      <c r="D484" s="1"/>
      <c r="E484" s="46"/>
    </row>
    <row r="485" spans="1:5">
      <c r="A485" s="1"/>
      <c r="B485" s="1"/>
      <c r="C485" s="1"/>
      <c r="D485" s="1"/>
      <c r="E485" s="46"/>
    </row>
    <row r="486" spans="1:5">
      <c r="A486" s="1"/>
      <c r="B486" s="1"/>
      <c r="C486" s="1"/>
      <c r="D486" s="1"/>
      <c r="E486" s="46"/>
    </row>
    <row r="487" spans="1:5">
      <c r="A487" s="1"/>
      <c r="B487" s="1"/>
      <c r="C487" s="1"/>
      <c r="D487" s="1"/>
      <c r="E487" s="46"/>
    </row>
  </sheetData>
  <protectedRanges>
    <protectedRange sqref="C11" name="Range1_11"/>
    <protectedRange sqref="G1" name="Range1"/>
  </protectedRanges>
  <autoFilter ref="A3:H474" xr:uid="{00000000-0009-0000-0000-000001000000}"/>
  <mergeCells count="10">
    <mergeCell ref="A386:I386"/>
    <mergeCell ref="G1:H2"/>
    <mergeCell ref="H173:H174"/>
    <mergeCell ref="A1:C1"/>
    <mergeCell ref="A173:A174"/>
    <mergeCell ref="C173:C174"/>
    <mergeCell ref="D173:D174"/>
    <mergeCell ref="E173:E174"/>
    <mergeCell ref="C163:H163"/>
    <mergeCell ref="A66:I66"/>
  </mergeCells>
  <hyperlinks>
    <hyperlink ref="C64" r:id="rId1" xr:uid="{00000000-0004-0000-0100-000000000000}"/>
    <hyperlink ref="C160" r:id="rId2" xr:uid="{00000000-0004-0000-0100-000001000000}"/>
    <hyperlink ref="C383" r:id="rId3" xr:uid="{00000000-0004-0000-0100-000002000000}"/>
    <hyperlink ref="C392" r:id="rId4" xr:uid="{00000000-0004-0000-0100-000003000000}"/>
    <hyperlink ref="C170" r:id="rId5" xr:uid="{00000000-0004-0000-0100-000004000000}"/>
  </hyperlinks>
  <pageMargins left="0.70866141732283461" right="0.70866141732283461" top="0.74803149606299213" bottom="0.74803149606299213" header="0.31496062992125984" footer="0.31496062992125984"/>
  <pageSetup scale="66" fitToHeight="0"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9"/>
  <sheetViews>
    <sheetView topLeftCell="A58" workbookViewId="0">
      <selection activeCell="B16" activeCellId="1" sqref="F11 B16"/>
    </sheetView>
  </sheetViews>
  <sheetFormatPr defaultColWidth="9.140625" defaultRowHeight="12"/>
  <cols>
    <col min="1" max="1" width="6.85546875" style="96" bestFit="1" customWidth="1"/>
    <col min="2" max="2" width="76.140625" style="96" customWidth="1"/>
    <col min="3" max="3" width="4.140625" style="97" customWidth="1"/>
    <col min="4" max="4" width="5.85546875" style="98" bestFit="1" customWidth="1"/>
    <col min="5" max="5" width="6.140625" style="99" bestFit="1" customWidth="1"/>
    <col min="6" max="6" width="7.5703125" style="100" customWidth="1"/>
    <col min="7" max="7" width="5" style="99" bestFit="1" customWidth="1"/>
    <col min="8" max="8" width="8.42578125" style="99" bestFit="1" customWidth="1"/>
    <col min="9" max="16384" width="9.140625" style="52"/>
  </cols>
  <sheetData>
    <row r="1" spans="1:8">
      <c r="A1" s="844" t="s">
        <v>454</v>
      </c>
      <c r="B1" s="844"/>
      <c r="C1" s="844"/>
      <c r="D1" s="844"/>
      <c r="E1" s="844"/>
      <c r="F1" s="844"/>
      <c r="G1" s="844"/>
      <c r="H1" s="844"/>
    </row>
    <row r="2" spans="1:8">
      <c r="A2" s="844" t="s">
        <v>455</v>
      </c>
      <c r="B2" s="844"/>
      <c r="C2" s="844"/>
      <c r="D2" s="844"/>
      <c r="E2" s="844"/>
      <c r="F2" s="844"/>
      <c r="G2" s="844"/>
      <c r="H2" s="844"/>
    </row>
    <row r="3" spans="1:8">
      <c r="A3" s="844" t="s">
        <v>95</v>
      </c>
      <c r="B3" s="844"/>
      <c r="C3" s="844"/>
      <c r="D3" s="844"/>
      <c r="E3" s="844"/>
      <c r="F3" s="844"/>
      <c r="G3" s="844"/>
      <c r="H3" s="844"/>
    </row>
    <row r="4" spans="1:8">
      <c r="A4" s="844" t="s">
        <v>456</v>
      </c>
      <c r="B4" s="844"/>
      <c r="C4" s="844"/>
      <c r="D4" s="844"/>
      <c r="E4" s="844"/>
      <c r="F4" s="844"/>
      <c r="G4" s="844"/>
      <c r="H4" s="844"/>
    </row>
    <row r="5" spans="1:8" ht="15">
      <c r="A5" s="53" t="s">
        <v>457</v>
      </c>
      <c r="B5" s="54" t="s">
        <v>458</v>
      </c>
      <c r="C5" s="55" t="s">
        <v>3</v>
      </c>
      <c r="D5" s="55" t="s">
        <v>47</v>
      </c>
      <c r="E5" s="56" t="s">
        <v>459</v>
      </c>
      <c r="F5" s="55" t="s">
        <v>24</v>
      </c>
      <c r="G5" s="55" t="s">
        <v>460</v>
      </c>
      <c r="H5" s="57" t="s">
        <v>461</v>
      </c>
    </row>
    <row r="6" spans="1:8" ht="15">
      <c r="A6" s="58">
        <v>1</v>
      </c>
      <c r="B6" s="59" t="s">
        <v>405</v>
      </c>
      <c r="C6" s="60" t="s">
        <v>462</v>
      </c>
      <c r="D6" s="61">
        <v>1</v>
      </c>
      <c r="E6" s="61"/>
      <c r="F6" s="61"/>
      <c r="G6" s="61"/>
      <c r="H6" s="62">
        <f>ROUND(PRODUCT(D6:G6),2)</f>
        <v>1</v>
      </c>
    </row>
    <row r="7" spans="1:8" ht="15">
      <c r="A7" s="58"/>
      <c r="B7" s="59"/>
      <c r="C7" s="60"/>
      <c r="D7" s="61"/>
      <c r="E7" s="61"/>
      <c r="F7" s="61"/>
      <c r="G7" s="61"/>
      <c r="H7" s="60"/>
    </row>
    <row r="8" spans="1:8" ht="15">
      <c r="A8" s="658">
        <v>3</v>
      </c>
      <c r="B8" s="71" t="s">
        <v>354</v>
      </c>
      <c r="C8" s="60" t="s">
        <v>463</v>
      </c>
      <c r="D8" s="61">
        <v>1</v>
      </c>
      <c r="E8" s="61">
        <v>3.9</v>
      </c>
      <c r="F8" s="61"/>
      <c r="G8" s="61">
        <v>3.6</v>
      </c>
      <c r="H8" s="62">
        <f t="shared" ref="H8:H14" si="0">ROUND(PRODUCT(D8:G8),2)</f>
        <v>14.04</v>
      </c>
    </row>
    <row r="9" spans="1:8" ht="15">
      <c r="A9" s="58"/>
      <c r="B9" s="60"/>
      <c r="C9" s="60" t="s">
        <v>463</v>
      </c>
      <c r="D9" s="61">
        <v>1</v>
      </c>
      <c r="E9" s="61">
        <v>2.4500000000000002</v>
      </c>
      <c r="F9" s="61"/>
      <c r="G9" s="61">
        <v>3.6</v>
      </c>
      <c r="H9" s="62">
        <f t="shared" si="0"/>
        <v>8.82</v>
      </c>
    </row>
    <row r="10" spans="1:8" ht="15">
      <c r="A10" s="58"/>
      <c r="B10" s="60"/>
      <c r="C10" s="60" t="s">
        <v>463</v>
      </c>
      <c r="D10" s="61">
        <v>1</v>
      </c>
      <c r="E10" s="61">
        <v>1.05</v>
      </c>
      <c r="F10" s="61"/>
      <c r="G10" s="61">
        <v>3.6</v>
      </c>
      <c r="H10" s="62">
        <f t="shared" si="0"/>
        <v>3.78</v>
      </c>
    </row>
    <row r="11" spans="1:8" ht="15">
      <c r="A11" s="58"/>
      <c r="B11" s="60"/>
      <c r="C11" s="60" t="s">
        <v>463</v>
      </c>
      <c r="D11" s="61">
        <v>1</v>
      </c>
      <c r="E11" s="61">
        <v>2.9</v>
      </c>
      <c r="F11" s="61"/>
      <c r="G11" s="61">
        <v>2.2999999999999998</v>
      </c>
      <c r="H11" s="62">
        <f t="shared" si="0"/>
        <v>6.67</v>
      </c>
    </row>
    <row r="12" spans="1:8" ht="15">
      <c r="A12" s="58"/>
      <c r="B12" s="60"/>
      <c r="C12" s="60" t="s">
        <v>463</v>
      </c>
      <c r="D12" s="61">
        <v>2</v>
      </c>
      <c r="E12" s="61">
        <v>1.2</v>
      </c>
      <c r="F12" s="61"/>
      <c r="G12" s="61">
        <v>2.4</v>
      </c>
      <c r="H12" s="62">
        <f t="shared" si="0"/>
        <v>5.76</v>
      </c>
    </row>
    <row r="13" spans="1:8" ht="15">
      <c r="A13" s="58"/>
      <c r="B13" s="60"/>
      <c r="C13" s="60" t="s">
        <v>463</v>
      </c>
      <c r="D13" s="61">
        <v>-2</v>
      </c>
      <c r="E13" s="61">
        <v>1</v>
      </c>
      <c r="F13" s="61"/>
      <c r="G13" s="61">
        <v>2.0499999999999998</v>
      </c>
      <c r="H13" s="62">
        <f t="shared" si="0"/>
        <v>-4.0999999999999996</v>
      </c>
    </row>
    <row r="14" spans="1:8" ht="15">
      <c r="A14" s="58"/>
      <c r="B14" s="60"/>
      <c r="C14" s="60" t="s">
        <v>463</v>
      </c>
      <c r="D14" s="61">
        <v>-1</v>
      </c>
      <c r="E14" s="61">
        <v>0.6</v>
      </c>
      <c r="F14" s="61"/>
      <c r="G14" s="61">
        <v>0.9</v>
      </c>
      <c r="H14" s="62">
        <f t="shared" si="0"/>
        <v>-0.54</v>
      </c>
    </row>
    <row r="15" spans="1:8" ht="15">
      <c r="A15" s="58"/>
      <c r="B15" s="60"/>
      <c r="C15" s="843" t="s">
        <v>464</v>
      </c>
      <c r="D15" s="843"/>
      <c r="E15" s="843"/>
      <c r="F15" s="843"/>
      <c r="G15" s="843"/>
      <c r="H15" s="63">
        <f>SUM(H8:H14)</f>
        <v>34.43</v>
      </c>
    </row>
    <row r="16" spans="1:8" ht="15">
      <c r="A16" s="58"/>
      <c r="B16" s="60"/>
      <c r="C16" s="58" t="s">
        <v>89</v>
      </c>
      <c r="D16" s="843" t="s">
        <v>464</v>
      </c>
      <c r="E16" s="843"/>
      <c r="F16" s="843"/>
      <c r="G16" s="843"/>
      <c r="H16" s="63">
        <f>H15*10.764</f>
        <v>370.60451999999998</v>
      </c>
    </row>
    <row r="17" spans="1:8" ht="15">
      <c r="A17" s="58"/>
      <c r="B17" s="60"/>
      <c r="C17" s="58"/>
      <c r="D17" s="58"/>
      <c r="E17" s="58"/>
      <c r="F17" s="58"/>
      <c r="G17" s="58"/>
      <c r="H17" s="63"/>
    </row>
    <row r="18" spans="1:8" ht="15">
      <c r="A18" s="658">
        <v>4</v>
      </c>
      <c r="B18" s="71" t="s">
        <v>16</v>
      </c>
      <c r="C18" s="60" t="s">
        <v>463</v>
      </c>
      <c r="D18" s="61">
        <v>2</v>
      </c>
      <c r="E18" s="61">
        <v>4</v>
      </c>
      <c r="F18" s="61"/>
      <c r="G18" s="61">
        <v>3.7</v>
      </c>
      <c r="H18" s="62">
        <f t="shared" ref="H18:H24" si="1">ROUND(PRODUCT(D18:G18),2)</f>
        <v>29.6</v>
      </c>
    </row>
    <row r="19" spans="1:8" ht="15">
      <c r="A19" s="58"/>
      <c r="B19" s="60"/>
      <c r="C19" s="60" t="s">
        <v>463</v>
      </c>
      <c r="D19" s="61">
        <v>2</v>
      </c>
      <c r="E19" s="61">
        <v>2.4500000000000002</v>
      </c>
      <c r="F19" s="61"/>
      <c r="G19" s="61">
        <v>3.7</v>
      </c>
      <c r="H19" s="62">
        <f t="shared" si="1"/>
        <v>18.13</v>
      </c>
    </row>
    <row r="20" spans="1:8" ht="15">
      <c r="A20" s="58"/>
      <c r="B20" s="60"/>
      <c r="C20" s="60" t="s">
        <v>463</v>
      </c>
      <c r="D20" s="61">
        <v>2</v>
      </c>
      <c r="E20" s="61">
        <v>1.05</v>
      </c>
      <c r="F20" s="61"/>
      <c r="G20" s="61">
        <v>3.7</v>
      </c>
      <c r="H20" s="62">
        <f t="shared" si="1"/>
        <v>7.77</v>
      </c>
    </row>
    <row r="21" spans="1:8" ht="15">
      <c r="A21" s="58"/>
      <c r="B21" s="60"/>
      <c r="C21" s="60" t="s">
        <v>463</v>
      </c>
      <c r="D21" s="61">
        <v>2</v>
      </c>
      <c r="E21" s="61">
        <v>2.9</v>
      </c>
      <c r="F21" s="61"/>
      <c r="G21" s="61">
        <v>2.2999999999999998</v>
      </c>
      <c r="H21" s="62">
        <f t="shared" si="1"/>
        <v>13.34</v>
      </c>
    </row>
    <row r="22" spans="1:8" ht="15">
      <c r="A22" s="58"/>
      <c r="B22" s="60"/>
      <c r="C22" s="60" t="s">
        <v>463</v>
      </c>
      <c r="D22" s="61">
        <v>4</v>
      </c>
      <c r="E22" s="61">
        <v>1.2</v>
      </c>
      <c r="F22" s="61"/>
      <c r="G22" s="61">
        <v>2.4</v>
      </c>
      <c r="H22" s="62">
        <f t="shared" si="1"/>
        <v>11.52</v>
      </c>
    </row>
    <row r="23" spans="1:8" ht="15">
      <c r="A23" s="58"/>
      <c r="B23" s="60"/>
      <c r="C23" s="60" t="s">
        <v>463</v>
      </c>
      <c r="D23" s="61">
        <v>-4</v>
      </c>
      <c r="E23" s="61">
        <v>1</v>
      </c>
      <c r="F23" s="61"/>
      <c r="G23" s="61">
        <v>2.0499999999999998</v>
      </c>
      <c r="H23" s="62">
        <f t="shared" si="1"/>
        <v>-8.1999999999999993</v>
      </c>
    </row>
    <row r="24" spans="1:8" ht="15">
      <c r="A24" s="58"/>
      <c r="B24" s="60"/>
      <c r="C24" s="60" t="s">
        <v>463</v>
      </c>
      <c r="D24" s="61">
        <v>-2</v>
      </c>
      <c r="E24" s="61">
        <v>0.6</v>
      </c>
      <c r="F24" s="61"/>
      <c r="G24" s="61">
        <v>0.9</v>
      </c>
      <c r="H24" s="62">
        <f t="shared" si="1"/>
        <v>-1.08</v>
      </c>
    </row>
    <row r="25" spans="1:8" ht="15">
      <c r="A25" s="58"/>
      <c r="B25" s="60"/>
      <c r="C25" s="843" t="s">
        <v>464</v>
      </c>
      <c r="D25" s="843"/>
      <c r="E25" s="843"/>
      <c r="F25" s="843"/>
      <c r="G25" s="843"/>
      <c r="H25" s="63">
        <f>SUM(H18:H24)</f>
        <v>71.08</v>
      </c>
    </row>
    <row r="26" spans="1:8" ht="15">
      <c r="A26" s="58"/>
      <c r="B26" s="60"/>
      <c r="C26" s="58" t="s">
        <v>89</v>
      </c>
      <c r="D26" s="843" t="s">
        <v>464</v>
      </c>
      <c r="E26" s="843"/>
      <c r="F26" s="843"/>
      <c r="G26" s="843"/>
      <c r="H26" s="63">
        <f>H25*10.764</f>
        <v>765.10511999999994</v>
      </c>
    </row>
    <row r="27" spans="1:8" ht="15">
      <c r="A27" s="58"/>
      <c r="B27" s="60"/>
      <c r="C27" s="58"/>
      <c r="D27" s="58"/>
      <c r="E27" s="58"/>
      <c r="F27" s="58"/>
      <c r="G27" s="58"/>
      <c r="H27" s="63"/>
    </row>
    <row r="28" spans="1:8" ht="15">
      <c r="A28" s="58">
        <v>6</v>
      </c>
      <c r="B28" s="59" t="s">
        <v>17</v>
      </c>
      <c r="C28" s="60" t="s">
        <v>463</v>
      </c>
      <c r="D28" s="61">
        <v>1</v>
      </c>
      <c r="E28" s="61">
        <v>3.85</v>
      </c>
      <c r="F28" s="61">
        <v>4.75</v>
      </c>
      <c r="G28" s="61"/>
      <c r="H28" s="62">
        <f>ROUND(PRODUCT(D28:G28),2)</f>
        <v>18.29</v>
      </c>
    </row>
    <row r="29" spans="1:8" ht="15">
      <c r="A29" s="58"/>
      <c r="B29" s="59"/>
      <c r="C29" s="58" t="s">
        <v>89</v>
      </c>
      <c r="D29" s="843" t="s">
        <v>464</v>
      </c>
      <c r="E29" s="843"/>
      <c r="F29" s="843"/>
      <c r="G29" s="843"/>
      <c r="H29" s="63">
        <f>H28*10.764</f>
        <v>196.87355999999997</v>
      </c>
    </row>
    <row r="30" spans="1:8" ht="15">
      <c r="A30" s="58"/>
      <c r="B30" s="60"/>
      <c r="C30" s="60"/>
      <c r="D30" s="61"/>
      <c r="E30" s="61"/>
      <c r="F30" s="61"/>
      <c r="G30" s="61"/>
      <c r="H30" s="60"/>
    </row>
    <row r="31" spans="1:8" ht="15">
      <c r="A31" s="58">
        <v>9</v>
      </c>
      <c r="B31" s="59" t="s">
        <v>7</v>
      </c>
      <c r="C31" s="60" t="s">
        <v>465</v>
      </c>
      <c r="D31" s="61">
        <v>1</v>
      </c>
      <c r="E31" s="61">
        <f>3+3+4.75+4.75+3.84+2.25+3.25+3.3+2.3+2.38+2.38+0.46+0.46+0.47+0.47</f>
        <v>37.06</v>
      </c>
      <c r="F31" s="61"/>
      <c r="G31" s="61"/>
      <c r="H31" s="62">
        <f>ROUND(PRODUCT(D31:G31),2)</f>
        <v>37.06</v>
      </c>
    </row>
    <row r="32" spans="1:8" ht="15">
      <c r="A32" s="58"/>
      <c r="B32" s="59"/>
      <c r="C32" s="58" t="s">
        <v>362</v>
      </c>
      <c r="D32" s="843" t="s">
        <v>464</v>
      </c>
      <c r="E32" s="843"/>
      <c r="F32" s="843"/>
      <c r="G32" s="843"/>
      <c r="H32" s="63">
        <f>H31*3.28</f>
        <v>121.5568</v>
      </c>
    </row>
    <row r="33" spans="1:8">
      <c r="A33" s="64"/>
      <c r="B33" s="64"/>
      <c r="C33" s="65"/>
      <c r="D33" s="55"/>
      <c r="E33" s="57"/>
      <c r="F33" s="66"/>
      <c r="G33" s="57"/>
      <c r="H33" s="57"/>
    </row>
    <row r="34" spans="1:8" s="659" customFormat="1" ht="15">
      <c r="A34" s="658">
        <v>10</v>
      </c>
      <c r="B34" s="71" t="s">
        <v>407</v>
      </c>
      <c r="C34" s="77" t="s">
        <v>466</v>
      </c>
      <c r="D34" s="137">
        <v>8</v>
      </c>
      <c r="E34" s="137">
        <v>2.44</v>
      </c>
      <c r="F34" s="137"/>
      <c r="G34" s="137"/>
      <c r="H34" s="83">
        <f>ROUND(PRODUCT(D34:G34),2)</f>
        <v>19.52</v>
      </c>
    </row>
    <row r="35" spans="1:8" ht="15">
      <c r="A35" s="58"/>
      <c r="B35" s="60"/>
      <c r="C35" s="60" t="s">
        <v>466</v>
      </c>
      <c r="D35" s="61">
        <v>1</v>
      </c>
      <c r="E35" s="61">
        <v>1.2</v>
      </c>
      <c r="F35" s="61"/>
      <c r="G35" s="61"/>
      <c r="H35" s="62">
        <f>ROUND(PRODUCT(D35:G35),2)</f>
        <v>1.2</v>
      </c>
    </row>
    <row r="36" spans="1:8" ht="15">
      <c r="A36" s="58"/>
      <c r="B36" s="60"/>
      <c r="C36" s="843" t="s">
        <v>464</v>
      </c>
      <c r="D36" s="843"/>
      <c r="E36" s="843"/>
      <c r="F36" s="843"/>
      <c r="G36" s="843"/>
      <c r="H36" s="63">
        <f>SUM(H34:H35)</f>
        <v>20.72</v>
      </c>
    </row>
    <row r="37" spans="1:8" ht="15">
      <c r="A37" s="58"/>
      <c r="B37" s="60"/>
      <c r="C37" s="58" t="s">
        <v>362</v>
      </c>
      <c r="D37" s="843" t="s">
        <v>464</v>
      </c>
      <c r="E37" s="843"/>
      <c r="F37" s="843"/>
      <c r="G37" s="843"/>
      <c r="H37" s="63">
        <f>H36*3.28</f>
        <v>67.96159999999999</v>
      </c>
    </row>
    <row r="38" spans="1:8" ht="15">
      <c r="A38" s="58"/>
      <c r="B38" s="60"/>
      <c r="C38" s="58"/>
      <c r="D38" s="58"/>
      <c r="E38" s="58"/>
      <c r="F38" s="58"/>
      <c r="G38" s="58"/>
      <c r="H38" s="63"/>
    </row>
    <row r="39" spans="1:8" ht="15">
      <c r="A39" s="58">
        <v>12</v>
      </c>
      <c r="B39" s="59" t="s">
        <v>11</v>
      </c>
      <c r="C39" s="60" t="s">
        <v>28</v>
      </c>
      <c r="D39" s="61">
        <v>1</v>
      </c>
      <c r="E39" s="61"/>
      <c r="F39" s="61"/>
      <c r="G39" s="61"/>
      <c r="H39" s="62">
        <f>ROUND(PRODUCT(D39:G39),2)</f>
        <v>1</v>
      </c>
    </row>
    <row r="40" spans="1:8" ht="15">
      <c r="A40" s="58"/>
      <c r="B40" s="60"/>
      <c r="C40" s="60"/>
      <c r="D40" s="61"/>
      <c r="E40" s="61"/>
      <c r="F40" s="61"/>
      <c r="G40" s="61"/>
      <c r="H40" s="60"/>
    </row>
    <row r="41" spans="1:8" ht="15">
      <c r="A41" s="658">
        <v>11</v>
      </c>
      <c r="B41" s="71" t="s">
        <v>408</v>
      </c>
      <c r="C41" s="60" t="s">
        <v>466</v>
      </c>
      <c r="D41" s="61">
        <v>4</v>
      </c>
      <c r="E41" s="61">
        <v>2.1</v>
      </c>
      <c r="F41" s="61"/>
      <c r="G41" s="61"/>
      <c r="H41" s="62">
        <f>ROUND(PRODUCT(D41:G41),2)</f>
        <v>8.4</v>
      </c>
    </row>
    <row r="42" spans="1:8" ht="15">
      <c r="A42" s="58"/>
      <c r="B42" s="60"/>
      <c r="C42" s="60" t="s">
        <v>466</v>
      </c>
      <c r="D42" s="61">
        <v>2</v>
      </c>
      <c r="E42" s="61">
        <v>1.1000000000000001</v>
      </c>
      <c r="F42" s="61"/>
      <c r="G42" s="61"/>
      <c r="H42" s="62">
        <f>ROUND(PRODUCT(D42:G42),2)</f>
        <v>2.2000000000000002</v>
      </c>
    </row>
    <row r="43" spans="1:8" ht="15">
      <c r="A43" s="58"/>
      <c r="B43" s="60"/>
      <c r="C43" s="60" t="s">
        <v>466</v>
      </c>
      <c r="D43" s="61">
        <v>2</v>
      </c>
      <c r="E43" s="61">
        <v>0.9</v>
      </c>
      <c r="F43" s="61"/>
      <c r="G43" s="61"/>
      <c r="H43" s="62">
        <f>ROUND(PRODUCT(D43:G43),2)</f>
        <v>1.8</v>
      </c>
    </row>
    <row r="44" spans="1:8" ht="15">
      <c r="A44" s="58"/>
      <c r="B44" s="60"/>
      <c r="C44" s="60" t="s">
        <v>466</v>
      </c>
      <c r="D44" s="61">
        <v>2</v>
      </c>
      <c r="E44" s="61">
        <v>0.6</v>
      </c>
      <c r="F44" s="61"/>
      <c r="G44" s="61"/>
      <c r="H44" s="62">
        <f>ROUND(PRODUCT(D44:G44),2)</f>
        <v>1.2</v>
      </c>
    </row>
    <row r="45" spans="1:8" ht="15">
      <c r="A45" s="58"/>
      <c r="B45" s="60"/>
      <c r="C45" s="60" t="s">
        <v>466</v>
      </c>
      <c r="D45" s="61">
        <v>1</v>
      </c>
      <c r="E45" s="61">
        <v>1.05</v>
      </c>
      <c r="F45" s="61"/>
      <c r="G45" s="61"/>
      <c r="H45" s="62">
        <f>ROUND(PRODUCT(D45:G45),2)</f>
        <v>1.05</v>
      </c>
    </row>
    <row r="46" spans="1:8" ht="15">
      <c r="A46" s="58"/>
      <c r="B46" s="60"/>
      <c r="C46" s="843" t="s">
        <v>464</v>
      </c>
      <c r="D46" s="843"/>
      <c r="E46" s="843"/>
      <c r="F46" s="843"/>
      <c r="G46" s="843"/>
      <c r="H46" s="63">
        <f>SUM(H41:H45)</f>
        <v>14.650000000000002</v>
      </c>
    </row>
    <row r="47" spans="1:8" ht="15">
      <c r="A47" s="58"/>
      <c r="B47" s="60"/>
      <c r="C47" s="58" t="s">
        <v>362</v>
      </c>
      <c r="D47" s="843" t="s">
        <v>464</v>
      </c>
      <c r="E47" s="843"/>
      <c r="F47" s="843"/>
      <c r="G47" s="843"/>
      <c r="H47" s="63">
        <f>H46*3.28</f>
        <v>48.052000000000007</v>
      </c>
    </row>
    <row r="48" spans="1:8" ht="15">
      <c r="A48" s="58"/>
      <c r="B48" s="60"/>
      <c r="C48" s="58"/>
      <c r="D48" s="58"/>
      <c r="E48" s="58"/>
      <c r="F48" s="58"/>
      <c r="G48" s="58"/>
      <c r="H48" s="63"/>
    </row>
    <row r="49" spans="1:8" ht="15">
      <c r="A49" s="58">
        <v>12</v>
      </c>
      <c r="B49" s="59" t="s">
        <v>409</v>
      </c>
      <c r="C49" s="60" t="s">
        <v>28</v>
      </c>
      <c r="D49" s="61">
        <v>1</v>
      </c>
      <c r="E49" s="61"/>
      <c r="F49" s="61"/>
      <c r="G49" s="61"/>
      <c r="H49" s="60">
        <v>1</v>
      </c>
    </row>
    <row r="50" spans="1:8" ht="15">
      <c r="A50" s="58"/>
      <c r="B50" s="59"/>
      <c r="C50" s="60"/>
      <c r="D50" s="61"/>
      <c r="E50" s="61"/>
      <c r="F50" s="61"/>
      <c r="G50" s="61"/>
      <c r="H50" s="60"/>
    </row>
    <row r="51" spans="1:8" s="659" customFormat="1" ht="15">
      <c r="A51" s="658">
        <v>14</v>
      </c>
      <c r="B51" s="71" t="s">
        <v>696</v>
      </c>
      <c r="C51" s="77" t="s">
        <v>697</v>
      </c>
      <c r="E51" s="137">
        <v>12.56</v>
      </c>
      <c r="F51" s="137"/>
      <c r="G51" s="137"/>
      <c r="H51" s="77">
        <f>E51</f>
        <v>12.56</v>
      </c>
    </row>
    <row r="52" spans="1:8" ht="15">
      <c r="A52" s="58"/>
      <c r="B52" s="59"/>
      <c r="C52" s="60"/>
      <c r="D52" s="61"/>
      <c r="E52" s="61"/>
      <c r="F52" s="61"/>
      <c r="G52" s="61"/>
      <c r="H52" s="60"/>
    </row>
    <row r="53" spans="1:8" s="659" customFormat="1" ht="15">
      <c r="A53" s="658">
        <v>15</v>
      </c>
      <c r="B53" s="71" t="s">
        <v>698</v>
      </c>
      <c r="C53" s="77" t="s">
        <v>699</v>
      </c>
      <c r="D53" s="137"/>
      <c r="E53" s="137">
        <v>12.464</v>
      </c>
      <c r="F53" s="137"/>
      <c r="G53" s="137">
        <v>3.01</v>
      </c>
      <c r="H53" s="77">
        <f>E53*G53</f>
        <v>37.516639999999995</v>
      </c>
    </row>
    <row r="54" spans="1:8" ht="15">
      <c r="A54" s="58"/>
      <c r="B54" s="59"/>
      <c r="C54" s="60"/>
      <c r="D54" s="61"/>
      <c r="E54" s="61"/>
      <c r="F54" s="61"/>
      <c r="G54" s="61"/>
      <c r="H54" s="60"/>
    </row>
    <row r="55" spans="1:8" s="659" customFormat="1" ht="36">
      <c r="A55" s="658">
        <v>17</v>
      </c>
      <c r="B55" s="653" t="s">
        <v>419</v>
      </c>
      <c r="C55" s="77" t="s">
        <v>709</v>
      </c>
      <c r="D55" s="137">
        <v>1</v>
      </c>
      <c r="E55" s="137">
        <f>(2*3.28)</f>
        <v>6.56</v>
      </c>
      <c r="F55" s="137">
        <f>(0.52*3.28)</f>
        <v>1.7056</v>
      </c>
      <c r="G55" s="137"/>
      <c r="H55" s="83">
        <f>F55*E55</f>
        <v>11.188735999999999</v>
      </c>
    </row>
    <row r="56" spans="1:8" ht="15">
      <c r="A56" s="58"/>
      <c r="B56" s="59"/>
      <c r="C56" s="60"/>
      <c r="D56" s="61"/>
      <c r="E56" s="61"/>
      <c r="F56" s="61"/>
      <c r="G56" s="61"/>
      <c r="H56" s="60"/>
    </row>
    <row r="57" spans="1:8" s="659" customFormat="1" ht="15">
      <c r="A57" s="658">
        <v>19</v>
      </c>
      <c r="B57" s="71" t="s">
        <v>65</v>
      </c>
      <c r="C57" s="77" t="s">
        <v>463</v>
      </c>
      <c r="D57" s="137">
        <v>1</v>
      </c>
      <c r="E57" s="137">
        <v>3.85</v>
      </c>
      <c r="F57" s="137">
        <v>4.7</v>
      </c>
      <c r="G57" s="137"/>
      <c r="H57" s="77">
        <f>F57*E57*D57</f>
        <v>18.095000000000002</v>
      </c>
    </row>
    <row r="58" spans="1:8" ht="15">
      <c r="A58" s="58"/>
      <c r="B58" s="60"/>
      <c r="C58" s="60" t="s">
        <v>463</v>
      </c>
      <c r="D58" s="61">
        <v>1</v>
      </c>
      <c r="E58" s="61">
        <v>3.84</v>
      </c>
      <c r="F58" s="61">
        <v>2.25</v>
      </c>
      <c r="G58" s="61"/>
      <c r="H58" s="62">
        <f>ROUND(PRODUCT(D58:G58),2)</f>
        <v>8.64</v>
      </c>
    </row>
    <row r="59" spans="1:8" ht="15">
      <c r="A59" s="58"/>
      <c r="B59" s="60"/>
      <c r="C59" s="60" t="s">
        <v>463</v>
      </c>
      <c r="D59" s="61">
        <v>1</v>
      </c>
      <c r="E59" s="61">
        <v>3.3</v>
      </c>
      <c r="F59" s="61">
        <v>2.38</v>
      </c>
      <c r="G59" s="61"/>
      <c r="H59" s="62">
        <f>ROUND(PRODUCT(D59:G59),2)</f>
        <v>7.85</v>
      </c>
    </row>
    <row r="60" spans="1:8" ht="15">
      <c r="A60" s="58"/>
      <c r="B60" s="60"/>
      <c r="C60" s="60" t="s">
        <v>463</v>
      </c>
      <c r="D60" s="61">
        <v>2</v>
      </c>
      <c r="E60" s="61">
        <v>1.05</v>
      </c>
      <c r="F60" s="61">
        <v>0.18</v>
      </c>
      <c r="G60" s="61"/>
      <c r="H60" s="62">
        <f>ROUND(PRODUCT(D60:G60),2)</f>
        <v>0.38</v>
      </c>
    </row>
    <row r="61" spans="1:8" ht="15">
      <c r="A61" s="58"/>
      <c r="B61" s="60"/>
      <c r="C61" s="843" t="s">
        <v>464</v>
      </c>
      <c r="D61" s="843"/>
      <c r="E61" s="843"/>
      <c r="F61" s="843"/>
      <c r="G61" s="843"/>
      <c r="H61" s="59">
        <f>SUM(H57:H60)</f>
        <v>34.965000000000003</v>
      </c>
    </row>
    <row r="62" spans="1:8" ht="15">
      <c r="A62" s="58"/>
      <c r="B62" s="59"/>
      <c r="C62" s="58" t="s">
        <v>89</v>
      </c>
      <c r="D62" s="843" t="s">
        <v>464</v>
      </c>
      <c r="E62" s="843"/>
      <c r="F62" s="843"/>
      <c r="G62" s="843"/>
      <c r="H62" s="63">
        <f>H61*10.764</f>
        <v>376.36326000000003</v>
      </c>
    </row>
    <row r="63" spans="1:8" ht="15">
      <c r="A63" s="58"/>
      <c r="B63" s="59"/>
      <c r="C63" s="58"/>
      <c r="D63" s="58"/>
      <c r="E63" s="58"/>
      <c r="F63" s="58"/>
      <c r="G63" s="58"/>
      <c r="H63" s="63"/>
    </row>
    <row r="64" spans="1:8" s="659" customFormat="1" ht="15">
      <c r="A64" s="658">
        <v>20</v>
      </c>
      <c r="B64" s="71" t="s">
        <v>467</v>
      </c>
      <c r="C64" s="77" t="s">
        <v>463</v>
      </c>
      <c r="D64" s="137">
        <v>1</v>
      </c>
      <c r="E64" s="137">
        <v>3.84</v>
      </c>
      <c r="F64" s="137"/>
      <c r="G64" s="137">
        <v>2.4</v>
      </c>
      <c r="H64" s="83">
        <f>ROUND(PRODUCT(D64:G64),2)</f>
        <v>9.2200000000000006</v>
      </c>
    </row>
    <row r="65" spans="1:8" ht="15">
      <c r="A65" s="58"/>
      <c r="B65" s="60"/>
      <c r="C65" s="60" t="s">
        <v>463</v>
      </c>
      <c r="D65" s="61">
        <v>2</v>
      </c>
      <c r="E65" s="61">
        <v>2.5</v>
      </c>
      <c r="F65" s="61"/>
      <c r="G65" s="61">
        <v>2.4</v>
      </c>
      <c r="H65" s="62">
        <f>ROUND(PRODUCT(D65:G65),2)</f>
        <v>12</v>
      </c>
    </row>
    <row r="66" spans="1:8" ht="15">
      <c r="A66" s="58"/>
      <c r="B66" s="60"/>
      <c r="C66" s="60" t="s">
        <v>463</v>
      </c>
      <c r="D66" s="61">
        <v>-2</v>
      </c>
      <c r="E66" s="61">
        <v>1.05</v>
      </c>
      <c r="F66" s="61"/>
      <c r="G66" s="61">
        <v>1.95</v>
      </c>
      <c r="H66" s="62">
        <f>ROUND(PRODUCT(D66:G66),2)</f>
        <v>-4.0999999999999996</v>
      </c>
    </row>
    <row r="67" spans="1:8" ht="15">
      <c r="A67" s="58"/>
      <c r="B67" s="60"/>
      <c r="C67" s="60" t="s">
        <v>463</v>
      </c>
      <c r="D67" s="61">
        <v>-1</v>
      </c>
      <c r="E67" s="61">
        <v>0.9</v>
      </c>
      <c r="F67" s="61"/>
      <c r="G67" s="61">
        <v>0.6</v>
      </c>
      <c r="H67" s="62">
        <f>ROUND(PRODUCT(D67:G67),2)</f>
        <v>-0.54</v>
      </c>
    </row>
    <row r="68" spans="1:8" ht="15">
      <c r="A68" s="58"/>
      <c r="B68" s="60" t="s">
        <v>700</v>
      </c>
      <c r="C68" s="60" t="s">
        <v>463</v>
      </c>
      <c r="D68" s="61">
        <v>1</v>
      </c>
      <c r="E68" s="61">
        <v>3.83</v>
      </c>
      <c r="F68" s="61"/>
      <c r="G68" s="61">
        <v>0.9</v>
      </c>
      <c r="H68" s="62">
        <f>ROUND(PRODUCT(D68:G68),2)</f>
        <v>3.45</v>
      </c>
    </row>
    <row r="69" spans="1:8" ht="15">
      <c r="A69" s="58"/>
      <c r="B69" s="60"/>
      <c r="C69" s="843" t="s">
        <v>464</v>
      </c>
      <c r="D69" s="843"/>
      <c r="E69" s="843"/>
      <c r="F69" s="843"/>
      <c r="G69" s="843"/>
      <c r="H69" s="59">
        <f>SUM(H64:H68)</f>
        <v>20.029999999999998</v>
      </c>
    </row>
    <row r="70" spans="1:8" ht="15">
      <c r="A70" s="58"/>
      <c r="B70" s="59"/>
      <c r="C70" s="58" t="s">
        <v>89</v>
      </c>
      <c r="D70" s="843" t="s">
        <v>464</v>
      </c>
      <c r="E70" s="843"/>
      <c r="F70" s="843"/>
      <c r="G70" s="843"/>
      <c r="H70" s="63">
        <f>H69*10.764</f>
        <v>215.60291999999995</v>
      </c>
    </row>
    <row r="71" spans="1:8" ht="15">
      <c r="A71" s="58"/>
      <c r="B71" s="60"/>
      <c r="C71" s="60"/>
      <c r="D71" s="61"/>
      <c r="E71" s="61"/>
      <c r="F71" s="61"/>
      <c r="G71" s="61"/>
      <c r="H71" s="60"/>
    </row>
    <row r="72" spans="1:8" s="659" customFormat="1" ht="15">
      <c r="A72" s="658">
        <v>21</v>
      </c>
      <c r="B72" s="71" t="s">
        <v>468</v>
      </c>
      <c r="C72" s="77" t="s">
        <v>463</v>
      </c>
      <c r="D72" s="137">
        <v>2</v>
      </c>
      <c r="E72" s="137">
        <v>3.84</v>
      </c>
      <c r="F72" s="137"/>
      <c r="G72" s="137">
        <v>2.4</v>
      </c>
      <c r="H72" s="83">
        <f t="shared" ref="H72:H81" si="2">ROUND(PRODUCT(D72:G72),2)</f>
        <v>18.43</v>
      </c>
    </row>
    <row r="73" spans="1:8" ht="15">
      <c r="A73" s="58"/>
      <c r="B73" s="60"/>
      <c r="C73" s="60" t="s">
        <v>463</v>
      </c>
      <c r="D73" s="61">
        <v>2</v>
      </c>
      <c r="E73" s="61">
        <v>4.75</v>
      </c>
      <c r="F73" s="61"/>
      <c r="G73" s="61">
        <v>2.4</v>
      </c>
      <c r="H73" s="62">
        <f t="shared" si="2"/>
        <v>22.8</v>
      </c>
    </row>
    <row r="74" spans="1:8" ht="15">
      <c r="A74" s="58"/>
      <c r="B74" s="60"/>
      <c r="C74" s="60" t="s">
        <v>463</v>
      </c>
      <c r="D74" s="61">
        <v>1</v>
      </c>
      <c r="E74" s="61">
        <v>0.11</v>
      </c>
      <c r="F74" s="61"/>
      <c r="G74" s="61">
        <v>2.1</v>
      </c>
      <c r="H74" s="62">
        <f t="shared" si="2"/>
        <v>0.23</v>
      </c>
    </row>
    <row r="75" spans="1:8" ht="15">
      <c r="A75" s="58"/>
      <c r="B75" s="60"/>
      <c r="C75" s="60" t="s">
        <v>463</v>
      </c>
      <c r="D75" s="61">
        <v>-1</v>
      </c>
      <c r="E75" s="61">
        <v>1.05</v>
      </c>
      <c r="F75" s="61"/>
      <c r="G75" s="61">
        <v>1.95</v>
      </c>
      <c r="H75" s="62">
        <f t="shared" si="2"/>
        <v>-2.0499999999999998</v>
      </c>
    </row>
    <row r="76" spans="1:8" ht="15">
      <c r="A76" s="58"/>
      <c r="B76" s="60"/>
      <c r="C76" s="60" t="s">
        <v>463</v>
      </c>
      <c r="D76" s="61">
        <v>-1</v>
      </c>
      <c r="E76" s="61">
        <v>0.92</v>
      </c>
      <c r="F76" s="61"/>
      <c r="G76" s="61">
        <v>2.0499999999999998</v>
      </c>
      <c r="H76" s="62">
        <f t="shared" si="2"/>
        <v>-1.89</v>
      </c>
    </row>
    <row r="77" spans="1:8" ht="15">
      <c r="A77" s="58"/>
      <c r="B77" s="60"/>
      <c r="C77" s="60" t="s">
        <v>463</v>
      </c>
      <c r="D77" s="61">
        <v>-1</v>
      </c>
      <c r="E77" s="61">
        <v>0.09</v>
      </c>
      <c r="F77" s="61"/>
      <c r="G77" s="61">
        <v>0.06</v>
      </c>
      <c r="H77" s="62">
        <f t="shared" si="2"/>
        <v>-0.01</v>
      </c>
    </row>
    <row r="78" spans="1:8" ht="15">
      <c r="A78" s="58"/>
      <c r="B78" s="59" t="s">
        <v>469</v>
      </c>
      <c r="C78" s="60" t="s">
        <v>463</v>
      </c>
      <c r="D78" s="61">
        <v>2</v>
      </c>
      <c r="E78" s="61">
        <v>3.33</v>
      </c>
      <c r="F78" s="61"/>
      <c r="G78" s="61">
        <v>2.4</v>
      </c>
      <c r="H78" s="62">
        <f t="shared" si="2"/>
        <v>15.98</v>
      </c>
    </row>
    <row r="79" spans="1:8" ht="15">
      <c r="A79" s="58"/>
      <c r="B79" s="59"/>
      <c r="C79" s="60" t="s">
        <v>463</v>
      </c>
      <c r="D79" s="61">
        <v>2</v>
      </c>
      <c r="E79" s="61">
        <v>2.38</v>
      </c>
      <c r="F79" s="61"/>
      <c r="G79" s="61">
        <v>2.4</v>
      </c>
      <c r="H79" s="62">
        <f t="shared" si="2"/>
        <v>11.42</v>
      </c>
    </row>
    <row r="80" spans="1:8" ht="15">
      <c r="A80" s="58"/>
      <c r="B80" s="59"/>
      <c r="C80" s="60" t="s">
        <v>463</v>
      </c>
      <c r="D80" s="61">
        <v>1</v>
      </c>
      <c r="E80" s="61">
        <v>3.84</v>
      </c>
      <c r="F80" s="61"/>
      <c r="G80" s="61">
        <v>0.9</v>
      </c>
      <c r="H80" s="62">
        <f t="shared" si="2"/>
        <v>3.46</v>
      </c>
    </row>
    <row r="81" spans="1:8" ht="15">
      <c r="A81" s="58"/>
      <c r="B81" s="60"/>
      <c r="C81" s="60" t="s">
        <v>463</v>
      </c>
      <c r="D81" s="61">
        <v>4</v>
      </c>
      <c r="E81" s="61">
        <v>0.45</v>
      </c>
      <c r="F81" s="61"/>
      <c r="G81" s="61">
        <v>2.4</v>
      </c>
      <c r="H81" s="62">
        <f t="shared" si="2"/>
        <v>4.32</v>
      </c>
    </row>
    <row r="82" spans="1:8" ht="15">
      <c r="A82" s="58"/>
      <c r="B82" s="60"/>
      <c r="C82" s="60" t="s">
        <v>463</v>
      </c>
      <c r="D82" s="61">
        <v>-1</v>
      </c>
      <c r="E82" s="61">
        <v>1.05</v>
      </c>
      <c r="F82" s="61"/>
      <c r="G82" s="61">
        <v>2.0499999999999998</v>
      </c>
      <c r="H82" s="60">
        <f>G82*E82*D82</f>
        <v>-2.1524999999999999</v>
      </c>
    </row>
    <row r="83" spans="1:8" ht="15">
      <c r="A83" s="58"/>
      <c r="B83" s="60"/>
      <c r="C83" s="843" t="s">
        <v>464</v>
      </c>
      <c r="D83" s="843"/>
      <c r="E83" s="843"/>
      <c r="F83" s="843"/>
      <c r="G83" s="843"/>
      <c r="H83" s="63">
        <f>SUM(H72:H82)</f>
        <v>70.537499999999994</v>
      </c>
    </row>
    <row r="84" spans="1:8" ht="15">
      <c r="A84" s="58"/>
      <c r="B84" s="60"/>
      <c r="C84" s="58" t="s">
        <v>89</v>
      </c>
      <c r="D84" s="843" t="s">
        <v>464</v>
      </c>
      <c r="E84" s="843"/>
      <c r="F84" s="843"/>
      <c r="G84" s="843"/>
      <c r="H84" s="63">
        <f>H83*10.764</f>
        <v>759.26564999999994</v>
      </c>
    </row>
    <row r="85" spans="1:8" ht="15">
      <c r="A85" s="58"/>
      <c r="B85" s="60"/>
      <c r="C85" s="58"/>
      <c r="D85" s="58"/>
      <c r="E85" s="58"/>
      <c r="F85" s="58"/>
      <c r="G85" s="58"/>
      <c r="H85" s="63"/>
    </row>
    <row r="86" spans="1:8" s="659" customFormat="1" ht="15">
      <c r="A86" s="658">
        <v>22</v>
      </c>
      <c r="B86" s="71" t="s">
        <v>63</v>
      </c>
      <c r="C86" s="77" t="s">
        <v>463</v>
      </c>
      <c r="D86" s="137">
        <v>1</v>
      </c>
      <c r="E86" s="137">
        <v>3.82</v>
      </c>
      <c r="F86" s="137">
        <v>2.37</v>
      </c>
      <c r="G86" s="137"/>
      <c r="H86" s="463">
        <f>ROUND(PRODUCT(D86:G86),2)</f>
        <v>9.0500000000000007</v>
      </c>
    </row>
    <row r="87" spans="1:8" ht="15">
      <c r="A87" s="58"/>
      <c r="B87" s="59"/>
      <c r="C87" s="58" t="s">
        <v>89</v>
      </c>
      <c r="D87" s="843" t="s">
        <v>464</v>
      </c>
      <c r="E87" s="843"/>
      <c r="F87" s="843"/>
      <c r="G87" s="843"/>
      <c r="H87" s="63">
        <f>H86*10.764</f>
        <v>97.414200000000008</v>
      </c>
    </row>
    <row r="88" spans="1:8" ht="15">
      <c r="A88" s="58"/>
      <c r="B88" s="60"/>
      <c r="C88" s="60"/>
      <c r="D88" s="61"/>
      <c r="E88" s="61"/>
      <c r="F88" s="61"/>
      <c r="G88" s="61"/>
      <c r="H88" s="60"/>
    </row>
    <row r="89" spans="1:8" s="659" customFormat="1" ht="15">
      <c r="A89" s="658">
        <v>22.1</v>
      </c>
      <c r="B89" s="71" t="s">
        <v>374</v>
      </c>
      <c r="C89" s="77" t="s">
        <v>463</v>
      </c>
      <c r="D89" s="137">
        <v>1</v>
      </c>
      <c r="E89" s="137">
        <v>4.72</v>
      </c>
      <c r="F89" s="137">
        <v>3.86</v>
      </c>
      <c r="G89" s="137"/>
      <c r="H89" s="83">
        <f>ROUND(PRODUCT(D89:G89),2)</f>
        <v>18.22</v>
      </c>
    </row>
    <row r="90" spans="1:8" ht="15">
      <c r="A90" s="58"/>
      <c r="B90" s="60"/>
      <c r="C90" s="60" t="s">
        <v>463</v>
      </c>
      <c r="D90" s="61">
        <v>2</v>
      </c>
      <c r="E90" s="61">
        <v>2.38</v>
      </c>
      <c r="F90" s="61">
        <v>3.27</v>
      </c>
      <c r="G90" s="61"/>
      <c r="H90" s="62">
        <f>ROUND(PRODUCT(D90:G90),2)</f>
        <v>15.57</v>
      </c>
    </row>
    <row r="91" spans="1:8" ht="15">
      <c r="A91" s="58"/>
      <c r="B91" s="60"/>
      <c r="C91" s="843" t="s">
        <v>464</v>
      </c>
      <c r="D91" s="843"/>
      <c r="E91" s="843"/>
      <c r="F91" s="843"/>
      <c r="G91" s="843"/>
      <c r="H91" s="59">
        <f>H90+H89</f>
        <v>33.79</v>
      </c>
    </row>
    <row r="92" spans="1:8" ht="15">
      <c r="A92" s="58"/>
      <c r="B92" s="60"/>
      <c r="C92" s="58" t="s">
        <v>89</v>
      </c>
      <c r="D92" s="843" t="s">
        <v>464</v>
      </c>
      <c r="E92" s="843"/>
      <c r="F92" s="843"/>
      <c r="G92" s="843"/>
      <c r="H92" s="63">
        <f>H91*10.764</f>
        <v>363.71555999999998</v>
      </c>
    </row>
    <row r="93" spans="1:8" ht="15">
      <c r="A93" s="58"/>
      <c r="B93" s="60"/>
      <c r="C93" s="60"/>
      <c r="D93" s="61"/>
      <c r="E93" s="61"/>
      <c r="F93" s="61"/>
      <c r="G93" s="61"/>
      <c r="H93" s="60"/>
    </row>
    <row r="94" spans="1:8" s="659" customFormat="1" ht="15">
      <c r="A94" s="658">
        <v>23</v>
      </c>
      <c r="B94" s="71" t="s">
        <v>71</v>
      </c>
      <c r="C94" s="77" t="s">
        <v>28</v>
      </c>
      <c r="D94" s="137">
        <v>1</v>
      </c>
      <c r="E94" s="137"/>
      <c r="F94" s="137"/>
      <c r="G94" s="137"/>
      <c r="H94" s="83">
        <f>ROUND(PRODUCT(D94:G94),2)</f>
        <v>1</v>
      </c>
    </row>
    <row r="95" spans="1:8" ht="15">
      <c r="A95" s="58"/>
      <c r="B95" s="60"/>
      <c r="C95" s="60"/>
      <c r="D95" s="61"/>
      <c r="E95" s="61"/>
      <c r="F95" s="61"/>
      <c r="G95" s="61"/>
      <c r="H95" s="60"/>
    </row>
    <row r="96" spans="1:8" s="659" customFormat="1" ht="15">
      <c r="A96" s="658">
        <v>26</v>
      </c>
      <c r="B96" s="71" t="s">
        <v>470</v>
      </c>
      <c r="C96" s="77" t="s">
        <v>463</v>
      </c>
      <c r="D96" s="137">
        <v>15</v>
      </c>
      <c r="E96" s="137">
        <v>0.3</v>
      </c>
      <c r="F96" s="137"/>
      <c r="G96" s="137">
        <v>0.3</v>
      </c>
      <c r="H96" s="83">
        <f>ROUND(PRODUCT(D96:G96),2)</f>
        <v>1.35</v>
      </c>
    </row>
    <row r="97" spans="1:8" ht="15">
      <c r="A97" s="58"/>
      <c r="B97" s="60"/>
      <c r="C97" s="60" t="s">
        <v>463</v>
      </c>
      <c r="D97" s="61">
        <v>8</v>
      </c>
      <c r="E97" s="61">
        <v>0.45</v>
      </c>
      <c r="F97" s="61"/>
      <c r="G97" s="61">
        <v>0.4</v>
      </c>
      <c r="H97" s="62">
        <f>ROUND(PRODUCT(D97:G97),2)</f>
        <v>1.44</v>
      </c>
    </row>
    <row r="98" spans="1:8" ht="15">
      <c r="A98" s="58"/>
      <c r="B98" s="60"/>
      <c r="C98" s="60" t="s">
        <v>463</v>
      </c>
      <c r="D98" s="61">
        <v>2</v>
      </c>
      <c r="E98" s="61">
        <v>0.45</v>
      </c>
      <c r="F98" s="61">
        <v>0.45</v>
      </c>
      <c r="G98" s="61"/>
      <c r="H98" s="62">
        <f>ROUND(PRODUCT(D98:G98),2)</f>
        <v>0.41</v>
      </c>
    </row>
    <row r="99" spans="1:8" ht="15">
      <c r="A99" s="58"/>
      <c r="B99" s="60"/>
      <c r="C99" s="843" t="s">
        <v>464</v>
      </c>
      <c r="D99" s="843"/>
      <c r="E99" s="843"/>
      <c r="F99" s="843"/>
      <c r="G99" s="843"/>
      <c r="H99" s="63">
        <f>SUM(H96:H98)</f>
        <v>3.2</v>
      </c>
    </row>
    <row r="100" spans="1:8" ht="15">
      <c r="A100" s="58"/>
      <c r="B100" s="60"/>
      <c r="C100" s="58" t="s">
        <v>89</v>
      </c>
      <c r="D100" s="843" t="s">
        <v>464</v>
      </c>
      <c r="E100" s="843"/>
      <c r="F100" s="843"/>
      <c r="G100" s="843"/>
      <c r="H100" s="63">
        <f>H99*10.764</f>
        <v>34.444800000000001</v>
      </c>
    </row>
    <row r="101" spans="1:8" ht="15">
      <c r="A101" s="58">
        <v>27</v>
      </c>
      <c r="B101" s="59" t="s">
        <v>471</v>
      </c>
      <c r="C101" s="60" t="s">
        <v>28</v>
      </c>
      <c r="D101" s="61">
        <v>1</v>
      </c>
      <c r="E101" s="61"/>
      <c r="F101" s="61"/>
      <c r="G101" s="61"/>
      <c r="H101" s="62">
        <f>ROUND(PRODUCT(D101:G101),2)</f>
        <v>1</v>
      </c>
    </row>
    <row r="102" spans="1:8" ht="15">
      <c r="A102" s="58"/>
      <c r="B102" s="59"/>
      <c r="C102" s="60"/>
      <c r="D102" s="61"/>
      <c r="E102" s="61"/>
      <c r="F102" s="61"/>
      <c r="G102" s="61"/>
      <c r="H102" s="62"/>
    </row>
    <row r="103" spans="1:8" ht="15">
      <c r="A103" s="705"/>
      <c r="B103" s="706" t="s">
        <v>702</v>
      </c>
      <c r="C103" s="707"/>
      <c r="D103" s="708"/>
      <c r="E103" s="708"/>
      <c r="F103" s="708"/>
      <c r="G103" s="708"/>
      <c r="H103" s="462"/>
    </row>
    <row r="104" spans="1:8" ht="15">
      <c r="A104" s="708">
        <v>1</v>
      </c>
      <c r="B104" s="707" t="s">
        <v>703</v>
      </c>
      <c r="C104" s="707" t="s">
        <v>626</v>
      </c>
      <c r="D104" s="708"/>
      <c r="E104" s="708"/>
      <c r="F104" s="708"/>
      <c r="G104" s="708"/>
      <c r="H104" s="462"/>
    </row>
    <row r="105" spans="1:8" ht="15">
      <c r="A105" s="708"/>
      <c r="B105" s="707" t="s">
        <v>704</v>
      </c>
      <c r="C105" s="77" t="s">
        <v>705</v>
      </c>
      <c r="D105" s="137"/>
      <c r="E105" s="137"/>
      <c r="F105" s="77">
        <f>(3.8*2+0.92*2+1.4*2)*3.28</f>
        <v>40.147199999999991</v>
      </c>
      <c r="G105" s="137"/>
      <c r="H105" s="83">
        <f>F105</f>
        <v>40.147199999999991</v>
      </c>
    </row>
    <row r="106" spans="1:8" ht="15">
      <c r="A106" s="708"/>
      <c r="B106" s="707"/>
      <c r="C106" s="707"/>
      <c r="D106" s="708"/>
      <c r="E106" s="708"/>
      <c r="F106" s="708"/>
      <c r="G106" s="708"/>
      <c r="H106" s="462"/>
    </row>
    <row r="107" spans="1:8" ht="30">
      <c r="A107" s="709">
        <v>2</v>
      </c>
      <c r="B107" s="710" t="s">
        <v>706</v>
      </c>
      <c r="C107" s="77" t="s">
        <v>626</v>
      </c>
      <c r="D107" s="137"/>
      <c r="E107" s="137">
        <f>2.95*3.28</f>
        <v>9.6760000000000002</v>
      </c>
      <c r="F107" s="137">
        <f>0.98*3.28</f>
        <v>3.2143999999999999</v>
      </c>
      <c r="G107" s="137"/>
      <c r="H107" s="83">
        <f>F107*E107</f>
        <v>31.1025344</v>
      </c>
    </row>
    <row r="108" spans="1:8" ht="15">
      <c r="A108" s="708"/>
      <c r="B108" s="707"/>
      <c r="C108" s="707"/>
      <c r="D108" s="708"/>
      <c r="E108" s="708"/>
      <c r="F108" s="708"/>
      <c r="G108" s="708"/>
      <c r="H108" s="462"/>
    </row>
    <row r="109" spans="1:8" ht="15">
      <c r="A109" s="708">
        <v>3</v>
      </c>
      <c r="B109" s="707" t="s">
        <v>707</v>
      </c>
      <c r="C109" s="77" t="s">
        <v>28</v>
      </c>
      <c r="D109" s="137">
        <v>2</v>
      </c>
      <c r="E109" s="137"/>
      <c r="F109" s="137"/>
      <c r="G109" s="137"/>
      <c r="H109" s="83">
        <f>D109</f>
        <v>2</v>
      </c>
    </row>
    <row r="110" spans="1:8" ht="15">
      <c r="A110" s="708"/>
      <c r="B110" s="707"/>
      <c r="C110" s="707"/>
      <c r="D110" s="708"/>
      <c r="E110" s="708"/>
      <c r="F110" s="708"/>
      <c r="G110" s="708"/>
      <c r="H110" s="462"/>
    </row>
    <row r="111" spans="1:8" ht="15">
      <c r="A111" s="708">
        <v>4</v>
      </c>
      <c r="B111" s="707" t="s">
        <v>708</v>
      </c>
      <c r="C111" s="77" t="s">
        <v>709</v>
      </c>
      <c r="D111" s="137">
        <v>1</v>
      </c>
      <c r="E111" s="137">
        <v>1</v>
      </c>
      <c r="F111" s="137">
        <v>17.056000000000001</v>
      </c>
      <c r="G111" s="137"/>
      <c r="H111" s="83">
        <f>F111*E111</f>
        <v>17.056000000000001</v>
      </c>
    </row>
    <row r="112" spans="1:8" ht="15">
      <c r="A112" s="708"/>
      <c r="B112" s="707"/>
      <c r="C112" s="707"/>
      <c r="D112" s="708"/>
      <c r="E112" s="708"/>
      <c r="F112" s="708"/>
      <c r="G112" s="708"/>
      <c r="H112" s="462"/>
    </row>
    <row r="113" spans="1:9" ht="30">
      <c r="A113" s="709">
        <v>5</v>
      </c>
      <c r="B113" s="710" t="s">
        <v>710</v>
      </c>
      <c r="C113" s="707" t="s">
        <v>561</v>
      </c>
      <c r="D113" s="708"/>
      <c r="E113" s="708">
        <f>(4.22*3.28)</f>
        <v>13.841599999999998</v>
      </c>
      <c r="F113" s="708">
        <f>0.35*3.28</f>
        <v>1.1479999999999999</v>
      </c>
      <c r="G113" s="708"/>
      <c r="H113" s="462">
        <f>F113*E113</f>
        <v>15.890156799999996</v>
      </c>
    </row>
    <row r="114" spans="1:9" ht="15">
      <c r="A114" s="708"/>
      <c r="B114" s="707"/>
      <c r="C114" s="707"/>
      <c r="D114" s="708"/>
      <c r="E114" s="708">
        <v>3.28</v>
      </c>
      <c r="F114" s="708">
        <f>0.35*3.28</f>
        <v>1.1479999999999999</v>
      </c>
      <c r="G114" s="708"/>
      <c r="H114" s="462">
        <f t="shared" ref="H114:H115" si="3">F114*E114</f>
        <v>3.7654399999999995</v>
      </c>
    </row>
    <row r="115" spans="1:9" ht="15">
      <c r="A115" s="708"/>
      <c r="B115" s="707"/>
      <c r="C115" s="707"/>
      <c r="D115" s="708"/>
      <c r="E115" s="708">
        <v>3.28</v>
      </c>
      <c r="F115" s="708">
        <f>0.18*3.28</f>
        <v>0.59039999999999992</v>
      </c>
      <c r="G115" s="708"/>
      <c r="H115" s="462">
        <f t="shared" si="3"/>
        <v>1.9365119999999996</v>
      </c>
    </row>
    <row r="116" spans="1:9" ht="15">
      <c r="A116" s="708"/>
      <c r="B116" s="707"/>
      <c r="C116" s="71" t="s">
        <v>626</v>
      </c>
      <c r="D116" s="658"/>
      <c r="E116" s="658"/>
      <c r="F116" s="658"/>
      <c r="G116" s="658"/>
      <c r="H116" s="463">
        <f>SUM(H113:H115)</f>
        <v>21.592108799999995</v>
      </c>
    </row>
    <row r="117" spans="1:9" ht="15">
      <c r="A117" s="708"/>
      <c r="B117" s="707"/>
      <c r="C117" s="707"/>
      <c r="D117" s="708"/>
      <c r="E117" s="708"/>
      <c r="F117" s="708"/>
      <c r="G117" s="708"/>
      <c r="H117" s="462"/>
    </row>
    <row r="118" spans="1:9" ht="15">
      <c r="A118" s="708">
        <v>6</v>
      </c>
      <c r="B118" s="707" t="s">
        <v>711</v>
      </c>
      <c r="C118" s="77" t="s">
        <v>626</v>
      </c>
      <c r="D118" s="137"/>
      <c r="E118" s="137">
        <f>4.72*3.28</f>
        <v>15.481599999999998</v>
      </c>
      <c r="F118" s="137">
        <f>1.3*3.28</f>
        <v>4.2640000000000002</v>
      </c>
      <c r="G118" s="137"/>
      <c r="H118" s="83">
        <f>F118*E118</f>
        <v>66.013542399999992</v>
      </c>
    </row>
    <row r="119" spans="1:9" ht="15">
      <c r="A119" s="708"/>
      <c r="B119" s="707"/>
      <c r="C119" s="707"/>
      <c r="D119" s="708"/>
      <c r="E119" s="708"/>
      <c r="F119" s="708"/>
      <c r="G119" s="708"/>
      <c r="H119" s="462"/>
    </row>
    <row r="120" spans="1:9" ht="15">
      <c r="A120" s="708">
        <v>7</v>
      </c>
      <c r="B120" s="707" t="s">
        <v>712</v>
      </c>
      <c r="C120" s="77" t="s">
        <v>626</v>
      </c>
      <c r="D120" s="137"/>
      <c r="E120" s="137">
        <f>1.2*3.28</f>
        <v>3.9359999999999995</v>
      </c>
      <c r="F120" s="137">
        <f>0.25*3.28</f>
        <v>0.82</v>
      </c>
      <c r="G120" s="137"/>
      <c r="H120" s="83">
        <f>F120*E120</f>
        <v>3.2275199999999993</v>
      </c>
    </row>
    <row r="121" spans="1:9" ht="15">
      <c r="A121" s="708"/>
      <c r="B121" s="707"/>
      <c r="C121" s="707"/>
      <c r="D121" s="708"/>
      <c r="E121" s="708"/>
      <c r="F121" s="708"/>
      <c r="G121" s="708"/>
      <c r="H121" s="462"/>
    </row>
    <row r="122" spans="1:9" ht="15">
      <c r="A122" s="708">
        <v>8</v>
      </c>
      <c r="B122" s="707" t="s">
        <v>713</v>
      </c>
      <c r="C122" s="77" t="s">
        <v>28</v>
      </c>
      <c r="D122" s="137">
        <v>3</v>
      </c>
      <c r="E122" s="137"/>
      <c r="F122" s="137"/>
      <c r="G122" s="137"/>
      <c r="H122" s="83">
        <f>D122</f>
        <v>3</v>
      </c>
    </row>
    <row r="123" spans="1:9" ht="15">
      <c r="A123" s="708"/>
      <c r="B123" s="707"/>
      <c r="C123" s="707"/>
      <c r="D123" s="708"/>
      <c r="E123" s="708"/>
      <c r="F123" s="708"/>
      <c r="G123" s="708"/>
      <c r="H123" s="462"/>
    </row>
    <row r="124" spans="1:9" ht="15">
      <c r="A124" s="708">
        <v>9</v>
      </c>
      <c r="B124" s="707" t="s">
        <v>714</v>
      </c>
      <c r="C124" s="77" t="s">
        <v>28</v>
      </c>
      <c r="D124" s="137">
        <v>1</v>
      </c>
      <c r="E124" s="137"/>
      <c r="F124" s="137"/>
      <c r="G124" s="137"/>
      <c r="H124" s="83">
        <f>D124</f>
        <v>1</v>
      </c>
    </row>
    <row r="125" spans="1:9" ht="15">
      <c r="A125" s="708"/>
      <c r="B125" s="707"/>
      <c r="C125" s="707"/>
      <c r="D125" s="708"/>
      <c r="E125" s="708"/>
      <c r="F125" s="708"/>
      <c r="G125" s="708"/>
      <c r="H125" s="462"/>
    </row>
    <row r="126" spans="1:9" ht="15">
      <c r="A126" s="708">
        <v>10</v>
      </c>
      <c r="B126" s="707" t="s">
        <v>715</v>
      </c>
      <c r="C126" s="707"/>
      <c r="D126" s="708"/>
      <c r="E126" s="708"/>
      <c r="F126" s="708"/>
      <c r="G126" s="708"/>
      <c r="H126" s="462"/>
    </row>
    <row r="127" spans="1:9" ht="15">
      <c r="A127" s="708"/>
      <c r="B127" s="707" t="s">
        <v>716</v>
      </c>
      <c r="C127" s="707"/>
      <c r="D127" s="708">
        <v>1</v>
      </c>
      <c r="E127" s="708">
        <v>3.85</v>
      </c>
      <c r="F127" s="708">
        <v>4.7</v>
      </c>
      <c r="G127" s="708"/>
      <c r="H127" s="707">
        <f>F127*E127*D127</f>
        <v>18.095000000000002</v>
      </c>
      <c r="I127" s="124"/>
    </row>
    <row r="128" spans="1:9" ht="15">
      <c r="A128" s="708"/>
      <c r="B128" s="707"/>
      <c r="C128" s="707"/>
      <c r="D128" s="708">
        <v>1</v>
      </c>
      <c r="E128" s="708">
        <v>3.84</v>
      </c>
      <c r="F128" s="708">
        <v>2.25</v>
      </c>
      <c r="G128" s="708"/>
      <c r="H128" s="462">
        <f>ROUND(PRODUCT(D128:G128),2)</f>
        <v>8.64</v>
      </c>
      <c r="I128" s="62"/>
    </row>
    <row r="129" spans="1:9" ht="15">
      <c r="A129" s="708"/>
      <c r="B129" s="707"/>
      <c r="C129" s="707"/>
      <c r="D129" s="708">
        <v>1</v>
      </c>
      <c r="E129" s="708">
        <v>3.3</v>
      </c>
      <c r="F129" s="708">
        <v>2.38</v>
      </c>
      <c r="G129" s="708"/>
      <c r="H129" s="462">
        <f>ROUND(PRODUCT(D129:G129),2)</f>
        <v>7.85</v>
      </c>
      <c r="I129" s="62"/>
    </row>
    <row r="130" spans="1:9" ht="15">
      <c r="A130" s="708"/>
      <c r="B130" s="707"/>
      <c r="C130" s="707"/>
      <c r="D130" s="708">
        <v>2</v>
      </c>
      <c r="E130" s="708">
        <v>1.05</v>
      </c>
      <c r="F130" s="708">
        <v>0.18</v>
      </c>
      <c r="G130" s="708"/>
      <c r="H130" s="462">
        <f>ROUND(PRODUCT(D130:G130),2)</f>
        <v>0.38</v>
      </c>
      <c r="I130" s="62"/>
    </row>
    <row r="131" spans="1:9" ht="15">
      <c r="A131" s="708"/>
      <c r="B131" s="707" t="s">
        <v>717</v>
      </c>
      <c r="C131" s="707"/>
      <c r="D131" s="708">
        <v>1</v>
      </c>
      <c r="E131" s="708">
        <v>12.56</v>
      </c>
      <c r="F131" s="708">
        <f>0.115*3.28</f>
        <v>0.37719999999999998</v>
      </c>
      <c r="G131" s="708"/>
      <c r="H131" s="462">
        <f>F131*E131</f>
        <v>4.7376319999999996</v>
      </c>
    </row>
    <row r="132" spans="1:9" ht="15">
      <c r="A132" s="708"/>
      <c r="B132" s="707"/>
      <c r="C132" s="71" t="s">
        <v>626</v>
      </c>
      <c r="D132" s="658"/>
      <c r="E132" s="658"/>
      <c r="F132" s="658"/>
      <c r="G132" s="658"/>
      <c r="H132" s="463">
        <f>SUM(H127:H131)</f>
        <v>39.702632000000001</v>
      </c>
    </row>
    <row r="133" spans="1:9" ht="15">
      <c r="A133" s="708"/>
      <c r="B133" s="707"/>
      <c r="C133" s="706"/>
      <c r="D133" s="705"/>
      <c r="E133" s="705"/>
      <c r="F133" s="705"/>
      <c r="G133" s="705"/>
      <c r="H133" s="711"/>
    </row>
    <row r="134" spans="1:9" ht="15">
      <c r="A134" s="708">
        <v>11</v>
      </c>
      <c r="B134" s="707" t="s">
        <v>718</v>
      </c>
      <c r="C134" s="77" t="s">
        <v>28</v>
      </c>
      <c r="D134" s="137">
        <v>2</v>
      </c>
      <c r="E134" s="137"/>
      <c r="F134" s="137"/>
      <c r="G134" s="137"/>
      <c r="H134" s="83">
        <f>D134</f>
        <v>2</v>
      </c>
    </row>
    <row r="135" spans="1:9" ht="15">
      <c r="A135" s="708"/>
      <c r="B135" s="707"/>
      <c r="C135" s="706"/>
      <c r="D135" s="705"/>
      <c r="E135" s="705"/>
      <c r="F135" s="705"/>
      <c r="G135" s="705"/>
      <c r="H135" s="711"/>
    </row>
    <row r="136" spans="1:9" ht="15">
      <c r="A136" s="708">
        <v>12</v>
      </c>
      <c r="B136" s="707" t="s">
        <v>719</v>
      </c>
      <c r="C136" s="77" t="s">
        <v>28</v>
      </c>
      <c r="D136" s="137">
        <v>6</v>
      </c>
      <c r="E136" s="137"/>
      <c r="F136" s="137"/>
      <c r="G136" s="137"/>
      <c r="H136" s="83">
        <f>D136</f>
        <v>6</v>
      </c>
    </row>
    <row r="137" spans="1:9" ht="15">
      <c r="A137" s="708"/>
      <c r="B137" s="707"/>
      <c r="C137" s="707"/>
      <c r="D137" s="708"/>
      <c r="E137" s="708"/>
      <c r="F137" s="708"/>
      <c r="G137" s="708"/>
      <c r="H137" s="462"/>
    </row>
    <row r="138" spans="1:9" ht="15">
      <c r="A138" s="708">
        <v>13</v>
      </c>
      <c r="B138" s="721" t="s">
        <v>786</v>
      </c>
      <c r="C138" s="77" t="s">
        <v>626</v>
      </c>
      <c r="D138" s="137"/>
      <c r="E138" s="137">
        <v>12.561999999999999</v>
      </c>
      <c r="F138" s="137">
        <v>2.0992000000000002</v>
      </c>
      <c r="G138" s="137"/>
      <c r="H138" s="83">
        <f>F138*E138</f>
        <v>26.3701504</v>
      </c>
    </row>
    <row r="139" spans="1:9" ht="15">
      <c r="A139" s="708"/>
      <c r="B139" s="707"/>
      <c r="C139" s="707"/>
      <c r="D139" s="708"/>
      <c r="E139" s="708"/>
      <c r="F139" s="708"/>
      <c r="G139" s="708"/>
      <c r="H139" s="462"/>
    </row>
    <row r="140" spans="1:9" ht="15">
      <c r="A140" s="708"/>
      <c r="B140" s="707"/>
      <c r="C140" s="707"/>
      <c r="D140" s="708"/>
      <c r="E140" s="708"/>
      <c r="F140" s="708"/>
      <c r="G140" s="708"/>
      <c r="H140" s="462"/>
    </row>
    <row r="141" spans="1:9" ht="15">
      <c r="A141" s="708"/>
      <c r="B141" s="707"/>
      <c r="C141" s="707"/>
      <c r="D141" s="708"/>
      <c r="E141" s="708"/>
      <c r="F141" s="708"/>
      <c r="G141" s="708"/>
      <c r="H141" s="462"/>
    </row>
    <row r="142" spans="1:9" ht="15">
      <c r="A142" s="708"/>
      <c r="B142" s="707"/>
      <c r="C142" s="707"/>
      <c r="D142" s="708"/>
      <c r="E142" s="708"/>
      <c r="F142" s="708"/>
      <c r="G142" s="708"/>
      <c r="H142" s="462"/>
    </row>
    <row r="143" spans="1:9" ht="15">
      <c r="A143" s="843" t="s">
        <v>472</v>
      </c>
      <c r="B143" s="843"/>
      <c r="C143" s="843"/>
      <c r="D143" s="843"/>
      <c r="E143" s="843"/>
      <c r="F143" s="843"/>
      <c r="G143" s="843"/>
      <c r="H143" s="843"/>
    </row>
    <row r="144" spans="1:9" ht="15">
      <c r="A144" s="58" t="s">
        <v>27</v>
      </c>
      <c r="B144" s="59" t="s">
        <v>473</v>
      </c>
      <c r="C144" s="60"/>
      <c r="D144" s="61"/>
      <c r="E144" s="61"/>
      <c r="F144" s="61"/>
      <c r="G144" s="61"/>
      <c r="H144" s="60">
        <f>F144*E144*D144</f>
        <v>0</v>
      </c>
    </row>
    <row r="145" spans="1:8" ht="15">
      <c r="A145" s="58">
        <v>1.2</v>
      </c>
      <c r="B145" s="67" t="s">
        <v>474</v>
      </c>
      <c r="C145" s="60" t="s">
        <v>466</v>
      </c>
      <c r="D145" s="61">
        <v>1</v>
      </c>
      <c r="E145" s="61">
        <f>3.8+4+0.5+0.6+0.9+2+0.9+0.6+0.8+0.8+0.2+0.2+0.7+1.65+1.2+1.2+0.6+0.6+0.6+0.6+0.8+0.8+0.6+0.6+3+0.6+2+0.55+1.9+0.3+0.6+2</f>
        <v>36.20000000000001</v>
      </c>
      <c r="F145" s="61"/>
      <c r="G145" s="61"/>
      <c r="H145" s="62">
        <f>ROUND(PRODUCT(D145:G145),2)</f>
        <v>36.200000000000003</v>
      </c>
    </row>
    <row r="146" spans="1:8" ht="15">
      <c r="A146" s="58">
        <v>1.3</v>
      </c>
      <c r="B146" s="68" t="s">
        <v>475</v>
      </c>
      <c r="C146" s="60" t="s">
        <v>466</v>
      </c>
      <c r="D146" s="61">
        <v>1</v>
      </c>
      <c r="E146" s="61">
        <v>2</v>
      </c>
      <c r="F146" s="61"/>
      <c r="G146" s="61"/>
      <c r="H146" s="62">
        <f>ROUND(PRODUCT(D146:G146),2)</f>
        <v>2</v>
      </c>
    </row>
    <row r="147" spans="1:8" ht="48">
      <c r="A147" s="58">
        <v>6</v>
      </c>
      <c r="B147" s="69" t="s">
        <v>119</v>
      </c>
      <c r="C147" s="60" t="s">
        <v>28</v>
      </c>
      <c r="D147" s="61"/>
      <c r="E147" s="61"/>
      <c r="F147" s="61"/>
      <c r="G147" s="61"/>
      <c r="H147" s="60"/>
    </row>
    <row r="148" spans="1:8" ht="15">
      <c r="A148" s="58">
        <v>6.2</v>
      </c>
      <c r="B148" s="70" t="s">
        <v>476</v>
      </c>
      <c r="C148" s="60" t="s">
        <v>28</v>
      </c>
      <c r="D148" s="61">
        <v>1</v>
      </c>
      <c r="E148" s="61"/>
      <c r="F148" s="61"/>
      <c r="G148" s="61"/>
      <c r="H148" s="62">
        <f t="shared" ref="H148:H154" si="4">ROUND(PRODUCT(D148:G148),2)</f>
        <v>1</v>
      </c>
    </row>
    <row r="149" spans="1:8" ht="15">
      <c r="A149" s="58">
        <v>8</v>
      </c>
      <c r="B149" s="59" t="s">
        <v>477</v>
      </c>
      <c r="C149" s="60" t="s">
        <v>28</v>
      </c>
      <c r="D149" s="61">
        <v>1</v>
      </c>
      <c r="E149" s="61"/>
      <c r="F149" s="61"/>
      <c r="G149" s="61"/>
      <c r="H149" s="62">
        <f t="shared" si="4"/>
        <v>1</v>
      </c>
    </row>
    <row r="150" spans="1:8" ht="15">
      <c r="A150" s="58"/>
      <c r="B150" s="60"/>
      <c r="C150" s="60" t="s">
        <v>463</v>
      </c>
      <c r="D150" s="61">
        <v>2</v>
      </c>
      <c r="E150" s="61"/>
      <c r="F150" s="61"/>
      <c r="G150" s="61"/>
      <c r="H150" s="62">
        <f t="shared" si="4"/>
        <v>2</v>
      </c>
    </row>
    <row r="151" spans="1:8" ht="15">
      <c r="A151" s="58"/>
      <c r="B151" s="60"/>
      <c r="C151" s="60" t="s">
        <v>463</v>
      </c>
      <c r="D151" s="61">
        <v>2</v>
      </c>
      <c r="E151" s="61"/>
      <c r="F151" s="61"/>
      <c r="G151" s="61"/>
      <c r="H151" s="62">
        <f t="shared" si="4"/>
        <v>2</v>
      </c>
    </row>
    <row r="152" spans="1:8" ht="15">
      <c r="A152" s="58" t="s">
        <v>24</v>
      </c>
      <c r="B152" s="59" t="s">
        <v>115</v>
      </c>
      <c r="C152" s="60" t="s">
        <v>466</v>
      </c>
      <c r="D152" s="61"/>
      <c r="E152" s="61"/>
      <c r="F152" s="61"/>
      <c r="G152" s="61"/>
      <c r="H152" s="62">
        <f t="shared" si="4"/>
        <v>0</v>
      </c>
    </row>
    <row r="153" spans="1:8" ht="15">
      <c r="A153" s="58">
        <v>1.1000000000000001</v>
      </c>
      <c r="B153" s="67" t="s">
        <v>478</v>
      </c>
      <c r="C153" s="60" t="s">
        <v>466</v>
      </c>
      <c r="D153" s="61">
        <v>1</v>
      </c>
      <c r="E153" s="61">
        <v>1.5</v>
      </c>
      <c r="F153" s="61"/>
      <c r="G153" s="61"/>
      <c r="H153" s="62">
        <f t="shared" si="4"/>
        <v>1.5</v>
      </c>
    </row>
    <row r="154" spans="1:8" ht="15">
      <c r="A154" s="58"/>
      <c r="B154" s="60"/>
      <c r="C154" s="60" t="s">
        <v>466</v>
      </c>
      <c r="D154" s="61">
        <v>2</v>
      </c>
      <c r="E154" s="61">
        <v>1.2</v>
      </c>
      <c r="F154" s="61"/>
      <c r="G154" s="61"/>
      <c r="H154" s="62">
        <f t="shared" si="4"/>
        <v>2.4</v>
      </c>
    </row>
    <row r="155" spans="1:8" ht="15">
      <c r="A155" s="58"/>
      <c r="B155" s="60"/>
      <c r="C155" s="60"/>
      <c r="D155" s="61"/>
      <c r="E155" s="61"/>
      <c r="F155" s="61"/>
      <c r="G155" s="61"/>
      <c r="H155" s="71">
        <f>H154+H153</f>
        <v>3.9</v>
      </c>
    </row>
    <row r="156" spans="1:8" ht="15">
      <c r="A156" s="58">
        <v>1.3</v>
      </c>
      <c r="B156" s="60" t="s">
        <v>479</v>
      </c>
      <c r="C156" s="60" t="s">
        <v>466</v>
      </c>
      <c r="D156" s="61">
        <v>1</v>
      </c>
      <c r="E156" s="61">
        <f>0.9+2.3+1+2.9+2</f>
        <v>9.1</v>
      </c>
      <c r="F156" s="61"/>
      <c r="G156" s="61"/>
      <c r="H156" s="62">
        <f>ROUND(PRODUCT(D156:G156),2)</f>
        <v>9.1</v>
      </c>
    </row>
    <row r="157" spans="1:8" ht="15">
      <c r="A157" s="58"/>
      <c r="B157" s="60"/>
      <c r="C157" s="60"/>
      <c r="D157" s="61"/>
      <c r="E157" s="61"/>
      <c r="F157" s="61"/>
      <c r="G157" s="61"/>
      <c r="H157" s="60">
        <f>F157*E157*D157</f>
        <v>0</v>
      </c>
    </row>
    <row r="158" spans="1:8" ht="15">
      <c r="A158" s="58" t="s">
        <v>480</v>
      </c>
      <c r="B158" s="59" t="s">
        <v>481</v>
      </c>
      <c r="C158" s="60" t="s">
        <v>51</v>
      </c>
      <c r="D158" s="61">
        <v>2</v>
      </c>
      <c r="E158" s="61"/>
      <c r="F158" s="61"/>
      <c r="G158" s="61"/>
      <c r="H158" s="60">
        <v>2</v>
      </c>
    </row>
    <row r="159" spans="1:8" ht="15">
      <c r="A159" s="58">
        <v>2.2999999999999998</v>
      </c>
      <c r="B159" s="67" t="s">
        <v>368</v>
      </c>
      <c r="C159" s="60" t="s">
        <v>51</v>
      </c>
      <c r="D159" s="61">
        <v>2</v>
      </c>
      <c r="E159" s="61"/>
      <c r="F159" s="61"/>
      <c r="G159" s="61"/>
      <c r="H159" s="60">
        <v>2</v>
      </c>
    </row>
    <row r="160" spans="1:8" ht="15">
      <c r="A160" s="58">
        <v>2.4</v>
      </c>
      <c r="B160" s="67" t="s">
        <v>369</v>
      </c>
      <c r="C160" s="60" t="s">
        <v>51</v>
      </c>
      <c r="D160" s="61">
        <v>3</v>
      </c>
      <c r="E160" s="61"/>
      <c r="F160" s="61"/>
      <c r="G160" s="61"/>
      <c r="H160" s="60">
        <v>3</v>
      </c>
    </row>
    <row r="161" spans="1:8" ht="15">
      <c r="A161" s="58"/>
      <c r="B161" s="60"/>
      <c r="C161" s="60"/>
      <c r="D161" s="61"/>
      <c r="E161" s="61"/>
      <c r="F161" s="61"/>
      <c r="G161" s="61"/>
      <c r="H161" s="60">
        <f>F161*E161*D161</f>
        <v>0</v>
      </c>
    </row>
    <row r="162" spans="1:8" ht="15">
      <c r="A162" s="58" t="s">
        <v>46</v>
      </c>
      <c r="B162" s="59" t="s">
        <v>105</v>
      </c>
      <c r="C162" s="60"/>
      <c r="D162" s="61"/>
      <c r="E162" s="61"/>
      <c r="F162" s="61"/>
      <c r="G162" s="61"/>
      <c r="H162" s="60">
        <f>F162*E162*D162</f>
        <v>0</v>
      </c>
    </row>
    <row r="163" spans="1:8" ht="15">
      <c r="A163" s="58">
        <v>1.1000000000000001</v>
      </c>
      <c r="B163" s="67" t="s">
        <v>365</v>
      </c>
      <c r="C163" s="60" t="s">
        <v>28</v>
      </c>
      <c r="D163" s="61">
        <v>6</v>
      </c>
      <c r="E163" s="61"/>
      <c r="F163" s="61"/>
      <c r="G163" s="61"/>
      <c r="H163" s="60">
        <f>D163</f>
        <v>6</v>
      </c>
    </row>
    <row r="164" spans="1:8" ht="24">
      <c r="A164" s="58"/>
      <c r="B164" s="72" t="s">
        <v>366</v>
      </c>
      <c r="C164" s="60" t="s">
        <v>28</v>
      </c>
      <c r="D164" s="61">
        <v>2</v>
      </c>
      <c r="E164" s="61"/>
      <c r="F164" s="61"/>
      <c r="G164" s="61"/>
      <c r="H164" s="60">
        <f>D164</f>
        <v>2</v>
      </c>
    </row>
    <row r="165" spans="1:8" ht="24">
      <c r="A165" s="58"/>
      <c r="B165" s="72" t="s">
        <v>426</v>
      </c>
      <c r="C165" s="60" t="s">
        <v>28</v>
      </c>
      <c r="D165" s="61">
        <v>1</v>
      </c>
      <c r="E165" s="61"/>
      <c r="F165" s="61"/>
      <c r="G165" s="61"/>
      <c r="H165" s="60">
        <f>D165</f>
        <v>1</v>
      </c>
    </row>
    <row r="166" spans="1:8" ht="24">
      <c r="A166" s="58"/>
      <c r="B166" s="72" t="s">
        <v>367</v>
      </c>
      <c r="C166" s="60" t="s">
        <v>28</v>
      </c>
      <c r="D166" s="61">
        <v>1</v>
      </c>
      <c r="E166" s="61"/>
      <c r="F166" s="61"/>
      <c r="G166" s="61"/>
      <c r="H166" s="60">
        <f>D166</f>
        <v>1</v>
      </c>
    </row>
    <row r="167" spans="1:8" ht="15">
      <c r="A167" s="58"/>
      <c r="B167" s="60"/>
      <c r="C167" s="60"/>
      <c r="D167" s="61"/>
      <c r="E167" s="61"/>
      <c r="F167" s="61"/>
      <c r="G167" s="61"/>
      <c r="H167" s="60">
        <f>F167*E167*D167</f>
        <v>0</v>
      </c>
    </row>
    <row r="168" spans="1:8" ht="15">
      <c r="A168" s="58" t="s">
        <v>45</v>
      </c>
      <c r="B168" s="60" t="s">
        <v>482</v>
      </c>
      <c r="C168" s="60"/>
      <c r="D168" s="61"/>
      <c r="E168" s="61"/>
      <c r="F168" s="61"/>
      <c r="G168" s="61"/>
      <c r="H168" s="60">
        <f>F168*E168*D168</f>
        <v>0</v>
      </c>
    </row>
    <row r="169" spans="1:8" ht="15">
      <c r="A169" s="58">
        <v>1</v>
      </c>
      <c r="B169" s="67" t="s">
        <v>483</v>
      </c>
      <c r="C169" s="60" t="s">
        <v>28</v>
      </c>
      <c r="D169" s="61">
        <v>3</v>
      </c>
      <c r="E169" s="61"/>
      <c r="F169" s="61"/>
      <c r="G169" s="61"/>
      <c r="H169" s="60">
        <v>3</v>
      </c>
    </row>
    <row r="170" spans="1:8" ht="15">
      <c r="A170" s="58">
        <v>2</v>
      </c>
      <c r="B170" s="67" t="s">
        <v>484</v>
      </c>
      <c r="C170" s="60" t="s">
        <v>28</v>
      </c>
      <c r="D170" s="61">
        <v>2</v>
      </c>
      <c r="E170" s="61"/>
      <c r="F170" s="61"/>
      <c r="G170" s="61"/>
      <c r="H170" s="60">
        <v>2</v>
      </c>
    </row>
    <row r="171" spans="1:8" ht="15">
      <c r="A171" s="58"/>
      <c r="B171" s="67"/>
      <c r="C171" s="60"/>
      <c r="D171" s="61"/>
      <c r="E171" s="61"/>
      <c r="F171" s="61"/>
      <c r="G171" s="61"/>
      <c r="H171" s="60">
        <f>F171*E171*D171</f>
        <v>0</v>
      </c>
    </row>
    <row r="172" spans="1:8" ht="15">
      <c r="A172" s="58" t="s">
        <v>49</v>
      </c>
      <c r="B172" s="67" t="s">
        <v>400</v>
      </c>
      <c r="C172" s="60"/>
      <c r="D172" s="61"/>
      <c r="E172" s="61"/>
      <c r="F172" s="61"/>
      <c r="G172" s="61"/>
      <c r="H172" s="60">
        <f>F172*E172*D172</f>
        <v>0</v>
      </c>
    </row>
    <row r="173" spans="1:8" ht="15">
      <c r="A173" s="58">
        <v>1</v>
      </c>
      <c r="B173" s="67"/>
      <c r="C173" s="60" t="s">
        <v>28</v>
      </c>
      <c r="D173" s="61">
        <v>6</v>
      </c>
      <c r="E173" s="61"/>
      <c r="F173" s="61"/>
      <c r="G173" s="61"/>
      <c r="H173" s="60">
        <v>6</v>
      </c>
    </row>
    <row r="174" spans="1:8" ht="15">
      <c r="A174" s="58">
        <v>2</v>
      </c>
      <c r="B174" s="73" t="s">
        <v>403</v>
      </c>
      <c r="C174" s="60" t="s">
        <v>28</v>
      </c>
      <c r="D174" s="61">
        <v>1</v>
      </c>
      <c r="E174" s="61"/>
      <c r="F174" s="61"/>
      <c r="G174" s="61"/>
      <c r="H174" s="60">
        <v>1</v>
      </c>
    </row>
    <row r="175" spans="1:8" ht="26.25">
      <c r="A175" s="58"/>
      <c r="B175" s="846" t="s">
        <v>485</v>
      </c>
      <c r="C175" s="847"/>
      <c r="D175" s="847"/>
      <c r="E175" s="847"/>
      <c r="F175" s="847"/>
      <c r="G175" s="847"/>
      <c r="H175" s="848"/>
    </row>
    <row r="176" spans="1:8" ht="15">
      <c r="A176" s="58">
        <v>1</v>
      </c>
      <c r="B176" s="67" t="s">
        <v>365</v>
      </c>
      <c r="C176" s="60" t="s">
        <v>28</v>
      </c>
      <c r="D176" s="61">
        <v>6</v>
      </c>
      <c r="E176" s="61"/>
      <c r="F176" s="61"/>
      <c r="G176" s="61"/>
      <c r="H176" s="60">
        <f>D176</f>
        <v>6</v>
      </c>
    </row>
    <row r="177" spans="1:8" ht="24">
      <c r="A177" s="58">
        <v>2</v>
      </c>
      <c r="B177" s="72" t="s">
        <v>366</v>
      </c>
      <c r="C177" s="60" t="s">
        <v>28</v>
      </c>
      <c r="D177" s="61">
        <v>2</v>
      </c>
      <c r="E177" s="61"/>
      <c r="F177" s="61"/>
      <c r="G177" s="61"/>
      <c r="H177" s="60">
        <f>D177</f>
        <v>2</v>
      </c>
    </row>
    <row r="178" spans="1:8" ht="24">
      <c r="A178" s="58">
        <v>3</v>
      </c>
      <c r="B178" s="72" t="s">
        <v>426</v>
      </c>
      <c r="C178" s="60" t="s">
        <v>28</v>
      </c>
      <c r="D178" s="61">
        <v>1</v>
      </c>
      <c r="E178" s="61"/>
      <c r="F178" s="61"/>
      <c r="G178" s="61"/>
      <c r="H178" s="60">
        <f>D178</f>
        <v>1</v>
      </c>
    </row>
    <row r="179" spans="1:8" ht="24">
      <c r="A179" s="58">
        <v>4</v>
      </c>
      <c r="B179" s="72" t="s">
        <v>367</v>
      </c>
      <c r="C179" s="60" t="s">
        <v>28</v>
      </c>
      <c r="D179" s="61">
        <v>1</v>
      </c>
      <c r="E179" s="61"/>
      <c r="F179" s="61"/>
      <c r="G179" s="61"/>
      <c r="H179" s="60">
        <f>D179</f>
        <v>1</v>
      </c>
    </row>
    <row r="180" spans="1:8" ht="15">
      <c r="A180" s="58"/>
      <c r="B180" s="73"/>
      <c r="C180" s="60"/>
      <c r="D180" s="61"/>
      <c r="E180" s="61"/>
      <c r="F180" s="61"/>
      <c r="G180" s="61"/>
      <c r="H180" s="60"/>
    </row>
    <row r="181" spans="1:8" ht="15">
      <c r="A181" s="58" t="s">
        <v>49</v>
      </c>
      <c r="B181" s="59" t="s">
        <v>189</v>
      </c>
      <c r="C181" s="60"/>
      <c r="D181" s="61"/>
      <c r="E181" s="61"/>
      <c r="F181" s="61"/>
      <c r="G181" s="61"/>
      <c r="H181" s="60">
        <f t="shared" ref="H181:H187" si="5">F181*E181*D181</f>
        <v>0</v>
      </c>
    </row>
    <row r="182" spans="1:8" ht="15">
      <c r="A182" s="58">
        <v>2.2000000000000002</v>
      </c>
      <c r="B182" s="59" t="s">
        <v>171</v>
      </c>
      <c r="C182" s="60"/>
      <c r="D182" s="61"/>
      <c r="E182" s="61"/>
      <c r="F182" s="61"/>
      <c r="G182" s="61"/>
      <c r="H182" s="60">
        <f t="shared" si="5"/>
        <v>0</v>
      </c>
    </row>
    <row r="183" spans="1:8" ht="15">
      <c r="A183" s="58" t="s">
        <v>172</v>
      </c>
      <c r="B183" s="60" t="s">
        <v>173</v>
      </c>
      <c r="C183" s="60" t="s">
        <v>28</v>
      </c>
      <c r="D183" s="61">
        <v>1</v>
      </c>
      <c r="E183" s="61"/>
      <c r="F183" s="61"/>
      <c r="G183" s="61"/>
      <c r="H183" s="62">
        <f>ROUND(PRODUCT(D183:G183),2)</f>
        <v>1</v>
      </c>
    </row>
    <row r="184" spans="1:8" ht="15">
      <c r="A184" s="58" t="s">
        <v>176</v>
      </c>
      <c r="B184" s="277" t="s">
        <v>177</v>
      </c>
      <c r="C184" s="60" t="s">
        <v>28</v>
      </c>
      <c r="D184" s="61">
        <v>1</v>
      </c>
      <c r="E184" s="61"/>
      <c r="F184" s="61"/>
      <c r="G184" s="61"/>
      <c r="H184" s="62">
        <v>1</v>
      </c>
    </row>
    <row r="185" spans="1:8" ht="15">
      <c r="A185" s="58">
        <v>3</v>
      </c>
      <c r="B185" s="59" t="s">
        <v>190</v>
      </c>
      <c r="C185" s="60"/>
      <c r="D185" s="61"/>
      <c r="E185" s="61"/>
      <c r="F185" s="61"/>
      <c r="G185" s="61"/>
      <c r="H185" s="60">
        <f t="shared" si="5"/>
        <v>0</v>
      </c>
    </row>
    <row r="186" spans="1:8" ht="15">
      <c r="A186" s="58">
        <v>3.1</v>
      </c>
      <c r="B186" s="59" t="s">
        <v>191</v>
      </c>
      <c r="C186" s="60"/>
      <c r="D186" s="61"/>
      <c r="E186" s="61"/>
      <c r="F186" s="61"/>
      <c r="G186" s="61"/>
      <c r="H186" s="60">
        <f t="shared" si="5"/>
        <v>0</v>
      </c>
    </row>
    <row r="187" spans="1:8" ht="15">
      <c r="A187" s="58" t="s">
        <v>377</v>
      </c>
      <c r="B187" s="59" t="s">
        <v>192</v>
      </c>
      <c r="C187" s="60"/>
      <c r="D187" s="61"/>
      <c r="E187" s="61"/>
      <c r="F187" s="61"/>
      <c r="G187" s="61"/>
      <c r="H187" s="60">
        <f t="shared" si="5"/>
        <v>0</v>
      </c>
    </row>
    <row r="188" spans="1:8" ht="15">
      <c r="A188" s="58" t="s">
        <v>14</v>
      </c>
      <c r="B188" s="67" t="s">
        <v>486</v>
      </c>
      <c r="C188" s="60" t="s">
        <v>53</v>
      </c>
      <c r="D188" s="61">
        <v>1</v>
      </c>
      <c r="E188" s="61">
        <f>4+4+7+6.5</f>
        <v>21.5</v>
      </c>
      <c r="F188" s="61"/>
      <c r="G188" s="61"/>
      <c r="H188" s="62">
        <f>ROUND(PRODUCT(D188:G188),2)</f>
        <v>21.5</v>
      </c>
    </row>
    <row r="189" spans="1:8" ht="15">
      <c r="A189" s="58"/>
      <c r="B189" s="67"/>
      <c r="C189" s="60"/>
      <c r="D189" s="61"/>
      <c r="E189" s="61"/>
      <c r="F189" s="61"/>
      <c r="G189" s="61"/>
      <c r="H189" s="62"/>
    </row>
    <row r="190" spans="1:8" ht="15">
      <c r="A190" s="74" t="s">
        <v>379</v>
      </c>
      <c r="B190" s="75" t="s">
        <v>206</v>
      </c>
      <c r="C190" s="75"/>
      <c r="D190" s="61"/>
      <c r="E190" s="61"/>
      <c r="F190" s="61"/>
      <c r="G190" s="61"/>
      <c r="H190" s="62"/>
    </row>
    <row r="191" spans="1:8" ht="15">
      <c r="A191" s="58" t="s">
        <v>29</v>
      </c>
      <c r="B191" s="76" t="s">
        <v>207</v>
      </c>
      <c r="C191" s="60"/>
      <c r="D191" s="61"/>
      <c r="E191" s="61"/>
      <c r="F191" s="61"/>
      <c r="G191" s="61"/>
      <c r="H191" s="62"/>
    </row>
    <row r="192" spans="1:8" ht="15">
      <c r="A192" s="58"/>
      <c r="B192" s="60" t="s">
        <v>487</v>
      </c>
      <c r="C192" s="60" t="s">
        <v>53</v>
      </c>
      <c r="D192" s="60">
        <v>1</v>
      </c>
      <c r="E192" s="60">
        <v>45</v>
      </c>
      <c r="F192" s="60"/>
      <c r="G192" s="60"/>
      <c r="H192" s="60">
        <f>D192*E192</f>
        <v>45</v>
      </c>
    </row>
    <row r="193" spans="1:8" ht="15">
      <c r="A193" s="58"/>
      <c r="B193" s="60" t="s">
        <v>488</v>
      </c>
      <c r="C193" s="60" t="s">
        <v>53</v>
      </c>
      <c r="D193" s="60">
        <v>1</v>
      </c>
      <c r="E193" s="60">
        <f>1+2.5+4+10+10+3+3</f>
        <v>33.5</v>
      </c>
      <c r="F193" s="60"/>
      <c r="G193" s="60"/>
      <c r="H193" s="60">
        <f>D193*E193</f>
        <v>33.5</v>
      </c>
    </row>
    <row r="194" spans="1:8" ht="15">
      <c r="A194" s="58"/>
      <c r="B194" s="60" t="s">
        <v>489</v>
      </c>
      <c r="C194" s="60" t="s">
        <v>53</v>
      </c>
      <c r="D194" s="60">
        <v>1</v>
      </c>
      <c r="E194" s="60">
        <f>3.5+5</f>
        <v>8.5</v>
      </c>
      <c r="F194" s="60"/>
      <c r="G194" s="60"/>
      <c r="H194" s="60">
        <f>D194*E194</f>
        <v>8.5</v>
      </c>
    </row>
    <row r="195" spans="1:8" ht="15">
      <c r="A195" s="58"/>
      <c r="B195" s="60"/>
      <c r="C195" s="60" t="s">
        <v>53</v>
      </c>
      <c r="D195" s="60"/>
      <c r="E195" s="60"/>
      <c r="F195" s="849" t="s">
        <v>8</v>
      </c>
      <c r="G195" s="850"/>
      <c r="H195" s="77">
        <f>SUM(H192:H194)</f>
        <v>87</v>
      </c>
    </row>
    <row r="196" spans="1:8" ht="15">
      <c r="A196" s="58"/>
      <c r="B196" s="59" t="s">
        <v>211</v>
      </c>
      <c r="C196" s="60"/>
      <c r="D196" s="61"/>
      <c r="E196" s="61"/>
      <c r="F196" s="61"/>
      <c r="G196" s="61"/>
      <c r="H196" s="60">
        <f t="shared" ref="H196:H200" si="6">F196*E196*D196</f>
        <v>0</v>
      </c>
    </row>
    <row r="197" spans="1:8" ht="15">
      <c r="A197" s="58">
        <v>3.2</v>
      </c>
      <c r="B197" s="59" t="s">
        <v>490</v>
      </c>
      <c r="C197" s="60"/>
      <c r="D197" s="61"/>
      <c r="E197" s="61"/>
      <c r="F197" s="61"/>
      <c r="G197" s="61"/>
      <c r="H197" s="60">
        <f t="shared" si="6"/>
        <v>0</v>
      </c>
    </row>
    <row r="198" spans="1:8" ht="22.5">
      <c r="A198" s="58"/>
      <c r="B198" s="78" t="s">
        <v>212</v>
      </c>
      <c r="C198" s="60"/>
      <c r="D198" s="61"/>
      <c r="E198" s="61"/>
      <c r="F198" s="61"/>
      <c r="G198" s="61"/>
      <c r="H198" s="60">
        <f t="shared" si="6"/>
        <v>0</v>
      </c>
    </row>
    <row r="199" spans="1:8" ht="15">
      <c r="A199" s="58" t="s">
        <v>14</v>
      </c>
      <c r="B199" s="67" t="s">
        <v>194</v>
      </c>
      <c r="C199" s="60" t="s">
        <v>28</v>
      </c>
      <c r="D199" s="61">
        <v>2</v>
      </c>
      <c r="E199" s="61"/>
      <c r="F199" s="61"/>
      <c r="G199" s="61"/>
      <c r="H199" s="62">
        <f>ROUND(PRODUCT(D199:G199),2)</f>
        <v>2</v>
      </c>
    </row>
    <row r="200" spans="1:8" ht="15">
      <c r="A200" s="58">
        <v>3.3</v>
      </c>
      <c r="B200" s="59" t="s">
        <v>491</v>
      </c>
      <c r="C200" s="60"/>
      <c r="D200" s="61"/>
      <c r="E200" s="61"/>
      <c r="F200" s="61"/>
      <c r="G200" s="61"/>
      <c r="H200" s="60">
        <f t="shared" si="6"/>
        <v>0</v>
      </c>
    </row>
    <row r="201" spans="1:8" ht="15">
      <c r="A201" s="58" t="s">
        <v>382</v>
      </c>
      <c r="B201" s="68" t="s">
        <v>492</v>
      </c>
      <c r="C201" s="60"/>
      <c r="D201" s="61"/>
      <c r="E201" s="61"/>
      <c r="F201" s="61"/>
      <c r="G201" s="61"/>
      <c r="H201" s="60">
        <f>F201*E201*D201</f>
        <v>0</v>
      </c>
    </row>
    <row r="202" spans="1:8" ht="15">
      <c r="A202" s="58" t="s">
        <v>13</v>
      </c>
      <c r="B202" s="79" t="s">
        <v>493</v>
      </c>
      <c r="C202" s="60" t="s">
        <v>53</v>
      </c>
      <c r="D202" s="61">
        <v>1</v>
      </c>
      <c r="E202" s="61">
        <f>2.6+3.5+5</f>
        <v>11.1</v>
      </c>
      <c r="F202" s="61"/>
      <c r="G202" s="61"/>
      <c r="H202" s="62">
        <f>ROUND(PRODUCT(D202:G202),2)</f>
        <v>11.1</v>
      </c>
    </row>
    <row r="203" spans="1:8" ht="15">
      <c r="A203" s="58" t="s">
        <v>384</v>
      </c>
      <c r="B203" s="68" t="s">
        <v>494</v>
      </c>
      <c r="C203" s="60"/>
      <c r="D203" s="61"/>
      <c r="E203" s="61"/>
      <c r="F203" s="61"/>
      <c r="G203" s="61"/>
      <c r="H203" s="60">
        <f t="shared" ref="H203" si="7">F203*E203*D203</f>
        <v>0</v>
      </c>
    </row>
    <row r="204" spans="1:8" ht="15">
      <c r="A204" s="58" t="s">
        <v>14</v>
      </c>
      <c r="B204" s="79" t="s">
        <v>228</v>
      </c>
      <c r="C204" s="60" t="s">
        <v>53</v>
      </c>
      <c r="D204" s="61">
        <v>1</v>
      </c>
      <c r="E204" s="61">
        <v>5</v>
      </c>
      <c r="F204" s="61"/>
      <c r="G204" s="61"/>
      <c r="H204" s="62">
        <f>ROUND(PRODUCT(D204:G204),2)</f>
        <v>5</v>
      </c>
    </row>
    <row r="205" spans="1:8" ht="15">
      <c r="A205" s="58">
        <v>4</v>
      </c>
      <c r="B205" s="59" t="s">
        <v>495</v>
      </c>
      <c r="C205" s="60"/>
      <c r="D205" s="61"/>
      <c r="E205" s="61"/>
      <c r="F205" s="61"/>
      <c r="G205" s="61"/>
      <c r="H205" s="60">
        <f t="shared" ref="H205:H265" si="8">F205*E205*D205</f>
        <v>0</v>
      </c>
    </row>
    <row r="206" spans="1:8" ht="51">
      <c r="A206" s="58">
        <v>4.0999999999999996</v>
      </c>
      <c r="B206" s="92" t="s">
        <v>551</v>
      </c>
      <c r="C206" s="60"/>
      <c r="D206" s="61"/>
      <c r="E206" s="61"/>
      <c r="F206" s="61"/>
      <c r="G206" s="61"/>
      <c r="H206" s="60"/>
    </row>
    <row r="207" spans="1:8" ht="15">
      <c r="A207" s="58"/>
      <c r="B207" s="60" t="s">
        <v>552</v>
      </c>
      <c r="C207" s="60"/>
      <c r="D207" s="60">
        <v>1</v>
      </c>
      <c r="E207" s="60">
        <f>1+3+0.5+2.7+3.5+4.3+2+3+0.5</f>
        <v>20.5</v>
      </c>
      <c r="F207" s="60"/>
      <c r="G207" s="60"/>
      <c r="H207" s="60">
        <f>D207*E207</f>
        <v>20.5</v>
      </c>
    </row>
    <row r="208" spans="1:8" ht="15">
      <c r="A208" s="58"/>
      <c r="B208" s="60" t="s">
        <v>553</v>
      </c>
      <c r="C208" s="60"/>
      <c r="D208" s="60">
        <v>1</v>
      </c>
      <c r="E208" s="60">
        <f>3+2.7+3.5+4.3+2.5+1</f>
        <v>17</v>
      </c>
      <c r="F208" s="60"/>
      <c r="G208" s="60"/>
      <c r="H208" s="60">
        <f>D208*E208</f>
        <v>17</v>
      </c>
    </row>
    <row r="209" spans="1:8" ht="15">
      <c r="A209" s="58"/>
      <c r="B209" s="60" t="s">
        <v>554</v>
      </c>
      <c r="C209" s="60"/>
      <c r="D209" s="60">
        <v>1</v>
      </c>
      <c r="E209" s="60">
        <f>2+3+2.7+3.5+4.3+2.5+1</f>
        <v>19</v>
      </c>
      <c r="F209" s="60"/>
      <c r="G209" s="60"/>
      <c r="H209" s="60">
        <f>D209*E209</f>
        <v>19</v>
      </c>
    </row>
    <row r="210" spans="1:8" ht="15">
      <c r="A210" s="58"/>
      <c r="B210" s="60"/>
      <c r="C210" s="60"/>
      <c r="D210" s="60"/>
      <c r="E210" s="60"/>
      <c r="F210" s="60"/>
      <c r="G210" s="77" t="s">
        <v>522</v>
      </c>
      <c r="H210" s="77">
        <f>SUM(H207:H209)</f>
        <v>56.5</v>
      </c>
    </row>
    <row r="211" spans="1:8" ht="15">
      <c r="A211" s="58"/>
      <c r="B211" s="59"/>
      <c r="C211" s="60"/>
      <c r="D211" s="61"/>
      <c r="E211" s="61"/>
      <c r="F211" s="61"/>
      <c r="G211" s="61"/>
      <c r="H211" s="60"/>
    </row>
    <row r="212" spans="1:8" ht="15">
      <c r="A212" s="58" t="s">
        <v>244</v>
      </c>
      <c r="B212" s="79" t="s">
        <v>245</v>
      </c>
      <c r="C212" s="60" t="s">
        <v>28</v>
      </c>
      <c r="D212" s="61">
        <v>2</v>
      </c>
      <c r="E212" s="61"/>
      <c r="F212" s="61"/>
      <c r="G212" s="61"/>
      <c r="H212" s="62">
        <f>ROUND(PRODUCT(D212:G212),2)</f>
        <v>2</v>
      </c>
    </row>
    <row r="213" spans="1:8" ht="15">
      <c r="A213" s="58" t="s">
        <v>246</v>
      </c>
      <c r="B213" s="79" t="s">
        <v>247</v>
      </c>
      <c r="C213" s="60" t="s">
        <v>28</v>
      </c>
      <c r="D213" s="61">
        <v>1</v>
      </c>
      <c r="E213" s="61"/>
      <c r="F213" s="61"/>
      <c r="G213" s="61"/>
      <c r="H213" s="62">
        <f>ROUND(PRODUCT(D213:G213),2)</f>
        <v>1</v>
      </c>
    </row>
    <row r="214" spans="1:8" ht="36.75">
      <c r="A214" s="58">
        <v>4.3</v>
      </c>
      <c r="B214" s="80" t="s">
        <v>496</v>
      </c>
      <c r="C214" s="60" t="s">
        <v>28</v>
      </c>
      <c r="D214" s="61">
        <v>11</v>
      </c>
      <c r="E214" s="61"/>
      <c r="F214" s="61"/>
      <c r="G214" s="61"/>
      <c r="H214" s="62">
        <f>ROUND(PRODUCT(D214:G214),2)</f>
        <v>11</v>
      </c>
    </row>
    <row r="215" spans="1:8" ht="60">
      <c r="A215" s="58"/>
      <c r="B215" s="82" t="s">
        <v>254</v>
      </c>
      <c r="C215" s="60"/>
      <c r="D215" s="61"/>
      <c r="E215" s="61"/>
      <c r="F215" s="61"/>
      <c r="G215" s="61"/>
      <c r="H215" s="62"/>
    </row>
    <row r="216" spans="1:8" ht="15">
      <c r="A216" s="60"/>
      <c r="B216" s="60" t="s">
        <v>542</v>
      </c>
      <c r="C216" s="60"/>
      <c r="D216" s="60">
        <v>1</v>
      </c>
      <c r="E216" s="60">
        <f>0.5+2.5+1+3+2.7+3.5+4.3+2+3</f>
        <v>22.5</v>
      </c>
      <c r="F216" s="60"/>
      <c r="G216" s="60"/>
      <c r="H216" s="60">
        <f t="shared" ref="H216:H224" si="9">D216*E216</f>
        <v>22.5</v>
      </c>
    </row>
    <row r="217" spans="1:8" ht="15">
      <c r="A217" s="60"/>
      <c r="B217" s="60" t="s">
        <v>543</v>
      </c>
      <c r="C217" s="60"/>
      <c r="D217" s="60">
        <v>1</v>
      </c>
      <c r="E217" s="60">
        <f>1+3+0.5+2.7+3.5+4.3+2+3</f>
        <v>20</v>
      </c>
      <c r="F217" s="60"/>
      <c r="G217" s="60"/>
      <c r="H217" s="60">
        <f t="shared" si="9"/>
        <v>20</v>
      </c>
    </row>
    <row r="218" spans="1:8" ht="15">
      <c r="A218" s="60"/>
      <c r="B218" s="60" t="s">
        <v>544</v>
      </c>
      <c r="C218" s="60"/>
      <c r="D218" s="60">
        <v>1</v>
      </c>
      <c r="E218" s="60">
        <f>0.5+2+2+2.7+4.5+2+3</f>
        <v>16.7</v>
      </c>
      <c r="F218" s="60"/>
      <c r="G218" s="60"/>
      <c r="H218" s="60">
        <f t="shared" si="9"/>
        <v>16.7</v>
      </c>
    </row>
    <row r="219" spans="1:8" ht="15">
      <c r="A219" s="60"/>
      <c r="B219" s="60" t="s">
        <v>545</v>
      </c>
      <c r="C219" s="60"/>
      <c r="D219" s="60">
        <v>1</v>
      </c>
      <c r="E219" s="60">
        <f>0.5+2+2.7+4.8+2+3</f>
        <v>15</v>
      </c>
      <c r="F219" s="60"/>
      <c r="G219" s="60"/>
      <c r="H219" s="60">
        <f t="shared" si="9"/>
        <v>15</v>
      </c>
    </row>
    <row r="220" spans="1:8" ht="15">
      <c r="A220" s="60"/>
      <c r="B220" s="60" t="s">
        <v>546</v>
      </c>
      <c r="C220" s="60"/>
      <c r="D220" s="60">
        <v>1</v>
      </c>
      <c r="E220" s="60">
        <f>0.5+1+2+4.8+2.7+2+3</f>
        <v>16</v>
      </c>
      <c r="F220" s="60"/>
      <c r="G220" s="60"/>
      <c r="H220" s="60">
        <f t="shared" si="9"/>
        <v>16</v>
      </c>
    </row>
    <row r="221" spans="1:8" ht="15">
      <c r="A221" s="60"/>
      <c r="B221" s="60" t="s">
        <v>547</v>
      </c>
      <c r="C221" s="60"/>
      <c r="D221" s="60">
        <v>1</v>
      </c>
      <c r="E221" s="60">
        <f>0.5+2.5+3.5+2.7+2+3</f>
        <v>14.2</v>
      </c>
      <c r="F221" s="60"/>
      <c r="G221" s="60"/>
      <c r="H221" s="60">
        <f t="shared" si="9"/>
        <v>14.2</v>
      </c>
    </row>
    <row r="222" spans="1:8" ht="15">
      <c r="A222" s="60"/>
      <c r="B222" s="60" t="s">
        <v>548</v>
      </c>
      <c r="C222" s="60"/>
      <c r="D222" s="60">
        <v>1</v>
      </c>
      <c r="E222" s="60">
        <f>0.5+2+2.7+2+3</f>
        <v>10.199999999999999</v>
      </c>
      <c r="F222" s="60"/>
      <c r="G222" s="60"/>
      <c r="H222" s="60">
        <f t="shared" si="9"/>
        <v>10.199999999999999</v>
      </c>
    </row>
    <row r="223" spans="1:8" ht="15">
      <c r="A223" s="60"/>
      <c r="B223" s="60" t="s">
        <v>549</v>
      </c>
      <c r="C223" s="60"/>
      <c r="D223" s="60">
        <v>1</v>
      </c>
      <c r="E223" s="60">
        <f>0.5+2+3.5+2+2+3</f>
        <v>13</v>
      </c>
      <c r="F223" s="60"/>
      <c r="G223" s="60"/>
      <c r="H223" s="60">
        <f t="shared" si="9"/>
        <v>13</v>
      </c>
    </row>
    <row r="224" spans="1:8" ht="15">
      <c r="A224" s="60"/>
      <c r="B224" s="60" t="s">
        <v>550</v>
      </c>
      <c r="C224" s="60"/>
      <c r="D224" s="60">
        <v>1</v>
      </c>
      <c r="E224" s="60">
        <f>0.5+1.5+3</f>
        <v>5</v>
      </c>
      <c r="F224" s="60"/>
      <c r="G224" s="60"/>
      <c r="H224" s="60">
        <f t="shared" si="9"/>
        <v>5</v>
      </c>
    </row>
    <row r="225" spans="1:8" ht="15">
      <c r="A225" s="60"/>
      <c r="B225" s="60"/>
      <c r="C225" s="60"/>
      <c r="D225" s="60"/>
      <c r="E225" s="60"/>
      <c r="F225" s="60"/>
      <c r="G225" s="77" t="s">
        <v>522</v>
      </c>
      <c r="H225" s="77">
        <f>SUM(H216:H224)</f>
        <v>132.60000000000002</v>
      </c>
    </row>
    <row r="226" spans="1:8" ht="15">
      <c r="A226" s="58"/>
      <c r="B226" s="80"/>
      <c r="C226" s="60"/>
      <c r="D226" s="61"/>
      <c r="E226" s="61"/>
      <c r="F226" s="61"/>
      <c r="G226" s="61"/>
      <c r="H226" s="62"/>
    </row>
    <row r="227" spans="1:8" ht="36">
      <c r="A227" s="81">
        <v>4.0999999999999996</v>
      </c>
      <c r="B227" s="82" t="s">
        <v>256</v>
      </c>
      <c r="C227" s="60" t="s">
        <v>53</v>
      </c>
      <c r="D227" s="61"/>
      <c r="E227" s="61"/>
      <c r="F227" s="61"/>
      <c r="G227" s="61"/>
      <c r="H227" s="60">
        <f t="shared" si="8"/>
        <v>0</v>
      </c>
    </row>
    <row r="228" spans="1:8" ht="15">
      <c r="A228" s="58" t="s">
        <v>259</v>
      </c>
      <c r="B228" s="82" t="s">
        <v>497</v>
      </c>
      <c r="C228" s="60" t="s">
        <v>53</v>
      </c>
      <c r="D228" s="61"/>
      <c r="E228" s="61"/>
      <c r="F228" s="61"/>
      <c r="G228" s="61"/>
      <c r="H228" s="60">
        <f t="shared" si="8"/>
        <v>0</v>
      </c>
    </row>
    <row r="229" spans="1:8" ht="15">
      <c r="A229" s="60"/>
      <c r="B229" s="60" t="s">
        <v>498</v>
      </c>
      <c r="C229" s="60" t="s">
        <v>53</v>
      </c>
      <c r="D229" s="60">
        <v>1</v>
      </c>
      <c r="E229" s="60">
        <f>2.5</f>
        <v>2.5</v>
      </c>
      <c r="F229" s="60"/>
      <c r="G229" s="60"/>
      <c r="H229" s="62">
        <f t="shared" ref="H229:H252" si="10">ROUND(PRODUCT(D229:G229),2)</f>
        <v>2.5</v>
      </c>
    </row>
    <row r="230" spans="1:8" ht="15">
      <c r="A230" s="60"/>
      <c r="B230" s="60" t="s">
        <v>499</v>
      </c>
      <c r="C230" s="60" t="s">
        <v>53</v>
      </c>
      <c r="D230" s="60">
        <v>2</v>
      </c>
      <c r="E230" s="60">
        <f>1+3+2.7+3.5+4.3+2</f>
        <v>16.5</v>
      </c>
      <c r="F230" s="60"/>
      <c r="G230" s="60"/>
      <c r="H230" s="62">
        <f t="shared" si="10"/>
        <v>33</v>
      </c>
    </row>
    <row r="231" spans="1:8" ht="15">
      <c r="A231" s="60"/>
      <c r="B231" s="60" t="s">
        <v>500</v>
      </c>
      <c r="C231" s="60" t="s">
        <v>53</v>
      </c>
      <c r="D231" s="60">
        <v>1</v>
      </c>
      <c r="E231" s="60">
        <f>2+2+2</f>
        <v>6</v>
      </c>
      <c r="F231" s="60"/>
      <c r="G231" s="60"/>
      <c r="H231" s="62">
        <f t="shared" si="10"/>
        <v>6</v>
      </c>
    </row>
    <row r="232" spans="1:8" ht="15">
      <c r="A232" s="60"/>
      <c r="B232" s="60" t="s">
        <v>501</v>
      </c>
      <c r="C232" s="60" t="s">
        <v>53</v>
      </c>
      <c r="D232" s="60">
        <v>1</v>
      </c>
      <c r="E232" s="60">
        <f>2+2.7+4.8+2</f>
        <v>11.5</v>
      </c>
      <c r="F232" s="60"/>
      <c r="G232" s="60"/>
      <c r="H232" s="62">
        <f t="shared" si="10"/>
        <v>11.5</v>
      </c>
    </row>
    <row r="233" spans="1:8" ht="15">
      <c r="A233" s="60"/>
      <c r="B233" s="60" t="s">
        <v>502</v>
      </c>
      <c r="C233" s="60" t="s">
        <v>53</v>
      </c>
      <c r="D233" s="60">
        <v>1</v>
      </c>
      <c r="E233" s="60">
        <f>1+2+4.8+2.7+2</f>
        <v>12.5</v>
      </c>
      <c r="F233" s="60"/>
      <c r="G233" s="60"/>
      <c r="H233" s="62">
        <f t="shared" si="10"/>
        <v>12.5</v>
      </c>
    </row>
    <row r="234" spans="1:8" ht="15">
      <c r="A234" s="60"/>
      <c r="B234" s="60" t="s">
        <v>503</v>
      </c>
      <c r="C234" s="60" t="s">
        <v>53</v>
      </c>
      <c r="D234" s="60">
        <v>1</v>
      </c>
      <c r="E234" s="60">
        <f>2.5+3.5+2.7+2</f>
        <v>10.7</v>
      </c>
      <c r="F234" s="60"/>
      <c r="G234" s="60"/>
      <c r="H234" s="62">
        <f t="shared" si="10"/>
        <v>10.7</v>
      </c>
    </row>
    <row r="235" spans="1:8" ht="15">
      <c r="A235" s="60"/>
      <c r="B235" s="60" t="s">
        <v>504</v>
      </c>
      <c r="C235" s="60" t="s">
        <v>53</v>
      </c>
      <c r="D235" s="60">
        <v>1</v>
      </c>
      <c r="E235" s="60">
        <f>2+2.7+2</f>
        <v>6.7</v>
      </c>
      <c r="F235" s="60"/>
      <c r="G235" s="60"/>
      <c r="H235" s="62">
        <f t="shared" si="10"/>
        <v>6.7</v>
      </c>
    </row>
    <row r="236" spans="1:8" ht="15">
      <c r="A236" s="60"/>
      <c r="B236" s="60" t="s">
        <v>505</v>
      </c>
      <c r="C236" s="60" t="s">
        <v>53</v>
      </c>
      <c r="D236" s="60">
        <v>1</v>
      </c>
      <c r="E236" s="60">
        <f>2+3.5+2+2</f>
        <v>9.5</v>
      </c>
      <c r="F236" s="60"/>
      <c r="G236" s="60"/>
      <c r="H236" s="62">
        <f t="shared" si="10"/>
        <v>9.5</v>
      </c>
    </row>
    <row r="237" spans="1:8" ht="15">
      <c r="A237" s="60"/>
      <c r="B237" s="60" t="s">
        <v>506</v>
      </c>
      <c r="C237" s="60" t="s">
        <v>53</v>
      </c>
      <c r="D237" s="60">
        <v>1</v>
      </c>
      <c r="E237" s="60">
        <f>1.5</f>
        <v>1.5</v>
      </c>
      <c r="F237" s="60"/>
      <c r="G237" s="60"/>
      <c r="H237" s="62">
        <f t="shared" si="10"/>
        <v>1.5</v>
      </c>
    </row>
    <row r="238" spans="1:8" ht="15">
      <c r="A238" s="60"/>
      <c r="B238" s="60" t="s">
        <v>507</v>
      </c>
      <c r="C238" s="60" t="s">
        <v>53</v>
      </c>
      <c r="D238" s="60">
        <v>1</v>
      </c>
      <c r="E238" s="60">
        <f>10</f>
        <v>10</v>
      </c>
      <c r="F238" s="60"/>
      <c r="G238" s="60"/>
      <c r="H238" s="62">
        <f t="shared" si="10"/>
        <v>10</v>
      </c>
    </row>
    <row r="239" spans="1:8" ht="15">
      <c r="A239" s="60"/>
      <c r="B239" s="60" t="s">
        <v>508</v>
      </c>
      <c r="C239" s="60" t="s">
        <v>53</v>
      </c>
      <c r="D239" s="60">
        <v>1</v>
      </c>
      <c r="E239" s="60">
        <f>2.5</f>
        <v>2.5</v>
      </c>
      <c r="F239" s="60"/>
      <c r="G239" s="60"/>
      <c r="H239" s="62">
        <f t="shared" si="10"/>
        <v>2.5</v>
      </c>
    </row>
    <row r="240" spans="1:8" ht="15">
      <c r="A240" s="60"/>
      <c r="B240" s="59" t="s">
        <v>509</v>
      </c>
      <c r="C240" s="60" t="s">
        <v>53</v>
      </c>
      <c r="D240" s="60"/>
      <c r="E240" s="60"/>
      <c r="F240" s="60"/>
      <c r="G240" s="60"/>
      <c r="H240" s="62">
        <f t="shared" si="10"/>
        <v>0</v>
      </c>
    </row>
    <row r="241" spans="1:8" ht="15">
      <c r="A241" s="60"/>
      <c r="B241" s="60" t="s">
        <v>510</v>
      </c>
      <c r="C241" s="60" t="s">
        <v>53</v>
      </c>
      <c r="D241" s="60">
        <v>1</v>
      </c>
      <c r="E241" s="60">
        <f>1+3+3.5+6</f>
        <v>13.5</v>
      </c>
      <c r="F241" s="60"/>
      <c r="G241" s="60"/>
      <c r="H241" s="62">
        <f t="shared" si="10"/>
        <v>13.5</v>
      </c>
    </row>
    <row r="242" spans="1:8" ht="15">
      <c r="A242" s="60"/>
      <c r="B242" s="60" t="s">
        <v>511</v>
      </c>
      <c r="C242" s="60" t="s">
        <v>53</v>
      </c>
      <c r="D242" s="60">
        <v>2</v>
      </c>
      <c r="E242" s="60">
        <f>2+2.5+1+6</f>
        <v>11.5</v>
      </c>
      <c r="F242" s="60"/>
      <c r="G242" s="60"/>
      <c r="H242" s="62">
        <f t="shared" si="10"/>
        <v>23</v>
      </c>
    </row>
    <row r="243" spans="1:8" ht="15">
      <c r="A243" s="60"/>
      <c r="B243" s="60" t="s">
        <v>512</v>
      </c>
      <c r="C243" s="60" t="s">
        <v>53</v>
      </c>
      <c r="D243" s="60">
        <v>1</v>
      </c>
      <c r="E243" s="60">
        <f>2+2+6</f>
        <v>10</v>
      </c>
      <c r="F243" s="60"/>
      <c r="G243" s="60"/>
      <c r="H243" s="62">
        <f t="shared" si="10"/>
        <v>10</v>
      </c>
    </row>
    <row r="244" spans="1:8" ht="15">
      <c r="A244" s="60"/>
      <c r="B244" s="60" t="s">
        <v>513</v>
      </c>
      <c r="C244" s="60" t="s">
        <v>53</v>
      </c>
      <c r="D244" s="60"/>
      <c r="E244" s="60"/>
      <c r="F244" s="60"/>
      <c r="G244" s="60"/>
      <c r="H244" s="62">
        <f t="shared" si="10"/>
        <v>0</v>
      </c>
    </row>
    <row r="245" spans="1:8" ht="15">
      <c r="A245" s="60"/>
      <c r="B245" s="60" t="s">
        <v>514</v>
      </c>
      <c r="C245" s="60" t="s">
        <v>53</v>
      </c>
      <c r="D245" s="60">
        <v>1</v>
      </c>
      <c r="E245" s="60">
        <f>1.5</f>
        <v>1.5</v>
      </c>
      <c r="F245" s="60"/>
      <c r="G245" s="60"/>
      <c r="H245" s="62">
        <f t="shared" si="10"/>
        <v>1.5</v>
      </c>
    </row>
    <row r="246" spans="1:8" ht="15">
      <c r="A246" s="60"/>
      <c r="B246" s="60" t="s">
        <v>515</v>
      </c>
      <c r="C246" s="60" t="s">
        <v>53</v>
      </c>
      <c r="D246" s="60">
        <v>1</v>
      </c>
      <c r="E246" s="60">
        <f>1.5+4</f>
        <v>5.5</v>
      </c>
      <c r="F246" s="60"/>
      <c r="G246" s="60"/>
      <c r="H246" s="62">
        <f t="shared" si="10"/>
        <v>5.5</v>
      </c>
    </row>
    <row r="247" spans="1:8" ht="15">
      <c r="A247" s="60"/>
      <c r="B247" s="60" t="s">
        <v>516</v>
      </c>
      <c r="C247" s="60" t="s">
        <v>53</v>
      </c>
      <c r="D247" s="60">
        <v>1</v>
      </c>
      <c r="E247" s="60">
        <f>1</f>
        <v>1</v>
      </c>
      <c r="F247" s="60"/>
      <c r="G247" s="60"/>
      <c r="H247" s="62">
        <f t="shared" si="10"/>
        <v>1</v>
      </c>
    </row>
    <row r="248" spans="1:8" ht="15">
      <c r="A248" s="60"/>
      <c r="B248" s="60" t="s">
        <v>517</v>
      </c>
      <c r="C248" s="60" t="s">
        <v>53</v>
      </c>
      <c r="D248" s="60">
        <v>1</v>
      </c>
      <c r="E248" s="60">
        <f>1+1+1+6</f>
        <v>9</v>
      </c>
      <c r="F248" s="60"/>
      <c r="G248" s="60"/>
      <c r="H248" s="62">
        <f t="shared" si="10"/>
        <v>9</v>
      </c>
    </row>
    <row r="249" spans="1:8" ht="15">
      <c r="A249" s="60"/>
      <c r="B249" s="60" t="s">
        <v>518</v>
      </c>
      <c r="C249" s="60" t="s">
        <v>53</v>
      </c>
      <c r="D249" s="60">
        <v>1</v>
      </c>
      <c r="E249" s="60">
        <f>1+1.5+6</f>
        <v>8.5</v>
      </c>
      <c r="F249" s="60"/>
      <c r="G249" s="60"/>
      <c r="H249" s="62">
        <f t="shared" si="10"/>
        <v>8.5</v>
      </c>
    </row>
    <row r="250" spans="1:8" ht="15">
      <c r="A250" s="60"/>
      <c r="B250" s="60" t="s">
        <v>519</v>
      </c>
      <c r="C250" s="60" t="s">
        <v>53</v>
      </c>
      <c r="D250" s="60">
        <v>1</v>
      </c>
      <c r="E250" s="60">
        <f>3</f>
        <v>3</v>
      </c>
      <c r="F250" s="60"/>
      <c r="G250" s="60"/>
      <c r="H250" s="62">
        <f t="shared" si="10"/>
        <v>3</v>
      </c>
    </row>
    <row r="251" spans="1:8" ht="15">
      <c r="A251" s="60"/>
      <c r="B251" s="60" t="s">
        <v>520</v>
      </c>
      <c r="C251" s="60" t="s">
        <v>53</v>
      </c>
      <c r="D251" s="60">
        <v>1</v>
      </c>
      <c r="E251" s="60">
        <f>1.5+5+1.5</f>
        <v>8</v>
      </c>
      <c r="F251" s="60"/>
      <c r="G251" s="60"/>
      <c r="H251" s="62">
        <f t="shared" si="10"/>
        <v>8</v>
      </c>
    </row>
    <row r="252" spans="1:8" ht="15">
      <c r="A252" s="60"/>
      <c r="B252" s="60" t="s">
        <v>521</v>
      </c>
      <c r="C252" s="60" t="s">
        <v>53</v>
      </c>
      <c r="D252" s="60">
        <v>1</v>
      </c>
      <c r="E252" s="60">
        <v>2</v>
      </c>
      <c r="F252" s="60"/>
      <c r="G252" s="60"/>
      <c r="H252" s="62">
        <f t="shared" si="10"/>
        <v>2</v>
      </c>
    </row>
    <row r="253" spans="1:8" ht="15">
      <c r="A253" s="60"/>
      <c r="B253" s="60"/>
      <c r="C253" s="60" t="s">
        <v>53</v>
      </c>
      <c r="D253" s="60"/>
      <c r="E253" s="60"/>
      <c r="F253" s="60"/>
      <c r="G253" s="77" t="s">
        <v>522</v>
      </c>
      <c r="H253" s="83">
        <f>SUM(H229:H252)</f>
        <v>191.4</v>
      </c>
    </row>
    <row r="254" spans="1:8" ht="15">
      <c r="A254" s="60"/>
      <c r="B254" s="60"/>
      <c r="C254" s="60"/>
      <c r="D254" s="60"/>
      <c r="E254" s="60"/>
      <c r="F254" s="60"/>
      <c r="G254" s="77"/>
      <c r="H254" s="83"/>
    </row>
    <row r="255" spans="1:8" ht="15">
      <c r="A255" s="58">
        <v>4.12</v>
      </c>
      <c r="B255" s="82" t="s">
        <v>264</v>
      </c>
      <c r="C255" s="60" t="s">
        <v>53</v>
      </c>
      <c r="D255" s="61"/>
      <c r="E255" s="61"/>
      <c r="F255" s="61"/>
      <c r="G255" s="61"/>
      <c r="H255" s="60">
        <f t="shared" si="8"/>
        <v>0</v>
      </c>
    </row>
    <row r="256" spans="1:8" customFormat="1" ht="15">
      <c r="A256" s="60"/>
      <c r="B256" s="60" t="s">
        <v>523</v>
      </c>
      <c r="C256" s="60" t="s">
        <v>53</v>
      </c>
      <c r="D256" s="60">
        <v>1</v>
      </c>
      <c r="E256" s="60">
        <v>23</v>
      </c>
      <c r="F256" s="60"/>
      <c r="G256" s="60"/>
      <c r="H256" s="62">
        <f t="shared" ref="H256:H263" si="11">ROUND(PRODUCT(D256:G256),2)</f>
        <v>23</v>
      </c>
    </row>
    <row r="257" spans="1:8" customFormat="1" ht="15">
      <c r="A257" s="60"/>
      <c r="B257" s="60" t="s">
        <v>524</v>
      </c>
      <c r="C257" s="60" t="s">
        <v>53</v>
      </c>
      <c r="D257" s="60">
        <v>1</v>
      </c>
      <c r="E257" s="60">
        <v>22.5</v>
      </c>
      <c r="F257" s="60"/>
      <c r="G257" s="60"/>
      <c r="H257" s="62">
        <f t="shared" si="11"/>
        <v>22.5</v>
      </c>
    </row>
    <row r="258" spans="1:8" customFormat="1" ht="15">
      <c r="A258" s="60"/>
      <c r="B258" s="60" t="s">
        <v>525</v>
      </c>
      <c r="C258" s="60" t="s">
        <v>53</v>
      </c>
      <c r="D258" s="60">
        <v>1</v>
      </c>
      <c r="E258" s="60">
        <v>16.5</v>
      </c>
      <c r="F258" s="60"/>
      <c r="G258" s="60"/>
      <c r="H258" s="62">
        <f t="shared" si="11"/>
        <v>16.5</v>
      </c>
    </row>
    <row r="259" spans="1:8" customFormat="1" ht="15">
      <c r="A259" s="60"/>
      <c r="B259" s="60" t="s">
        <v>526</v>
      </c>
      <c r="C259" s="60" t="s">
        <v>53</v>
      </c>
      <c r="D259" s="60">
        <v>1</v>
      </c>
      <c r="E259" s="60">
        <v>15</v>
      </c>
      <c r="F259" s="60"/>
      <c r="G259" s="60"/>
      <c r="H259" s="62">
        <f t="shared" si="11"/>
        <v>15</v>
      </c>
    </row>
    <row r="260" spans="1:8" customFormat="1" ht="15">
      <c r="A260" s="60"/>
      <c r="B260" s="60" t="s">
        <v>527</v>
      </c>
      <c r="C260" s="60" t="s">
        <v>53</v>
      </c>
      <c r="D260" s="60">
        <v>1</v>
      </c>
      <c r="E260" s="60">
        <v>15</v>
      </c>
      <c r="F260" s="60"/>
      <c r="G260" s="60"/>
      <c r="H260" s="62">
        <f t="shared" si="11"/>
        <v>15</v>
      </c>
    </row>
    <row r="261" spans="1:8" customFormat="1" ht="15">
      <c r="A261" s="60"/>
      <c r="B261" s="60" t="s">
        <v>528</v>
      </c>
      <c r="C261" s="60" t="s">
        <v>53</v>
      </c>
      <c r="D261" s="60">
        <v>1</v>
      </c>
      <c r="E261" s="60">
        <v>18</v>
      </c>
      <c r="F261" s="60"/>
      <c r="G261" s="60"/>
      <c r="H261" s="62">
        <f t="shared" si="11"/>
        <v>18</v>
      </c>
    </row>
    <row r="262" spans="1:8" customFormat="1" ht="15">
      <c r="A262" s="60"/>
      <c r="B262" s="60" t="s">
        <v>529</v>
      </c>
      <c r="C262" s="60" t="s">
        <v>53</v>
      </c>
      <c r="D262" s="60">
        <v>1</v>
      </c>
      <c r="E262" s="60">
        <v>26</v>
      </c>
      <c r="F262" s="60"/>
      <c r="G262" s="60"/>
      <c r="H262" s="62">
        <f t="shared" si="11"/>
        <v>26</v>
      </c>
    </row>
    <row r="263" spans="1:8" customFormat="1" ht="15">
      <c r="A263" s="60"/>
      <c r="B263" s="60" t="s">
        <v>530</v>
      </c>
      <c r="C263" s="60" t="s">
        <v>53</v>
      </c>
      <c r="D263" s="60">
        <v>1</v>
      </c>
      <c r="E263" s="60">
        <v>29</v>
      </c>
      <c r="F263" s="60"/>
      <c r="G263" s="60"/>
      <c r="H263" s="62">
        <f t="shared" si="11"/>
        <v>29</v>
      </c>
    </row>
    <row r="264" spans="1:8" customFormat="1" ht="15">
      <c r="A264" s="60"/>
      <c r="B264" s="60"/>
      <c r="C264" s="61"/>
      <c r="D264" s="60"/>
      <c r="E264" s="60"/>
      <c r="F264" s="60"/>
      <c r="G264" s="77" t="s">
        <v>522</v>
      </c>
      <c r="H264" s="77">
        <f>SUM(H255:H263)</f>
        <v>165</v>
      </c>
    </row>
    <row r="265" spans="1:8" ht="15">
      <c r="A265" s="58">
        <v>5</v>
      </c>
      <c r="B265" s="59" t="s">
        <v>265</v>
      </c>
      <c r="C265" s="60"/>
      <c r="D265" s="61"/>
      <c r="E265" s="61"/>
      <c r="F265" s="61"/>
      <c r="G265" s="61"/>
      <c r="H265" s="60">
        <f t="shared" si="8"/>
        <v>0</v>
      </c>
    </row>
    <row r="266" spans="1:8" ht="15">
      <c r="A266" s="58" t="s">
        <v>268</v>
      </c>
      <c r="B266" s="84" t="s">
        <v>269</v>
      </c>
      <c r="C266" s="60"/>
      <c r="D266" s="61"/>
      <c r="E266" s="61"/>
      <c r="F266" s="61"/>
      <c r="G266" s="61"/>
      <c r="H266" s="62"/>
    </row>
    <row r="267" spans="1:8" ht="15">
      <c r="A267" s="58"/>
      <c r="B267" s="84" t="s">
        <v>531</v>
      </c>
      <c r="C267" s="60" t="s">
        <v>28</v>
      </c>
      <c r="D267" s="61">
        <v>3</v>
      </c>
      <c r="E267" s="61"/>
      <c r="F267" s="61"/>
      <c r="G267" s="61"/>
      <c r="H267" s="62">
        <f t="shared" ref="H267:H268" si="12">ROUND(PRODUCT(D267:G267),2)</f>
        <v>3</v>
      </c>
    </row>
    <row r="268" spans="1:8" ht="15">
      <c r="A268" s="58"/>
      <c r="B268" s="84" t="s">
        <v>532</v>
      </c>
      <c r="C268" s="60" t="s">
        <v>28</v>
      </c>
      <c r="D268" s="61">
        <v>2</v>
      </c>
      <c r="E268" s="61">
        <v>2</v>
      </c>
      <c r="F268" s="61"/>
      <c r="G268" s="61"/>
      <c r="H268" s="62">
        <f t="shared" si="12"/>
        <v>4</v>
      </c>
    </row>
    <row r="269" spans="1:8" ht="15">
      <c r="A269" s="58"/>
      <c r="B269" s="84"/>
      <c r="C269" s="60"/>
      <c r="D269" s="61"/>
      <c r="E269" s="61"/>
      <c r="F269" s="61"/>
      <c r="G269" s="77" t="s">
        <v>522</v>
      </c>
      <c r="H269" s="83">
        <f>SUM(H267:H268)</f>
        <v>7</v>
      </c>
    </row>
    <row r="270" spans="1:8" ht="15">
      <c r="A270" s="58" t="s">
        <v>270</v>
      </c>
      <c r="B270" s="84" t="s">
        <v>271</v>
      </c>
      <c r="C270" s="60"/>
      <c r="D270" s="61"/>
      <c r="E270" s="61"/>
      <c r="F270" s="61"/>
      <c r="G270" s="61"/>
      <c r="H270" s="62"/>
    </row>
    <row r="271" spans="1:8" ht="15">
      <c r="A271" s="58"/>
      <c r="B271" s="84" t="s">
        <v>531</v>
      </c>
      <c r="C271" s="60" t="s">
        <v>28</v>
      </c>
      <c r="D271" s="61">
        <v>2</v>
      </c>
      <c r="E271" s="61"/>
      <c r="F271" s="61"/>
      <c r="G271" s="61"/>
      <c r="H271" s="62">
        <f t="shared" ref="H271:H272" si="13">ROUND(PRODUCT(D271:G271),2)</f>
        <v>2</v>
      </c>
    </row>
    <row r="272" spans="1:8" ht="15">
      <c r="A272" s="58"/>
      <c r="B272" s="84" t="s">
        <v>532</v>
      </c>
      <c r="C272" s="60" t="s">
        <v>28</v>
      </c>
      <c r="D272" s="61">
        <v>2</v>
      </c>
      <c r="E272" s="61">
        <v>6</v>
      </c>
      <c r="F272" s="61"/>
      <c r="G272" s="61"/>
      <c r="H272" s="62">
        <f t="shared" si="13"/>
        <v>12</v>
      </c>
    </row>
    <row r="273" spans="1:8" ht="15">
      <c r="A273" s="58"/>
      <c r="B273" s="84"/>
      <c r="C273" s="60"/>
      <c r="D273" s="61"/>
      <c r="E273" s="61"/>
      <c r="F273" s="61"/>
      <c r="G273" s="77" t="s">
        <v>522</v>
      </c>
      <c r="H273" s="83">
        <f>SUM(H271:H272)</f>
        <v>14</v>
      </c>
    </row>
    <row r="274" spans="1:8" ht="15">
      <c r="A274" s="58" t="s">
        <v>276</v>
      </c>
      <c r="B274" s="84" t="s">
        <v>277</v>
      </c>
      <c r="C274" s="60" t="s">
        <v>28</v>
      </c>
      <c r="D274" s="61">
        <v>9</v>
      </c>
      <c r="E274" s="61"/>
      <c r="F274" s="61"/>
      <c r="G274" s="61"/>
      <c r="H274" s="62">
        <f t="shared" ref="H274:H276" si="14">ROUND(PRODUCT(D274:G274),2)</f>
        <v>9</v>
      </c>
    </row>
    <row r="275" spans="1:8" ht="15">
      <c r="A275" s="58" t="s">
        <v>278</v>
      </c>
      <c r="B275" s="85" t="s">
        <v>279</v>
      </c>
      <c r="C275" s="60" t="s">
        <v>28</v>
      </c>
      <c r="D275" s="61">
        <v>1</v>
      </c>
      <c r="E275" s="61"/>
      <c r="F275" s="61"/>
      <c r="G275" s="61"/>
      <c r="H275" s="62">
        <f t="shared" si="14"/>
        <v>1</v>
      </c>
    </row>
    <row r="276" spans="1:8" ht="15">
      <c r="A276" s="58" t="s">
        <v>280</v>
      </c>
      <c r="B276" s="85" t="s">
        <v>281</v>
      </c>
      <c r="C276" s="60" t="s">
        <v>28</v>
      </c>
      <c r="D276" s="61">
        <v>1</v>
      </c>
      <c r="E276" s="61"/>
      <c r="F276" s="61"/>
      <c r="G276" s="61"/>
      <c r="H276" s="62">
        <f t="shared" si="14"/>
        <v>1</v>
      </c>
    </row>
    <row r="277" spans="1:8" ht="15">
      <c r="A277" s="58">
        <v>6</v>
      </c>
      <c r="B277" s="59" t="s">
        <v>282</v>
      </c>
      <c r="C277" s="60"/>
      <c r="D277" s="61"/>
      <c r="E277" s="61"/>
      <c r="F277" s="61"/>
      <c r="G277" s="61"/>
      <c r="H277" s="60">
        <f t="shared" ref="H277" si="15">F277*E277*D277</f>
        <v>0</v>
      </c>
    </row>
    <row r="278" spans="1:8" ht="15">
      <c r="A278" s="58" t="s">
        <v>285</v>
      </c>
      <c r="B278" s="86" t="s">
        <v>286</v>
      </c>
      <c r="C278" s="60" t="s">
        <v>53</v>
      </c>
      <c r="D278" s="61">
        <v>2</v>
      </c>
      <c r="E278" s="61">
        <f>4+4+5+2+6.5</f>
        <v>21.5</v>
      </c>
      <c r="F278" s="61"/>
      <c r="G278" s="61"/>
      <c r="H278" s="62">
        <f t="shared" ref="H278" si="16">ROUND(PRODUCT(D278:G278),2)</f>
        <v>43</v>
      </c>
    </row>
    <row r="279" spans="1:8" ht="15">
      <c r="A279" s="58"/>
      <c r="B279" s="60"/>
      <c r="C279" s="60"/>
      <c r="D279" s="61"/>
      <c r="E279" s="61"/>
      <c r="F279" s="61"/>
      <c r="G279" s="61"/>
      <c r="H279" s="60">
        <f>F279*E279*D279</f>
        <v>0</v>
      </c>
    </row>
    <row r="280" spans="1:8" ht="15">
      <c r="A280" s="58">
        <v>7</v>
      </c>
      <c r="B280" s="87" t="s">
        <v>287</v>
      </c>
      <c r="C280" s="60"/>
      <c r="D280" s="60"/>
      <c r="E280" s="61"/>
      <c r="F280" s="61"/>
      <c r="G280" s="61"/>
      <c r="H280" s="60"/>
    </row>
    <row r="281" spans="1:8" ht="15">
      <c r="A281" s="88" t="s">
        <v>289</v>
      </c>
      <c r="B281" s="85" t="s">
        <v>370</v>
      </c>
      <c r="C281" s="60" t="s">
        <v>28</v>
      </c>
      <c r="D281" s="61">
        <v>8</v>
      </c>
      <c r="E281" s="61"/>
      <c r="F281" s="61"/>
      <c r="G281" s="61"/>
      <c r="H281" s="62">
        <f t="shared" ref="H281:H285" si="17">ROUND(PRODUCT(D281:G281),2)</f>
        <v>8</v>
      </c>
    </row>
    <row r="282" spans="1:8" ht="15">
      <c r="A282" s="88" t="s">
        <v>290</v>
      </c>
      <c r="B282" s="85" t="s">
        <v>371</v>
      </c>
      <c r="C282" s="60" t="s">
        <v>28</v>
      </c>
      <c r="D282" s="61">
        <v>6</v>
      </c>
      <c r="E282" s="61"/>
      <c r="F282" s="61"/>
      <c r="G282" s="61"/>
      <c r="H282" s="62">
        <f t="shared" si="17"/>
        <v>6</v>
      </c>
    </row>
    <row r="283" spans="1:8" ht="15">
      <c r="A283" s="58">
        <v>8</v>
      </c>
      <c r="B283" s="89" t="s">
        <v>299</v>
      </c>
      <c r="C283" s="60"/>
      <c r="D283" s="60"/>
      <c r="E283" s="61"/>
      <c r="F283" s="61"/>
      <c r="G283" s="61"/>
      <c r="H283" s="60"/>
    </row>
    <row r="284" spans="1:8" ht="60">
      <c r="A284" s="58">
        <v>9.1999999999999993</v>
      </c>
      <c r="B284" s="90" t="s">
        <v>448</v>
      </c>
      <c r="C284" s="60" t="s">
        <v>28</v>
      </c>
      <c r="D284" s="60">
        <v>2</v>
      </c>
      <c r="E284" s="61"/>
      <c r="F284" s="61"/>
      <c r="G284" s="61"/>
      <c r="H284" s="62">
        <f t="shared" si="17"/>
        <v>2</v>
      </c>
    </row>
    <row r="285" spans="1:8" ht="60">
      <c r="A285" s="58">
        <v>9.3000000000000007</v>
      </c>
      <c r="B285" s="90" t="s">
        <v>449</v>
      </c>
      <c r="C285" s="60" t="s">
        <v>28</v>
      </c>
      <c r="D285" s="60">
        <v>1</v>
      </c>
      <c r="E285" s="61"/>
      <c r="F285" s="61"/>
      <c r="G285" s="61"/>
      <c r="H285" s="62">
        <f t="shared" si="17"/>
        <v>1</v>
      </c>
    </row>
    <row r="286" spans="1:8" ht="15">
      <c r="A286" s="58"/>
      <c r="B286" s="89"/>
      <c r="C286" s="60"/>
      <c r="D286" s="60"/>
      <c r="E286" s="61"/>
      <c r="F286" s="61"/>
      <c r="G286" s="61"/>
      <c r="H286" s="60"/>
    </row>
    <row r="287" spans="1:8" ht="24">
      <c r="A287" s="91">
        <v>10</v>
      </c>
      <c r="B287" s="90" t="s">
        <v>396</v>
      </c>
      <c r="C287" s="91" t="s">
        <v>397</v>
      </c>
      <c r="D287" s="60"/>
      <c r="E287" s="61"/>
      <c r="F287" s="61"/>
      <c r="G287" s="61"/>
      <c r="H287" s="60"/>
    </row>
    <row r="288" spans="1:8" customFormat="1" ht="24">
      <c r="A288" s="60"/>
      <c r="B288" s="60" t="s">
        <v>533</v>
      </c>
      <c r="C288" s="91" t="s">
        <v>397</v>
      </c>
      <c r="D288" s="60">
        <v>1</v>
      </c>
      <c r="E288" s="60">
        <f>2+6.5+2</f>
        <v>10.5</v>
      </c>
      <c r="F288" s="60"/>
      <c r="G288" s="60"/>
      <c r="H288" s="62">
        <f t="shared" ref="H288:H293" si="18">ROUND(PRODUCT(D288:G288),2)</f>
        <v>10.5</v>
      </c>
    </row>
    <row r="289" spans="1:8" customFormat="1" ht="24">
      <c r="A289" s="60"/>
      <c r="B289" s="60" t="s">
        <v>534</v>
      </c>
      <c r="C289" s="91" t="s">
        <v>397</v>
      </c>
      <c r="D289" s="60">
        <v>1</v>
      </c>
      <c r="E289" s="60">
        <f>2+1.5+3</f>
        <v>6.5</v>
      </c>
      <c r="F289" s="60"/>
      <c r="G289" s="60"/>
      <c r="H289" s="60">
        <f>D289*E289</f>
        <v>6.5</v>
      </c>
    </row>
    <row r="290" spans="1:8" customFormat="1" ht="24">
      <c r="A290" s="60"/>
      <c r="B290" s="60" t="s">
        <v>535</v>
      </c>
      <c r="C290" s="91" t="s">
        <v>397</v>
      </c>
      <c r="D290" s="60">
        <v>1</v>
      </c>
      <c r="E290" s="60">
        <f>2+2+2.5</f>
        <v>6.5</v>
      </c>
      <c r="F290" s="60"/>
      <c r="G290" s="60"/>
      <c r="H290" s="60">
        <f>D290*E290</f>
        <v>6.5</v>
      </c>
    </row>
    <row r="291" spans="1:8" customFormat="1" ht="24">
      <c r="A291" s="60"/>
      <c r="B291" s="60" t="s">
        <v>536</v>
      </c>
      <c r="C291" s="91" t="s">
        <v>397</v>
      </c>
      <c r="D291" s="60">
        <v>1</v>
      </c>
      <c r="E291" s="60">
        <f>2.5+1.5+5</f>
        <v>9</v>
      </c>
      <c r="F291" s="60"/>
      <c r="G291" s="60"/>
      <c r="H291" s="60">
        <f>D291*E291</f>
        <v>9</v>
      </c>
    </row>
    <row r="292" spans="1:8" customFormat="1" ht="24">
      <c r="A292" s="60"/>
      <c r="B292" s="60" t="s">
        <v>537</v>
      </c>
      <c r="C292" s="91" t="s">
        <v>397</v>
      </c>
      <c r="D292" s="60">
        <v>1</v>
      </c>
      <c r="E292" s="60">
        <f>2+6.5+2</f>
        <v>10.5</v>
      </c>
      <c r="F292" s="60"/>
      <c r="G292" s="60"/>
      <c r="H292" s="62">
        <f t="shared" si="18"/>
        <v>10.5</v>
      </c>
    </row>
    <row r="293" spans="1:8" customFormat="1" ht="24">
      <c r="A293" s="60"/>
      <c r="B293" s="60" t="s">
        <v>538</v>
      </c>
      <c r="C293" s="91" t="s">
        <v>397</v>
      </c>
      <c r="D293" s="60">
        <v>1</v>
      </c>
      <c r="E293" s="60">
        <f>2+9+2</f>
        <v>13</v>
      </c>
      <c r="F293" s="60"/>
      <c r="G293" s="60"/>
      <c r="H293" s="62">
        <f t="shared" si="18"/>
        <v>13</v>
      </c>
    </row>
    <row r="294" spans="1:8" ht="15">
      <c r="A294" s="91"/>
      <c r="B294" s="90"/>
      <c r="C294" s="91"/>
      <c r="D294" s="60"/>
      <c r="E294" s="61"/>
      <c r="F294" s="851" t="s">
        <v>464</v>
      </c>
      <c r="G294" s="851"/>
      <c r="H294" s="62">
        <f>SUM(H288:H293)</f>
        <v>56</v>
      </c>
    </row>
    <row r="295" spans="1:8" ht="15">
      <c r="A295" s="91"/>
      <c r="B295" s="60"/>
      <c r="C295" s="91"/>
      <c r="D295" s="60"/>
      <c r="E295" s="61"/>
      <c r="F295" s="61"/>
      <c r="G295" s="61"/>
      <c r="H295" s="60"/>
    </row>
    <row r="296" spans="1:8" ht="38.25" customHeight="1">
      <c r="A296" s="845" t="s">
        <v>539</v>
      </c>
      <c r="B296" s="845"/>
      <c r="C296" s="845"/>
      <c r="D296" s="845"/>
      <c r="E296" s="845"/>
      <c r="F296" s="845"/>
      <c r="G296" s="845"/>
      <c r="H296" s="845"/>
    </row>
    <row r="297" spans="1:8" ht="15">
      <c r="A297" s="58">
        <v>1</v>
      </c>
      <c r="B297" s="59" t="s">
        <v>540</v>
      </c>
      <c r="C297" s="60" t="s">
        <v>28</v>
      </c>
      <c r="D297" s="61">
        <v>1</v>
      </c>
      <c r="E297" s="61"/>
      <c r="F297" s="61"/>
      <c r="G297" s="61"/>
      <c r="H297" s="62">
        <f>ROUND(PRODUCT(D297:G297),2)</f>
        <v>1</v>
      </c>
    </row>
    <row r="298" spans="1:8" customFormat="1" ht="57.75" customHeight="1">
      <c r="A298" s="58">
        <v>2</v>
      </c>
      <c r="B298" s="92" t="s">
        <v>541</v>
      </c>
      <c r="C298" s="92"/>
      <c r="D298" s="92"/>
      <c r="E298" s="92"/>
      <c r="F298" s="92"/>
      <c r="G298" s="92"/>
      <c r="H298" s="92"/>
    </row>
    <row r="299" spans="1:8" customFormat="1" ht="15">
      <c r="A299" s="60"/>
      <c r="B299" s="60" t="s">
        <v>542</v>
      </c>
      <c r="C299" s="60"/>
      <c r="D299" s="60">
        <v>1</v>
      </c>
      <c r="E299" s="60">
        <f>0.5+2.5+1+3+2.7+3.5+4.3+2+3</f>
        <v>22.5</v>
      </c>
      <c r="F299" s="60"/>
      <c r="G299" s="60"/>
      <c r="H299" s="60">
        <f t="shared" ref="H299:H307" si="19">D299*E299</f>
        <v>22.5</v>
      </c>
    </row>
    <row r="300" spans="1:8" customFormat="1" ht="15">
      <c r="A300" s="60"/>
      <c r="B300" s="60" t="s">
        <v>543</v>
      </c>
      <c r="C300" s="60"/>
      <c r="D300" s="60">
        <v>1</v>
      </c>
      <c r="E300" s="60">
        <f>1+3+0.5+2.7+3.5+4.3+2+3</f>
        <v>20</v>
      </c>
      <c r="F300" s="60"/>
      <c r="G300" s="60"/>
      <c r="H300" s="60">
        <f t="shared" si="19"/>
        <v>20</v>
      </c>
    </row>
    <row r="301" spans="1:8" customFormat="1" ht="15">
      <c r="A301" s="60"/>
      <c r="B301" s="60" t="s">
        <v>544</v>
      </c>
      <c r="C301" s="60"/>
      <c r="D301" s="60">
        <v>1</v>
      </c>
      <c r="E301" s="60">
        <f>0.5+2+2+2.7+4.5+2+3</f>
        <v>16.7</v>
      </c>
      <c r="F301" s="60"/>
      <c r="G301" s="60"/>
      <c r="H301" s="60">
        <f t="shared" si="19"/>
        <v>16.7</v>
      </c>
    </row>
    <row r="302" spans="1:8" customFormat="1" ht="15">
      <c r="A302" s="60"/>
      <c r="B302" s="60" t="s">
        <v>545</v>
      </c>
      <c r="C302" s="60"/>
      <c r="D302" s="60">
        <v>1</v>
      </c>
      <c r="E302" s="60">
        <f>0.5+2+2.7+4.8+2+3</f>
        <v>15</v>
      </c>
      <c r="F302" s="60"/>
      <c r="G302" s="60"/>
      <c r="H302" s="60">
        <f t="shared" si="19"/>
        <v>15</v>
      </c>
    </row>
    <row r="303" spans="1:8" customFormat="1" ht="15">
      <c r="A303" s="60"/>
      <c r="B303" s="60" t="s">
        <v>546</v>
      </c>
      <c r="C303" s="60"/>
      <c r="D303" s="60">
        <v>1</v>
      </c>
      <c r="E303" s="60">
        <f>0.5+1+2+4.8+2.7+2+3</f>
        <v>16</v>
      </c>
      <c r="F303" s="60"/>
      <c r="G303" s="60"/>
      <c r="H303" s="60">
        <f t="shared" si="19"/>
        <v>16</v>
      </c>
    </row>
    <row r="304" spans="1:8" customFormat="1" ht="15">
      <c r="A304" s="60"/>
      <c r="B304" s="60" t="s">
        <v>547</v>
      </c>
      <c r="C304" s="60"/>
      <c r="D304" s="60">
        <v>1</v>
      </c>
      <c r="E304" s="60">
        <f>0.5+2.5+3.5+2.7+2+3</f>
        <v>14.2</v>
      </c>
      <c r="F304" s="60"/>
      <c r="G304" s="60"/>
      <c r="H304" s="60">
        <f t="shared" si="19"/>
        <v>14.2</v>
      </c>
    </row>
    <row r="305" spans="1:8" customFormat="1" ht="15">
      <c r="A305" s="60"/>
      <c r="B305" s="60" t="s">
        <v>548</v>
      </c>
      <c r="C305" s="60"/>
      <c r="D305" s="60">
        <v>1</v>
      </c>
      <c r="E305" s="60">
        <f>0.5+2+2.7+2+3</f>
        <v>10.199999999999999</v>
      </c>
      <c r="F305" s="60"/>
      <c r="G305" s="60"/>
      <c r="H305" s="60">
        <f t="shared" si="19"/>
        <v>10.199999999999999</v>
      </c>
    </row>
    <row r="306" spans="1:8" customFormat="1" ht="15">
      <c r="A306" s="60"/>
      <c r="B306" s="60" t="s">
        <v>549</v>
      </c>
      <c r="C306" s="60"/>
      <c r="D306" s="60">
        <v>1</v>
      </c>
      <c r="E306" s="60">
        <f>0.5+2+3.5+2+2+3</f>
        <v>13</v>
      </c>
      <c r="F306" s="60"/>
      <c r="G306" s="60"/>
      <c r="H306" s="60">
        <f t="shared" si="19"/>
        <v>13</v>
      </c>
    </row>
    <row r="307" spans="1:8" customFormat="1" ht="15">
      <c r="A307" s="60"/>
      <c r="B307" s="60" t="s">
        <v>550</v>
      </c>
      <c r="C307" s="60"/>
      <c r="D307" s="60">
        <v>1</v>
      </c>
      <c r="E307" s="60">
        <f>0.5+1.5+3</f>
        <v>5</v>
      </c>
      <c r="F307" s="60"/>
      <c r="G307" s="60"/>
      <c r="H307" s="60">
        <f t="shared" si="19"/>
        <v>5</v>
      </c>
    </row>
    <row r="308" spans="1:8" customFormat="1" ht="15">
      <c r="A308" s="60"/>
      <c r="B308" s="60"/>
      <c r="C308" s="60"/>
      <c r="D308" s="60"/>
      <c r="E308" s="60"/>
      <c r="F308" s="60"/>
      <c r="G308" s="77" t="s">
        <v>522</v>
      </c>
      <c r="H308" s="77">
        <f>SUM(H299:H307)</f>
        <v>132.60000000000002</v>
      </c>
    </row>
    <row r="309" spans="1:8" customFormat="1" ht="15">
      <c r="A309" s="60"/>
      <c r="B309" s="60"/>
      <c r="C309" s="60"/>
      <c r="D309" s="60"/>
      <c r="E309" s="60"/>
      <c r="F309" s="60"/>
      <c r="G309" s="60"/>
      <c r="H309" s="60"/>
    </row>
    <row r="310" spans="1:8" customFormat="1" ht="25.5">
      <c r="A310" s="60">
        <v>4</v>
      </c>
      <c r="B310" s="93" t="s">
        <v>302</v>
      </c>
      <c r="C310" s="59" t="s">
        <v>465</v>
      </c>
      <c r="D310" s="60"/>
      <c r="E310" s="60"/>
      <c r="F310" s="60"/>
      <c r="G310" s="60"/>
      <c r="H310" s="60"/>
    </row>
    <row r="311" spans="1:8" customFormat="1" ht="15">
      <c r="A311" s="60"/>
      <c r="B311" s="60" t="s">
        <v>555</v>
      </c>
      <c r="C311" s="60"/>
      <c r="D311" s="60">
        <v>3</v>
      </c>
      <c r="E311" s="60">
        <f>1+1+3+3.5+6+4</f>
        <v>18.5</v>
      </c>
      <c r="F311" s="60"/>
      <c r="G311" s="60"/>
      <c r="H311" s="60">
        <f>D311*E311</f>
        <v>55.5</v>
      </c>
    </row>
    <row r="312" spans="1:8" customFormat="1" ht="15">
      <c r="A312" s="60"/>
      <c r="B312" s="60" t="s">
        <v>556</v>
      </c>
      <c r="C312" s="60"/>
      <c r="D312" s="60">
        <v>6</v>
      </c>
      <c r="E312" s="60">
        <f>3+2+2.5+1+6+4</f>
        <v>18.5</v>
      </c>
      <c r="F312" s="60"/>
      <c r="G312" s="60"/>
      <c r="H312" s="60">
        <f>D312*E312</f>
        <v>111</v>
      </c>
    </row>
    <row r="313" spans="1:8" customFormat="1" ht="15">
      <c r="A313" s="60"/>
      <c r="B313" s="60" t="s">
        <v>557</v>
      </c>
      <c r="C313" s="60"/>
      <c r="D313" s="60">
        <v>1</v>
      </c>
      <c r="E313" s="60">
        <f>3+2+2+6+4</f>
        <v>17</v>
      </c>
      <c r="F313" s="60"/>
      <c r="G313" s="60"/>
      <c r="H313" s="60">
        <f>D313*E313</f>
        <v>17</v>
      </c>
    </row>
    <row r="314" spans="1:8" customFormat="1" ht="15">
      <c r="A314" s="60"/>
      <c r="B314" s="60"/>
      <c r="C314" s="60"/>
      <c r="D314" s="60"/>
      <c r="E314" s="60"/>
      <c r="F314" s="60"/>
      <c r="G314" s="77" t="s">
        <v>522</v>
      </c>
      <c r="H314" s="77">
        <f>SUM(H311:H313)</f>
        <v>183.5</v>
      </c>
    </row>
    <row r="315" spans="1:8" customFormat="1" ht="15">
      <c r="A315" s="60"/>
      <c r="B315" s="60"/>
      <c r="C315" s="60"/>
      <c r="D315" s="60"/>
      <c r="E315" s="60"/>
      <c r="F315" s="60"/>
      <c r="G315" s="124"/>
      <c r="H315" s="124"/>
    </row>
    <row r="316" spans="1:8" customFormat="1" ht="15">
      <c r="A316" s="60">
        <v>5</v>
      </c>
      <c r="B316" s="60" t="s">
        <v>823</v>
      </c>
      <c r="C316" s="60"/>
      <c r="D316" s="60"/>
      <c r="E316" s="60"/>
      <c r="F316" s="60"/>
      <c r="G316" s="124"/>
      <c r="H316" s="124"/>
    </row>
    <row r="317" spans="1:8" ht="15">
      <c r="A317" s="94"/>
      <c r="B317" s="60" t="s">
        <v>825</v>
      </c>
      <c r="C317" s="77" t="s">
        <v>466</v>
      </c>
      <c r="D317" s="77"/>
      <c r="E317" s="77">
        <f xml:space="preserve"> (1+2.5+5+2.5)</f>
        <v>11</v>
      </c>
      <c r="F317" s="137"/>
      <c r="G317" s="137"/>
      <c r="H317" s="77">
        <f>E317</f>
        <v>11</v>
      </c>
    </row>
    <row r="318" spans="1:8" ht="15">
      <c r="A318" s="94"/>
      <c r="B318" s="60"/>
      <c r="C318" s="60"/>
      <c r="D318" s="60"/>
      <c r="E318" s="61"/>
      <c r="F318" s="61"/>
      <c r="G318" s="61"/>
      <c r="H318" s="60"/>
    </row>
    <row r="319" spans="1:8" ht="15">
      <c r="A319" s="58" t="s">
        <v>49</v>
      </c>
      <c r="B319" s="95" t="s">
        <v>352</v>
      </c>
      <c r="C319" s="60"/>
      <c r="D319" s="60"/>
      <c r="E319" s="61"/>
      <c r="F319" s="61"/>
      <c r="G319" s="61"/>
      <c r="H319" s="60"/>
    </row>
  </sheetData>
  <mergeCells count="30">
    <mergeCell ref="A296:H296"/>
    <mergeCell ref="C83:G83"/>
    <mergeCell ref="D84:G84"/>
    <mergeCell ref="D87:G87"/>
    <mergeCell ref="C91:G91"/>
    <mergeCell ref="D92:G92"/>
    <mergeCell ref="C99:G99"/>
    <mergeCell ref="D100:G100"/>
    <mergeCell ref="A143:H143"/>
    <mergeCell ref="B175:H175"/>
    <mergeCell ref="F195:G195"/>
    <mergeCell ref="F294:G294"/>
    <mergeCell ref="D70:G70"/>
    <mergeCell ref="C25:G25"/>
    <mergeCell ref="D26:G26"/>
    <mergeCell ref="D29:G29"/>
    <mergeCell ref="D32:G32"/>
    <mergeCell ref="C36:G36"/>
    <mergeCell ref="D37:G37"/>
    <mergeCell ref="C46:G46"/>
    <mergeCell ref="D47:G47"/>
    <mergeCell ref="C61:G61"/>
    <mergeCell ref="D62:G62"/>
    <mergeCell ref="C69:G69"/>
    <mergeCell ref="D16:G16"/>
    <mergeCell ref="A1:H1"/>
    <mergeCell ref="A2:H2"/>
    <mergeCell ref="A3:H3"/>
    <mergeCell ref="A4:H4"/>
    <mergeCell ref="C15:G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2"/>
  <sheetViews>
    <sheetView topLeftCell="A369" zoomScale="88" zoomScaleNormal="88" workbookViewId="0">
      <selection activeCell="F89" sqref="F89"/>
    </sheetView>
  </sheetViews>
  <sheetFormatPr defaultColWidth="9.140625" defaultRowHeight="12"/>
  <cols>
    <col min="1" max="1" width="7.28515625" style="6" customWidth="1"/>
    <col min="2" max="2" width="17.5703125" style="5" customWidth="1"/>
    <col min="3" max="3" width="62.140625" style="5" customWidth="1"/>
    <col min="4" max="4" width="14.28515625" style="6" customWidth="1"/>
    <col min="5" max="5" width="12.42578125" style="396" customWidth="1"/>
    <col min="6" max="6" width="12.42578125" style="651" customWidth="1"/>
    <col min="7" max="8" width="12.42578125" style="402" customWidth="1"/>
    <col min="9" max="9" width="12.7109375" style="101" bestFit="1" customWidth="1"/>
    <col min="10" max="16384" width="9.140625" style="1"/>
  </cols>
  <sheetData>
    <row r="1" spans="1:11" ht="12" customHeight="1">
      <c r="A1" s="853" t="s">
        <v>386</v>
      </c>
      <c r="B1" s="853"/>
      <c r="C1" s="853"/>
      <c r="D1" s="853"/>
      <c r="E1" s="853"/>
      <c r="F1" s="853"/>
      <c r="G1" s="853"/>
      <c r="H1" s="853"/>
      <c r="I1" s="217"/>
    </row>
    <row r="2" spans="1:11">
      <c r="A2" s="153" t="s">
        <v>27</v>
      </c>
      <c r="B2" s="154" t="s">
        <v>187</v>
      </c>
      <c r="C2" s="155"/>
      <c r="D2" s="156"/>
      <c r="E2" s="407"/>
      <c r="F2" s="735"/>
      <c r="G2" s="409"/>
      <c r="H2" s="409"/>
      <c r="I2" s="217"/>
    </row>
    <row r="3" spans="1:11" ht="12.75">
      <c r="A3" s="410" t="s">
        <v>0</v>
      </c>
      <c r="B3" s="410" t="s">
        <v>1</v>
      </c>
      <c r="C3" s="410" t="s">
        <v>2</v>
      </c>
      <c r="D3" s="410" t="s">
        <v>3</v>
      </c>
      <c r="E3" s="411" t="s">
        <v>4</v>
      </c>
      <c r="F3" s="736" t="s">
        <v>558</v>
      </c>
      <c r="G3" s="412" t="s">
        <v>5</v>
      </c>
      <c r="H3" s="413" t="s">
        <v>6</v>
      </c>
      <c r="I3" s="387" t="s">
        <v>559</v>
      </c>
    </row>
    <row r="4" spans="1:11" ht="36" customHeight="1">
      <c r="A4" s="168">
        <v>1</v>
      </c>
      <c r="B4" s="654" t="s">
        <v>405</v>
      </c>
      <c r="C4" s="72" t="s">
        <v>410</v>
      </c>
      <c r="D4" s="170" t="s">
        <v>406</v>
      </c>
      <c r="E4" s="414">
        <v>1</v>
      </c>
      <c r="F4" s="737">
        <v>0</v>
      </c>
      <c r="G4" s="415">
        <v>8700</v>
      </c>
      <c r="H4" s="415">
        <f>$E4*G4</f>
        <v>8700</v>
      </c>
      <c r="I4" s="217">
        <f>G4*F4</f>
        <v>0</v>
      </c>
    </row>
    <row r="5" spans="1:11" ht="24" customHeight="1">
      <c r="A5" s="854" t="s">
        <v>22</v>
      </c>
      <c r="B5" s="854"/>
      <c r="C5" s="174"/>
      <c r="D5" s="174"/>
      <c r="E5" s="416"/>
      <c r="F5" s="738"/>
      <c r="G5" s="417">
        <v>0</v>
      </c>
      <c r="H5" s="417"/>
      <c r="I5" s="217">
        <f t="shared" ref="I5:I96" si="0">G5*F5</f>
        <v>0</v>
      </c>
    </row>
    <row r="6" spans="1:11" ht="72">
      <c r="A6" s="168">
        <v>2</v>
      </c>
      <c r="B6" s="176" t="s">
        <v>355</v>
      </c>
      <c r="C6" s="177" t="s">
        <v>356</v>
      </c>
      <c r="D6" s="170" t="s">
        <v>25</v>
      </c>
      <c r="E6" s="414" t="s">
        <v>31</v>
      </c>
      <c r="F6" s="737"/>
      <c r="G6" s="415">
        <v>98</v>
      </c>
      <c r="H6" s="415"/>
      <c r="I6" s="217">
        <f t="shared" si="0"/>
        <v>0</v>
      </c>
    </row>
    <row r="7" spans="1:11">
      <c r="A7" s="168">
        <v>3</v>
      </c>
      <c r="B7" s="178" t="s">
        <v>354</v>
      </c>
      <c r="C7" s="179" t="e">
        <f>Noodle!#REF!</f>
        <v>#REF!</v>
      </c>
      <c r="D7" s="170" t="s">
        <v>25</v>
      </c>
      <c r="E7" s="414">
        <v>100</v>
      </c>
      <c r="F7" s="737">
        <f>'MB Noodles'!H11</f>
        <v>83.959199999999996</v>
      </c>
      <c r="G7" s="415">
        <v>110</v>
      </c>
      <c r="H7" s="415">
        <f t="shared" ref="H7:H8" si="1">$E7*G7</f>
        <v>11000</v>
      </c>
      <c r="I7" s="217">
        <f t="shared" si="0"/>
        <v>9235.5119999999988</v>
      </c>
    </row>
    <row r="8" spans="1:11" ht="72">
      <c r="A8" s="168">
        <v>4</v>
      </c>
      <c r="B8" s="180" t="s">
        <v>16</v>
      </c>
      <c r="C8" s="72" t="s">
        <v>411</v>
      </c>
      <c r="D8" s="170" t="s">
        <v>25</v>
      </c>
      <c r="E8" s="414">
        <v>200</v>
      </c>
      <c r="F8" s="737">
        <f>'MB Noodles'!H15</f>
        <v>83.959199999999996</v>
      </c>
      <c r="G8" s="415">
        <v>26</v>
      </c>
      <c r="H8" s="415">
        <f t="shared" si="1"/>
        <v>5200</v>
      </c>
      <c r="I8" s="217">
        <f t="shared" si="0"/>
        <v>2182.9391999999998</v>
      </c>
    </row>
    <row r="9" spans="1:11">
      <c r="A9" s="168">
        <v>5</v>
      </c>
      <c r="B9" s="180"/>
      <c r="C9" s="181" t="s">
        <v>353</v>
      </c>
      <c r="D9" s="170"/>
      <c r="E9" s="414"/>
      <c r="F9" s="737"/>
      <c r="G9" s="415">
        <v>0</v>
      </c>
      <c r="H9" s="415"/>
      <c r="I9" s="217">
        <f t="shared" si="0"/>
        <v>0</v>
      </c>
    </row>
    <row r="10" spans="1:11" ht="60">
      <c r="A10" s="168">
        <v>6</v>
      </c>
      <c r="B10" s="180" t="s">
        <v>17</v>
      </c>
      <c r="C10" s="72" t="s">
        <v>412</v>
      </c>
      <c r="D10" s="170" t="s">
        <v>25</v>
      </c>
      <c r="E10" s="414">
        <v>250</v>
      </c>
      <c r="F10" s="737">
        <f>'MB Noodles'!H19</f>
        <v>240.89831999999998</v>
      </c>
      <c r="G10" s="415">
        <v>45</v>
      </c>
      <c r="H10" s="415">
        <f>$E10*G10</f>
        <v>11250</v>
      </c>
      <c r="I10" s="217">
        <f t="shared" si="0"/>
        <v>10840.4244</v>
      </c>
      <c r="K10" s="101"/>
    </row>
    <row r="11" spans="1:11" ht="36">
      <c r="A11" s="168">
        <v>7</v>
      </c>
      <c r="B11" s="180" t="s">
        <v>18</v>
      </c>
      <c r="C11" s="182" t="s">
        <v>413</v>
      </c>
      <c r="D11" s="170" t="s">
        <v>25</v>
      </c>
      <c r="E11" s="414">
        <v>0</v>
      </c>
      <c r="F11" s="737"/>
      <c r="G11" s="415">
        <v>80</v>
      </c>
      <c r="H11" s="415"/>
      <c r="I11" s="217">
        <f t="shared" si="0"/>
        <v>0</v>
      </c>
    </row>
    <row r="12" spans="1:11" ht="96">
      <c r="A12" s="168">
        <v>8</v>
      </c>
      <c r="B12" s="180" t="s">
        <v>19</v>
      </c>
      <c r="C12" s="72" t="s">
        <v>20</v>
      </c>
      <c r="D12" s="170"/>
      <c r="E12" s="414"/>
      <c r="F12" s="737"/>
      <c r="G12" s="415">
        <v>0</v>
      </c>
      <c r="H12" s="415"/>
      <c r="I12" s="217">
        <f t="shared" si="0"/>
        <v>0</v>
      </c>
    </row>
    <row r="13" spans="1:11">
      <c r="A13" s="168"/>
      <c r="B13" s="169"/>
      <c r="C13" s="72" t="s">
        <v>21</v>
      </c>
      <c r="D13" s="170" t="s">
        <v>25</v>
      </c>
      <c r="E13" s="414">
        <v>0</v>
      </c>
      <c r="F13" s="737"/>
      <c r="G13" s="415">
        <v>72</v>
      </c>
      <c r="H13" s="415"/>
      <c r="I13" s="217">
        <f t="shared" si="0"/>
        <v>0</v>
      </c>
    </row>
    <row r="14" spans="1:11" ht="60">
      <c r="A14" s="168">
        <v>9</v>
      </c>
      <c r="B14" s="183" t="s">
        <v>7</v>
      </c>
      <c r="C14" s="184" t="s">
        <v>84</v>
      </c>
      <c r="D14" s="185"/>
      <c r="E14" s="418"/>
      <c r="F14" s="622"/>
      <c r="G14" s="419">
        <v>0</v>
      </c>
      <c r="H14" s="419"/>
      <c r="I14" s="217">
        <f t="shared" si="0"/>
        <v>0</v>
      </c>
    </row>
    <row r="15" spans="1:11">
      <c r="A15" s="187"/>
      <c r="B15" s="187"/>
      <c r="C15" s="184" t="s">
        <v>10</v>
      </c>
      <c r="D15" s="169" t="s">
        <v>362</v>
      </c>
      <c r="E15" s="414">
        <v>70</v>
      </c>
      <c r="F15" s="737">
        <f>'MB Noodles'!H23</f>
        <v>67.633600000000001</v>
      </c>
      <c r="G15" s="415">
        <v>63</v>
      </c>
      <c r="H15" s="415">
        <f t="shared" ref="H15:H16" si="2">$E15*G15</f>
        <v>4410</v>
      </c>
      <c r="I15" s="217">
        <f t="shared" si="0"/>
        <v>4260.9168</v>
      </c>
    </row>
    <row r="16" spans="1:11" ht="60">
      <c r="A16" s="168">
        <v>10</v>
      </c>
      <c r="B16" s="183" t="s">
        <v>407</v>
      </c>
      <c r="C16" s="183" t="s">
        <v>387</v>
      </c>
      <c r="D16" s="170" t="s">
        <v>362</v>
      </c>
      <c r="E16" s="414">
        <v>30</v>
      </c>
      <c r="F16" s="737">
        <f>'MB Noodles'!H27</f>
        <v>33.128</v>
      </c>
      <c r="G16" s="415">
        <v>270</v>
      </c>
      <c r="H16" s="415">
        <f t="shared" si="2"/>
        <v>8100</v>
      </c>
      <c r="I16" s="217">
        <f t="shared" si="0"/>
        <v>8944.56</v>
      </c>
    </row>
    <row r="17" spans="1:9" ht="120">
      <c r="A17" s="168">
        <v>11</v>
      </c>
      <c r="B17" s="183" t="s">
        <v>357</v>
      </c>
      <c r="C17" s="184" t="s">
        <v>361</v>
      </c>
      <c r="D17" s="170" t="s">
        <v>9</v>
      </c>
      <c r="E17" s="414">
        <v>0</v>
      </c>
      <c r="F17" s="737"/>
      <c r="G17" s="415">
        <v>21000</v>
      </c>
      <c r="H17" s="417"/>
      <c r="I17" s="217">
        <f t="shared" si="0"/>
        <v>0</v>
      </c>
    </row>
    <row r="18" spans="1:9" ht="144">
      <c r="A18" s="168">
        <v>12</v>
      </c>
      <c r="B18" s="183" t="s">
        <v>11</v>
      </c>
      <c r="C18" s="184" t="s">
        <v>360</v>
      </c>
      <c r="D18" s="170" t="s">
        <v>9</v>
      </c>
      <c r="E18" s="414">
        <v>1</v>
      </c>
      <c r="F18" s="737">
        <f>'MB Noodles'!H29</f>
        <v>1</v>
      </c>
      <c r="G18" s="415">
        <v>18500</v>
      </c>
      <c r="H18" s="415">
        <f>$E18*G18</f>
        <v>18500</v>
      </c>
      <c r="I18" s="217">
        <f t="shared" si="0"/>
        <v>18500</v>
      </c>
    </row>
    <row r="19" spans="1:9">
      <c r="A19" s="187"/>
      <c r="B19" s="187"/>
      <c r="C19" s="184" t="s">
        <v>66</v>
      </c>
      <c r="D19" s="169"/>
      <c r="E19" s="414"/>
      <c r="F19" s="737"/>
      <c r="G19" s="415">
        <v>0</v>
      </c>
      <c r="H19" s="415"/>
      <c r="I19" s="217">
        <f t="shared" si="0"/>
        <v>0</v>
      </c>
    </row>
    <row r="20" spans="1:9" ht="84">
      <c r="A20" s="168">
        <v>13</v>
      </c>
      <c r="B20" s="170" t="s">
        <v>408</v>
      </c>
      <c r="C20" s="189" t="s">
        <v>415</v>
      </c>
      <c r="D20" s="170" t="s">
        <v>362</v>
      </c>
      <c r="E20" s="414">
        <v>0</v>
      </c>
      <c r="F20" s="737">
        <f>'MB Noodles'!H34</f>
        <v>3.6080000000000001</v>
      </c>
      <c r="G20" s="415">
        <v>495</v>
      </c>
      <c r="H20" s="415"/>
      <c r="I20" s="217">
        <f t="shared" si="0"/>
        <v>1785.96</v>
      </c>
    </row>
    <row r="21" spans="1:9">
      <c r="A21" s="187"/>
      <c r="B21" s="187"/>
      <c r="C21" s="184" t="s">
        <v>416</v>
      </c>
      <c r="D21" s="187"/>
      <c r="E21" s="418"/>
      <c r="F21" s="622"/>
      <c r="G21" s="419">
        <v>0</v>
      </c>
      <c r="H21" s="419"/>
      <c r="I21" s="217">
        <f t="shared" si="0"/>
        <v>0</v>
      </c>
    </row>
    <row r="22" spans="1:9">
      <c r="A22" s="187"/>
      <c r="B22" s="187"/>
      <c r="C22" s="184" t="s">
        <v>12</v>
      </c>
      <c r="D22" s="169" t="s">
        <v>362</v>
      </c>
      <c r="E22" s="414">
        <v>0</v>
      </c>
      <c r="F22" s="737"/>
      <c r="G22" s="415">
        <v>585</v>
      </c>
      <c r="H22" s="415"/>
      <c r="I22" s="217">
        <f t="shared" si="0"/>
        <v>0</v>
      </c>
    </row>
    <row r="23" spans="1:9" ht="132">
      <c r="A23" s="168">
        <v>14</v>
      </c>
      <c r="B23" s="170" t="s">
        <v>409</v>
      </c>
      <c r="C23" s="184" t="s">
        <v>358</v>
      </c>
      <c r="D23" s="170" t="s">
        <v>9</v>
      </c>
      <c r="E23" s="414">
        <v>0</v>
      </c>
      <c r="F23" s="737"/>
      <c r="G23" s="415">
        <v>22950</v>
      </c>
      <c r="H23" s="415"/>
      <c r="I23" s="217">
        <f t="shared" si="0"/>
        <v>0</v>
      </c>
    </row>
    <row r="24" spans="1:9">
      <c r="A24" s="191"/>
      <c r="B24" s="169" t="s">
        <v>23</v>
      </c>
      <c r="C24" s="192"/>
      <c r="D24" s="169"/>
      <c r="E24" s="414"/>
      <c r="F24" s="737"/>
      <c r="G24" s="419">
        <v>0</v>
      </c>
      <c r="H24" s="419"/>
      <c r="I24" s="217">
        <f t="shared" si="0"/>
        <v>0</v>
      </c>
    </row>
    <row r="25" spans="1:9" ht="72">
      <c r="A25" s="168">
        <v>15</v>
      </c>
      <c r="B25" s="193"/>
      <c r="C25" s="184" t="s">
        <v>359</v>
      </c>
      <c r="D25" s="185"/>
      <c r="E25" s="418"/>
      <c r="F25" s="622"/>
      <c r="G25" s="419">
        <v>0</v>
      </c>
      <c r="H25" s="419"/>
      <c r="I25" s="217">
        <f t="shared" si="0"/>
        <v>0</v>
      </c>
    </row>
    <row r="26" spans="1:9">
      <c r="A26" s="168"/>
      <c r="B26" s="193"/>
      <c r="C26" s="184" t="s">
        <v>388</v>
      </c>
      <c r="D26" s="169" t="s">
        <v>362</v>
      </c>
      <c r="E26" s="414">
        <v>18</v>
      </c>
      <c r="F26" s="737">
        <f>'MB Noodles'!H36</f>
        <v>16.07</v>
      </c>
      <c r="G26" s="415">
        <v>4050</v>
      </c>
      <c r="H26" s="415">
        <f>$E26*G26</f>
        <v>72900</v>
      </c>
      <c r="I26" s="217">
        <f t="shared" si="0"/>
        <v>65083.5</v>
      </c>
    </row>
    <row r="27" spans="1:9" ht="72">
      <c r="A27" s="168">
        <v>16</v>
      </c>
      <c r="B27" s="185"/>
      <c r="C27" s="184" t="s">
        <v>417</v>
      </c>
      <c r="D27" s="185"/>
      <c r="E27" s="418"/>
      <c r="F27" s="622"/>
      <c r="G27" s="419">
        <v>0</v>
      </c>
      <c r="H27" s="419"/>
      <c r="I27" s="217">
        <f t="shared" si="0"/>
        <v>0</v>
      </c>
    </row>
    <row r="28" spans="1:9">
      <c r="A28" s="187"/>
      <c r="B28" s="187"/>
      <c r="C28" s="184" t="s">
        <v>389</v>
      </c>
      <c r="D28" s="169" t="s">
        <v>89</v>
      </c>
      <c r="E28" s="414">
        <v>45</v>
      </c>
      <c r="F28" s="737">
        <f>'MB Noodles'!H38</f>
        <v>48.476050000000001</v>
      </c>
      <c r="G28" s="415">
        <v>337.5</v>
      </c>
      <c r="H28" s="415">
        <f t="shared" ref="H28:H30" si="3">$E28*G28</f>
        <v>15187.5</v>
      </c>
      <c r="I28" s="217">
        <f t="shared" si="0"/>
        <v>16360.666875000001</v>
      </c>
    </row>
    <row r="29" spans="1:9" ht="48">
      <c r="A29" s="187">
        <v>17</v>
      </c>
      <c r="B29" s="187"/>
      <c r="C29" s="184" t="s">
        <v>418</v>
      </c>
      <c r="D29" s="169" t="s">
        <v>89</v>
      </c>
      <c r="E29" s="414">
        <v>45</v>
      </c>
      <c r="F29" s="737"/>
      <c r="G29" s="415">
        <v>315</v>
      </c>
      <c r="H29" s="415">
        <f t="shared" si="3"/>
        <v>14175</v>
      </c>
      <c r="I29" s="217">
        <f t="shared" si="0"/>
        <v>0</v>
      </c>
    </row>
    <row r="30" spans="1:9" ht="48">
      <c r="A30" s="187">
        <v>18</v>
      </c>
      <c r="B30" s="187"/>
      <c r="C30" s="184" t="s">
        <v>419</v>
      </c>
      <c r="D30" s="169" t="s">
        <v>89</v>
      </c>
      <c r="E30" s="414">
        <v>10</v>
      </c>
      <c r="F30" s="737">
        <f>'MB Noodles'!H40</f>
        <v>6.713241599999999</v>
      </c>
      <c r="G30" s="415">
        <v>360</v>
      </c>
      <c r="H30" s="415">
        <f t="shared" si="3"/>
        <v>3600</v>
      </c>
      <c r="I30" s="217">
        <f t="shared" si="0"/>
        <v>2416.7669759999994</v>
      </c>
    </row>
    <row r="31" spans="1:9">
      <c r="A31" s="187"/>
      <c r="B31" s="187"/>
      <c r="C31" s="184"/>
      <c r="D31" s="169"/>
      <c r="E31" s="414"/>
      <c r="F31" s="737"/>
      <c r="G31" s="415">
        <v>0</v>
      </c>
      <c r="H31" s="415"/>
      <c r="I31" s="217">
        <f t="shared" si="0"/>
        <v>0</v>
      </c>
    </row>
    <row r="32" spans="1:9">
      <c r="A32" s="187"/>
      <c r="B32" s="187" t="s">
        <v>56</v>
      </c>
      <c r="C32" s="184"/>
      <c r="D32" s="169"/>
      <c r="E32" s="416"/>
      <c r="F32" s="738"/>
      <c r="G32" s="415">
        <v>0</v>
      </c>
      <c r="H32" s="415"/>
      <c r="I32" s="217">
        <f t="shared" si="0"/>
        <v>0</v>
      </c>
    </row>
    <row r="33" spans="1:9" ht="60">
      <c r="A33" s="195">
        <v>19</v>
      </c>
      <c r="B33" s="187"/>
      <c r="C33" s="184" t="s">
        <v>55</v>
      </c>
      <c r="D33" s="169"/>
      <c r="E33" s="416"/>
      <c r="F33" s="738"/>
      <c r="G33" s="415">
        <v>0</v>
      </c>
      <c r="H33" s="415"/>
      <c r="I33" s="217">
        <f t="shared" si="0"/>
        <v>0</v>
      </c>
    </row>
    <row r="34" spans="1:9">
      <c r="A34" s="187"/>
      <c r="B34" s="187"/>
      <c r="C34" s="184" t="s">
        <v>389</v>
      </c>
      <c r="D34" s="169" t="s">
        <v>362</v>
      </c>
      <c r="E34" s="414">
        <v>0</v>
      </c>
      <c r="F34" s="737"/>
      <c r="G34" s="415">
        <v>4050</v>
      </c>
      <c r="H34" s="415"/>
      <c r="I34" s="217">
        <f t="shared" si="0"/>
        <v>0</v>
      </c>
    </row>
    <row r="35" spans="1:9">
      <c r="A35" s="187"/>
      <c r="B35" s="187" t="s">
        <v>60</v>
      </c>
      <c r="C35" s="184"/>
      <c r="D35" s="169"/>
      <c r="E35" s="416"/>
      <c r="F35" s="738"/>
      <c r="G35" s="415">
        <v>0</v>
      </c>
      <c r="H35" s="415"/>
      <c r="I35" s="217">
        <f t="shared" si="0"/>
        <v>0</v>
      </c>
    </row>
    <row r="36" spans="1:9" ht="48">
      <c r="A36" s="195">
        <v>19</v>
      </c>
      <c r="B36" s="195" t="s">
        <v>65</v>
      </c>
      <c r="C36" s="177" t="s">
        <v>57</v>
      </c>
      <c r="D36" s="169"/>
      <c r="E36" s="416"/>
      <c r="F36" s="738"/>
      <c r="G36" s="415">
        <v>0</v>
      </c>
      <c r="H36" s="415"/>
      <c r="I36" s="217">
        <f t="shared" si="0"/>
        <v>0</v>
      </c>
    </row>
    <row r="37" spans="1:9">
      <c r="A37" s="187"/>
      <c r="B37" s="187"/>
      <c r="C37" s="184" t="s">
        <v>58</v>
      </c>
      <c r="D37" s="169" t="s">
        <v>89</v>
      </c>
      <c r="E37" s="414">
        <v>250</v>
      </c>
      <c r="F37" s="737">
        <f>'MB Noodles'!H45</f>
        <v>240.57539999999997</v>
      </c>
      <c r="G37" s="415">
        <v>121.5</v>
      </c>
      <c r="H37" s="415">
        <f t="shared" ref="H37:H39" si="4">$E37*G37</f>
        <v>30375</v>
      </c>
      <c r="I37" s="217">
        <f t="shared" si="0"/>
        <v>29229.911099999998</v>
      </c>
    </row>
    <row r="38" spans="1:9" ht="108">
      <c r="A38" s="195">
        <v>20</v>
      </c>
      <c r="B38" s="195" t="s">
        <v>59</v>
      </c>
      <c r="C38" s="196" t="s">
        <v>420</v>
      </c>
      <c r="D38" s="170" t="s">
        <v>89</v>
      </c>
      <c r="E38" s="416">
        <v>100</v>
      </c>
      <c r="F38" s="738">
        <f>'MB Noodles'!H56</f>
        <v>347.56956000000002</v>
      </c>
      <c r="G38" s="415">
        <v>171</v>
      </c>
      <c r="H38" s="415">
        <f t="shared" si="4"/>
        <v>17100</v>
      </c>
      <c r="I38" s="217">
        <f t="shared" si="0"/>
        <v>59434.394760000003</v>
      </c>
    </row>
    <row r="39" spans="1:9" ht="132">
      <c r="A39" s="195">
        <v>21</v>
      </c>
      <c r="B39" s="195" t="s">
        <v>64</v>
      </c>
      <c r="C39" s="196" t="s">
        <v>421</v>
      </c>
      <c r="D39" s="170" t="s">
        <v>89</v>
      </c>
      <c r="E39" s="416">
        <v>350</v>
      </c>
      <c r="F39" s="738">
        <f>'MB Noodles'!H65</f>
        <v>127.33812000000002</v>
      </c>
      <c r="G39" s="415">
        <v>121.5</v>
      </c>
      <c r="H39" s="415">
        <f t="shared" si="4"/>
        <v>42525</v>
      </c>
      <c r="I39" s="217">
        <f t="shared" si="0"/>
        <v>15471.581580000002</v>
      </c>
    </row>
    <row r="40" spans="1:9">
      <c r="A40" s="195"/>
      <c r="B40" s="195" t="s">
        <v>61</v>
      </c>
      <c r="C40" s="196"/>
      <c r="D40" s="170"/>
      <c r="E40" s="416"/>
      <c r="F40" s="738"/>
      <c r="G40" s="415">
        <v>0</v>
      </c>
      <c r="H40" s="415"/>
      <c r="I40" s="217">
        <f t="shared" si="0"/>
        <v>0</v>
      </c>
    </row>
    <row r="41" spans="1:9" ht="192">
      <c r="A41" s="195">
        <v>22</v>
      </c>
      <c r="B41" s="195" t="s">
        <v>63</v>
      </c>
      <c r="C41" s="176" t="s">
        <v>90</v>
      </c>
      <c r="D41" s="170"/>
      <c r="E41" s="416"/>
      <c r="F41" s="738"/>
      <c r="G41" s="415">
        <v>0</v>
      </c>
      <c r="H41" s="415"/>
      <c r="I41" s="217">
        <f t="shared" si="0"/>
        <v>0</v>
      </c>
    </row>
    <row r="42" spans="1:9">
      <c r="A42" s="195"/>
      <c r="B42" s="195"/>
      <c r="C42" s="176" t="s">
        <v>62</v>
      </c>
      <c r="D42" s="170" t="s">
        <v>89</v>
      </c>
      <c r="E42" s="416">
        <v>0</v>
      </c>
      <c r="F42" s="738"/>
      <c r="G42" s="415">
        <v>103.5</v>
      </c>
      <c r="H42" s="415"/>
      <c r="I42" s="217">
        <f t="shared" si="0"/>
        <v>0</v>
      </c>
    </row>
    <row r="43" spans="1:9" ht="48">
      <c r="A43" s="195">
        <v>22.1</v>
      </c>
      <c r="B43" s="198" t="s">
        <v>374</v>
      </c>
      <c r="C43" s="199" t="s">
        <v>375</v>
      </c>
      <c r="D43" s="157"/>
      <c r="E43" s="416"/>
      <c r="F43" s="738"/>
      <c r="G43" s="415">
        <v>0</v>
      </c>
      <c r="H43" s="415"/>
      <c r="I43" s="217">
        <f t="shared" si="0"/>
        <v>0</v>
      </c>
    </row>
    <row r="44" spans="1:9">
      <c r="A44" s="195"/>
      <c r="B44" s="195"/>
      <c r="C44" s="199" t="s">
        <v>376</v>
      </c>
      <c r="D44" s="170" t="s">
        <v>89</v>
      </c>
      <c r="E44" s="416">
        <v>250</v>
      </c>
      <c r="F44" s="738">
        <f>'MB Noodles'!H69</f>
        <v>238.20731999999998</v>
      </c>
      <c r="G44" s="415">
        <v>193.5</v>
      </c>
      <c r="H44" s="415">
        <f>$E44*G44</f>
        <v>48375</v>
      </c>
      <c r="I44" s="217">
        <f t="shared" si="0"/>
        <v>46093.116419999998</v>
      </c>
    </row>
    <row r="45" spans="1:9">
      <c r="A45" s="200"/>
      <c r="B45" s="170" t="s">
        <v>70</v>
      </c>
      <c r="C45" s="189"/>
      <c r="D45" s="170"/>
      <c r="E45" s="414"/>
      <c r="F45" s="737"/>
      <c r="G45" s="415">
        <v>0</v>
      </c>
      <c r="H45" s="415"/>
      <c r="I45" s="217">
        <f t="shared" si="0"/>
        <v>0</v>
      </c>
    </row>
    <row r="46" spans="1:9" ht="72">
      <c r="A46" s="200">
        <v>23</v>
      </c>
      <c r="B46" s="170" t="s">
        <v>71</v>
      </c>
      <c r="C46" s="201" t="s">
        <v>72</v>
      </c>
      <c r="D46" s="170" t="s">
        <v>28</v>
      </c>
      <c r="E46" s="414">
        <v>1</v>
      </c>
      <c r="F46" s="737">
        <f>'MB Noodles'!H71</f>
        <v>1</v>
      </c>
      <c r="G46" s="415">
        <v>32400</v>
      </c>
      <c r="H46" s="415">
        <f>$E46*G46</f>
        <v>32400</v>
      </c>
      <c r="I46" s="217">
        <f t="shared" si="0"/>
        <v>32400</v>
      </c>
    </row>
    <row r="47" spans="1:9">
      <c r="A47" s="200"/>
      <c r="B47" s="170"/>
      <c r="C47" s="183" t="s">
        <v>82</v>
      </c>
      <c r="D47" s="170"/>
      <c r="E47" s="414"/>
      <c r="F47" s="737"/>
      <c r="G47" s="415">
        <v>0</v>
      </c>
      <c r="H47" s="415"/>
      <c r="I47" s="217">
        <f t="shared" si="0"/>
        <v>0</v>
      </c>
    </row>
    <row r="48" spans="1:9" ht="24">
      <c r="A48" s="200"/>
      <c r="B48" s="202" t="s">
        <v>74</v>
      </c>
      <c r="C48" s="183" t="s">
        <v>73</v>
      </c>
      <c r="D48" s="170"/>
      <c r="E48" s="414"/>
      <c r="F48" s="737"/>
      <c r="G48" s="415">
        <v>0</v>
      </c>
      <c r="H48" s="415"/>
      <c r="I48" s="217">
        <f t="shared" si="0"/>
        <v>0</v>
      </c>
    </row>
    <row r="49" spans="1:9" ht="24">
      <c r="A49" s="200"/>
      <c r="B49" s="202" t="s">
        <v>74</v>
      </c>
      <c r="C49" s="201" t="s">
        <v>75</v>
      </c>
      <c r="D49" s="170"/>
      <c r="E49" s="414"/>
      <c r="F49" s="737"/>
      <c r="G49" s="415">
        <v>0</v>
      </c>
      <c r="H49" s="415"/>
      <c r="I49" s="217">
        <f t="shared" si="0"/>
        <v>0</v>
      </c>
    </row>
    <row r="50" spans="1:9">
      <c r="A50" s="200"/>
      <c r="B50" s="202" t="s">
        <v>74</v>
      </c>
      <c r="C50" s="183" t="s">
        <v>76</v>
      </c>
      <c r="D50" s="170"/>
      <c r="E50" s="414"/>
      <c r="F50" s="737"/>
      <c r="G50" s="415">
        <v>0</v>
      </c>
      <c r="H50" s="415"/>
      <c r="I50" s="217">
        <f t="shared" si="0"/>
        <v>0</v>
      </c>
    </row>
    <row r="51" spans="1:9" ht="24">
      <c r="A51" s="200"/>
      <c r="B51" s="202" t="s">
        <v>74</v>
      </c>
      <c r="C51" s="183" t="s">
        <v>77</v>
      </c>
      <c r="D51" s="170"/>
      <c r="E51" s="414"/>
      <c r="F51" s="737"/>
      <c r="G51" s="415">
        <v>0</v>
      </c>
      <c r="H51" s="415"/>
      <c r="I51" s="217">
        <f t="shared" si="0"/>
        <v>0</v>
      </c>
    </row>
    <row r="52" spans="1:9" ht="72">
      <c r="A52" s="200">
        <v>24</v>
      </c>
      <c r="B52" s="170" t="s">
        <v>78</v>
      </c>
      <c r="C52" s="183" t="s">
        <v>79</v>
      </c>
      <c r="D52" s="170" t="s">
        <v>28</v>
      </c>
      <c r="E52" s="414">
        <v>0</v>
      </c>
      <c r="F52" s="737"/>
      <c r="G52" s="415">
        <v>49500</v>
      </c>
      <c r="H52" s="415"/>
      <c r="I52" s="217">
        <f t="shared" si="0"/>
        <v>0</v>
      </c>
    </row>
    <row r="53" spans="1:9">
      <c r="A53" s="200"/>
      <c r="B53" s="170"/>
      <c r="C53" s="183" t="s">
        <v>83</v>
      </c>
      <c r="D53" s="170"/>
      <c r="E53" s="414"/>
      <c r="F53" s="737"/>
      <c r="G53" s="415">
        <v>0</v>
      </c>
      <c r="H53" s="415"/>
      <c r="I53" s="217">
        <f t="shared" si="0"/>
        <v>0</v>
      </c>
    </row>
    <row r="54" spans="1:9" ht="24">
      <c r="A54" s="200"/>
      <c r="B54" s="202" t="s">
        <v>74</v>
      </c>
      <c r="C54" s="183" t="s">
        <v>80</v>
      </c>
      <c r="D54" s="170"/>
      <c r="E54" s="414"/>
      <c r="F54" s="737"/>
      <c r="G54" s="415">
        <v>0</v>
      </c>
      <c r="H54" s="415"/>
      <c r="I54" s="217">
        <f t="shared" si="0"/>
        <v>0</v>
      </c>
    </row>
    <row r="55" spans="1:9" ht="24">
      <c r="A55" s="200"/>
      <c r="B55" s="202" t="s">
        <v>74</v>
      </c>
      <c r="C55" s="183" t="s">
        <v>81</v>
      </c>
      <c r="D55" s="170"/>
      <c r="E55" s="414"/>
      <c r="F55" s="737"/>
      <c r="G55" s="415">
        <v>0</v>
      </c>
      <c r="H55" s="415"/>
      <c r="I55" s="217">
        <f t="shared" si="0"/>
        <v>0</v>
      </c>
    </row>
    <row r="56" spans="1:9" ht="24">
      <c r="A56" s="200">
        <v>25</v>
      </c>
      <c r="B56" s="203" t="s">
        <v>91</v>
      </c>
      <c r="C56" s="204" t="s">
        <v>44</v>
      </c>
      <c r="D56" s="200" t="s">
        <v>362</v>
      </c>
      <c r="E56" s="414">
        <v>0</v>
      </c>
      <c r="F56" s="737"/>
      <c r="G56" s="415">
        <v>270</v>
      </c>
      <c r="H56" s="415"/>
      <c r="I56" s="217">
        <f t="shared" si="0"/>
        <v>0</v>
      </c>
    </row>
    <row r="57" spans="1:9">
      <c r="A57" s="205"/>
      <c r="B57" s="206"/>
      <c r="C57" s="183"/>
      <c r="D57" s="205"/>
      <c r="E57" s="414"/>
      <c r="F57" s="737"/>
      <c r="G57" s="415">
        <v>0</v>
      </c>
      <c r="H57" s="415"/>
      <c r="I57" s="217">
        <f t="shared" si="0"/>
        <v>0</v>
      </c>
    </row>
    <row r="58" spans="1:9" ht="132">
      <c r="A58" s="200">
        <v>26</v>
      </c>
      <c r="B58" s="206" t="s">
        <v>85</v>
      </c>
      <c r="C58" s="207" t="s">
        <v>86</v>
      </c>
      <c r="D58" s="205"/>
      <c r="E58" s="414"/>
      <c r="F58" s="737"/>
      <c r="G58" s="415">
        <v>0</v>
      </c>
      <c r="H58" s="415"/>
      <c r="I58" s="217">
        <f t="shared" si="0"/>
        <v>0</v>
      </c>
    </row>
    <row r="59" spans="1:9">
      <c r="A59" s="205"/>
      <c r="B59" s="208" t="s">
        <v>74</v>
      </c>
      <c r="C59" s="183" t="s">
        <v>87</v>
      </c>
      <c r="D59" s="205" t="s">
        <v>88</v>
      </c>
      <c r="E59" s="414">
        <v>250</v>
      </c>
      <c r="F59" s="737">
        <f>'MB Noodles'!H76</f>
        <v>19.3752</v>
      </c>
      <c r="G59" s="415">
        <v>31.5</v>
      </c>
      <c r="H59" s="415">
        <f t="shared" ref="H59:H60" si="5">$E59*G59</f>
        <v>7875</v>
      </c>
      <c r="I59" s="217">
        <f t="shared" si="0"/>
        <v>610.31880000000001</v>
      </c>
    </row>
    <row r="60" spans="1:9" ht="60">
      <c r="A60" s="205">
        <v>27</v>
      </c>
      <c r="B60" s="206" t="s">
        <v>188</v>
      </c>
      <c r="C60" s="183" t="s">
        <v>373</v>
      </c>
      <c r="D60" s="205" t="s">
        <v>48</v>
      </c>
      <c r="E60" s="414">
        <v>1</v>
      </c>
      <c r="F60" s="737">
        <f>'MB Noodles'!H78</f>
        <v>1</v>
      </c>
      <c r="G60" s="415">
        <v>13500</v>
      </c>
      <c r="H60" s="415">
        <f t="shared" si="5"/>
        <v>13500</v>
      </c>
      <c r="I60" s="217">
        <f t="shared" si="0"/>
        <v>13500</v>
      </c>
    </row>
    <row r="61" spans="1:9" ht="12.75">
      <c r="A61" s="422"/>
      <c r="B61" s="423"/>
      <c r="C61" s="424" t="s">
        <v>8</v>
      </c>
      <c r="D61" s="422"/>
      <c r="E61" s="425"/>
      <c r="F61" s="624"/>
      <c r="G61" s="426"/>
      <c r="H61" s="427">
        <f>SUM(H4:H60)</f>
        <v>365172.5</v>
      </c>
      <c r="I61" s="428">
        <f>SUM(I4:I60)</f>
        <v>336350.56891099998</v>
      </c>
    </row>
    <row r="62" spans="1:9" ht="15">
      <c r="A62" s="205"/>
      <c r="B62" s="177"/>
      <c r="C62" s="358" t="s">
        <v>628</v>
      </c>
      <c r="D62" s="205"/>
      <c r="E62" s="420"/>
      <c r="F62" s="624"/>
      <c r="G62" s="421"/>
      <c r="H62" s="421">
        <f>H61*0.18</f>
        <v>65731.05</v>
      </c>
      <c r="I62" s="217">
        <f>I61*0.18</f>
        <v>60543.102403979996</v>
      </c>
    </row>
    <row r="63" spans="1:9" ht="15">
      <c r="A63" s="429"/>
      <c r="B63" s="430"/>
      <c r="C63" s="431" t="s">
        <v>629</v>
      </c>
      <c r="D63" s="429"/>
      <c r="E63" s="432"/>
      <c r="F63" s="624"/>
      <c r="G63" s="433"/>
      <c r="H63" s="434">
        <f>SUM(H61:H62)</f>
        <v>430903.55</v>
      </c>
      <c r="I63" s="435">
        <f>SUM(I61:I62)</f>
        <v>396893.67131497996</v>
      </c>
    </row>
    <row r="64" spans="1:9" ht="24.95" customHeight="1">
      <c r="A64" s="856" t="s">
        <v>805</v>
      </c>
      <c r="B64" s="857"/>
      <c r="C64" s="857"/>
      <c r="D64" s="857"/>
      <c r="E64" s="857"/>
      <c r="F64" s="857"/>
      <c r="G64" s="857"/>
      <c r="H64" s="857"/>
      <c r="I64" s="858"/>
    </row>
    <row r="65" spans="1:9" ht="30">
      <c r="A65" s="205">
        <v>1</v>
      </c>
      <c r="B65" s="177"/>
      <c r="C65" s="710" t="s">
        <v>703</v>
      </c>
      <c r="D65" s="205" t="s">
        <v>705</v>
      </c>
      <c r="E65" s="420"/>
      <c r="F65" s="624">
        <f>'MB Noodles'!H82</f>
        <v>44.083200000000005</v>
      </c>
      <c r="G65" s="421">
        <v>250</v>
      </c>
      <c r="H65" s="436"/>
      <c r="I65" s="217">
        <f>F65*G65</f>
        <v>11020.800000000001</v>
      </c>
    </row>
    <row r="66" spans="1:9">
      <c r="A66" s="205"/>
      <c r="B66" s="177"/>
      <c r="C66" s="221"/>
      <c r="D66" s="205"/>
      <c r="E66" s="420"/>
      <c r="F66" s="624"/>
      <c r="G66" s="421"/>
      <c r="H66" s="436"/>
      <c r="I66" s="217"/>
    </row>
    <row r="67" spans="1:9" ht="30">
      <c r="A67" s="205">
        <v>2</v>
      </c>
      <c r="B67" s="177"/>
      <c r="C67" s="710" t="s">
        <v>706</v>
      </c>
      <c r="D67" s="205" t="s">
        <v>626</v>
      </c>
      <c r="E67" s="420"/>
      <c r="F67" s="624">
        <f>'MB Noodles'!H84</f>
        <v>32.275199999999998</v>
      </c>
      <c r="G67" s="421">
        <v>600</v>
      </c>
      <c r="H67" s="436"/>
      <c r="I67" s="217">
        <f>F67*G67</f>
        <v>19365.12</v>
      </c>
    </row>
    <row r="68" spans="1:9">
      <c r="A68" s="205"/>
      <c r="B68" s="177"/>
      <c r="C68" s="221"/>
      <c r="D68" s="205"/>
      <c r="E68" s="420"/>
      <c r="F68" s="624"/>
      <c r="G68" s="421"/>
      <c r="H68" s="436"/>
      <c r="I68" s="217"/>
    </row>
    <row r="69" spans="1:9" ht="30">
      <c r="A69" s="205">
        <v>3</v>
      </c>
      <c r="B69" s="177"/>
      <c r="C69" s="710" t="s">
        <v>708</v>
      </c>
      <c r="D69" s="205" t="s">
        <v>626</v>
      </c>
      <c r="E69" s="420"/>
      <c r="F69" s="624">
        <f>'MB Noodles'!H86</f>
        <v>17.056000000000001</v>
      </c>
      <c r="G69" s="421">
        <v>35</v>
      </c>
      <c r="H69" s="436"/>
      <c r="I69" s="217">
        <f>F69*G69</f>
        <v>596.96</v>
      </c>
    </row>
    <row r="70" spans="1:9">
      <c r="A70" s="205"/>
      <c r="B70" s="177"/>
      <c r="C70" s="221"/>
      <c r="D70" s="205"/>
      <c r="E70" s="420"/>
      <c r="F70" s="624"/>
      <c r="G70" s="421"/>
      <c r="H70" s="436"/>
      <c r="I70" s="217"/>
    </row>
    <row r="71" spans="1:9" ht="30">
      <c r="A71" s="205">
        <v>4</v>
      </c>
      <c r="B71" s="177"/>
      <c r="C71" s="710" t="s">
        <v>723</v>
      </c>
      <c r="D71" s="205" t="s">
        <v>626</v>
      </c>
      <c r="E71" s="420"/>
      <c r="F71" s="624">
        <f>'MB Noodles'!H88</f>
        <v>11.619072000000001</v>
      </c>
      <c r="G71" s="421">
        <v>450</v>
      </c>
      <c r="H71" s="436"/>
      <c r="I71" s="217">
        <f>F71*G71</f>
        <v>5228.5824000000002</v>
      </c>
    </row>
    <row r="72" spans="1:9">
      <c r="A72" s="205"/>
      <c r="B72" s="177"/>
      <c r="C72" s="221"/>
      <c r="D72" s="205"/>
      <c r="E72" s="420"/>
      <c r="F72" s="624"/>
      <c r="G72" s="421"/>
      <c r="H72" s="436"/>
      <c r="I72" s="217"/>
    </row>
    <row r="73" spans="1:9" ht="15">
      <c r="A73" s="205">
        <v>5</v>
      </c>
      <c r="B73" s="177"/>
      <c r="C73" s="707" t="s">
        <v>720</v>
      </c>
      <c r="D73" s="205" t="s">
        <v>28</v>
      </c>
      <c r="E73" s="420"/>
      <c r="F73" s="624">
        <f>'MB Noodles'!H90</f>
        <v>6</v>
      </c>
      <c r="G73" s="421">
        <v>100</v>
      </c>
      <c r="H73" s="436"/>
      <c r="I73" s="217">
        <f>F73*G73</f>
        <v>600</v>
      </c>
    </row>
    <row r="74" spans="1:9">
      <c r="A74" s="205"/>
      <c r="B74" s="177"/>
      <c r="C74" s="221"/>
      <c r="D74" s="205"/>
      <c r="E74" s="420"/>
      <c r="F74" s="624"/>
      <c r="G74" s="421"/>
      <c r="H74" s="436"/>
      <c r="I74" s="217"/>
    </row>
    <row r="75" spans="1:9" ht="30">
      <c r="A75" s="205">
        <v>6</v>
      </c>
      <c r="B75" s="177"/>
      <c r="C75" s="710" t="s">
        <v>721</v>
      </c>
      <c r="D75" s="205" t="s">
        <v>626</v>
      </c>
      <c r="E75" s="420"/>
      <c r="F75" s="624">
        <f>'MB Noodles'!H92</f>
        <v>6.4550399999999986</v>
      </c>
      <c r="G75" s="421">
        <v>175</v>
      </c>
      <c r="H75" s="436"/>
      <c r="I75" s="217">
        <f>F75*G75</f>
        <v>1129.6319999999998</v>
      </c>
    </row>
    <row r="76" spans="1:9">
      <c r="A76" s="205"/>
      <c r="B76" s="177"/>
      <c r="C76" s="221"/>
      <c r="D76" s="205"/>
      <c r="E76" s="420"/>
      <c r="F76" s="624"/>
      <c r="G76" s="421"/>
      <c r="H76" s="436"/>
      <c r="I76" s="217"/>
    </row>
    <row r="77" spans="1:9" ht="15">
      <c r="A77" s="205">
        <v>7</v>
      </c>
      <c r="B77" s="177"/>
      <c r="C77" s="707" t="s">
        <v>713</v>
      </c>
      <c r="D77" s="205" t="s">
        <v>28</v>
      </c>
      <c r="E77" s="420"/>
      <c r="F77" s="624">
        <f>'MB Noodles'!H94</f>
        <v>3</v>
      </c>
      <c r="G77" s="421">
        <v>1000</v>
      </c>
      <c r="H77" s="436"/>
      <c r="I77" s="217">
        <f>F77*G77</f>
        <v>3000</v>
      </c>
    </row>
    <row r="78" spans="1:9">
      <c r="A78" s="205"/>
      <c r="B78" s="177"/>
      <c r="C78" s="221"/>
      <c r="D78" s="205"/>
      <c r="E78" s="420"/>
      <c r="F78" s="624"/>
      <c r="G78" s="421"/>
      <c r="H78" s="436"/>
      <c r="I78" s="217"/>
    </row>
    <row r="79" spans="1:9" ht="15">
      <c r="A79" s="205">
        <v>8</v>
      </c>
      <c r="B79" s="177"/>
      <c r="C79" s="707" t="s">
        <v>714</v>
      </c>
      <c r="D79" s="205" t="s">
        <v>28</v>
      </c>
      <c r="E79" s="420"/>
      <c r="F79" s="624">
        <f>'MB Noodles'!H96</f>
        <v>1</v>
      </c>
      <c r="G79" s="421">
        <v>1000</v>
      </c>
      <c r="H79" s="436"/>
      <c r="I79" s="217">
        <f>F79*G79</f>
        <v>1000</v>
      </c>
    </row>
    <row r="80" spans="1:9">
      <c r="A80" s="205"/>
      <c r="B80" s="177"/>
      <c r="C80" s="221"/>
      <c r="D80" s="205"/>
      <c r="E80" s="420"/>
      <c r="F80" s="624"/>
      <c r="G80" s="421"/>
      <c r="H80" s="436"/>
      <c r="I80" s="217"/>
    </row>
    <row r="81" spans="1:9" ht="15">
      <c r="A81" s="205">
        <v>9</v>
      </c>
      <c r="B81" s="177"/>
      <c r="C81" s="707" t="s">
        <v>715</v>
      </c>
      <c r="D81" s="205" t="s">
        <v>626</v>
      </c>
      <c r="E81" s="420"/>
      <c r="F81" s="624">
        <v>0</v>
      </c>
      <c r="G81" s="421">
        <v>30</v>
      </c>
      <c r="H81" s="436"/>
      <c r="I81" s="217">
        <f>F81*G81</f>
        <v>0</v>
      </c>
    </row>
    <row r="82" spans="1:9">
      <c r="A82" s="205"/>
      <c r="B82" s="177"/>
      <c r="C82" s="221"/>
      <c r="D82" s="205"/>
      <c r="E82" s="420"/>
      <c r="F82" s="624"/>
      <c r="G82" s="421"/>
      <c r="H82" s="436"/>
      <c r="I82" s="217"/>
    </row>
    <row r="83" spans="1:9" ht="30">
      <c r="A83" s="205">
        <v>10</v>
      </c>
      <c r="B83" s="177"/>
      <c r="C83" s="710" t="s">
        <v>718</v>
      </c>
      <c r="D83" s="205" t="s">
        <v>28</v>
      </c>
      <c r="E83" s="420"/>
      <c r="F83" s="624">
        <f>'MB Noodles'!H104</f>
        <v>3</v>
      </c>
      <c r="G83" s="421">
        <v>3500</v>
      </c>
      <c r="H83" s="436"/>
      <c r="I83" s="217">
        <f>F83*G83</f>
        <v>10500</v>
      </c>
    </row>
    <row r="84" spans="1:9">
      <c r="A84" s="205"/>
      <c r="B84" s="177"/>
      <c r="C84" s="221"/>
      <c r="D84" s="205"/>
      <c r="E84" s="420"/>
      <c r="F84" s="624"/>
      <c r="G84" s="421"/>
      <c r="H84" s="436"/>
      <c r="I84" s="217"/>
    </row>
    <row r="85" spans="1:9" ht="15">
      <c r="A85" s="205">
        <v>11</v>
      </c>
      <c r="B85" s="177"/>
      <c r="C85" s="707" t="s">
        <v>719</v>
      </c>
      <c r="D85" s="205" t="s">
        <v>28</v>
      </c>
      <c r="E85" s="420"/>
      <c r="F85" s="624">
        <f>'MB Noodles'!H106</f>
        <v>4</v>
      </c>
      <c r="G85" s="421">
        <v>1500</v>
      </c>
      <c r="H85" s="436"/>
      <c r="I85" s="217">
        <f>F85*G85</f>
        <v>6000</v>
      </c>
    </row>
    <row r="86" spans="1:9">
      <c r="A86" s="205"/>
      <c r="B86" s="177"/>
      <c r="C86" s="221"/>
      <c r="D86" s="205"/>
      <c r="E86" s="420"/>
      <c r="F86" s="624"/>
      <c r="G86" s="421"/>
      <c r="H86" s="436"/>
      <c r="I86" s="217"/>
    </row>
    <row r="87" spans="1:9">
      <c r="A87" s="205">
        <v>12</v>
      </c>
      <c r="B87" s="177"/>
      <c r="C87" s="721" t="s">
        <v>786</v>
      </c>
      <c r="D87" s="205" t="s">
        <v>626</v>
      </c>
      <c r="E87" s="420"/>
      <c r="F87" s="624">
        <f>'MB Noodles'!H108</f>
        <v>33.738342400000001</v>
      </c>
      <c r="G87" s="421">
        <v>250</v>
      </c>
      <c r="H87" s="436"/>
      <c r="I87" s="217">
        <f>F87*G87</f>
        <v>8434.5856000000003</v>
      </c>
    </row>
    <row r="88" spans="1:9">
      <c r="A88" s="205"/>
      <c r="B88" s="177"/>
      <c r="C88" s="221"/>
      <c r="D88" s="205"/>
      <c r="E88" s="420"/>
      <c r="F88" s="624"/>
      <c r="G88" s="421"/>
      <c r="H88" s="436"/>
      <c r="I88" s="217"/>
    </row>
    <row r="89" spans="1:9" ht="15">
      <c r="A89" s="205">
        <v>13</v>
      </c>
      <c r="B89" s="177"/>
      <c r="C89" s="707" t="s">
        <v>793</v>
      </c>
      <c r="D89" s="205" t="s">
        <v>28</v>
      </c>
      <c r="E89" s="420"/>
      <c r="F89" s="624">
        <f>'MB Noodles'!H110</f>
        <v>1</v>
      </c>
      <c r="G89" s="421">
        <v>1000</v>
      </c>
      <c r="H89" s="436"/>
      <c r="I89" s="217">
        <f>F89*G89</f>
        <v>1000</v>
      </c>
    </row>
    <row r="90" spans="1:9">
      <c r="A90" s="205"/>
      <c r="B90" s="177"/>
      <c r="C90" s="221"/>
      <c r="D90" s="205"/>
      <c r="E90" s="420"/>
      <c r="F90" s="624"/>
      <c r="G90" s="421"/>
      <c r="H90" s="436"/>
      <c r="I90" s="217"/>
    </row>
    <row r="91" spans="1:9">
      <c r="A91" s="205"/>
      <c r="B91" s="177"/>
      <c r="C91" s="221"/>
      <c r="D91" s="205"/>
      <c r="E91" s="420"/>
      <c r="F91" s="624"/>
      <c r="G91" s="421"/>
      <c r="H91" s="436"/>
      <c r="I91" s="217">
        <f>SUM(I65:I90)</f>
        <v>67875.679999999993</v>
      </c>
    </row>
    <row r="92" spans="1:9">
      <c r="A92" s="205"/>
      <c r="B92" s="177"/>
      <c r="C92" s="221"/>
      <c r="D92" s="205"/>
      <c r="E92" s="420"/>
      <c r="F92" s="624"/>
      <c r="G92" s="421"/>
      <c r="H92" s="436"/>
      <c r="I92" s="217"/>
    </row>
    <row r="93" spans="1:9">
      <c r="A93" s="153" t="s">
        <v>27</v>
      </c>
      <c r="B93" s="154" t="s">
        <v>132</v>
      </c>
      <c r="C93" s="155"/>
      <c r="D93" s="156"/>
      <c r="E93" s="407"/>
      <c r="F93" s="735"/>
      <c r="G93" s="408"/>
      <c r="H93" s="408"/>
      <c r="I93" s="217"/>
    </row>
    <row r="94" spans="1:9">
      <c r="A94" s="437" t="s">
        <v>135</v>
      </c>
      <c r="B94" s="154" t="s">
        <v>132</v>
      </c>
      <c r="C94" s="437" t="s">
        <v>134</v>
      </c>
      <c r="D94" s="437" t="s">
        <v>26</v>
      </c>
      <c r="E94" s="438" t="s">
        <v>133</v>
      </c>
      <c r="F94" s="739"/>
      <c r="G94" s="439"/>
      <c r="H94" s="439"/>
      <c r="I94" s="217"/>
    </row>
    <row r="95" spans="1:9" ht="108">
      <c r="A95" s="226">
        <v>1</v>
      </c>
      <c r="B95" s="157"/>
      <c r="C95" s="72" t="s">
        <v>131</v>
      </c>
      <c r="D95" s="227"/>
      <c r="E95" s="440"/>
      <c r="F95" s="740"/>
      <c r="G95" s="408">
        <v>0</v>
      </c>
      <c r="H95" s="408"/>
      <c r="I95" s="217">
        <f t="shared" si="0"/>
        <v>0</v>
      </c>
    </row>
    <row r="96" spans="1:9">
      <c r="A96" s="226">
        <v>1.1000000000000001</v>
      </c>
      <c r="B96" s="157"/>
      <c r="C96" s="72" t="s">
        <v>130</v>
      </c>
      <c r="D96" s="226" t="s">
        <v>109</v>
      </c>
      <c r="E96" s="442">
        <v>20</v>
      </c>
      <c r="F96" s="649"/>
      <c r="G96" s="443">
        <v>180</v>
      </c>
      <c r="H96" s="443">
        <f t="shared" ref="H96:H98" si="6">$E96*G96</f>
        <v>3600</v>
      </c>
      <c r="I96" s="217">
        <f t="shared" si="0"/>
        <v>0</v>
      </c>
    </row>
    <row r="97" spans="1:9">
      <c r="A97" s="226">
        <v>1.2</v>
      </c>
      <c r="B97" s="157"/>
      <c r="C97" s="72" t="s">
        <v>129</v>
      </c>
      <c r="D97" s="226" t="s">
        <v>109</v>
      </c>
      <c r="E97" s="442">
        <v>3</v>
      </c>
      <c r="F97" s="649">
        <f>'MB Noodles'!H113</f>
        <v>39.299999999999997</v>
      </c>
      <c r="G97" s="444">
        <v>202.5</v>
      </c>
      <c r="H97" s="443">
        <f t="shared" si="6"/>
        <v>607.5</v>
      </c>
      <c r="I97" s="217">
        <f t="shared" ref="I97:I155" si="7">G97*F97</f>
        <v>7958.2499999999991</v>
      </c>
    </row>
    <row r="98" spans="1:9">
      <c r="A98" s="226">
        <v>1.3</v>
      </c>
      <c r="B98" s="157"/>
      <c r="C98" s="72" t="s">
        <v>128</v>
      </c>
      <c r="D98" s="226" t="s">
        <v>109</v>
      </c>
      <c r="E98" s="442">
        <v>2</v>
      </c>
      <c r="F98" s="649"/>
      <c r="G98" s="444">
        <v>270</v>
      </c>
      <c r="H98" s="443">
        <f t="shared" si="6"/>
        <v>540</v>
      </c>
      <c r="I98" s="217">
        <f t="shared" si="7"/>
        <v>0</v>
      </c>
    </row>
    <row r="99" spans="1:9">
      <c r="A99" s="226">
        <v>1.4</v>
      </c>
      <c r="B99" s="157"/>
      <c r="C99" s="72" t="s">
        <v>125</v>
      </c>
      <c r="D99" s="226" t="s">
        <v>109</v>
      </c>
      <c r="E99" s="440">
        <v>0</v>
      </c>
      <c r="F99" s="740"/>
      <c r="G99" s="444">
        <v>315</v>
      </c>
      <c r="H99" s="443"/>
      <c r="I99" s="217">
        <f t="shared" si="7"/>
        <v>0</v>
      </c>
    </row>
    <row r="100" spans="1:9">
      <c r="A100" s="226"/>
      <c r="B100" s="157"/>
      <c r="C100" s="72"/>
      <c r="D100" s="226"/>
      <c r="E100" s="440"/>
      <c r="F100" s="740"/>
      <c r="G100" s="443">
        <v>0</v>
      </c>
      <c r="H100" s="443"/>
      <c r="I100" s="217">
        <f t="shared" si="7"/>
        <v>0</v>
      </c>
    </row>
    <row r="101" spans="1:9" ht="36">
      <c r="A101" s="226">
        <v>2</v>
      </c>
      <c r="B101" s="157"/>
      <c r="C101" s="72" t="s">
        <v>127</v>
      </c>
      <c r="D101" s="226"/>
      <c r="E101" s="440"/>
      <c r="F101" s="740"/>
      <c r="G101" s="443">
        <v>0</v>
      </c>
      <c r="H101" s="443"/>
      <c r="I101" s="217">
        <f t="shared" si="7"/>
        <v>0</v>
      </c>
    </row>
    <row r="102" spans="1:9">
      <c r="A102" s="226">
        <v>2.1</v>
      </c>
      <c r="B102" s="157"/>
      <c r="C102" s="72" t="s">
        <v>363</v>
      </c>
      <c r="D102" s="230" t="s">
        <v>28</v>
      </c>
      <c r="E102" s="440">
        <v>4</v>
      </c>
      <c r="F102" s="740"/>
      <c r="G102" s="445">
        <v>675</v>
      </c>
      <c r="H102" s="443">
        <f t="shared" ref="H102:H103" si="8">$E102*G102</f>
        <v>2700</v>
      </c>
      <c r="I102" s="217">
        <f t="shared" si="7"/>
        <v>0</v>
      </c>
    </row>
    <row r="103" spans="1:9">
      <c r="A103" s="226">
        <v>2.2000000000000002</v>
      </c>
      <c r="B103" s="157"/>
      <c r="C103" s="72" t="s">
        <v>126</v>
      </c>
      <c r="D103" s="230" t="s">
        <v>28</v>
      </c>
      <c r="E103" s="440">
        <v>2</v>
      </c>
      <c r="F103" s="740"/>
      <c r="G103" s="445">
        <v>765</v>
      </c>
      <c r="H103" s="443">
        <f t="shared" si="8"/>
        <v>1530</v>
      </c>
      <c r="I103" s="217">
        <f t="shared" si="7"/>
        <v>0</v>
      </c>
    </row>
    <row r="104" spans="1:9">
      <c r="A104" s="226">
        <v>2.2999999999999998</v>
      </c>
      <c r="B104" s="157"/>
      <c r="C104" s="72" t="s">
        <v>122</v>
      </c>
      <c r="D104" s="230" t="s">
        <v>28</v>
      </c>
      <c r="E104" s="440" t="s">
        <v>31</v>
      </c>
      <c r="F104" s="740"/>
      <c r="G104" s="445">
        <v>945</v>
      </c>
      <c r="H104" s="443"/>
      <c r="I104" s="217">
        <f t="shared" si="7"/>
        <v>0</v>
      </c>
    </row>
    <row r="105" spans="1:9">
      <c r="A105" s="226">
        <v>2.4</v>
      </c>
      <c r="B105" s="157"/>
      <c r="C105" s="231" t="s">
        <v>125</v>
      </c>
      <c r="D105" s="230" t="s">
        <v>28</v>
      </c>
      <c r="E105" s="440">
        <v>0</v>
      </c>
      <c r="F105" s="740"/>
      <c r="G105" s="443">
        <v>1260</v>
      </c>
      <c r="H105" s="443"/>
      <c r="I105" s="217">
        <f t="shared" si="7"/>
        <v>0</v>
      </c>
    </row>
    <row r="106" spans="1:9">
      <c r="A106" s="226"/>
      <c r="B106" s="157"/>
      <c r="C106" s="231"/>
      <c r="D106" s="230"/>
      <c r="E106" s="440"/>
      <c r="F106" s="740"/>
      <c r="G106" s="443">
        <v>0</v>
      </c>
      <c r="H106" s="443"/>
      <c r="I106" s="217">
        <f t="shared" si="7"/>
        <v>0</v>
      </c>
    </row>
    <row r="107" spans="1:9" ht="24">
      <c r="A107" s="226">
        <v>3</v>
      </c>
      <c r="B107" s="157"/>
      <c r="C107" s="72" t="s">
        <v>124</v>
      </c>
      <c r="D107" s="230"/>
      <c r="E107" s="440"/>
      <c r="F107" s="740"/>
      <c r="G107" s="443">
        <v>0</v>
      </c>
      <c r="H107" s="443"/>
      <c r="I107" s="217">
        <f t="shared" si="7"/>
        <v>0</v>
      </c>
    </row>
    <row r="108" spans="1:9">
      <c r="A108" s="226">
        <v>3.1</v>
      </c>
      <c r="B108" s="157"/>
      <c r="C108" s="72" t="s">
        <v>122</v>
      </c>
      <c r="D108" s="230" t="s">
        <v>28</v>
      </c>
      <c r="E108" s="440" t="s">
        <v>31</v>
      </c>
      <c r="F108" s="740"/>
      <c r="G108" s="443">
        <v>2340</v>
      </c>
      <c r="H108" s="443"/>
      <c r="I108" s="217">
        <f t="shared" si="7"/>
        <v>0</v>
      </c>
    </row>
    <row r="109" spans="1:9">
      <c r="A109" s="226"/>
      <c r="B109" s="157"/>
      <c r="C109" s="231"/>
      <c r="D109" s="230"/>
      <c r="E109" s="440"/>
      <c r="F109" s="740"/>
      <c r="G109" s="443">
        <v>0</v>
      </c>
      <c r="H109" s="443"/>
      <c r="I109" s="217">
        <f t="shared" si="7"/>
        <v>0</v>
      </c>
    </row>
    <row r="110" spans="1:9" ht="24">
      <c r="A110" s="226">
        <v>4</v>
      </c>
      <c r="B110" s="157"/>
      <c r="C110" s="72" t="s">
        <v>123</v>
      </c>
      <c r="D110" s="230"/>
      <c r="E110" s="440"/>
      <c r="F110" s="740"/>
      <c r="G110" s="443">
        <v>0</v>
      </c>
      <c r="H110" s="443"/>
      <c r="I110" s="217">
        <f t="shared" si="7"/>
        <v>0</v>
      </c>
    </row>
    <row r="111" spans="1:9">
      <c r="A111" s="226">
        <v>4.0999999999999996</v>
      </c>
      <c r="B111" s="157"/>
      <c r="C111" s="72" t="s">
        <v>122</v>
      </c>
      <c r="D111" s="230" t="s">
        <v>28</v>
      </c>
      <c r="E111" s="440" t="s">
        <v>31</v>
      </c>
      <c r="F111" s="740"/>
      <c r="G111" s="443">
        <v>2700</v>
      </c>
      <c r="H111" s="443"/>
      <c r="I111" s="217">
        <f t="shared" si="7"/>
        <v>0</v>
      </c>
    </row>
    <row r="112" spans="1:9">
      <c r="A112" s="226"/>
      <c r="B112" s="157"/>
      <c r="C112" s="231"/>
      <c r="D112" s="230"/>
      <c r="E112" s="440"/>
      <c r="F112" s="740"/>
      <c r="G112" s="443">
        <v>0</v>
      </c>
      <c r="H112" s="443"/>
      <c r="I112" s="217">
        <f t="shared" si="7"/>
        <v>0</v>
      </c>
    </row>
    <row r="113" spans="1:9" ht="36">
      <c r="A113" s="226">
        <v>5</v>
      </c>
      <c r="B113" s="157"/>
      <c r="C113" s="72" t="s">
        <v>121</v>
      </c>
      <c r="D113" s="230"/>
      <c r="E113" s="440"/>
      <c r="F113" s="740"/>
      <c r="G113" s="443">
        <v>0</v>
      </c>
      <c r="H113" s="443"/>
      <c r="I113" s="217">
        <f t="shared" si="7"/>
        <v>0</v>
      </c>
    </row>
    <row r="114" spans="1:9">
      <c r="A114" s="226">
        <v>5.0999999999999996</v>
      </c>
      <c r="B114" s="157"/>
      <c r="C114" s="72" t="s">
        <v>422</v>
      </c>
      <c r="D114" s="230" t="s">
        <v>28</v>
      </c>
      <c r="E114" s="440" t="s">
        <v>31</v>
      </c>
      <c r="F114" s="740"/>
      <c r="G114" s="443">
        <v>3330</v>
      </c>
      <c r="H114" s="443"/>
      <c r="I114" s="217">
        <f t="shared" si="7"/>
        <v>0</v>
      </c>
    </row>
    <row r="115" spans="1:9">
      <c r="A115" s="226">
        <v>5.2</v>
      </c>
      <c r="B115" s="157"/>
      <c r="C115" s="72" t="s">
        <v>120</v>
      </c>
      <c r="D115" s="230" t="s">
        <v>28</v>
      </c>
      <c r="E115" s="440">
        <v>0</v>
      </c>
      <c r="F115" s="740"/>
      <c r="G115" s="443">
        <v>3847.5</v>
      </c>
      <c r="H115" s="443"/>
      <c r="I115" s="217">
        <f t="shared" si="7"/>
        <v>0</v>
      </c>
    </row>
    <row r="116" spans="1:9">
      <c r="A116" s="226">
        <v>5.3</v>
      </c>
      <c r="B116" s="157"/>
      <c r="C116" s="72" t="s">
        <v>423</v>
      </c>
      <c r="D116" s="230" t="s">
        <v>28</v>
      </c>
      <c r="E116" s="440">
        <v>0</v>
      </c>
      <c r="F116" s="740"/>
      <c r="G116" s="443">
        <v>5130</v>
      </c>
      <c r="H116" s="443"/>
      <c r="I116" s="217">
        <f t="shared" si="7"/>
        <v>0</v>
      </c>
    </row>
    <row r="117" spans="1:9">
      <c r="A117" s="226"/>
      <c r="B117" s="157"/>
      <c r="C117" s="72"/>
      <c r="D117" s="230"/>
      <c r="E117" s="440"/>
      <c r="F117" s="740"/>
      <c r="G117" s="443">
        <v>0</v>
      </c>
      <c r="H117" s="443"/>
      <c r="I117" s="217">
        <f t="shared" si="7"/>
        <v>0</v>
      </c>
    </row>
    <row r="118" spans="1:9" ht="60">
      <c r="A118" s="226">
        <v>6</v>
      </c>
      <c r="B118" s="157"/>
      <c r="C118" s="69" t="s">
        <v>119</v>
      </c>
      <c r="D118" s="230" t="s">
        <v>69</v>
      </c>
      <c r="E118" s="440"/>
      <c r="F118" s="740"/>
      <c r="G118" s="443">
        <v>0</v>
      </c>
      <c r="H118" s="443"/>
      <c r="I118" s="217">
        <f t="shared" si="7"/>
        <v>0</v>
      </c>
    </row>
    <row r="119" spans="1:9">
      <c r="A119" s="226">
        <v>6.1</v>
      </c>
      <c r="B119" s="157"/>
      <c r="C119" s="69" t="s">
        <v>118</v>
      </c>
      <c r="D119" s="230" t="s">
        <v>28</v>
      </c>
      <c r="E119" s="440">
        <v>0</v>
      </c>
      <c r="F119" s="740"/>
      <c r="G119" s="443">
        <v>6412.5</v>
      </c>
      <c r="H119" s="443"/>
      <c r="I119" s="217">
        <f t="shared" si="7"/>
        <v>0</v>
      </c>
    </row>
    <row r="120" spans="1:9">
      <c r="A120" s="226">
        <v>6.2</v>
      </c>
      <c r="B120" s="157"/>
      <c r="C120" s="69" t="s">
        <v>117</v>
      </c>
      <c r="D120" s="230" t="s">
        <v>28</v>
      </c>
      <c r="E120" s="440">
        <v>0</v>
      </c>
      <c r="F120" s="740">
        <f>'MB Noodles'!H116</f>
        <v>1</v>
      </c>
      <c r="G120" s="445">
        <v>12150</v>
      </c>
      <c r="H120" s="443"/>
      <c r="I120" s="217">
        <f t="shared" si="7"/>
        <v>12150</v>
      </c>
    </row>
    <row r="121" spans="1:9">
      <c r="A121" s="226">
        <v>6.3</v>
      </c>
      <c r="B121" s="157"/>
      <c r="C121" s="69" t="s">
        <v>390</v>
      </c>
      <c r="D121" s="230" t="s">
        <v>28</v>
      </c>
      <c r="E121" s="440">
        <v>1</v>
      </c>
      <c r="F121" s="740"/>
      <c r="G121" s="445">
        <v>16650</v>
      </c>
      <c r="H121" s="443">
        <f>$E121*G121</f>
        <v>16650</v>
      </c>
      <c r="I121" s="217">
        <f t="shared" si="7"/>
        <v>0</v>
      </c>
    </row>
    <row r="122" spans="1:9">
      <c r="A122" s="226"/>
      <c r="B122" s="157"/>
      <c r="C122" s="69"/>
      <c r="D122" s="230"/>
      <c r="E122" s="440"/>
      <c r="F122" s="740"/>
      <c r="G122" s="443">
        <v>0</v>
      </c>
      <c r="H122" s="443"/>
      <c r="I122" s="217">
        <f t="shared" si="7"/>
        <v>0</v>
      </c>
    </row>
    <row r="123" spans="1:9">
      <c r="A123" s="226">
        <v>7</v>
      </c>
      <c r="B123" s="157"/>
      <c r="C123" s="183" t="s">
        <v>116</v>
      </c>
      <c r="D123" s="232" t="s">
        <v>47</v>
      </c>
      <c r="E123" s="446">
        <v>0</v>
      </c>
      <c r="F123" s="741"/>
      <c r="G123" s="443">
        <v>0</v>
      </c>
      <c r="H123" s="443"/>
      <c r="I123" s="217">
        <f t="shared" si="7"/>
        <v>0</v>
      </c>
    </row>
    <row r="124" spans="1:9" ht="24">
      <c r="A124" s="226">
        <v>8</v>
      </c>
      <c r="B124" s="157"/>
      <c r="C124" s="72" t="s">
        <v>424</v>
      </c>
      <c r="D124" s="232" t="s">
        <v>47</v>
      </c>
      <c r="E124" s="446">
        <v>1</v>
      </c>
      <c r="F124" s="741">
        <f>'MB Noodles'!H117</f>
        <v>1</v>
      </c>
      <c r="G124" s="443">
        <v>27000</v>
      </c>
      <c r="H124" s="443">
        <f>$E124*G124</f>
        <v>27000</v>
      </c>
      <c r="I124" s="217">
        <f t="shared" si="7"/>
        <v>27000</v>
      </c>
    </row>
    <row r="125" spans="1:9" ht="24">
      <c r="A125" s="226">
        <v>9</v>
      </c>
      <c r="B125" s="157"/>
      <c r="C125" s="72" t="s">
        <v>425</v>
      </c>
      <c r="D125" s="232" t="s">
        <v>47</v>
      </c>
      <c r="E125" s="446">
        <v>0</v>
      </c>
      <c r="F125" s="741"/>
      <c r="G125" s="443">
        <v>58500</v>
      </c>
      <c r="H125" s="443"/>
      <c r="I125" s="217">
        <f t="shared" si="7"/>
        <v>0</v>
      </c>
    </row>
    <row r="126" spans="1:9">
      <c r="A126" s="226"/>
      <c r="B126" s="157"/>
      <c r="C126" s="72"/>
      <c r="D126" s="232"/>
      <c r="E126" s="446"/>
      <c r="F126" s="741"/>
      <c r="G126" s="443">
        <v>0</v>
      </c>
      <c r="H126" s="443"/>
      <c r="I126" s="217">
        <f t="shared" si="7"/>
        <v>0</v>
      </c>
    </row>
    <row r="127" spans="1:9">
      <c r="A127" s="153" t="s">
        <v>24</v>
      </c>
      <c r="B127" s="157"/>
      <c r="C127" s="154" t="s">
        <v>115</v>
      </c>
      <c r="D127" s="154"/>
      <c r="E127" s="447"/>
      <c r="F127" s="742"/>
      <c r="G127" s="443">
        <v>0</v>
      </c>
      <c r="H127" s="443"/>
      <c r="I127" s="217">
        <f t="shared" si="7"/>
        <v>0</v>
      </c>
    </row>
    <row r="128" spans="1:9" ht="60">
      <c r="A128" s="226">
        <v>1</v>
      </c>
      <c r="B128" s="157"/>
      <c r="C128" s="235" t="s">
        <v>114</v>
      </c>
      <c r="D128" s="227"/>
      <c r="E128" s="440"/>
      <c r="F128" s="740"/>
      <c r="G128" s="443">
        <v>0</v>
      </c>
      <c r="H128" s="443"/>
      <c r="I128" s="217">
        <f t="shared" si="7"/>
        <v>0</v>
      </c>
    </row>
    <row r="129" spans="1:9">
      <c r="A129" s="226">
        <v>1.1000000000000001</v>
      </c>
      <c r="B129" s="157"/>
      <c r="C129" s="231" t="s">
        <v>113</v>
      </c>
      <c r="D129" s="226" t="s">
        <v>109</v>
      </c>
      <c r="E129" s="440">
        <v>5</v>
      </c>
      <c r="F129" s="740"/>
      <c r="G129" s="445">
        <v>340</v>
      </c>
      <c r="H129" s="443">
        <f>$E129*G129</f>
        <v>1700</v>
      </c>
      <c r="I129" s="217">
        <f t="shared" si="7"/>
        <v>0</v>
      </c>
    </row>
    <row r="130" spans="1:9">
      <c r="A130" s="226">
        <v>1.2</v>
      </c>
      <c r="B130" s="157"/>
      <c r="C130" s="231" t="s">
        <v>112</v>
      </c>
      <c r="D130" s="226" t="s">
        <v>109</v>
      </c>
      <c r="E130" s="440">
        <v>0</v>
      </c>
      <c r="F130" s="740"/>
      <c r="G130" s="445">
        <v>495</v>
      </c>
      <c r="H130" s="443"/>
      <c r="I130" s="217">
        <f t="shared" si="7"/>
        <v>0</v>
      </c>
    </row>
    <row r="131" spans="1:9">
      <c r="A131" s="226">
        <v>1.3</v>
      </c>
      <c r="B131" s="157"/>
      <c r="C131" s="231" t="s">
        <v>111</v>
      </c>
      <c r="D131" s="230" t="s">
        <v>109</v>
      </c>
      <c r="E131" s="440">
        <v>5</v>
      </c>
      <c r="F131" s="740">
        <f>'MB Noodles'!H120</f>
        <v>9.4</v>
      </c>
      <c r="G131" s="445">
        <v>595</v>
      </c>
      <c r="H131" s="443">
        <f>$E131*G131</f>
        <v>2975</v>
      </c>
      <c r="I131" s="217">
        <f t="shared" si="7"/>
        <v>5593</v>
      </c>
    </row>
    <row r="132" spans="1:9">
      <c r="A132" s="226">
        <v>1.4</v>
      </c>
      <c r="B132" s="157"/>
      <c r="C132" s="231" t="s">
        <v>110</v>
      </c>
      <c r="D132" s="230" t="s">
        <v>109</v>
      </c>
      <c r="E132" s="440">
        <v>0</v>
      </c>
      <c r="F132" s="740"/>
      <c r="G132" s="445">
        <v>900</v>
      </c>
      <c r="H132" s="443"/>
      <c r="I132" s="217">
        <f t="shared" si="7"/>
        <v>0</v>
      </c>
    </row>
    <row r="133" spans="1:9">
      <c r="A133" s="226"/>
      <c r="B133" s="157"/>
      <c r="C133" s="231"/>
      <c r="D133" s="230"/>
      <c r="E133" s="440"/>
      <c r="F133" s="740"/>
      <c r="G133" s="443">
        <v>0</v>
      </c>
      <c r="H133" s="443"/>
      <c r="I133" s="217">
        <f t="shared" si="7"/>
        <v>0</v>
      </c>
    </row>
    <row r="134" spans="1:9" ht="60">
      <c r="A134" s="226">
        <v>2</v>
      </c>
      <c r="B134" s="157"/>
      <c r="C134" s="237" t="s">
        <v>108</v>
      </c>
      <c r="D134" s="238"/>
      <c r="E134" s="440"/>
      <c r="F134" s="740"/>
      <c r="G134" s="444">
        <v>0</v>
      </c>
      <c r="H134" s="443"/>
      <c r="I134" s="217">
        <f t="shared" si="7"/>
        <v>0</v>
      </c>
    </row>
    <row r="135" spans="1:9">
      <c r="A135" s="226">
        <v>2.1</v>
      </c>
      <c r="B135" s="157"/>
      <c r="C135" s="237" t="s">
        <v>107</v>
      </c>
      <c r="D135" s="238" t="s">
        <v>51</v>
      </c>
      <c r="E135" s="440">
        <v>1</v>
      </c>
      <c r="F135" s="740">
        <f>'MB Noodles'!H122</f>
        <v>1</v>
      </c>
      <c r="G135" s="444">
        <v>855</v>
      </c>
      <c r="H135" s="443">
        <f>$E135*G135</f>
        <v>855</v>
      </c>
      <c r="I135" s="217">
        <f t="shared" si="7"/>
        <v>855</v>
      </c>
    </row>
    <row r="136" spans="1:9">
      <c r="A136" s="226">
        <v>2.2000000000000002</v>
      </c>
      <c r="B136" s="157"/>
      <c r="C136" s="237" t="s">
        <v>106</v>
      </c>
      <c r="D136" s="238" t="s">
        <v>51</v>
      </c>
      <c r="E136" s="440">
        <v>0</v>
      </c>
      <c r="F136" s="740">
        <f>'MB Noodles'!H123</f>
        <v>1</v>
      </c>
      <c r="G136" s="444">
        <v>945</v>
      </c>
      <c r="H136" s="443"/>
      <c r="I136" s="217">
        <f t="shared" si="7"/>
        <v>945</v>
      </c>
    </row>
    <row r="137" spans="1:9">
      <c r="A137" s="226">
        <v>2.2999999999999998</v>
      </c>
      <c r="B137" s="157"/>
      <c r="C137" s="237" t="s">
        <v>368</v>
      </c>
      <c r="D137" s="238" t="s">
        <v>51</v>
      </c>
      <c r="E137" s="440">
        <v>2</v>
      </c>
      <c r="F137" s="740"/>
      <c r="G137" s="443">
        <v>1170</v>
      </c>
      <c r="H137" s="443">
        <f t="shared" ref="H137:H138" si="9">$E137*G137</f>
        <v>2340</v>
      </c>
      <c r="I137" s="217">
        <f t="shared" si="7"/>
        <v>0</v>
      </c>
    </row>
    <row r="138" spans="1:9">
      <c r="A138" s="226">
        <v>2.4</v>
      </c>
      <c r="B138" s="157"/>
      <c r="C138" s="237" t="s">
        <v>369</v>
      </c>
      <c r="D138" s="238" t="s">
        <v>51</v>
      </c>
      <c r="E138" s="440">
        <v>2</v>
      </c>
      <c r="F138" s="740">
        <f>'MB Noodles'!H124</f>
        <v>2</v>
      </c>
      <c r="G138" s="445">
        <v>1215</v>
      </c>
      <c r="H138" s="443">
        <f t="shared" si="9"/>
        <v>2430</v>
      </c>
      <c r="I138" s="217">
        <f t="shared" si="7"/>
        <v>2430</v>
      </c>
    </row>
    <row r="139" spans="1:9">
      <c r="A139" s="239" t="s">
        <v>46</v>
      </c>
      <c r="B139" s="157"/>
      <c r="C139" s="240" t="s">
        <v>105</v>
      </c>
      <c r="D139" s="241"/>
      <c r="E139" s="448"/>
      <c r="F139" s="743"/>
      <c r="G139" s="443">
        <v>0</v>
      </c>
      <c r="H139" s="443"/>
      <c r="I139" s="217">
        <f t="shared" si="7"/>
        <v>0</v>
      </c>
    </row>
    <row r="140" spans="1:9">
      <c r="A140" s="243"/>
      <c r="B140" s="157"/>
      <c r="C140" s="244" t="s">
        <v>104</v>
      </c>
      <c r="D140" s="245"/>
      <c r="E140" s="449"/>
      <c r="F140" s="744"/>
      <c r="G140" s="443">
        <v>0</v>
      </c>
      <c r="H140" s="443"/>
      <c r="I140" s="217">
        <f t="shared" si="7"/>
        <v>0</v>
      </c>
    </row>
    <row r="141" spans="1:9">
      <c r="A141" s="243"/>
      <c r="B141" s="157"/>
      <c r="C141" s="244"/>
      <c r="D141" s="245"/>
      <c r="E141" s="449"/>
      <c r="F141" s="744"/>
      <c r="G141" s="443">
        <v>0</v>
      </c>
      <c r="H141" s="443"/>
      <c r="I141" s="217">
        <f t="shared" si="7"/>
        <v>0</v>
      </c>
    </row>
    <row r="142" spans="1:9">
      <c r="A142" s="226">
        <v>1.1000000000000001</v>
      </c>
      <c r="B142" s="157"/>
      <c r="C142" s="72" t="s">
        <v>365</v>
      </c>
      <c r="D142" s="232" t="s">
        <v>47</v>
      </c>
      <c r="E142" s="446">
        <v>10</v>
      </c>
      <c r="F142" s="741">
        <f>'MB Noodles'!H127</f>
        <v>5</v>
      </c>
      <c r="G142" s="443">
        <v>225</v>
      </c>
      <c r="H142" s="443">
        <f t="shared" ref="H142:H145" si="10">$E142*G142</f>
        <v>2250</v>
      </c>
      <c r="I142" s="217">
        <f t="shared" si="7"/>
        <v>1125</v>
      </c>
    </row>
    <row r="143" spans="1:9" ht="24">
      <c r="A143" s="226"/>
      <c r="B143" s="157"/>
      <c r="C143" s="72" t="s">
        <v>366</v>
      </c>
      <c r="D143" s="232" t="s">
        <v>47</v>
      </c>
      <c r="E143" s="446">
        <v>2</v>
      </c>
      <c r="F143" s="741">
        <f>'MB Noodles'!H128</f>
        <v>2</v>
      </c>
      <c r="G143" s="443">
        <v>495</v>
      </c>
      <c r="H143" s="443">
        <f t="shared" si="10"/>
        <v>990</v>
      </c>
      <c r="I143" s="217">
        <f t="shared" si="7"/>
        <v>990</v>
      </c>
    </row>
    <row r="144" spans="1:9" ht="24">
      <c r="A144" s="226"/>
      <c r="B144" s="157"/>
      <c r="C144" s="72" t="s">
        <v>426</v>
      </c>
      <c r="D144" s="232" t="s">
        <v>47</v>
      </c>
      <c r="E144" s="446">
        <v>1</v>
      </c>
      <c r="F144" s="741">
        <f>'MB Noodles'!H129</f>
        <v>2</v>
      </c>
      <c r="G144" s="443">
        <v>495</v>
      </c>
      <c r="H144" s="443">
        <f t="shared" si="10"/>
        <v>495</v>
      </c>
      <c r="I144" s="217">
        <f t="shared" si="7"/>
        <v>990</v>
      </c>
    </row>
    <row r="145" spans="1:9" ht="24">
      <c r="A145" s="226"/>
      <c r="B145" s="157"/>
      <c r="C145" s="72" t="s">
        <v>367</v>
      </c>
      <c r="D145" s="232" t="s">
        <v>47</v>
      </c>
      <c r="E145" s="446">
        <v>1</v>
      </c>
      <c r="F145" s="741"/>
      <c r="G145" s="443">
        <v>495</v>
      </c>
      <c r="H145" s="443">
        <f t="shared" si="10"/>
        <v>495</v>
      </c>
      <c r="I145" s="217">
        <f t="shared" si="7"/>
        <v>0</v>
      </c>
    </row>
    <row r="146" spans="1:9">
      <c r="A146" s="239" t="s">
        <v>45</v>
      </c>
      <c r="B146" s="157"/>
      <c r="C146" s="240" t="s">
        <v>103</v>
      </c>
      <c r="D146" s="241"/>
      <c r="E146" s="448"/>
      <c r="F146" s="743"/>
      <c r="G146" s="443">
        <v>0</v>
      </c>
      <c r="H146" s="443"/>
      <c r="I146" s="217">
        <f t="shared" si="7"/>
        <v>0</v>
      </c>
    </row>
    <row r="147" spans="1:9">
      <c r="A147" s="243"/>
      <c r="B147" s="157"/>
      <c r="C147" s="244" t="s">
        <v>102</v>
      </c>
      <c r="D147" s="245"/>
      <c r="E147" s="449"/>
      <c r="F147" s="744"/>
      <c r="G147" s="443">
        <v>0</v>
      </c>
      <c r="H147" s="443"/>
      <c r="I147" s="217">
        <f t="shared" si="7"/>
        <v>0</v>
      </c>
    </row>
    <row r="148" spans="1:9">
      <c r="A148" s="243"/>
      <c r="B148" s="157"/>
      <c r="C148" s="244"/>
      <c r="D148" s="245"/>
      <c r="E148" s="449"/>
      <c r="F148" s="744"/>
      <c r="G148" s="443">
        <v>0</v>
      </c>
      <c r="H148" s="443"/>
      <c r="I148" s="217">
        <f t="shared" si="7"/>
        <v>0</v>
      </c>
    </row>
    <row r="149" spans="1:9" ht="60">
      <c r="A149" s="247">
        <v>1</v>
      </c>
      <c r="B149" s="157"/>
      <c r="C149" s="73" t="s">
        <v>427</v>
      </c>
      <c r="D149" s="248" t="s">
        <v>28</v>
      </c>
      <c r="E149" s="440">
        <v>4</v>
      </c>
      <c r="F149" s="740">
        <f>'MB Noodles'!H132</f>
        <v>2</v>
      </c>
      <c r="G149" s="441">
        <v>4500</v>
      </c>
      <c r="H149" s="443">
        <f>$E149*G149</f>
        <v>18000</v>
      </c>
      <c r="I149" s="217">
        <f t="shared" si="7"/>
        <v>9000</v>
      </c>
    </row>
    <row r="150" spans="1:9" ht="60">
      <c r="A150" s="247">
        <v>2</v>
      </c>
      <c r="B150" s="157"/>
      <c r="C150" s="73" t="s">
        <v>428</v>
      </c>
      <c r="D150" s="248" t="s">
        <v>28</v>
      </c>
      <c r="E150" s="440" t="s">
        <v>31</v>
      </c>
      <c r="F150" s="740">
        <f>'MB Noodles'!H133</f>
        <v>1</v>
      </c>
      <c r="G150" s="441">
        <v>7200</v>
      </c>
      <c r="H150" s="443"/>
      <c r="I150" s="217">
        <f t="shared" si="7"/>
        <v>7200</v>
      </c>
    </row>
    <row r="151" spans="1:9">
      <c r="A151" s="247"/>
      <c r="B151" s="157"/>
      <c r="C151" s="73"/>
      <c r="D151" s="248"/>
      <c r="E151" s="440"/>
      <c r="F151" s="740"/>
      <c r="G151" s="441">
        <v>0</v>
      </c>
      <c r="H151" s="443"/>
      <c r="I151" s="217">
        <f t="shared" si="7"/>
        <v>0</v>
      </c>
    </row>
    <row r="152" spans="1:9">
      <c r="A152" s="239" t="s">
        <v>49</v>
      </c>
      <c r="B152" s="157"/>
      <c r="C152" s="240" t="s">
        <v>400</v>
      </c>
      <c r="D152" s="248"/>
      <c r="E152" s="440"/>
      <c r="F152" s="740"/>
      <c r="G152" s="441">
        <v>0</v>
      </c>
      <c r="H152" s="443"/>
      <c r="I152" s="217">
        <f t="shared" si="7"/>
        <v>0</v>
      </c>
    </row>
    <row r="153" spans="1:9">
      <c r="A153" s="239"/>
      <c r="B153" s="157"/>
      <c r="C153" s="240"/>
      <c r="D153" s="248"/>
      <c r="E153" s="440"/>
      <c r="F153" s="740"/>
      <c r="G153" s="441">
        <v>0</v>
      </c>
      <c r="H153" s="443"/>
      <c r="I153" s="217">
        <f t="shared" si="7"/>
        <v>0</v>
      </c>
    </row>
    <row r="154" spans="1:9" ht="24">
      <c r="A154" s="247">
        <v>1</v>
      </c>
      <c r="B154" s="157"/>
      <c r="C154" s="73" t="s">
        <v>402</v>
      </c>
      <c r="D154" s="248" t="s">
        <v>401</v>
      </c>
      <c r="E154" s="440">
        <v>6</v>
      </c>
      <c r="F154" s="740">
        <f>'MB Noodles'!H136</f>
        <v>4</v>
      </c>
      <c r="G154" s="441">
        <v>4050</v>
      </c>
      <c r="H154" s="443">
        <f t="shared" ref="H154:H155" si="11">$E154*G154</f>
        <v>24300</v>
      </c>
      <c r="I154" s="217">
        <f t="shared" si="7"/>
        <v>16200</v>
      </c>
    </row>
    <row r="155" spans="1:9">
      <c r="A155" s="247">
        <v>2</v>
      </c>
      <c r="B155" s="157"/>
      <c r="C155" s="73" t="s">
        <v>403</v>
      </c>
      <c r="D155" s="248" t="s">
        <v>401</v>
      </c>
      <c r="E155" s="440">
        <v>1</v>
      </c>
      <c r="F155" s="740">
        <f>'MB Noodles'!H137</f>
        <v>1</v>
      </c>
      <c r="G155" s="441">
        <v>4050</v>
      </c>
      <c r="H155" s="443">
        <f t="shared" si="11"/>
        <v>4050</v>
      </c>
      <c r="I155" s="217">
        <f t="shared" si="7"/>
        <v>4050</v>
      </c>
    </row>
    <row r="156" spans="1:9" ht="15">
      <c r="A156" s="455"/>
      <c r="B156" s="456"/>
      <c r="C156" s="457" t="s">
        <v>399</v>
      </c>
      <c r="D156" s="458"/>
      <c r="E156" s="459"/>
      <c r="F156" s="745"/>
      <c r="G156" s="460"/>
      <c r="H156" s="461">
        <f>SUM(H96:H155)</f>
        <v>113507.5</v>
      </c>
      <c r="I156" s="462">
        <f>SUM(I95:I155)</f>
        <v>96486.25</v>
      </c>
    </row>
    <row r="157" spans="1:9" ht="15">
      <c r="A157" s="153"/>
      <c r="B157" s="157"/>
      <c r="C157" s="453" t="s">
        <v>628</v>
      </c>
      <c r="D157" s="450"/>
      <c r="E157" s="451"/>
      <c r="F157" s="745"/>
      <c r="G157" s="443"/>
      <c r="H157" s="454">
        <f>H156*0.18</f>
        <v>20431.349999999999</v>
      </c>
      <c r="I157" s="452">
        <f>I156*0.18</f>
        <v>17367.524999999998</v>
      </c>
    </row>
    <row r="158" spans="1:9" ht="15">
      <c r="A158" s="464"/>
      <c r="B158" s="465"/>
      <c r="C158" s="466" t="s">
        <v>629</v>
      </c>
      <c r="D158" s="467"/>
      <c r="E158" s="468"/>
      <c r="F158" s="745"/>
      <c r="G158" s="469"/>
      <c r="H158" s="470">
        <f>SUM(H156:H157)</f>
        <v>133938.85</v>
      </c>
      <c r="I158" s="435">
        <f>SUM(I156:I157)</f>
        <v>113853.77499999999</v>
      </c>
    </row>
    <row r="159" spans="1:9">
      <c r="A159" s="471"/>
      <c r="B159" s="472"/>
      <c r="C159" s="473"/>
      <c r="D159" s="471"/>
      <c r="E159" s="474"/>
      <c r="F159" s="746"/>
      <c r="G159" s="475"/>
      <c r="H159" s="475"/>
    </row>
    <row r="160" spans="1:9">
      <c r="A160" s="256">
        <v>1</v>
      </c>
      <c r="B160" s="257"/>
      <c r="C160" s="67" t="s">
        <v>365</v>
      </c>
      <c r="D160" s="256" t="s">
        <v>28</v>
      </c>
      <c r="E160" s="229"/>
      <c r="F160" s="627">
        <f>'MB Noodles'!H140</f>
        <v>5</v>
      </c>
      <c r="G160" s="547">
        <v>1100</v>
      </c>
      <c r="H160" s="547"/>
      <c r="I160" s="217">
        <f>F160*G160</f>
        <v>5500</v>
      </c>
    </row>
    <row r="161" spans="1:9" ht="24">
      <c r="A161" s="256">
        <v>2</v>
      </c>
      <c r="B161" s="257"/>
      <c r="C161" s="72" t="s">
        <v>366</v>
      </c>
      <c r="D161" s="256" t="s">
        <v>28</v>
      </c>
      <c r="E161" s="229"/>
      <c r="F161" s="627">
        <f>'MB Noodles'!H141</f>
        <v>2</v>
      </c>
      <c r="G161" s="547">
        <v>3500</v>
      </c>
      <c r="H161" s="547"/>
      <c r="I161" s="217">
        <f>F161*G161</f>
        <v>7000</v>
      </c>
    </row>
    <row r="162" spans="1:9" ht="24">
      <c r="A162" s="256">
        <v>3</v>
      </c>
      <c r="B162" s="257"/>
      <c r="C162" s="72" t="s">
        <v>426</v>
      </c>
      <c r="D162" s="256" t="s">
        <v>28</v>
      </c>
      <c r="E162" s="229"/>
      <c r="F162" s="627">
        <f>'MB Noodles'!H142</f>
        <v>2</v>
      </c>
      <c r="G162" s="547">
        <v>5500</v>
      </c>
      <c r="H162" s="547"/>
      <c r="I162" s="217">
        <f>F162*G162</f>
        <v>11000</v>
      </c>
    </row>
    <row r="163" spans="1:9">
      <c r="A163" s="256"/>
      <c r="B163" s="257"/>
      <c r="C163" s="227"/>
      <c r="D163" s="256"/>
      <c r="E163" s="229"/>
      <c r="F163" s="627"/>
      <c r="G163" s="547"/>
      <c r="H163" s="547"/>
      <c r="I163" s="217"/>
    </row>
    <row r="164" spans="1:9" ht="12.75">
      <c r="A164" s="608"/>
      <c r="B164" s="609"/>
      <c r="C164" s="610" t="s">
        <v>695</v>
      </c>
      <c r="D164" s="608"/>
      <c r="E164" s="611"/>
      <c r="F164" s="627"/>
      <c r="G164" s="550"/>
      <c r="H164" s="550"/>
      <c r="I164" s="657">
        <f>SUM(I160:I163)</f>
        <v>23500</v>
      </c>
    </row>
    <row r="165" spans="1:9">
      <c r="A165" s="765"/>
      <c r="B165" s="766"/>
      <c r="C165" s="767"/>
      <c r="D165" s="765"/>
      <c r="E165" s="768"/>
      <c r="F165" s="769"/>
      <c r="G165" s="770"/>
      <c r="H165" s="770"/>
    </row>
    <row r="166" spans="1:9">
      <c r="A166" s="153" t="s">
        <v>49</v>
      </c>
      <c r="B166" s="154" t="s">
        <v>189</v>
      </c>
      <c r="C166" s="155"/>
      <c r="D166" s="156"/>
      <c r="E166" s="407"/>
      <c r="F166" s="735"/>
      <c r="G166" s="408"/>
      <c r="H166" s="408"/>
      <c r="I166" s="217"/>
    </row>
    <row r="167" spans="1:9" ht="12" customHeight="1">
      <c r="A167" s="264" t="s">
        <v>136</v>
      </c>
      <c r="B167" s="479" t="s">
        <v>189</v>
      </c>
      <c r="C167" s="480" t="s">
        <v>2</v>
      </c>
      <c r="D167" s="481" t="s">
        <v>3</v>
      </c>
      <c r="E167" s="482" t="s">
        <v>137</v>
      </c>
      <c r="F167" s="747"/>
      <c r="G167" s="483" t="s">
        <v>138</v>
      </c>
      <c r="H167" s="852"/>
      <c r="I167" s="217"/>
    </row>
    <row r="168" spans="1:9">
      <c r="A168" s="264"/>
      <c r="B168" s="479"/>
      <c r="C168" s="480"/>
      <c r="D168" s="481"/>
      <c r="E168" s="482"/>
      <c r="F168" s="747"/>
      <c r="G168" s="483"/>
      <c r="H168" s="852"/>
      <c r="I168" s="217">
        <f t="shared" ref="I168:I231" si="12">G168*F168</f>
        <v>0</v>
      </c>
    </row>
    <row r="169" spans="1:9">
      <c r="A169" s="264"/>
      <c r="B169" s="157"/>
      <c r="C169" s="265"/>
      <c r="D169" s="266"/>
      <c r="E169" s="484"/>
      <c r="F169" s="748"/>
      <c r="G169" s="486"/>
      <c r="H169" s="486"/>
      <c r="I169" s="217">
        <f t="shared" si="12"/>
        <v>0</v>
      </c>
    </row>
    <row r="170" spans="1:9">
      <c r="A170" s="264">
        <v>1</v>
      </c>
      <c r="B170" s="157"/>
      <c r="C170" s="265" t="s">
        <v>139</v>
      </c>
      <c r="D170" s="266"/>
      <c r="E170" s="484"/>
      <c r="F170" s="748"/>
      <c r="G170" s="486"/>
      <c r="H170" s="486"/>
      <c r="I170" s="217">
        <f t="shared" si="12"/>
        <v>0</v>
      </c>
    </row>
    <row r="171" spans="1:9">
      <c r="A171" s="264">
        <v>1.1000000000000001</v>
      </c>
      <c r="B171" s="157"/>
      <c r="C171" s="265" t="s">
        <v>140</v>
      </c>
      <c r="D171" s="266" t="s">
        <v>28</v>
      </c>
      <c r="E171" s="484">
        <v>0</v>
      </c>
      <c r="F171" s="748"/>
      <c r="G171" s="486"/>
      <c r="H171" s="486"/>
      <c r="I171" s="217">
        <f t="shared" si="12"/>
        <v>0</v>
      </c>
    </row>
    <row r="172" spans="1:9">
      <c r="A172" s="264"/>
      <c r="B172" s="157"/>
      <c r="C172" s="268" t="s">
        <v>141</v>
      </c>
      <c r="D172" s="266"/>
      <c r="E172" s="484"/>
      <c r="F172" s="748"/>
      <c r="G172" s="486"/>
      <c r="H172" s="486"/>
      <c r="I172" s="217">
        <f t="shared" si="12"/>
        <v>0</v>
      </c>
    </row>
    <row r="173" spans="1:9" ht="24">
      <c r="A173" s="264"/>
      <c r="B173" s="157"/>
      <c r="C173" s="268" t="s">
        <v>142</v>
      </c>
      <c r="D173" s="266"/>
      <c r="E173" s="484"/>
      <c r="F173" s="748"/>
      <c r="G173" s="486"/>
      <c r="H173" s="486"/>
      <c r="I173" s="217">
        <f t="shared" si="12"/>
        <v>0</v>
      </c>
    </row>
    <row r="174" spans="1:9">
      <c r="A174" s="264"/>
      <c r="B174" s="157"/>
      <c r="C174" s="86" t="s">
        <v>143</v>
      </c>
      <c r="D174" s="266"/>
      <c r="E174" s="484"/>
      <c r="F174" s="748"/>
      <c r="G174" s="486"/>
      <c r="H174" s="486"/>
      <c r="I174" s="217">
        <f t="shared" si="12"/>
        <v>0</v>
      </c>
    </row>
    <row r="175" spans="1:9">
      <c r="A175" s="264"/>
      <c r="B175" s="157"/>
      <c r="C175" s="86" t="s">
        <v>144</v>
      </c>
      <c r="D175" s="266"/>
      <c r="E175" s="484"/>
      <c r="F175" s="748"/>
      <c r="G175" s="486"/>
      <c r="H175" s="486"/>
      <c r="I175" s="217">
        <f t="shared" si="12"/>
        <v>0</v>
      </c>
    </row>
    <row r="176" spans="1:9">
      <c r="A176" s="264"/>
      <c r="B176" s="157"/>
      <c r="C176" s="86" t="s">
        <v>145</v>
      </c>
      <c r="D176" s="266"/>
      <c r="E176" s="484"/>
      <c r="F176" s="748"/>
      <c r="G176" s="486"/>
      <c r="H176" s="486"/>
      <c r="I176" s="217">
        <f t="shared" si="12"/>
        <v>0</v>
      </c>
    </row>
    <row r="177" spans="1:9">
      <c r="A177" s="264"/>
      <c r="B177" s="157"/>
      <c r="C177" s="86" t="s">
        <v>146</v>
      </c>
      <c r="D177" s="266"/>
      <c r="E177" s="484"/>
      <c r="F177" s="748"/>
      <c r="G177" s="486"/>
      <c r="H177" s="486"/>
      <c r="I177" s="217">
        <f t="shared" si="12"/>
        <v>0</v>
      </c>
    </row>
    <row r="178" spans="1:9">
      <c r="A178" s="264"/>
      <c r="B178" s="157"/>
      <c r="C178" s="86" t="s">
        <v>147</v>
      </c>
      <c r="D178" s="266"/>
      <c r="E178" s="484"/>
      <c r="F178" s="748"/>
      <c r="G178" s="486"/>
      <c r="H178" s="486"/>
      <c r="I178" s="217">
        <f t="shared" si="12"/>
        <v>0</v>
      </c>
    </row>
    <row r="179" spans="1:9" ht="24">
      <c r="A179" s="264"/>
      <c r="B179" s="157"/>
      <c r="C179" s="86" t="s">
        <v>148</v>
      </c>
      <c r="D179" s="266"/>
      <c r="E179" s="484"/>
      <c r="F179" s="748"/>
      <c r="G179" s="486"/>
      <c r="H179" s="486"/>
      <c r="I179" s="217">
        <f t="shared" si="12"/>
        <v>0</v>
      </c>
    </row>
    <row r="180" spans="1:9">
      <c r="A180" s="264"/>
      <c r="B180" s="157"/>
      <c r="C180" s="86"/>
      <c r="D180" s="266"/>
      <c r="E180" s="484"/>
      <c r="F180" s="748"/>
      <c r="G180" s="486"/>
      <c r="H180" s="486"/>
      <c r="I180" s="217">
        <f t="shared" si="12"/>
        <v>0</v>
      </c>
    </row>
    <row r="181" spans="1:9">
      <c r="A181" s="264">
        <v>1.2</v>
      </c>
      <c r="B181" s="157"/>
      <c r="C181" s="265" t="s">
        <v>149</v>
      </c>
      <c r="D181" s="266" t="s">
        <v>28</v>
      </c>
      <c r="E181" s="484">
        <v>0</v>
      </c>
      <c r="F181" s="748"/>
      <c r="G181" s="486"/>
      <c r="H181" s="486"/>
      <c r="I181" s="217">
        <f t="shared" si="12"/>
        <v>0</v>
      </c>
    </row>
    <row r="182" spans="1:9">
      <c r="A182" s="264"/>
      <c r="B182" s="157"/>
      <c r="C182" s="268" t="s">
        <v>150</v>
      </c>
      <c r="D182" s="266"/>
      <c r="E182" s="484"/>
      <c r="F182" s="748"/>
      <c r="G182" s="486"/>
      <c r="H182" s="486"/>
      <c r="I182" s="217">
        <f t="shared" si="12"/>
        <v>0</v>
      </c>
    </row>
    <row r="183" spans="1:9" ht="24">
      <c r="A183" s="264"/>
      <c r="B183" s="157"/>
      <c r="C183" s="268" t="s">
        <v>151</v>
      </c>
      <c r="D183" s="266"/>
      <c r="E183" s="484"/>
      <c r="F183" s="748"/>
      <c r="G183" s="486"/>
      <c r="H183" s="486"/>
      <c r="I183" s="217">
        <f t="shared" si="12"/>
        <v>0</v>
      </c>
    </row>
    <row r="184" spans="1:9">
      <c r="A184" s="264"/>
      <c r="B184" s="157"/>
      <c r="C184" s="86" t="s">
        <v>143</v>
      </c>
      <c r="D184" s="266"/>
      <c r="E184" s="484"/>
      <c r="F184" s="748"/>
      <c r="G184" s="486"/>
      <c r="H184" s="486"/>
      <c r="I184" s="217">
        <f t="shared" si="12"/>
        <v>0</v>
      </c>
    </row>
    <row r="185" spans="1:9">
      <c r="A185" s="264"/>
      <c r="B185" s="157"/>
      <c r="C185" s="86" t="s">
        <v>152</v>
      </c>
      <c r="D185" s="266"/>
      <c r="E185" s="484"/>
      <c r="F185" s="748"/>
      <c r="G185" s="486"/>
      <c r="H185" s="486"/>
      <c r="I185" s="217">
        <f t="shared" si="12"/>
        <v>0</v>
      </c>
    </row>
    <row r="186" spans="1:9">
      <c r="A186" s="264"/>
      <c r="B186" s="157"/>
      <c r="C186" s="86" t="s">
        <v>145</v>
      </c>
      <c r="D186" s="266"/>
      <c r="E186" s="484"/>
      <c r="F186" s="748"/>
      <c r="G186" s="486"/>
      <c r="H186" s="486"/>
      <c r="I186" s="217">
        <f t="shared" si="12"/>
        <v>0</v>
      </c>
    </row>
    <row r="187" spans="1:9">
      <c r="A187" s="264"/>
      <c r="B187" s="157"/>
      <c r="C187" s="86" t="s">
        <v>153</v>
      </c>
      <c r="D187" s="266"/>
      <c r="E187" s="484"/>
      <c r="F187" s="748"/>
      <c r="G187" s="486"/>
      <c r="H187" s="486"/>
      <c r="I187" s="217">
        <f t="shared" si="12"/>
        <v>0</v>
      </c>
    </row>
    <row r="188" spans="1:9">
      <c r="A188" s="264"/>
      <c r="B188" s="157"/>
      <c r="C188" s="86" t="s">
        <v>154</v>
      </c>
      <c r="D188" s="266"/>
      <c r="E188" s="484"/>
      <c r="F188" s="748"/>
      <c r="G188" s="486"/>
      <c r="H188" s="486"/>
      <c r="I188" s="217">
        <f t="shared" si="12"/>
        <v>0</v>
      </c>
    </row>
    <row r="189" spans="1:9">
      <c r="A189" s="264"/>
      <c r="B189" s="157"/>
      <c r="C189" s="86" t="s">
        <v>155</v>
      </c>
      <c r="D189" s="266"/>
      <c r="E189" s="484"/>
      <c r="F189" s="748"/>
      <c r="G189" s="486"/>
      <c r="H189" s="486"/>
      <c r="I189" s="217">
        <f t="shared" si="12"/>
        <v>0</v>
      </c>
    </row>
    <row r="190" spans="1:9">
      <c r="A190" s="264"/>
      <c r="B190" s="157"/>
      <c r="C190" s="86" t="s">
        <v>156</v>
      </c>
      <c r="D190" s="266"/>
      <c r="E190" s="484"/>
      <c r="F190" s="748"/>
      <c r="G190" s="486"/>
      <c r="H190" s="486"/>
      <c r="I190" s="217">
        <f t="shared" si="12"/>
        <v>0</v>
      </c>
    </row>
    <row r="191" spans="1:9">
      <c r="A191" s="264"/>
      <c r="B191" s="157"/>
      <c r="C191" s="86"/>
      <c r="D191" s="266"/>
      <c r="E191" s="484"/>
      <c r="F191" s="748"/>
      <c r="G191" s="486"/>
      <c r="H191" s="486"/>
      <c r="I191" s="217">
        <f t="shared" si="12"/>
        <v>0</v>
      </c>
    </row>
    <row r="192" spans="1:9">
      <c r="A192" s="264">
        <v>2</v>
      </c>
      <c r="B192" s="157"/>
      <c r="C192" s="265" t="s">
        <v>157</v>
      </c>
      <c r="D192" s="266"/>
      <c r="E192" s="484"/>
      <c r="F192" s="748"/>
      <c r="G192" s="486"/>
      <c r="H192" s="486"/>
      <c r="I192" s="217">
        <f t="shared" si="12"/>
        <v>0</v>
      </c>
    </row>
    <row r="193" spans="1:9" ht="36">
      <c r="A193" s="264"/>
      <c r="B193" s="157"/>
      <c r="C193" s="269" t="s">
        <v>158</v>
      </c>
      <c r="D193" s="266"/>
      <c r="E193" s="484"/>
      <c r="F193" s="748"/>
      <c r="G193" s="486"/>
      <c r="H193" s="486"/>
      <c r="I193" s="217">
        <f t="shared" si="12"/>
        <v>0</v>
      </c>
    </row>
    <row r="194" spans="1:9">
      <c r="A194" s="264"/>
      <c r="B194" s="157"/>
      <c r="C194" s="270" t="s">
        <v>159</v>
      </c>
      <c r="D194" s="266"/>
      <c r="E194" s="484"/>
      <c r="F194" s="748"/>
      <c r="G194" s="486"/>
      <c r="H194" s="486"/>
      <c r="I194" s="217">
        <f t="shared" si="12"/>
        <v>0</v>
      </c>
    </row>
    <row r="195" spans="1:9">
      <c r="A195" s="264"/>
      <c r="B195" s="157"/>
      <c r="C195" s="269" t="s">
        <v>160</v>
      </c>
      <c r="D195" s="266"/>
      <c r="E195" s="484"/>
      <c r="F195" s="748"/>
      <c r="G195" s="486"/>
      <c r="H195" s="486"/>
      <c r="I195" s="217">
        <f t="shared" si="12"/>
        <v>0</v>
      </c>
    </row>
    <row r="196" spans="1:9">
      <c r="A196" s="264"/>
      <c r="B196" s="157"/>
      <c r="C196" s="270"/>
      <c r="D196" s="266"/>
      <c r="E196" s="484"/>
      <c r="F196" s="748"/>
      <c r="G196" s="486"/>
      <c r="H196" s="486"/>
      <c r="I196" s="217">
        <f t="shared" si="12"/>
        <v>0</v>
      </c>
    </row>
    <row r="197" spans="1:9">
      <c r="A197" s="264">
        <v>2.1</v>
      </c>
      <c r="B197" s="157"/>
      <c r="C197" s="265" t="s">
        <v>161</v>
      </c>
      <c r="D197" s="266"/>
      <c r="E197" s="484"/>
      <c r="F197" s="748"/>
      <c r="G197" s="486"/>
      <c r="H197" s="486"/>
      <c r="I197" s="217">
        <f t="shared" si="12"/>
        <v>0</v>
      </c>
    </row>
    <row r="198" spans="1:9" ht="24">
      <c r="A198" s="264" t="s">
        <v>162</v>
      </c>
      <c r="B198" s="157"/>
      <c r="C198" s="271" t="s">
        <v>163</v>
      </c>
      <c r="D198" s="266"/>
      <c r="E198" s="484"/>
      <c r="F198" s="748"/>
      <c r="G198" s="486"/>
      <c r="H198" s="486"/>
      <c r="I198" s="217">
        <f t="shared" si="12"/>
        <v>0</v>
      </c>
    </row>
    <row r="199" spans="1:9">
      <c r="A199" s="264"/>
      <c r="B199" s="157"/>
      <c r="C199" s="270"/>
      <c r="D199" s="266"/>
      <c r="E199" s="484"/>
      <c r="F199" s="748"/>
      <c r="G199" s="486"/>
      <c r="H199" s="486"/>
      <c r="I199" s="217">
        <f t="shared" si="12"/>
        <v>0</v>
      </c>
    </row>
    <row r="200" spans="1:9" ht="24">
      <c r="A200" s="272" t="s">
        <v>164</v>
      </c>
      <c r="B200" s="157"/>
      <c r="C200" s="268" t="s">
        <v>165</v>
      </c>
      <c r="D200" s="272" t="s">
        <v>28</v>
      </c>
      <c r="E200" s="487"/>
      <c r="F200" s="749"/>
      <c r="G200" s="486"/>
      <c r="H200" s="486"/>
      <c r="I200" s="217">
        <f t="shared" si="12"/>
        <v>0</v>
      </c>
    </row>
    <row r="201" spans="1:9">
      <c r="A201" s="272"/>
      <c r="B201" s="157"/>
      <c r="C201" s="268"/>
      <c r="D201" s="272"/>
      <c r="E201" s="487"/>
      <c r="F201" s="749"/>
      <c r="G201" s="486"/>
      <c r="H201" s="486"/>
      <c r="I201" s="217">
        <f t="shared" si="12"/>
        <v>0</v>
      </c>
    </row>
    <row r="202" spans="1:9" ht="24">
      <c r="A202" s="272" t="s">
        <v>166</v>
      </c>
      <c r="B202" s="157"/>
      <c r="C202" s="268" t="s">
        <v>167</v>
      </c>
      <c r="D202" s="272"/>
      <c r="E202" s="487">
        <v>0</v>
      </c>
      <c r="F202" s="749"/>
      <c r="G202" s="486"/>
      <c r="H202" s="486"/>
      <c r="I202" s="217">
        <f t="shared" si="12"/>
        <v>0</v>
      </c>
    </row>
    <row r="203" spans="1:9">
      <c r="A203" s="264"/>
      <c r="B203" s="157"/>
      <c r="C203" s="270"/>
      <c r="D203" s="274"/>
      <c r="E203" s="484"/>
      <c r="F203" s="748"/>
      <c r="G203" s="486"/>
      <c r="H203" s="486"/>
      <c r="I203" s="217">
        <f t="shared" si="12"/>
        <v>0</v>
      </c>
    </row>
    <row r="204" spans="1:9" ht="24">
      <c r="A204" s="272" t="s">
        <v>168</v>
      </c>
      <c r="B204" s="157"/>
      <c r="C204" s="268" t="s">
        <v>429</v>
      </c>
      <c r="D204" s="272" t="s">
        <v>28</v>
      </c>
      <c r="E204" s="487">
        <v>0</v>
      </c>
      <c r="F204" s="749"/>
      <c r="G204" s="486"/>
      <c r="H204" s="486"/>
      <c r="I204" s="217">
        <f t="shared" si="12"/>
        <v>0</v>
      </c>
    </row>
    <row r="205" spans="1:9">
      <c r="A205" s="264"/>
      <c r="B205" s="157"/>
      <c r="C205" s="270"/>
      <c r="D205" s="274"/>
      <c r="E205" s="484"/>
      <c r="F205" s="748"/>
      <c r="G205" s="486"/>
      <c r="H205" s="486"/>
      <c r="I205" s="217">
        <f t="shared" si="12"/>
        <v>0</v>
      </c>
    </row>
    <row r="206" spans="1:9" ht="24">
      <c r="A206" s="272" t="s">
        <v>169</v>
      </c>
      <c r="B206" s="157"/>
      <c r="C206" s="268" t="s">
        <v>430</v>
      </c>
      <c r="D206" s="272" t="s">
        <v>28</v>
      </c>
      <c r="E206" s="487"/>
      <c r="F206" s="749"/>
      <c r="G206" s="486"/>
      <c r="H206" s="486"/>
      <c r="I206" s="217">
        <f t="shared" si="12"/>
        <v>0</v>
      </c>
    </row>
    <row r="207" spans="1:9">
      <c r="A207" s="272"/>
      <c r="B207" s="157"/>
      <c r="C207" s="268"/>
      <c r="D207" s="272"/>
      <c r="E207" s="487"/>
      <c r="F207" s="749"/>
      <c r="G207" s="486"/>
      <c r="H207" s="486"/>
      <c r="I207" s="217">
        <f t="shared" si="12"/>
        <v>0</v>
      </c>
    </row>
    <row r="208" spans="1:9" ht="24">
      <c r="A208" s="272" t="s">
        <v>169</v>
      </c>
      <c r="B208" s="157"/>
      <c r="C208" s="268" t="s">
        <v>431</v>
      </c>
      <c r="D208" s="272" t="s">
        <v>28</v>
      </c>
      <c r="E208" s="487">
        <v>0</v>
      </c>
      <c r="F208" s="749"/>
      <c r="G208" s="486"/>
      <c r="H208" s="486"/>
      <c r="I208" s="217">
        <f t="shared" si="12"/>
        <v>0</v>
      </c>
    </row>
    <row r="209" spans="1:9">
      <c r="A209" s="272"/>
      <c r="B209" s="157"/>
      <c r="C209" s="268"/>
      <c r="D209" s="272"/>
      <c r="E209" s="487"/>
      <c r="F209" s="749"/>
      <c r="G209" s="486"/>
      <c r="H209" s="486"/>
      <c r="I209" s="217">
        <f t="shared" si="12"/>
        <v>0</v>
      </c>
    </row>
    <row r="210" spans="1:9" ht="24">
      <c r="A210" s="272" t="s">
        <v>170</v>
      </c>
      <c r="B210" s="157"/>
      <c r="C210" s="268" t="s">
        <v>432</v>
      </c>
      <c r="D210" s="272" t="s">
        <v>28</v>
      </c>
      <c r="E210" s="487">
        <v>0</v>
      </c>
      <c r="F210" s="749"/>
      <c r="G210" s="486"/>
      <c r="H210" s="486"/>
      <c r="I210" s="217">
        <f t="shared" si="12"/>
        <v>0</v>
      </c>
    </row>
    <row r="211" spans="1:9">
      <c r="A211" s="272"/>
      <c r="B211" s="157"/>
      <c r="C211" s="268"/>
      <c r="D211" s="272"/>
      <c r="E211" s="487"/>
      <c r="F211" s="749"/>
      <c r="G211" s="486"/>
      <c r="H211" s="486"/>
      <c r="I211" s="217">
        <f t="shared" si="12"/>
        <v>0</v>
      </c>
    </row>
    <row r="212" spans="1:9">
      <c r="A212" s="264">
        <v>2.2000000000000002</v>
      </c>
      <c r="B212" s="157"/>
      <c r="C212" s="276" t="s">
        <v>171</v>
      </c>
      <c r="D212" s="274"/>
      <c r="E212" s="484"/>
      <c r="F212" s="748"/>
      <c r="G212" s="486"/>
      <c r="H212" s="486"/>
      <c r="I212" s="217">
        <f t="shared" si="12"/>
        <v>0</v>
      </c>
    </row>
    <row r="213" spans="1:9">
      <c r="A213" s="88" t="s">
        <v>172</v>
      </c>
      <c r="B213" s="157"/>
      <c r="C213" s="277" t="s">
        <v>173</v>
      </c>
      <c r="D213" s="274" t="s">
        <v>28</v>
      </c>
      <c r="E213" s="484">
        <v>1</v>
      </c>
      <c r="F213" s="748">
        <f>'MB Noodles'!H147</f>
        <v>1</v>
      </c>
      <c r="G213" s="486">
        <v>7500</v>
      </c>
      <c r="H213" s="486">
        <f>$E213*G213</f>
        <v>7500</v>
      </c>
      <c r="I213" s="217">
        <f t="shared" si="12"/>
        <v>7500</v>
      </c>
    </row>
    <row r="214" spans="1:9">
      <c r="A214" s="88"/>
      <c r="B214" s="157"/>
      <c r="C214" s="268" t="s">
        <v>174</v>
      </c>
      <c r="D214" s="274"/>
      <c r="E214" s="484"/>
      <c r="F214" s="748"/>
      <c r="G214" s="486">
        <v>0</v>
      </c>
      <c r="H214" s="486"/>
      <c r="I214" s="217">
        <f t="shared" si="12"/>
        <v>0</v>
      </c>
    </row>
    <row r="215" spans="1:9">
      <c r="A215" s="88"/>
      <c r="B215" s="157"/>
      <c r="C215" s="268" t="s">
        <v>175</v>
      </c>
      <c r="D215" s="274"/>
      <c r="E215" s="484"/>
      <c r="F215" s="748"/>
      <c r="G215" s="486">
        <v>0</v>
      </c>
      <c r="H215" s="486"/>
      <c r="I215" s="217">
        <f t="shared" si="12"/>
        <v>0</v>
      </c>
    </row>
    <row r="216" spans="1:9">
      <c r="A216" s="88"/>
      <c r="B216" s="157"/>
      <c r="C216" s="276"/>
      <c r="D216" s="274"/>
      <c r="E216" s="484"/>
      <c r="F216" s="748"/>
      <c r="G216" s="486">
        <v>0</v>
      </c>
      <c r="H216" s="486"/>
      <c r="I216" s="217">
        <f t="shared" si="12"/>
        <v>0</v>
      </c>
    </row>
    <row r="217" spans="1:9">
      <c r="A217" s="88" t="s">
        <v>176</v>
      </c>
      <c r="B217" s="157"/>
      <c r="C217" s="277" t="s">
        <v>177</v>
      </c>
      <c r="D217" s="274" t="s">
        <v>28</v>
      </c>
      <c r="E217" s="484">
        <v>1</v>
      </c>
      <c r="F217" s="748">
        <f>'MB Noodles'!H151</f>
        <v>1</v>
      </c>
      <c r="G217" s="486">
        <v>17550</v>
      </c>
      <c r="H217" s="486">
        <f>$E217*G217</f>
        <v>17550</v>
      </c>
      <c r="I217" s="217">
        <f t="shared" si="12"/>
        <v>17550</v>
      </c>
    </row>
    <row r="218" spans="1:9">
      <c r="A218" s="88"/>
      <c r="B218" s="157"/>
      <c r="C218" s="268" t="s">
        <v>178</v>
      </c>
      <c r="D218" s="274"/>
      <c r="E218" s="484"/>
      <c r="F218" s="748"/>
      <c r="G218" s="486">
        <v>0</v>
      </c>
      <c r="H218" s="486"/>
      <c r="I218" s="217">
        <f t="shared" si="12"/>
        <v>0</v>
      </c>
    </row>
    <row r="219" spans="1:9">
      <c r="A219" s="88"/>
      <c r="B219" s="157"/>
      <c r="C219" s="268" t="s">
        <v>179</v>
      </c>
      <c r="D219" s="274"/>
      <c r="E219" s="484"/>
      <c r="F219" s="748"/>
      <c r="G219" s="486">
        <v>0</v>
      </c>
      <c r="H219" s="486"/>
      <c r="I219" s="217">
        <f t="shared" si="12"/>
        <v>0</v>
      </c>
    </row>
    <row r="220" spans="1:9">
      <c r="A220" s="88"/>
      <c r="B220" s="157"/>
      <c r="C220" s="268" t="s">
        <v>180</v>
      </c>
      <c r="D220" s="274"/>
      <c r="E220" s="484"/>
      <c r="F220" s="748"/>
      <c r="G220" s="486">
        <v>0</v>
      </c>
      <c r="H220" s="486"/>
      <c r="I220" s="217">
        <f t="shared" si="12"/>
        <v>0</v>
      </c>
    </row>
    <row r="221" spans="1:9">
      <c r="A221" s="88"/>
      <c r="B221" s="157"/>
      <c r="C221" s="268" t="s">
        <v>181</v>
      </c>
      <c r="D221" s="274"/>
      <c r="E221" s="484"/>
      <c r="F221" s="748"/>
      <c r="G221" s="486">
        <v>0</v>
      </c>
      <c r="H221" s="486"/>
      <c r="I221" s="217">
        <f t="shared" si="12"/>
        <v>0</v>
      </c>
    </row>
    <row r="222" spans="1:9">
      <c r="A222" s="88"/>
      <c r="B222" s="157"/>
      <c r="C222" s="268"/>
      <c r="D222" s="274"/>
      <c r="E222" s="484"/>
      <c r="F222" s="748"/>
      <c r="G222" s="486">
        <v>0</v>
      </c>
      <c r="H222" s="486"/>
      <c r="I222" s="217">
        <f t="shared" si="12"/>
        <v>0</v>
      </c>
    </row>
    <row r="223" spans="1:9">
      <c r="A223" s="88" t="s">
        <v>182</v>
      </c>
      <c r="B223" s="157"/>
      <c r="C223" s="277" t="s">
        <v>183</v>
      </c>
      <c r="D223" s="274" t="s">
        <v>28</v>
      </c>
      <c r="E223" s="484">
        <v>0</v>
      </c>
      <c r="F223" s="748"/>
      <c r="G223" s="486">
        <v>9450</v>
      </c>
      <c r="H223" s="486"/>
      <c r="I223" s="217">
        <f t="shared" si="12"/>
        <v>0</v>
      </c>
    </row>
    <row r="224" spans="1:9">
      <c r="A224" s="264"/>
      <c r="B224" s="157"/>
      <c r="C224" s="268" t="s">
        <v>184</v>
      </c>
      <c r="D224" s="278"/>
      <c r="E224" s="484"/>
      <c r="F224" s="748"/>
      <c r="G224" s="486">
        <v>0</v>
      </c>
      <c r="H224" s="486"/>
      <c r="I224" s="217">
        <f t="shared" si="12"/>
        <v>0</v>
      </c>
    </row>
    <row r="225" spans="1:10">
      <c r="A225" s="264"/>
      <c r="B225" s="157"/>
      <c r="C225" s="268" t="s">
        <v>185</v>
      </c>
      <c r="D225" s="278"/>
      <c r="E225" s="484"/>
      <c r="F225" s="748"/>
      <c r="G225" s="486">
        <v>0</v>
      </c>
      <c r="H225" s="486"/>
      <c r="I225" s="217">
        <f t="shared" si="12"/>
        <v>0</v>
      </c>
    </row>
    <row r="226" spans="1:10">
      <c r="A226" s="264"/>
      <c r="B226" s="157"/>
      <c r="C226" s="265"/>
      <c r="D226" s="266"/>
      <c r="E226" s="484"/>
      <c r="F226" s="748"/>
      <c r="G226" s="488">
        <v>0</v>
      </c>
      <c r="H226" s="485"/>
      <c r="I226" s="217">
        <f t="shared" si="12"/>
        <v>0</v>
      </c>
    </row>
    <row r="227" spans="1:10">
      <c r="A227" s="279">
        <v>3</v>
      </c>
      <c r="B227" s="157"/>
      <c r="C227" s="276" t="s">
        <v>190</v>
      </c>
      <c r="D227" s="280"/>
      <c r="E227" s="489"/>
      <c r="F227" s="509"/>
      <c r="G227" s="490">
        <v>0</v>
      </c>
      <c r="H227" s="490"/>
      <c r="I227" s="217">
        <f t="shared" si="12"/>
        <v>0</v>
      </c>
    </row>
    <row r="228" spans="1:10">
      <c r="A228" s="74">
        <v>3.1</v>
      </c>
      <c r="B228" s="157"/>
      <c r="C228" s="282" t="s">
        <v>191</v>
      </c>
      <c r="D228" s="283"/>
      <c r="E228" s="491"/>
      <c r="F228" s="750"/>
      <c r="G228" s="492">
        <v>0</v>
      </c>
      <c r="H228" s="492"/>
      <c r="I228" s="217">
        <f t="shared" si="12"/>
        <v>0</v>
      </c>
    </row>
    <row r="229" spans="1:10" ht="120">
      <c r="A229" s="74"/>
      <c r="B229" s="157"/>
      <c r="C229" s="285" t="s">
        <v>433</v>
      </c>
      <c r="D229" s="283"/>
      <c r="E229" s="491"/>
      <c r="F229" s="750"/>
      <c r="G229" s="492">
        <v>0</v>
      </c>
      <c r="H229" s="492"/>
      <c r="I229" s="217">
        <f t="shared" si="12"/>
        <v>0</v>
      </c>
    </row>
    <row r="230" spans="1:10">
      <c r="A230" s="74" t="s">
        <v>377</v>
      </c>
      <c r="B230" s="157"/>
      <c r="C230" s="286" t="s">
        <v>192</v>
      </c>
      <c r="D230" s="287"/>
      <c r="E230" s="491"/>
      <c r="F230" s="750"/>
      <c r="G230" s="492">
        <v>0</v>
      </c>
      <c r="H230" s="492"/>
      <c r="I230" s="217">
        <f t="shared" si="12"/>
        <v>0</v>
      </c>
    </row>
    <row r="231" spans="1:10">
      <c r="A231" s="74" t="s">
        <v>13</v>
      </c>
      <c r="B231" s="157"/>
      <c r="C231" s="76" t="s">
        <v>193</v>
      </c>
      <c r="D231" s="287" t="s">
        <v>53</v>
      </c>
      <c r="E231" s="491"/>
      <c r="F231" s="750"/>
      <c r="G231" s="492">
        <v>360</v>
      </c>
      <c r="H231" s="492"/>
      <c r="I231" s="217">
        <f t="shared" si="12"/>
        <v>0</v>
      </c>
    </row>
    <row r="232" spans="1:10">
      <c r="A232" s="74" t="s">
        <v>14</v>
      </c>
      <c r="B232" s="157"/>
      <c r="C232" s="76" t="s">
        <v>194</v>
      </c>
      <c r="D232" s="287" t="s">
        <v>53</v>
      </c>
      <c r="E232" s="491"/>
      <c r="F232" s="750">
        <f>'MB Noodles'!H157</f>
        <v>13</v>
      </c>
      <c r="G232" s="492">
        <v>315</v>
      </c>
      <c r="H232" s="492"/>
      <c r="I232" s="217">
        <f t="shared" ref="I232:I295" si="13">G232*F232</f>
        <v>4095</v>
      </c>
      <c r="J232" s="254"/>
    </row>
    <row r="233" spans="1:10">
      <c r="A233" s="74" t="s">
        <v>15</v>
      </c>
      <c r="B233" s="157"/>
      <c r="C233" s="76" t="s">
        <v>195</v>
      </c>
      <c r="D233" s="287" t="s">
        <v>53</v>
      </c>
      <c r="E233" s="491" t="s">
        <v>31</v>
      </c>
      <c r="F233" s="750"/>
      <c r="G233" s="492">
        <v>180</v>
      </c>
      <c r="H233" s="492"/>
      <c r="I233" s="217">
        <f t="shared" si="13"/>
        <v>0</v>
      </c>
    </row>
    <row r="234" spans="1:10">
      <c r="A234" s="74" t="s">
        <v>378</v>
      </c>
      <c r="B234" s="157"/>
      <c r="C234" s="75" t="s">
        <v>196</v>
      </c>
      <c r="D234" s="287"/>
      <c r="E234" s="491"/>
      <c r="F234" s="750"/>
      <c r="G234" s="492">
        <v>0</v>
      </c>
      <c r="H234" s="492"/>
      <c r="I234" s="217">
        <f t="shared" si="13"/>
        <v>0</v>
      </c>
    </row>
    <row r="235" spans="1:10">
      <c r="A235" s="74" t="s">
        <v>13</v>
      </c>
      <c r="B235" s="157"/>
      <c r="C235" s="76" t="s">
        <v>197</v>
      </c>
      <c r="D235" s="287" t="s">
        <v>53</v>
      </c>
      <c r="E235" s="487"/>
      <c r="F235" s="749"/>
      <c r="G235" s="492">
        <v>2025</v>
      </c>
      <c r="H235" s="492"/>
      <c r="I235" s="217">
        <f t="shared" si="13"/>
        <v>0</v>
      </c>
    </row>
    <row r="236" spans="1:10">
      <c r="A236" s="74" t="s">
        <v>14</v>
      </c>
      <c r="B236" s="157"/>
      <c r="C236" s="76" t="s">
        <v>198</v>
      </c>
      <c r="D236" s="287" t="s">
        <v>53</v>
      </c>
      <c r="E236" s="487"/>
      <c r="F236" s="749"/>
      <c r="G236" s="492">
        <v>1152</v>
      </c>
      <c r="H236" s="492"/>
      <c r="I236" s="217">
        <f t="shared" si="13"/>
        <v>0</v>
      </c>
    </row>
    <row r="237" spans="1:10">
      <c r="A237" s="74" t="s">
        <v>15</v>
      </c>
      <c r="B237" s="157"/>
      <c r="C237" s="76" t="s">
        <v>195</v>
      </c>
      <c r="D237" s="287" t="s">
        <v>53</v>
      </c>
      <c r="E237" s="491"/>
      <c r="F237" s="750"/>
      <c r="G237" s="492">
        <v>675</v>
      </c>
      <c r="H237" s="492"/>
      <c r="I237" s="217">
        <f t="shared" si="13"/>
        <v>0</v>
      </c>
    </row>
    <row r="238" spans="1:10">
      <c r="A238" s="74" t="s">
        <v>199</v>
      </c>
      <c r="B238" s="157"/>
      <c r="C238" s="76" t="s">
        <v>200</v>
      </c>
      <c r="D238" s="287" t="s">
        <v>53</v>
      </c>
      <c r="E238" s="493"/>
      <c r="F238" s="751"/>
      <c r="G238" s="492">
        <v>495</v>
      </c>
      <c r="H238" s="492"/>
      <c r="I238" s="217">
        <f t="shared" si="13"/>
        <v>0</v>
      </c>
    </row>
    <row r="239" spans="1:10">
      <c r="A239" s="74" t="s">
        <v>30</v>
      </c>
      <c r="B239" s="157"/>
      <c r="C239" s="76" t="s">
        <v>201</v>
      </c>
      <c r="D239" s="287" t="s">
        <v>53</v>
      </c>
      <c r="E239" s="491"/>
      <c r="F239" s="750"/>
      <c r="G239" s="492">
        <v>315</v>
      </c>
      <c r="H239" s="492"/>
      <c r="I239" s="217">
        <f t="shared" si="13"/>
        <v>0</v>
      </c>
    </row>
    <row r="240" spans="1:10">
      <c r="A240" s="74" t="s">
        <v>32</v>
      </c>
      <c r="B240" s="157"/>
      <c r="C240" s="290" t="s">
        <v>202</v>
      </c>
      <c r="D240" s="287" t="s">
        <v>53</v>
      </c>
      <c r="E240" s="491"/>
      <c r="F240" s="750"/>
      <c r="G240" s="492">
        <v>243</v>
      </c>
      <c r="H240" s="492"/>
      <c r="I240" s="217">
        <f t="shared" si="13"/>
        <v>0</v>
      </c>
    </row>
    <row r="241" spans="1:9">
      <c r="A241" s="74" t="s">
        <v>33</v>
      </c>
      <c r="B241" s="157"/>
      <c r="C241" s="76" t="s">
        <v>203</v>
      </c>
      <c r="D241" s="287" t="s">
        <v>53</v>
      </c>
      <c r="E241" s="491"/>
      <c r="F241" s="750"/>
      <c r="G241" s="492">
        <v>315</v>
      </c>
      <c r="H241" s="492"/>
      <c r="I241" s="217">
        <f t="shared" si="13"/>
        <v>0</v>
      </c>
    </row>
    <row r="242" spans="1:9">
      <c r="A242" s="74" t="s">
        <v>34</v>
      </c>
      <c r="B242" s="157"/>
      <c r="C242" s="76" t="s">
        <v>204</v>
      </c>
      <c r="D242" s="287" t="s">
        <v>53</v>
      </c>
      <c r="E242" s="491"/>
      <c r="F242" s="750"/>
      <c r="G242" s="492">
        <v>225</v>
      </c>
      <c r="H242" s="492"/>
      <c r="I242" s="217">
        <f t="shared" si="13"/>
        <v>0</v>
      </c>
    </row>
    <row r="243" spans="1:9">
      <c r="A243" s="74" t="s">
        <v>35</v>
      </c>
      <c r="B243" s="157"/>
      <c r="C243" s="76" t="s">
        <v>205</v>
      </c>
      <c r="D243" s="287" t="s">
        <v>53</v>
      </c>
      <c r="E243" s="491"/>
      <c r="F243" s="750"/>
      <c r="G243" s="492">
        <v>171</v>
      </c>
      <c r="H243" s="492"/>
      <c r="I243" s="217">
        <f t="shared" si="13"/>
        <v>0</v>
      </c>
    </row>
    <row r="244" spans="1:9">
      <c r="A244" s="74" t="s">
        <v>379</v>
      </c>
      <c r="B244" s="157"/>
      <c r="C244" s="75" t="s">
        <v>206</v>
      </c>
      <c r="D244" s="287"/>
      <c r="E244" s="491"/>
      <c r="F244" s="750"/>
      <c r="G244" s="492">
        <v>0</v>
      </c>
      <c r="H244" s="492"/>
      <c r="I244" s="217">
        <f t="shared" si="13"/>
        <v>0</v>
      </c>
    </row>
    <row r="245" spans="1:9">
      <c r="A245" s="74" t="s">
        <v>13</v>
      </c>
      <c r="B245" s="157"/>
      <c r="C245" s="76" t="s">
        <v>200</v>
      </c>
      <c r="D245" s="287" t="s">
        <v>53</v>
      </c>
      <c r="E245" s="491"/>
      <c r="F245" s="750"/>
      <c r="G245" s="492">
        <v>360</v>
      </c>
      <c r="H245" s="492"/>
      <c r="I245" s="217">
        <f t="shared" si="13"/>
        <v>0</v>
      </c>
    </row>
    <row r="246" spans="1:9">
      <c r="A246" s="74" t="s">
        <v>14</v>
      </c>
      <c r="B246" s="157"/>
      <c r="C246" s="76" t="s">
        <v>201</v>
      </c>
      <c r="D246" s="287" t="s">
        <v>53</v>
      </c>
      <c r="E246" s="491"/>
      <c r="F246" s="750"/>
      <c r="G246" s="492">
        <v>247.5</v>
      </c>
      <c r="H246" s="492"/>
      <c r="I246" s="217">
        <f t="shared" si="13"/>
        <v>0</v>
      </c>
    </row>
    <row r="247" spans="1:9">
      <c r="A247" s="74" t="s">
        <v>15</v>
      </c>
      <c r="B247" s="157"/>
      <c r="C247" s="76" t="s">
        <v>204</v>
      </c>
      <c r="D247" s="287" t="s">
        <v>53</v>
      </c>
      <c r="E247" s="491"/>
      <c r="F247" s="750">
        <f>'MB Noodles'!H160</f>
        <v>24</v>
      </c>
      <c r="G247" s="492">
        <v>171</v>
      </c>
      <c r="H247" s="492"/>
      <c r="I247" s="217">
        <f t="shared" si="13"/>
        <v>4104</v>
      </c>
    </row>
    <row r="248" spans="1:9">
      <c r="A248" s="74" t="s">
        <v>199</v>
      </c>
      <c r="B248" s="157"/>
      <c r="C248" s="76" t="s">
        <v>207</v>
      </c>
      <c r="D248" s="287" t="s">
        <v>53</v>
      </c>
      <c r="E248" s="491"/>
      <c r="F248" s="750">
        <f>'MB Noodles'!H162</f>
        <v>29</v>
      </c>
      <c r="G248" s="492">
        <v>121.5</v>
      </c>
      <c r="H248" s="492"/>
      <c r="I248" s="217">
        <f t="shared" si="13"/>
        <v>3523.5</v>
      </c>
    </row>
    <row r="249" spans="1:9">
      <c r="A249" s="74" t="s">
        <v>30</v>
      </c>
      <c r="B249" s="157"/>
      <c r="C249" s="76" t="s">
        <v>208</v>
      </c>
      <c r="D249" s="287" t="s">
        <v>53</v>
      </c>
      <c r="E249" s="491"/>
      <c r="F249" s="750"/>
      <c r="G249" s="492">
        <v>99</v>
      </c>
      <c r="H249" s="492"/>
      <c r="I249" s="217">
        <f t="shared" si="13"/>
        <v>0</v>
      </c>
    </row>
    <row r="250" spans="1:9">
      <c r="A250" s="74"/>
      <c r="B250" s="157"/>
      <c r="C250" s="76"/>
      <c r="D250" s="287"/>
      <c r="E250" s="491"/>
      <c r="F250" s="750"/>
      <c r="G250" s="492">
        <v>0</v>
      </c>
      <c r="H250" s="492"/>
      <c r="I250" s="217">
        <f t="shared" si="13"/>
        <v>0</v>
      </c>
    </row>
    <row r="251" spans="1:9">
      <c r="A251" s="74" t="s">
        <v>380</v>
      </c>
      <c r="B251" s="157"/>
      <c r="C251" s="75" t="s">
        <v>209</v>
      </c>
      <c r="D251" s="287"/>
      <c r="E251" s="491"/>
      <c r="F251" s="750"/>
      <c r="G251" s="492">
        <v>0</v>
      </c>
      <c r="H251" s="492"/>
      <c r="I251" s="217">
        <f t="shared" si="13"/>
        <v>0</v>
      </c>
    </row>
    <row r="252" spans="1:9" ht="24">
      <c r="A252" s="74" t="s">
        <v>13</v>
      </c>
      <c r="B252" s="157"/>
      <c r="C252" s="285" t="s">
        <v>210</v>
      </c>
      <c r="D252" s="287" t="s">
        <v>53</v>
      </c>
      <c r="E252" s="491"/>
      <c r="F252" s="750"/>
      <c r="G252" s="492">
        <v>63</v>
      </c>
      <c r="H252" s="492"/>
      <c r="I252" s="217">
        <f t="shared" si="13"/>
        <v>0</v>
      </c>
    </row>
    <row r="253" spans="1:9">
      <c r="A253" s="74"/>
      <c r="B253" s="157"/>
      <c r="C253" s="75" t="s">
        <v>211</v>
      </c>
      <c r="D253" s="287"/>
      <c r="E253" s="491"/>
      <c r="F253" s="750"/>
      <c r="G253" s="492">
        <v>0</v>
      </c>
      <c r="H253" s="494"/>
      <c r="I253" s="217">
        <f t="shared" si="13"/>
        <v>0</v>
      </c>
    </row>
    <row r="254" spans="1:9">
      <c r="A254" s="74"/>
      <c r="B254" s="157"/>
      <c r="C254" s="75"/>
      <c r="D254" s="287"/>
      <c r="E254" s="491"/>
      <c r="F254" s="750"/>
      <c r="G254" s="492">
        <v>0</v>
      </c>
      <c r="H254" s="492"/>
      <c r="I254" s="217">
        <f t="shared" si="13"/>
        <v>0</v>
      </c>
    </row>
    <row r="255" spans="1:9">
      <c r="A255" s="74">
        <v>3.2</v>
      </c>
      <c r="B255" s="157"/>
      <c r="C255" s="291" t="s">
        <v>52</v>
      </c>
      <c r="D255" s="287"/>
      <c r="E255" s="491"/>
      <c r="F255" s="750"/>
      <c r="G255" s="492">
        <v>0</v>
      </c>
      <c r="H255" s="492"/>
      <c r="I255" s="217">
        <f t="shared" si="13"/>
        <v>0</v>
      </c>
    </row>
    <row r="256" spans="1:9" ht="36">
      <c r="A256" s="74"/>
      <c r="B256" s="157"/>
      <c r="C256" s="290" t="s">
        <v>212</v>
      </c>
      <c r="D256" s="287"/>
      <c r="E256" s="491"/>
      <c r="F256" s="750"/>
      <c r="G256" s="492">
        <v>0</v>
      </c>
      <c r="H256" s="492"/>
      <c r="I256" s="217">
        <f t="shared" si="13"/>
        <v>0</v>
      </c>
    </row>
    <row r="257" spans="1:9">
      <c r="A257" s="74" t="s">
        <v>13</v>
      </c>
      <c r="B257" s="157"/>
      <c r="C257" s="76" t="s">
        <v>213</v>
      </c>
      <c r="D257" s="287" t="s">
        <v>28</v>
      </c>
      <c r="E257" s="491"/>
      <c r="F257" s="750"/>
      <c r="G257" s="492">
        <v>675</v>
      </c>
      <c r="H257" s="492"/>
      <c r="I257" s="217">
        <f t="shared" si="13"/>
        <v>0</v>
      </c>
    </row>
    <row r="258" spans="1:9">
      <c r="A258" s="74" t="s">
        <v>14</v>
      </c>
      <c r="B258" s="157"/>
      <c r="C258" s="76" t="s">
        <v>194</v>
      </c>
      <c r="D258" s="287" t="s">
        <v>28</v>
      </c>
      <c r="E258" s="491"/>
      <c r="F258" s="750">
        <f>'MB Noodles'!H167</f>
        <v>2</v>
      </c>
      <c r="G258" s="492">
        <v>540</v>
      </c>
      <c r="H258" s="492"/>
      <c r="I258" s="217">
        <f t="shared" si="13"/>
        <v>1080</v>
      </c>
    </row>
    <row r="259" spans="1:9">
      <c r="A259" s="74" t="s">
        <v>15</v>
      </c>
      <c r="B259" s="157"/>
      <c r="C259" s="76" t="s">
        <v>195</v>
      </c>
      <c r="D259" s="287" t="s">
        <v>28</v>
      </c>
      <c r="E259" s="491" t="s">
        <v>31</v>
      </c>
      <c r="F259" s="750"/>
      <c r="G259" s="492">
        <v>495</v>
      </c>
      <c r="H259" s="492"/>
      <c r="I259" s="217">
        <f t="shared" si="13"/>
        <v>0</v>
      </c>
    </row>
    <row r="260" spans="1:9">
      <c r="A260" s="74" t="s">
        <v>29</v>
      </c>
      <c r="B260" s="157"/>
      <c r="C260" s="76" t="s">
        <v>214</v>
      </c>
      <c r="D260" s="287" t="s">
        <v>28</v>
      </c>
      <c r="E260" s="491"/>
      <c r="F260" s="750"/>
      <c r="G260" s="492">
        <v>495</v>
      </c>
      <c r="H260" s="492"/>
      <c r="I260" s="217">
        <f t="shared" si="13"/>
        <v>0</v>
      </c>
    </row>
    <row r="261" spans="1:9">
      <c r="A261" s="74" t="s">
        <v>30</v>
      </c>
      <c r="B261" s="157"/>
      <c r="C261" s="76" t="s">
        <v>195</v>
      </c>
      <c r="D261" s="287" t="s">
        <v>28</v>
      </c>
      <c r="E261" s="491"/>
      <c r="F261" s="750"/>
      <c r="G261" s="492">
        <v>450</v>
      </c>
      <c r="H261" s="492"/>
      <c r="I261" s="217">
        <f t="shared" si="13"/>
        <v>0</v>
      </c>
    </row>
    <row r="262" spans="1:9">
      <c r="A262" s="74" t="s">
        <v>32</v>
      </c>
      <c r="B262" s="157"/>
      <c r="C262" s="76" t="s">
        <v>200</v>
      </c>
      <c r="D262" s="287" t="s">
        <v>28</v>
      </c>
      <c r="E262" s="493"/>
      <c r="F262" s="751"/>
      <c r="G262" s="492">
        <v>405</v>
      </c>
      <c r="H262" s="492"/>
      <c r="I262" s="217">
        <f t="shared" si="13"/>
        <v>0</v>
      </c>
    </row>
    <row r="263" spans="1:9">
      <c r="A263" s="74" t="s">
        <v>33</v>
      </c>
      <c r="B263" s="157"/>
      <c r="C263" s="76" t="s">
        <v>201</v>
      </c>
      <c r="D263" s="287" t="s">
        <v>28</v>
      </c>
      <c r="E263" s="491"/>
      <c r="F263" s="750"/>
      <c r="G263" s="492">
        <v>360</v>
      </c>
      <c r="H263" s="492"/>
      <c r="I263" s="217">
        <f t="shared" si="13"/>
        <v>0</v>
      </c>
    </row>
    <row r="264" spans="1:9">
      <c r="A264" s="74" t="s">
        <v>34</v>
      </c>
      <c r="B264" s="157"/>
      <c r="C264" s="290" t="s">
        <v>202</v>
      </c>
      <c r="D264" s="287" t="s">
        <v>28</v>
      </c>
      <c r="E264" s="491"/>
      <c r="F264" s="750"/>
      <c r="G264" s="492">
        <v>315</v>
      </c>
      <c r="H264" s="492"/>
      <c r="I264" s="217">
        <f t="shared" si="13"/>
        <v>0</v>
      </c>
    </row>
    <row r="265" spans="1:9">
      <c r="A265" s="74" t="s">
        <v>35</v>
      </c>
      <c r="B265" s="157"/>
      <c r="C265" s="76" t="s">
        <v>203</v>
      </c>
      <c r="D265" s="287" t="s">
        <v>28</v>
      </c>
      <c r="E265" s="491"/>
      <c r="F265" s="750"/>
      <c r="G265" s="492">
        <v>270</v>
      </c>
      <c r="H265" s="492"/>
      <c r="I265" s="217">
        <f t="shared" si="13"/>
        <v>0</v>
      </c>
    </row>
    <row r="266" spans="1:9">
      <c r="A266" s="74" t="s">
        <v>36</v>
      </c>
      <c r="B266" s="157"/>
      <c r="C266" s="76" t="s">
        <v>204</v>
      </c>
      <c r="D266" s="287" t="s">
        <v>28</v>
      </c>
      <c r="E266" s="491"/>
      <c r="F266" s="750">
        <f>'MB Noodles'!H168</f>
        <v>2</v>
      </c>
      <c r="G266" s="492">
        <v>360</v>
      </c>
      <c r="H266" s="492"/>
      <c r="I266" s="217">
        <f t="shared" si="13"/>
        <v>720</v>
      </c>
    </row>
    <row r="267" spans="1:9">
      <c r="A267" s="74" t="s">
        <v>37</v>
      </c>
      <c r="B267" s="157"/>
      <c r="C267" s="76" t="s">
        <v>205</v>
      </c>
      <c r="D267" s="287" t="s">
        <v>28</v>
      </c>
      <c r="E267" s="491"/>
      <c r="F267" s="750">
        <f>'MB Noodles'!H169</f>
        <v>2</v>
      </c>
      <c r="G267" s="492">
        <v>270</v>
      </c>
      <c r="H267" s="492"/>
      <c r="I267" s="217">
        <f t="shared" si="13"/>
        <v>540</v>
      </c>
    </row>
    <row r="268" spans="1:9">
      <c r="A268" s="74" t="s">
        <v>38</v>
      </c>
      <c r="B268" s="157"/>
      <c r="C268" s="76" t="s">
        <v>215</v>
      </c>
      <c r="D268" s="287"/>
      <c r="E268" s="491"/>
      <c r="F268" s="750"/>
      <c r="G268" s="492">
        <v>0</v>
      </c>
      <c r="H268" s="492"/>
      <c r="I268" s="217">
        <f t="shared" si="13"/>
        <v>0</v>
      </c>
    </row>
    <row r="269" spans="1:9">
      <c r="A269" s="74" t="s">
        <v>39</v>
      </c>
      <c r="B269" s="157"/>
      <c r="C269" s="76" t="s">
        <v>200</v>
      </c>
      <c r="D269" s="287" t="s">
        <v>28</v>
      </c>
      <c r="E269" s="491"/>
      <c r="F269" s="750"/>
      <c r="G269" s="492">
        <v>360</v>
      </c>
      <c r="H269" s="492"/>
      <c r="I269" s="217">
        <f t="shared" si="13"/>
        <v>0</v>
      </c>
    </row>
    <row r="270" spans="1:9">
      <c r="A270" s="74" t="s">
        <v>40</v>
      </c>
      <c r="B270" s="157"/>
      <c r="C270" s="76" t="s">
        <v>201</v>
      </c>
      <c r="D270" s="287" t="s">
        <v>28</v>
      </c>
      <c r="E270" s="491"/>
      <c r="F270" s="750"/>
      <c r="G270" s="492">
        <v>315</v>
      </c>
      <c r="H270" s="492"/>
      <c r="I270" s="217">
        <f t="shared" si="13"/>
        <v>0</v>
      </c>
    </row>
    <row r="271" spans="1:9">
      <c r="A271" s="74" t="s">
        <v>41</v>
      </c>
      <c r="B271" s="157"/>
      <c r="C271" s="76" t="s">
        <v>204</v>
      </c>
      <c r="D271" s="287" t="s">
        <v>28</v>
      </c>
      <c r="E271" s="491"/>
      <c r="F271" s="750"/>
      <c r="G271" s="492">
        <v>270</v>
      </c>
      <c r="H271" s="492"/>
      <c r="I271" s="217">
        <f t="shared" si="13"/>
        <v>0</v>
      </c>
    </row>
    <row r="272" spans="1:9">
      <c r="A272" s="74" t="s">
        <v>42</v>
      </c>
      <c r="B272" s="157"/>
      <c r="C272" s="76" t="s">
        <v>216</v>
      </c>
      <c r="D272" s="287" t="s">
        <v>28</v>
      </c>
      <c r="E272" s="491"/>
      <c r="F272" s="750"/>
      <c r="G272" s="492">
        <v>225</v>
      </c>
      <c r="H272" s="492"/>
      <c r="I272" s="217">
        <f t="shared" si="13"/>
        <v>0</v>
      </c>
    </row>
    <row r="273" spans="1:9">
      <c r="A273" s="74" t="s">
        <v>43</v>
      </c>
      <c r="B273" s="157"/>
      <c r="C273" s="76" t="s">
        <v>217</v>
      </c>
      <c r="D273" s="287" t="s">
        <v>28</v>
      </c>
      <c r="E273" s="491"/>
      <c r="F273" s="750"/>
      <c r="G273" s="492">
        <v>180</v>
      </c>
      <c r="H273" s="492"/>
      <c r="I273" s="217">
        <f t="shared" si="13"/>
        <v>0</v>
      </c>
    </row>
    <row r="274" spans="1:9">
      <c r="A274" s="74"/>
      <c r="B274" s="157"/>
      <c r="C274" s="76"/>
      <c r="D274" s="287"/>
      <c r="E274" s="491"/>
      <c r="F274" s="750"/>
      <c r="G274" s="492">
        <v>0</v>
      </c>
      <c r="H274" s="492"/>
      <c r="I274" s="217">
        <f t="shared" si="13"/>
        <v>0</v>
      </c>
    </row>
    <row r="275" spans="1:9">
      <c r="A275" s="74"/>
      <c r="B275" s="157"/>
      <c r="C275" s="292"/>
      <c r="D275" s="287"/>
      <c r="E275" s="491"/>
      <c r="F275" s="750"/>
      <c r="G275" s="492">
        <v>0</v>
      </c>
      <c r="H275" s="492"/>
      <c r="I275" s="217">
        <f t="shared" si="13"/>
        <v>0</v>
      </c>
    </row>
    <row r="276" spans="1:9">
      <c r="A276" s="293">
        <v>3.3</v>
      </c>
      <c r="B276" s="157"/>
      <c r="C276" s="294" t="s">
        <v>218</v>
      </c>
      <c r="D276" s="295"/>
      <c r="E276" s="495"/>
      <c r="F276" s="648"/>
      <c r="G276" s="490">
        <v>0</v>
      </c>
      <c r="H276" s="490"/>
      <c r="I276" s="217">
        <f t="shared" si="13"/>
        <v>0</v>
      </c>
    </row>
    <row r="277" spans="1:9" ht="84">
      <c r="A277" s="297" t="s">
        <v>381</v>
      </c>
      <c r="B277" s="157"/>
      <c r="C277" s="82" t="s">
        <v>434</v>
      </c>
      <c r="D277" s="295"/>
      <c r="E277" s="495"/>
      <c r="F277" s="648"/>
      <c r="G277" s="490">
        <v>0</v>
      </c>
      <c r="H277" s="490"/>
      <c r="I277" s="217">
        <f t="shared" si="13"/>
        <v>0</v>
      </c>
    </row>
    <row r="278" spans="1:9">
      <c r="A278" s="297" t="s">
        <v>13</v>
      </c>
      <c r="B278" s="177"/>
      <c r="C278" s="298" t="s">
        <v>219</v>
      </c>
      <c r="D278" s="295" t="s">
        <v>53</v>
      </c>
      <c r="E278" s="496"/>
      <c r="F278" s="752"/>
      <c r="G278" s="490">
        <v>495</v>
      </c>
      <c r="H278" s="490"/>
      <c r="I278" s="217">
        <f t="shared" si="13"/>
        <v>0</v>
      </c>
    </row>
    <row r="279" spans="1:9">
      <c r="A279" s="297" t="s">
        <v>14</v>
      </c>
      <c r="B279" s="177"/>
      <c r="C279" s="298" t="s">
        <v>220</v>
      </c>
      <c r="D279" s="295" t="s">
        <v>53</v>
      </c>
      <c r="E279" s="496"/>
      <c r="F279" s="752"/>
      <c r="G279" s="490">
        <v>405</v>
      </c>
      <c r="H279" s="490"/>
      <c r="I279" s="217">
        <f t="shared" si="13"/>
        <v>0</v>
      </c>
    </row>
    <row r="280" spans="1:9">
      <c r="A280" s="293"/>
      <c r="B280" s="177"/>
      <c r="C280" s="294"/>
      <c r="D280" s="295"/>
      <c r="E280" s="495"/>
      <c r="F280" s="648"/>
      <c r="G280" s="490">
        <v>0</v>
      </c>
      <c r="H280" s="490"/>
      <c r="I280" s="217">
        <f t="shared" si="13"/>
        <v>0</v>
      </c>
    </row>
    <row r="281" spans="1:9" ht="108">
      <c r="A281" s="297" t="s">
        <v>382</v>
      </c>
      <c r="B281" s="177"/>
      <c r="C281" s="300" t="s">
        <v>435</v>
      </c>
      <c r="D281" s="295"/>
      <c r="E281" s="495"/>
      <c r="F281" s="648"/>
      <c r="G281" s="490">
        <v>0</v>
      </c>
      <c r="H281" s="490"/>
      <c r="I281" s="217">
        <f t="shared" si="13"/>
        <v>0</v>
      </c>
    </row>
    <row r="282" spans="1:9">
      <c r="A282" s="297" t="s">
        <v>13</v>
      </c>
      <c r="B282" s="177"/>
      <c r="C282" s="301" t="s">
        <v>221</v>
      </c>
      <c r="D282" s="295" t="s">
        <v>53</v>
      </c>
      <c r="E282" s="495" t="s">
        <v>31</v>
      </c>
      <c r="F282" s="648"/>
      <c r="G282" s="490">
        <v>675</v>
      </c>
      <c r="H282" s="490"/>
      <c r="I282" s="217">
        <f t="shared" si="13"/>
        <v>0</v>
      </c>
    </row>
    <row r="283" spans="1:9">
      <c r="A283" s="297" t="s">
        <v>14</v>
      </c>
      <c r="B283" s="177"/>
      <c r="C283" s="301" t="s">
        <v>222</v>
      </c>
      <c r="D283" s="295" t="s">
        <v>53</v>
      </c>
      <c r="E283" s="495" t="s">
        <v>31</v>
      </c>
      <c r="F283" s="648"/>
      <c r="G283" s="490">
        <v>495</v>
      </c>
      <c r="H283" s="490"/>
      <c r="I283" s="217">
        <f t="shared" si="13"/>
        <v>0</v>
      </c>
    </row>
    <row r="284" spans="1:9">
      <c r="A284" s="293"/>
      <c r="B284" s="177"/>
      <c r="C284" s="301"/>
      <c r="D284" s="295"/>
      <c r="E284" s="495"/>
      <c r="F284" s="648"/>
      <c r="G284" s="490">
        <v>0</v>
      </c>
      <c r="H284" s="490"/>
      <c r="I284" s="217">
        <f t="shared" si="13"/>
        <v>0</v>
      </c>
    </row>
    <row r="285" spans="1:9" ht="132">
      <c r="A285" s="297" t="s">
        <v>383</v>
      </c>
      <c r="B285" s="177"/>
      <c r="C285" s="300" t="s">
        <v>436</v>
      </c>
      <c r="D285" s="295"/>
      <c r="E285" s="495"/>
      <c r="F285" s="648"/>
      <c r="G285" s="490">
        <v>0</v>
      </c>
      <c r="H285" s="490"/>
      <c r="I285" s="217">
        <f t="shared" si="13"/>
        <v>0</v>
      </c>
    </row>
    <row r="286" spans="1:9" ht="24">
      <c r="A286" s="293"/>
      <c r="B286" s="177"/>
      <c r="C286" s="302" t="s">
        <v>223</v>
      </c>
      <c r="D286" s="295"/>
      <c r="E286" s="495"/>
      <c r="F286" s="648"/>
      <c r="G286" s="490">
        <v>0</v>
      </c>
      <c r="H286" s="490"/>
      <c r="I286" s="217">
        <f t="shared" si="13"/>
        <v>0</v>
      </c>
    </row>
    <row r="287" spans="1:9">
      <c r="A287" s="297" t="s">
        <v>13</v>
      </c>
      <c r="B287" s="177"/>
      <c r="C287" s="298" t="s">
        <v>224</v>
      </c>
      <c r="D287" s="295" t="s">
        <v>53</v>
      </c>
      <c r="E287" s="495"/>
      <c r="F287" s="648"/>
      <c r="G287" s="490">
        <v>1395</v>
      </c>
      <c r="H287" s="490"/>
      <c r="I287" s="217">
        <f t="shared" si="13"/>
        <v>0</v>
      </c>
    </row>
    <row r="288" spans="1:9">
      <c r="A288" s="297" t="s">
        <v>14</v>
      </c>
      <c r="B288" s="177"/>
      <c r="C288" s="298" t="s">
        <v>225</v>
      </c>
      <c r="D288" s="295" t="s">
        <v>53</v>
      </c>
      <c r="E288" s="495"/>
      <c r="F288" s="648"/>
      <c r="G288" s="490">
        <v>1215</v>
      </c>
      <c r="H288" s="490"/>
      <c r="I288" s="217">
        <f t="shared" si="13"/>
        <v>0</v>
      </c>
    </row>
    <row r="289" spans="1:9">
      <c r="A289" s="297" t="s">
        <v>15</v>
      </c>
      <c r="B289" s="177"/>
      <c r="C289" s="298" t="s">
        <v>226</v>
      </c>
      <c r="D289" s="295" t="s">
        <v>53</v>
      </c>
      <c r="E289" s="495">
        <v>5</v>
      </c>
      <c r="F289" s="648"/>
      <c r="G289" s="490">
        <v>900</v>
      </c>
      <c r="H289" s="490">
        <f>$E289*G289</f>
        <v>4500</v>
      </c>
      <c r="I289" s="217">
        <f t="shared" si="13"/>
        <v>0</v>
      </c>
    </row>
    <row r="290" spans="1:9">
      <c r="A290" s="293"/>
      <c r="B290" s="177"/>
      <c r="C290" s="301"/>
      <c r="D290" s="295"/>
      <c r="E290" s="495"/>
      <c r="F290" s="648"/>
      <c r="G290" s="490">
        <v>0</v>
      </c>
      <c r="H290" s="490"/>
      <c r="I290" s="217">
        <f t="shared" si="13"/>
        <v>0</v>
      </c>
    </row>
    <row r="291" spans="1:9" ht="156">
      <c r="A291" s="297" t="s">
        <v>384</v>
      </c>
      <c r="B291" s="177"/>
      <c r="C291" s="269" t="s">
        <v>437</v>
      </c>
      <c r="D291" s="295"/>
      <c r="E291" s="495"/>
      <c r="F291" s="648"/>
      <c r="G291" s="490">
        <v>0</v>
      </c>
      <c r="H291" s="490"/>
      <c r="I291" s="217">
        <f t="shared" si="13"/>
        <v>0</v>
      </c>
    </row>
    <row r="292" spans="1:9">
      <c r="A292" s="297" t="s">
        <v>13</v>
      </c>
      <c r="B292" s="177"/>
      <c r="C292" s="298" t="s">
        <v>227</v>
      </c>
      <c r="D292" s="295" t="s">
        <v>53</v>
      </c>
      <c r="E292" s="495"/>
      <c r="F292" s="648"/>
      <c r="G292" s="490">
        <v>765</v>
      </c>
      <c r="H292" s="490"/>
      <c r="I292" s="217">
        <f t="shared" si="13"/>
        <v>0</v>
      </c>
    </row>
    <row r="293" spans="1:9">
      <c r="A293" s="297" t="s">
        <v>14</v>
      </c>
      <c r="B293" s="177"/>
      <c r="C293" s="298" t="s">
        <v>228</v>
      </c>
      <c r="D293" s="295" t="s">
        <v>53</v>
      </c>
      <c r="E293" s="495"/>
      <c r="F293" s="648"/>
      <c r="G293" s="490">
        <v>585</v>
      </c>
      <c r="H293" s="490"/>
      <c r="I293" s="217">
        <f t="shared" si="13"/>
        <v>0</v>
      </c>
    </row>
    <row r="294" spans="1:9">
      <c r="A294" s="297" t="s">
        <v>15</v>
      </c>
      <c r="B294" s="177"/>
      <c r="C294" s="298" t="s">
        <v>229</v>
      </c>
      <c r="D294" s="295" t="s">
        <v>53</v>
      </c>
      <c r="E294" s="495"/>
      <c r="F294" s="648"/>
      <c r="G294" s="490">
        <v>495</v>
      </c>
      <c r="H294" s="490"/>
      <c r="I294" s="217">
        <f t="shared" si="13"/>
        <v>0</v>
      </c>
    </row>
    <row r="295" spans="1:9">
      <c r="A295" s="297" t="s">
        <v>29</v>
      </c>
      <c r="B295" s="177"/>
      <c r="C295" s="298" t="s">
        <v>230</v>
      </c>
      <c r="D295" s="295" t="s">
        <v>53</v>
      </c>
      <c r="E295" s="495">
        <v>5</v>
      </c>
      <c r="F295" s="648"/>
      <c r="G295" s="490">
        <v>450</v>
      </c>
      <c r="H295" s="490">
        <f>$E295*G295</f>
        <v>2250</v>
      </c>
      <c r="I295" s="217">
        <f t="shared" si="13"/>
        <v>0</v>
      </c>
    </row>
    <row r="296" spans="1:9">
      <c r="A296" s="297"/>
      <c r="B296" s="177"/>
      <c r="C296" s="301"/>
      <c r="D296" s="295"/>
      <c r="E296" s="495"/>
      <c r="F296" s="648"/>
      <c r="G296" s="490">
        <v>0</v>
      </c>
      <c r="H296" s="490"/>
      <c r="I296" s="217">
        <f t="shared" ref="I296:I359" si="14">G296*F296</f>
        <v>0</v>
      </c>
    </row>
    <row r="297" spans="1:9">
      <c r="A297" s="303"/>
      <c r="B297" s="177"/>
      <c r="C297" s="301"/>
      <c r="D297" s="304"/>
      <c r="E297" s="489"/>
      <c r="F297" s="509"/>
      <c r="G297" s="490">
        <v>0</v>
      </c>
      <c r="H297" s="490"/>
      <c r="I297" s="217">
        <f t="shared" si="14"/>
        <v>0</v>
      </c>
    </row>
    <row r="298" spans="1:9">
      <c r="A298" s="264">
        <v>4</v>
      </c>
      <c r="B298" s="157"/>
      <c r="C298" s="265" t="s">
        <v>231</v>
      </c>
      <c r="D298" s="266"/>
      <c r="E298" s="484"/>
      <c r="F298" s="748"/>
      <c r="G298" s="492">
        <v>0</v>
      </c>
      <c r="H298" s="492"/>
      <c r="I298" s="217">
        <f t="shared" si="14"/>
        <v>0</v>
      </c>
    </row>
    <row r="299" spans="1:9" ht="36">
      <c r="A299" s="306"/>
      <c r="B299" s="177"/>
      <c r="C299" s="307" t="s">
        <v>232</v>
      </c>
      <c r="D299" s="274"/>
      <c r="E299" s="484"/>
      <c r="F299" s="748"/>
      <c r="G299" s="492">
        <v>0</v>
      </c>
      <c r="H299" s="492"/>
      <c r="I299" s="217">
        <f t="shared" si="14"/>
        <v>0</v>
      </c>
    </row>
    <row r="300" spans="1:9" ht="24">
      <c r="A300" s="306"/>
      <c r="B300" s="177"/>
      <c r="C300" s="307" t="s">
        <v>233</v>
      </c>
      <c r="D300" s="274"/>
      <c r="E300" s="484"/>
      <c r="F300" s="748"/>
      <c r="G300" s="492">
        <v>0</v>
      </c>
      <c r="H300" s="492"/>
      <c r="I300" s="217">
        <f t="shared" si="14"/>
        <v>0</v>
      </c>
    </row>
    <row r="301" spans="1:9" ht="24">
      <c r="A301" s="306"/>
      <c r="B301" s="177"/>
      <c r="C301" s="308" t="s">
        <v>234</v>
      </c>
      <c r="D301" s="274"/>
      <c r="E301" s="484"/>
      <c r="F301" s="748"/>
      <c r="G301" s="492">
        <v>0</v>
      </c>
      <c r="H301" s="492"/>
      <c r="I301" s="217">
        <f t="shared" si="14"/>
        <v>0</v>
      </c>
    </row>
    <row r="302" spans="1:9" ht="24">
      <c r="A302" s="306"/>
      <c r="B302" s="177"/>
      <c r="C302" s="308" t="s">
        <v>235</v>
      </c>
      <c r="D302" s="274"/>
      <c r="E302" s="484"/>
      <c r="F302" s="748"/>
      <c r="G302" s="492">
        <v>0</v>
      </c>
      <c r="H302" s="492"/>
      <c r="I302" s="217">
        <f t="shared" si="14"/>
        <v>0</v>
      </c>
    </row>
    <row r="303" spans="1:9" ht="24">
      <c r="A303" s="306"/>
      <c r="B303" s="177"/>
      <c r="C303" s="307" t="s">
        <v>236</v>
      </c>
      <c r="D303" s="274"/>
      <c r="E303" s="484"/>
      <c r="F303" s="748"/>
      <c r="G303" s="492">
        <v>0</v>
      </c>
      <c r="H303" s="492"/>
      <c r="I303" s="217">
        <f t="shared" si="14"/>
        <v>0</v>
      </c>
    </row>
    <row r="304" spans="1:9" ht="72">
      <c r="A304" s="306">
        <v>4.0999999999999996</v>
      </c>
      <c r="B304" s="177"/>
      <c r="C304" s="82" t="s">
        <v>237</v>
      </c>
      <c r="D304" s="274"/>
      <c r="E304" s="484"/>
      <c r="F304" s="748"/>
      <c r="G304" s="492">
        <v>0</v>
      </c>
      <c r="H304" s="492"/>
      <c r="I304" s="217">
        <f t="shared" si="14"/>
        <v>0</v>
      </c>
    </row>
    <row r="305" spans="1:9">
      <c r="A305" s="306" t="s">
        <v>238</v>
      </c>
      <c r="B305" s="177"/>
      <c r="C305" s="82" t="s">
        <v>239</v>
      </c>
      <c r="D305" s="274" t="s">
        <v>53</v>
      </c>
      <c r="E305" s="484">
        <v>30</v>
      </c>
      <c r="F305" s="748">
        <f>'MB Noodles'!H184</f>
        <v>159.30000000000001</v>
      </c>
      <c r="G305" s="492">
        <v>279</v>
      </c>
      <c r="H305" s="492">
        <f t="shared" ref="H305:H306" si="15">$E305*G305</f>
        <v>8370</v>
      </c>
      <c r="I305" s="217">
        <f t="shared" si="14"/>
        <v>44444.700000000004</v>
      </c>
    </row>
    <row r="306" spans="1:9">
      <c r="A306" s="306" t="s">
        <v>240</v>
      </c>
      <c r="B306" s="177"/>
      <c r="C306" s="82" t="s">
        <v>241</v>
      </c>
      <c r="D306" s="274" t="s">
        <v>53</v>
      </c>
      <c r="E306" s="484">
        <v>30</v>
      </c>
      <c r="F306" s="748"/>
      <c r="G306" s="492">
        <v>279</v>
      </c>
      <c r="H306" s="492">
        <f t="shared" si="15"/>
        <v>8370</v>
      </c>
      <c r="I306" s="217">
        <f t="shared" si="14"/>
        <v>0</v>
      </c>
    </row>
    <row r="307" spans="1:9" ht="72">
      <c r="A307" s="306">
        <v>4.2</v>
      </c>
      <c r="B307" s="177"/>
      <c r="C307" s="82" t="s">
        <v>438</v>
      </c>
      <c r="D307" s="274"/>
      <c r="E307" s="484"/>
      <c r="F307" s="748"/>
      <c r="G307" s="492">
        <v>0</v>
      </c>
      <c r="H307" s="492"/>
      <c r="I307" s="217">
        <f t="shared" si="14"/>
        <v>0</v>
      </c>
    </row>
    <row r="308" spans="1:9">
      <c r="A308" s="309" t="s">
        <v>242</v>
      </c>
      <c r="B308" s="177"/>
      <c r="C308" s="269" t="s">
        <v>243</v>
      </c>
      <c r="D308" s="274" t="s">
        <v>28</v>
      </c>
      <c r="E308" s="484">
        <v>10</v>
      </c>
      <c r="F308" s="748"/>
      <c r="G308" s="492">
        <v>1215</v>
      </c>
      <c r="H308" s="492">
        <f t="shared" ref="H308:H313" si="16">$E308*G308</f>
        <v>12150</v>
      </c>
      <c r="I308" s="217">
        <f t="shared" si="14"/>
        <v>0</v>
      </c>
    </row>
    <row r="309" spans="1:9">
      <c r="A309" s="309" t="s">
        <v>244</v>
      </c>
      <c r="B309" s="177"/>
      <c r="C309" s="269" t="s">
        <v>245</v>
      </c>
      <c r="D309" s="274" t="s">
        <v>28</v>
      </c>
      <c r="E309" s="484">
        <v>10</v>
      </c>
      <c r="F309" s="748">
        <f>'MB Noodles'!H185</f>
        <v>2</v>
      </c>
      <c r="G309" s="492">
        <v>1845</v>
      </c>
      <c r="H309" s="492">
        <f t="shared" si="16"/>
        <v>18450</v>
      </c>
      <c r="I309" s="217">
        <f t="shared" si="14"/>
        <v>3690</v>
      </c>
    </row>
    <row r="310" spans="1:9" ht="24">
      <c r="A310" s="309" t="s">
        <v>246</v>
      </c>
      <c r="B310" s="177"/>
      <c r="C310" s="269" t="s">
        <v>247</v>
      </c>
      <c r="D310" s="274" t="s">
        <v>28</v>
      </c>
      <c r="E310" s="484">
        <v>2</v>
      </c>
      <c r="F310" s="748"/>
      <c r="G310" s="492">
        <v>1215</v>
      </c>
      <c r="H310" s="492">
        <f t="shared" si="16"/>
        <v>2430</v>
      </c>
      <c r="I310" s="217">
        <f t="shared" si="14"/>
        <v>0</v>
      </c>
    </row>
    <row r="311" spans="1:9" ht="24">
      <c r="A311" s="309" t="s">
        <v>248</v>
      </c>
      <c r="B311" s="177"/>
      <c r="C311" s="269" t="s">
        <v>249</v>
      </c>
      <c r="D311" s="274" t="s">
        <v>28</v>
      </c>
      <c r="E311" s="484">
        <v>2</v>
      </c>
      <c r="F311" s="748">
        <f>'MB Noodles'!H186</f>
        <v>1</v>
      </c>
      <c r="G311" s="492">
        <v>1822.5</v>
      </c>
      <c r="H311" s="492">
        <f t="shared" si="16"/>
        <v>3645</v>
      </c>
      <c r="I311" s="217">
        <f t="shared" si="14"/>
        <v>1822.5</v>
      </c>
    </row>
    <row r="312" spans="1:9" ht="36">
      <c r="A312" s="306">
        <v>4.3</v>
      </c>
      <c r="B312" s="177"/>
      <c r="C312" s="269" t="s">
        <v>439</v>
      </c>
      <c r="D312" s="274" t="s">
        <v>28</v>
      </c>
      <c r="E312" s="484">
        <v>8</v>
      </c>
      <c r="F312" s="748">
        <f>'MB Noodles'!H187</f>
        <v>6</v>
      </c>
      <c r="G312" s="492">
        <v>675</v>
      </c>
      <c r="H312" s="492">
        <f t="shared" si="16"/>
        <v>5400</v>
      </c>
      <c r="I312" s="217">
        <f t="shared" si="14"/>
        <v>4050</v>
      </c>
    </row>
    <row r="313" spans="1:9" ht="48">
      <c r="A313" s="306">
        <v>4.4000000000000004</v>
      </c>
      <c r="B313" s="177"/>
      <c r="C313" s="269" t="s">
        <v>440</v>
      </c>
      <c r="D313" s="310" t="s">
        <v>28</v>
      </c>
      <c r="E313" s="489">
        <v>6</v>
      </c>
      <c r="F313" s="509"/>
      <c r="G313" s="492">
        <v>630</v>
      </c>
      <c r="H313" s="492">
        <f t="shared" si="16"/>
        <v>3780</v>
      </c>
      <c r="I313" s="217">
        <f t="shared" si="14"/>
        <v>0</v>
      </c>
    </row>
    <row r="314" spans="1:9" ht="48">
      <c r="A314" s="306">
        <v>4.5</v>
      </c>
      <c r="B314" s="177"/>
      <c r="C314" s="269" t="s">
        <v>250</v>
      </c>
      <c r="D314" s="310"/>
      <c r="E314" s="489"/>
      <c r="F314" s="509"/>
      <c r="G314" s="490">
        <v>0</v>
      </c>
      <c r="H314" s="492"/>
      <c r="I314" s="217">
        <f t="shared" si="14"/>
        <v>0</v>
      </c>
    </row>
    <row r="315" spans="1:9">
      <c r="A315" s="309" t="s">
        <v>251</v>
      </c>
      <c r="B315" s="177"/>
      <c r="C315" s="269" t="s">
        <v>252</v>
      </c>
      <c r="D315" s="310" t="s">
        <v>53</v>
      </c>
      <c r="E315" s="489">
        <v>0</v>
      </c>
      <c r="F315" s="509"/>
      <c r="G315" s="490">
        <v>108</v>
      </c>
      <c r="H315" s="492"/>
      <c r="I315" s="217">
        <f t="shared" si="14"/>
        <v>0</v>
      </c>
    </row>
    <row r="316" spans="1:9">
      <c r="A316" s="309" t="s">
        <v>253</v>
      </c>
      <c r="B316" s="177"/>
      <c r="C316" s="269" t="s">
        <v>441</v>
      </c>
      <c r="D316" s="310" t="s">
        <v>53</v>
      </c>
      <c r="E316" s="489">
        <v>0</v>
      </c>
      <c r="F316" s="509"/>
      <c r="G316" s="490">
        <v>108</v>
      </c>
      <c r="H316" s="492"/>
      <c r="I316" s="217">
        <f t="shared" si="14"/>
        <v>0</v>
      </c>
    </row>
    <row r="317" spans="1:9" ht="36">
      <c r="A317" s="306">
        <v>4.5999999999999996</v>
      </c>
      <c r="B317" s="177"/>
      <c r="C317" s="269" t="s">
        <v>442</v>
      </c>
      <c r="D317" s="310" t="s">
        <v>28</v>
      </c>
      <c r="E317" s="489">
        <v>0</v>
      </c>
      <c r="F317" s="509"/>
      <c r="G317" s="490">
        <v>765</v>
      </c>
      <c r="H317" s="492"/>
      <c r="I317" s="217">
        <f t="shared" si="14"/>
        <v>0</v>
      </c>
    </row>
    <row r="318" spans="1:9" ht="36">
      <c r="A318" s="306">
        <v>4.7</v>
      </c>
      <c r="B318" s="177"/>
      <c r="C318" s="269" t="s">
        <v>443</v>
      </c>
      <c r="D318" s="310" t="s">
        <v>28</v>
      </c>
      <c r="E318" s="495">
        <v>0</v>
      </c>
      <c r="F318" s="648"/>
      <c r="G318" s="490">
        <v>765</v>
      </c>
      <c r="H318" s="492"/>
      <c r="I318" s="217">
        <f t="shared" si="14"/>
        <v>0</v>
      </c>
    </row>
    <row r="319" spans="1:9" ht="72">
      <c r="A319" s="312">
        <v>4.8</v>
      </c>
      <c r="B319" s="177"/>
      <c r="C319" s="82" t="s">
        <v>254</v>
      </c>
      <c r="D319" s="310" t="s">
        <v>53</v>
      </c>
      <c r="E319" s="489">
        <v>160</v>
      </c>
      <c r="F319" s="509"/>
      <c r="G319" s="490">
        <v>157.5</v>
      </c>
      <c r="H319" s="492">
        <f>$E319*G319</f>
        <v>25200</v>
      </c>
      <c r="I319" s="217">
        <f t="shared" si="14"/>
        <v>0</v>
      </c>
    </row>
    <row r="320" spans="1:9" ht="72">
      <c r="A320" s="312">
        <v>4.9000000000000004</v>
      </c>
      <c r="B320" s="177"/>
      <c r="C320" s="82" t="s">
        <v>255</v>
      </c>
      <c r="D320" s="310" t="s">
        <v>53</v>
      </c>
      <c r="E320" s="489"/>
      <c r="F320" s="509"/>
      <c r="G320" s="490">
        <v>225</v>
      </c>
      <c r="H320" s="492"/>
      <c r="I320" s="217">
        <f t="shared" si="14"/>
        <v>0</v>
      </c>
    </row>
    <row r="321" spans="1:9" ht="48">
      <c r="A321" s="313">
        <v>4.0999999999999996</v>
      </c>
      <c r="B321" s="177"/>
      <c r="C321" s="82" t="s">
        <v>256</v>
      </c>
      <c r="D321" s="310"/>
      <c r="E321" s="489"/>
      <c r="F321" s="509"/>
      <c r="G321" s="490">
        <v>0</v>
      </c>
      <c r="H321" s="490"/>
      <c r="I321" s="217">
        <f t="shared" si="14"/>
        <v>0</v>
      </c>
    </row>
    <row r="322" spans="1:9">
      <c r="A322" s="310" t="s">
        <v>257</v>
      </c>
      <c r="B322" s="177"/>
      <c r="C322" s="82" t="s">
        <v>258</v>
      </c>
      <c r="D322" s="310" t="s">
        <v>53</v>
      </c>
      <c r="E322" s="489"/>
      <c r="F322" s="509"/>
      <c r="G322" s="490">
        <v>148.5</v>
      </c>
      <c r="H322" s="492"/>
      <c r="I322" s="217">
        <f t="shared" si="14"/>
        <v>0</v>
      </c>
    </row>
    <row r="323" spans="1:9">
      <c r="A323" s="310" t="s">
        <v>259</v>
      </c>
      <c r="B323" s="177"/>
      <c r="C323" s="82" t="s">
        <v>260</v>
      </c>
      <c r="D323" s="310" t="s">
        <v>53</v>
      </c>
      <c r="E323" s="489">
        <v>150</v>
      </c>
      <c r="F323" s="509">
        <f>'MB Noodles'!H212</f>
        <v>175.3</v>
      </c>
      <c r="G323" s="490">
        <v>171</v>
      </c>
      <c r="H323" s="492">
        <f>$E323*G323</f>
        <v>25650</v>
      </c>
      <c r="I323" s="217">
        <f t="shared" si="14"/>
        <v>29976.300000000003</v>
      </c>
    </row>
    <row r="324" spans="1:9" ht="48">
      <c r="A324" s="313">
        <v>4.1100000000000003</v>
      </c>
      <c r="B324" s="177"/>
      <c r="C324" s="82" t="s">
        <v>261</v>
      </c>
      <c r="D324" s="310"/>
      <c r="E324" s="489"/>
      <c r="F324" s="509"/>
      <c r="G324" s="490">
        <v>0</v>
      </c>
      <c r="H324" s="490"/>
      <c r="I324" s="217">
        <f t="shared" si="14"/>
        <v>0</v>
      </c>
    </row>
    <row r="325" spans="1:9">
      <c r="A325" s="310" t="s">
        <v>262</v>
      </c>
      <c r="B325" s="177"/>
      <c r="C325" s="82" t="s">
        <v>258</v>
      </c>
      <c r="D325" s="310" t="s">
        <v>53</v>
      </c>
      <c r="E325" s="489"/>
      <c r="F325" s="509"/>
      <c r="G325" s="490">
        <v>157.5</v>
      </c>
      <c r="H325" s="492"/>
      <c r="I325" s="217">
        <f t="shared" si="14"/>
        <v>0</v>
      </c>
    </row>
    <row r="326" spans="1:9">
      <c r="A326" s="310" t="s">
        <v>263</v>
      </c>
      <c r="B326" s="177"/>
      <c r="C326" s="82" t="s">
        <v>260</v>
      </c>
      <c r="D326" s="310" t="s">
        <v>53</v>
      </c>
      <c r="E326" s="489">
        <v>20</v>
      </c>
      <c r="F326" s="509"/>
      <c r="G326" s="490">
        <v>189</v>
      </c>
      <c r="H326" s="492">
        <f>$E326*G326</f>
        <v>3780</v>
      </c>
      <c r="I326" s="217">
        <f t="shared" si="14"/>
        <v>0</v>
      </c>
    </row>
    <row r="327" spans="1:9">
      <c r="A327" s="310"/>
      <c r="B327" s="177"/>
      <c r="C327" s="82"/>
      <c r="D327" s="310"/>
      <c r="E327" s="489"/>
      <c r="F327" s="509"/>
      <c r="G327" s="490">
        <v>0</v>
      </c>
      <c r="H327" s="492"/>
      <c r="I327" s="217">
        <f t="shared" si="14"/>
        <v>0</v>
      </c>
    </row>
    <row r="328" spans="1:9" ht="24">
      <c r="A328" s="310">
        <v>4.12</v>
      </c>
      <c r="B328" s="177"/>
      <c r="C328" s="82" t="s">
        <v>264</v>
      </c>
      <c r="D328" s="310" t="s">
        <v>53</v>
      </c>
      <c r="E328" s="489">
        <v>60</v>
      </c>
      <c r="F328" s="509">
        <f>'MB Noodles'!H220</f>
        <v>168.5</v>
      </c>
      <c r="G328" s="490">
        <v>81</v>
      </c>
      <c r="H328" s="492">
        <f>$E328*G328</f>
        <v>4860</v>
      </c>
      <c r="I328" s="217">
        <f t="shared" si="14"/>
        <v>13648.5</v>
      </c>
    </row>
    <row r="329" spans="1:9">
      <c r="A329" s="310"/>
      <c r="B329" s="177"/>
      <c r="C329" s="82"/>
      <c r="D329" s="310"/>
      <c r="E329" s="489"/>
      <c r="F329" s="509"/>
      <c r="G329" s="490">
        <v>0</v>
      </c>
      <c r="H329" s="492"/>
      <c r="I329" s="217">
        <f t="shared" si="14"/>
        <v>0</v>
      </c>
    </row>
    <row r="330" spans="1:9">
      <c r="A330" s="264">
        <v>5</v>
      </c>
      <c r="B330" s="177"/>
      <c r="C330" s="265" t="s">
        <v>265</v>
      </c>
      <c r="D330" s="266"/>
      <c r="E330" s="484"/>
      <c r="F330" s="748"/>
      <c r="G330" s="492">
        <v>0</v>
      </c>
      <c r="H330" s="492"/>
      <c r="I330" s="217">
        <f t="shared" si="14"/>
        <v>0</v>
      </c>
    </row>
    <row r="331" spans="1:9" ht="60">
      <c r="A331" s="314">
        <v>5.0999999999999996</v>
      </c>
      <c r="B331" s="177"/>
      <c r="C331" s="315" t="s">
        <v>444</v>
      </c>
      <c r="D331" s="316"/>
      <c r="E331" s="495"/>
      <c r="F331" s="648"/>
      <c r="G331" s="492">
        <v>0</v>
      </c>
      <c r="H331" s="492"/>
      <c r="I331" s="217">
        <f t="shared" si="14"/>
        <v>0</v>
      </c>
    </row>
    <row r="332" spans="1:9">
      <c r="A332" s="318"/>
      <c r="B332" s="177"/>
      <c r="C332" s="319"/>
      <c r="D332" s="274"/>
      <c r="E332" s="484"/>
      <c r="F332" s="748"/>
      <c r="G332" s="485">
        <v>0</v>
      </c>
      <c r="H332" s="485"/>
      <c r="I332" s="217">
        <f t="shared" si="14"/>
        <v>0</v>
      </c>
    </row>
    <row r="333" spans="1:9">
      <c r="A333" s="318" t="s">
        <v>266</v>
      </c>
      <c r="B333" s="177"/>
      <c r="C333" s="319" t="s">
        <v>267</v>
      </c>
      <c r="D333" s="274" t="s">
        <v>28</v>
      </c>
      <c r="E333" s="484">
        <v>2</v>
      </c>
      <c r="F333" s="748"/>
      <c r="G333" s="485">
        <v>121.5</v>
      </c>
      <c r="H333" s="485">
        <f t="shared" ref="H333:H337" si="17">$E333*G333</f>
        <v>243</v>
      </c>
      <c r="I333" s="217">
        <f t="shared" si="14"/>
        <v>0</v>
      </c>
    </row>
    <row r="334" spans="1:9">
      <c r="A334" s="318" t="s">
        <v>268</v>
      </c>
      <c r="B334" s="177"/>
      <c r="C334" s="86" t="s">
        <v>269</v>
      </c>
      <c r="D334" s="274" t="s">
        <v>28</v>
      </c>
      <c r="E334" s="484">
        <v>10</v>
      </c>
      <c r="F334" s="748">
        <f>'MB Noodles'!H224</f>
        <v>2</v>
      </c>
      <c r="G334" s="485">
        <v>180</v>
      </c>
      <c r="H334" s="485">
        <f t="shared" si="17"/>
        <v>1800</v>
      </c>
      <c r="I334" s="217">
        <f t="shared" si="14"/>
        <v>360</v>
      </c>
    </row>
    <row r="335" spans="1:9">
      <c r="A335" s="318" t="s">
        <v>270</v>
      </c>
      <c r="B335" s="177"/>
      <c r="C335" s="86" t="s">
        <v>271</v>
      </c>
      <c r="D335" s="274" t="s">
        <v>28</v>
      </c>
      <c r="E335" s="484">
        <v>20</v>
      </c>
      <c r="F335" s="748">
        <f>'MB Noodles'!H228</f>
        <v>19</v>
      </c>
      <c r="G335" s="485">
        <v>279</v>
      </c>
      <c r="H335" s="485">
        <f t="shared" si="17"/>
        <v>5580</v>
      </c>
      <c r="I335" s="217">
        <f t="shared" si="14"/>
        <v>5301</v>
      </c>
    </row>
    <row r="336" spans="1:9" ht="24">
      <c r="A336" s="318" t="s">
        <v>272</v>
      </c>
      <c r="B336" s="177"/>
      <c r="C336" s="268" t="s">
        <v>432</v>
      </c>
      <c r="D336" s="274" t="s">
        <v>28</v>
      </c>
      <c r="E336" s="484">
        <v>1</v>
      </c>
      <c r="F336" s="748"/>
      <c r="G336" s="485">
        <v>450</v>
      </c>
      <c r="H336" s="485">
        <f t="shared" si="17"/>
        <v>450</v>
      </c>
      <c r="I336" s="217">
        <f t="shared" si="14"/>
        <v>0</v>
      </c>
    </row>
    <row r="337" spans="1:9">
      <c r="A337" s="318" t="s">
        <v>273</v>
      </c>
      <c r="B337" s="177"/>
      <c r="C337" s="86" t="s">
        <v>274</v>
      </c>
      <c r="D337" s="274" t="s">
        <v>28</v>
      </c>
      <c r="E337" s="484">
        <v>6</v>
      </c>
      <c r="F337" s="748"/>
      <c r="G337" s="485">
        <v>1260</v>
      </c>
      <c r="H337" s="485">
        <f t="shared" si="17"/>
        <v>7560</v>
      </c>
      <c r="I337" s="217">
        <f t="shared" si="14"/>
        <v>0</v>
      </c>
    </row>
    <row r="338" spans="1:9">
      <c r="A338" s="318" t="s">
        <v>273</v>
      </c>
      <c r="B338" s="177"/>
      <c r="C338" s="86" t="s">
        <v>275</v>
      </c>
      <c r="D338" s="274" t="s">
        <v>28</v>
      </c>
      <c r="E338" s="484">
        <v>0</v>
      </c>
      <c r="F338" s="748"/>
      <c r="G338" s="485">
        <v>5130</v>
      </c>
      <c r="H338" s="485"/>
      <c r="I338" s="217">
        <f t="shared" si="14"/>
        <v>0</v>
      </c>
    </row>
    <row r="339" spans="1:9">
      <c r="A339" s="318" t="s">
        <v>276</v>
      </c>
      <c r="B339" s="177"/>
      <c r="C339" s="86" t="s">
        <v>277</v>
      </c>
      <c r="D339" s="274" t="s">
        <v>28</v>
      </c>
      <c r="E339" s="484">
        <v>6</v>
      </c>
      <c r="F339" s="748"/>
      <c r="G339" s="485">
        <v>1755</v>
      </c>
      <c r="H339" s="485">
        <f t="shared" ref="H339:H341" si="18">$E339*G339</f>
        <v>10530</v>
      </c>
      <c r="I339" s="217">
        <f t="shared" si="14"/>
        <v>0</v>
      </c>
    </row>
    <row r="340" spans="1:9">
      <c r="A340" s="318" t="s">
        <v>278</v>
      </c>
      <c r="B340" s="177"/>
      <c r="C340" s="320" t="s">
        <v>279</v>
      </c>
      <c r="D340" s="274" t="s">
        <v>28</v>
      </c>
      <c r="E340" s="484">
        <v>4</v>
      </c>
      <c r="F340" s="748"/>
      <c r="G340" s="485">
        <v>2385</v>
      </c>
      <c r="H340" s="485">
        <f t="shared" si="18"/>
        <v>9540</v>
      </c>
      <c r="I340" s="217">
        <f t="shared" si="14"/>
        <v>0</v>
      </c>
    </row>
    <row r="341" spans="1:9">
      <c r="A341" s="318" t="s">
        <v>280</v>
      </c>
      <c r="B341" s="177"/>
      <c r="C341" s="320" t="s">
        <v>281</v>
      </c>
      <c r="D341" s="274" t="s">
        <v>28</v>
      </c>
      <c r="E341" s="484">
        <v>1</v>
      </c>
      <c r="F341" s="748"/>
      <c r="G341" s="485">
        <v>1980</v>
      </c>
      <c r="H341" s="485">
        <f t="shared" si="18"/>
        <v>1980</v>
      </c>
      <c r="I341" s="217">
        <f t="shared" si="14"/>
        <v>0</v>
      </c>
    </row>
    <row r="342" spans="1:9">
      <c r="A342" s="318"/>
      <c r="B342" s="177"/>
      <c r="C342" s="320"/>
      <c r="D342" s="274"/>
      <c r="E342" s="484"/>
      <c r="F342" s="748"/>
      <c r="G342" s="485">
        <v>0</v>
      </c>
      <c r="H342" s="485"/>
      <c r="I342" s="217">
        <f t="shared" si="14"/>
        <v>0</v>
      </c>
    </row>
    <row r="343" spans="1:9">
      <c r="A343" s="264">
        <v>6</v>
      </c>
      <c r="B343" s="177"/>
      <c r="C343" s="265" t="s">
        <v>282</v>
      </c>
      <c r="D343" s="266"/>
      <c r="E343" s="484"/>
      <c r="F343" s="748"/>
      <c r="G343" s="486">
        <v>0</v>
      </c>
      <c r="H343" s="486"/>
      <c r="I343" s="217">
        <f t="shared" si="14"/>
        <v>0</v>
      </c>
    </row>
    <row r="344" spans="1:9" ht="48">
      <c r="A344" s="88">
        <v>6.1</v>
      </c>
      <c r="B344" s="177"/>
      <c r="C344" s="321" t="s">
        <v>445</v>
      </c>
      <c r="D344" s="266"/>
      <c r="E344" s="484"/>
      <c r="F344" s="748"/>
      <c r="G344" s="486">
        <v>0</v>
      </c>
      <c r="H344" s="486"/>
      <c r="I344" s="217">
        <f t="shared" si="14"/>
        <v>0</v>
      </c>
    </row>
    <row r="345" spans="1:9">
      <c r="A345" s="318" t="s">
        <v>283</v>
      </c>
      <c r="B345" s="177"/>
      <c r="C345" s="321" t="s">
        <v>284</v>
      </c>
      <c r="D345" s="266" t="s">
        <v>53</v>
      </c>
      <c r="E345" s="484">
        <v>0</v>
      </c>
      <c r="F345" s="748"/>
      <c r="G345" s="486">
        <v>225</v>
      </c>
      <c r="H345" s="486"/>
      <c r="I345" s="217">
        <f t="shared" si="14"/>
        <v>0</v>
      </c>
    </row>
    <row r="346" spans="1:9">
      <c r="A346" s="88">
        <v>6.2</v>
      </c>
      <c r="B346" s="177"/>
      <c r="C346" s="321" t="s">
        <v>446</v>
      </c>
      <c r="D346" s="266"/>
      <c r="E346" s="484"/>
      <c r="F346" s="748"/>
      <c r="G346" s="486">
        <v>0</v>
      </c>
      <c r="H346" s="486"/>
      <c r="I346" s="217">
        <f t="shared" si="14"/>
        <v>0</v>
      </c>
    </row>
    <row r="347" spans="1:9">
      <c r="A347" s="318" t="s">
        <v>285</v>
      </c>
      <c r="B347" s="177"/>
      <c r="C347" s="86" t="s">
        <v>286</v>
      </c>
      <c r="D347" s="266" t="s">
        <v>53</v>
      </c>
      <c r="E347" s="484">
        <v>20</v>
      </c>
      <c r="F347" s="748">
        <f>'MB Noodles'!H231</f>
        <v>26</v>
      </c>
      <c r="G347" s="486">
        <v>76.5</v>
      </c>
      <c r="H347" s="486">
        <f>$E347*G347</f>
        <v>1530</v>
      </c>
      <c r="I347" s="217">
        <f t="shared" si="14"/>
        <v>1989</v>
      </c>
    </row>
    <row r="348" spans="1:9">
      <c r="A348" s="318"/>
      <c r="B348" s="177"/>
      <c r="C348" s="86"/>
      <c r="D348" s="266"/>
      <c r="E348" s="484"/>
      <c r="F348" s="748"/>
      <c r="G348" s="486">
        <v>0</v>
      </c>
      <c r="H348" s="486"/>
      <c r="I348" s="217">
        <f t="shared" si="14"/>
        <v>0</v>
      </c>
    </row>
    <row r="349" spans="1:9">
      <c r="A349" s="264">
        <v>7</v>
      </c>
      <c r="B349" s="177"/>
      <c r="C349" s="87" t="s">
        <v>287</v>
      </c>
      <c r="D349" s="274"/>
      <c r="E349" s="484"/>
      <c r="F349" s="748"/>
      <c r="G349" s="492">
        <v>0</v>
      </c>
      <c r="H349" s="492"/>
      <c r="I349" s="217">
        <f t="shared" si="14"/>
        <v>0</v>
      </c>
    </row>
    <row r="350" spans="1:9" ht="48">
      <c r="A350" s="264">
        <v>7.1</v>
      </c>
      <c r="B350" s="177"/>
      <c r="C350" s="320" t="s">
        <v>288</v>
      </c>
      <c r="D350" s="274"/>
      <c r="E350" s="484"/>
      <c r="F350" s="748"/>
      <c r="G350" s="492">
        <v>0</v>
      </c>
      <c r="H350" s="492"/>
      <c r="I350" s="217">
        <f t="shared" si="14"/>
        <v>0</v>
      </c>
    </row>
    <row r="351" spans="1:9">
      <c r="A351" s="88" t="s">
        <v>289</v>
      </c>
      <c r="B351" s="177"/>
      <c r="C351" s="320" t="s">
        <v>370</v>
      </c>
      <c r="D351" s="274" t="s">
        <v>28</v>
      </c>
      <c r="E351" s="420">
        <v>10</v>
      </c>
      <c r="F351" s="624">
        <f>'MB Noodles'!H233</f>
        <v>6</v>
      </c>
      <c r="G351" s="492">
        <v>225</v>
      </c>
      <c r="H351" s="492">
        <f t="shared" ref="H351:H352" si="19">$E351*G351</f>
        <v>2250</v>
      </c>
      <c r="I351" s="217">
        <f t="shared" si="14"/>
        <v>1350</v>
      </c>
    </row>
    <row r="352" spans="1:9">
      <c r="A352" s="88" t="s">
        <v>290</v>
      </c>
      <c r="B352" s="177"/>
      <c r="C352" s="320" t="s">
        <v>371</v>
      </c>
      <c r="D352" s="274" t="s">
        <v>28</v>
      </c>
      <c r="E352" s="420">
        <v>4</v>
      </c>
      <c r="F352" s="624"/>
      <c r="G352" s="492">
        <v>270</v>
      </c>
      <c r="H352" s="492">
        <f t="shared" si="19"/>
        <v>1080</v>
      </c>
      <c r="I352" s="217">
        <f t="shared" si="14"/>
        <v>0</v>
      </c>
    </row>
    <row r="353" spans="1:9">
      <c r="A353" s="88" t="s">
        <v>291</v>
      </c>
      <c r="B353" s="177"/>
      <c r="C353" s="320" t="s">
        <v>292</v>
      </c>
      <c r="D353" s="274" t="s">
        <v>28</v>
      </c>
      <c r="E353" s="420"/>
      <c r="F353" s="624"/>
      <c r="G353" s="492">
        <v>270</v>
      </c>
      <c r="H353" s="492"/>
      <c r="I353" s="217">
        <f t="shared" si="14"/>
        <v>0</v>
      </c>
    </row>
    <row r="354" spans="1:9">
      <c r="A354" s="88" t="s">
        <v>293</v>
      </c>
      <c r="B354" s="177"/>
      <c r="C354" s="320" t="s">
        <v>294</v>
      </c>
      <c r="D354" s="274" t="s">
        <v>28</v>
      </c>
      <c r="E354" s="420"/>
      <c r="F354" s="624"/>
      <c r="G354" s="492">
        <v>270</v>
      </c>
      <c r="H354" s="492"/>
      <c r="I354" s="217">
        <f t="shared" si="14"/>
        <v>0</v>
      </c>
    </row>
    <row r="355" spans="1:9">
      <c r="A355" s="88" t="s">
        <v>295</v>
      </c>
      <c r="B355" s="177"/>
      <c r="C355" s="320" t="s">
        <v>296</v>
      </c>
      <c r="D355" s="274" t="s">
        <v>53</v>
      </c>
      <c r="E355" s="420"/>
      <c r="F355" s="624"/>
      <c r="G355" s="492">
        <v>45</v>
      </c>
      <c r="H355" s="492"/>
      <c r="I355" s="217">
        <f t="shared" si="14"/>
        <v>0</v>
      </c>
    </row>
    <row r="356" spans="1:9">
      <c r="A356" s="88" t="s">
        <v>297</v>
      </c>
      <c r="B356" s="177"/>
      <c r="C356" s="320" t="s">
        <v>298</v>
      </c>
      <c r="D356" s="274" t="s">
        <v>28</v>
      </c>
      <c r="E356" s="420"/>
      <c r="F356" s="624"/>
      <c r="G356" s="492">
        <v>225</v>
      </c>
      <c r="H356" s="492"/>
      <c r="I356" s="217">
        <f t="shared" si="14"/>
        <v>0</v>
      </c>
    </row>
    <row r="357" spans="1:9">
      <c r="A357" s="264"/>
      <c r="B357" s="177"/>
      <c r="C357" s="320"/>
      <c r="D357" s="274"/>
      <c r="E357" s="484"/>
      <c r="F357" s="748"/>
      <c r="G357" s="492">
        <v>0</v>
      </c>
      <c r="H357" s="492"/>
      <c r="I357" s="217">
        <f t="shared" si="14"/>
        <v>0</v>
      </c>
    </row>
    <row r="358" spans="1:9">
      <c r="A358" s="323">
        <v>8</v>
      </c>
      <c r="B358" s="177"/>
      <c r="C358" s="89" t="s">
        <v>299</v>
      </c>
      <c r="D358" s="324"/>
      <c r="E358" s="495"/>
      <c r="F358" s="648"/>
      <c r="G358" s="490">
        <v>0</v>
      </c>
      <c r="H358" s="490"/>
      <c r="I358" s="217">
        <f t="shared" si="14"/>
        <v>0</v>
      </c>
    </row>
    <row r="359" spans="1:9">
      <c r="A359" s="314"/>
      <c r="B359" s="177"/>
      <c r="C359" s="325"/>
      <c r="D359" s="306"/>
      <c r="E359" s="495"/>
      <c r="F359" s="648"/>
      <c r="G359" s="490">
        <v>0</v>
      </c>
      <c r="H359" s="490"/>
      <c r="I359" s="217">
        <f t="shared" si="14"/>
        <v>0</v>
      </c>
    </row>
    <row r="360" spans="1:9" ht="36">
      <c r="A360" s="94">
        <v>8.1</v>
      </c>
      <c r="B360" s="177"/>
      <c r="C360" s="82" t="s">
        <v>300</v>
      </c>
      <c r="D360" s="306" t="s">
        <v>28</v>
      </c>
      <c r="E360" s="495">
        <v>1</v>
      </c>
      <c r="F360" s="648"/>
      <c r="G360" s="490">
        <v>900</v>
      </c>
      <c r="H360" s="490">
        <f>$E360*G360</f>
        <v>900</v>
      </c>
      <c r="I360" s="217">
        <f t="shared" ref="I360:I410" si="20">G360*F360</f>
        <v>0</v>
      </c>
    </row>
    <row r="361" spans="1:9">
      <c r="A361" s="323"/>
      <c r="B361" s="177"/>
      <c r="C361" s="82"/>
      <c r="D361" s="306"/>
      <c r="E361" s="495"/>
      <c r="F361" s="648"/>
      <c r="G361" s="490">
        <v>0</v>
      </c>
      <c r="H361" s="490"/>
      <c r="I361" s="217">
        <f t="shared" si="20"/>
        <v>0</v>
      </c>
    </row>
    <row r="362" spans="1:9" ht="48">
      <c r="A362" s="94">
        <v>8.1999999999999993</v>
      </c>
      <c r="B362" s="177"/>
      <c r="C362" s="82" t="s">
        <v>372</v>
      </c>
      <c r="D362" s="306" t="s">
        <v>28</v>
      </c>
      <c r="E362" s="495">
        <v>1</v>
      </c>
      <c r="F362" s="648"/>
      <c r="G362" s="490">
        <v>495</v>
      </c>
      <c r="H362" s="490">
        <f>$E362*G362</f>
        <v>495</v>
      </c>
      <c r="I362" s="217">
        <f t="shared" si="20"/>
        <v>0</v>
      </c>
    </row>
    <row r="363" spans="1:9">
      <c r="A363" s="94"/>
      <c r="B363" s="177"/>
      <c r="C363" s="82"/>
      <c r="D363" s="306"/>
      <c r="E363" s="495"/>
      <c r="F363" s="648"/>
      <c r="G363" s="490">
        <v>0</v>
      </c>
      <c r="H363" s="490"/>
      <c r="I363" s="217">
        <f t="shared" si="20"/>
        <v>0</v>
      </c>
    </row>
    <row r="364" spans="1:9" ht="24">
      <c r="A364" s="94">
        <v>8.3000000000000007</v>
      </c>
      <c r="B364" s="177"/>
      <c r="C364" s="82" t="s">
        <v>447</v>
      </c>
      <c r="D364" s="272" t="s">
        <v>301</v>
      </c>
      <c r="E364" s="487"/>
      <c r="F364" s="749"/>
      <c r="G364" s="490">
        <v>0</v>
      </c>
      <c r="H364" s="490"/>
      <c r="I364" s="217">
        <f t="shared" si="20"/>
        <v>0</v>
      </c>
    </row>
    <row r="365" spans="1:9">
      <c r="A365" s="94"/>
      <c r="B365" s="177"/>
      <c r="C365" s="82"/>
      <c r="D365" s="272"/>
      <c r="E365" s="487"/>
      <c r="F365" s="749"/>
      <c r="G365" s="490">
        <v>0</v>
      </c>
      <c r="H365" s="490"/>
      <c r="I365" s="217">
        <f t="shared" si="20"/>
        <v>0</v>
      </c>
    </row>
    <row r="366" spans="1:9">
      <c r="A366" s="326">
        <v>9</v>
      </c>
      <c r="B366" s="177"/>
      <c r="C366" s="327" t="s">
        <v>393</v>
      </c>
      <c r="D366" s="326"/>
      <c r="E366" s="407"/>
      <c r="F366" s="735"/>
      <c r="G366" s="490">
        <v>0</v>
      </c>
      <c r="H366" s="490"/>
      <c r="I366" s="217">
        <f t="shared" si="20"/>
        <v>0</v>
      </c>
    </row>
    <row r="367" spans="1:9" ht="48">
      <c r="A367" s="91">
        <v>9.1</v>
      </c>
      <c r="B367" s="177"/>
      <c r="C367" s="90" t="s">
        <v>394</v>
      </c>
      <c r="D367" s="91" t="s">
        <v>47</v>
      </c>
      <c r="E367" s="442">
        <v>1</v>
      </c>
      <c r="F367" s="649"/>
      <c r="G367" s="490">
        <v>31500</v>
      </c>
      <c r="H367" s="490">
        <f t="shared" ref="H367:H370" si="21">$E367*G367</f>
        <v>31500</v>
      </c>
      <c r="I367" s="217">
        <f t="shared" si="20"/>
        <v>0</v>
      </c>
    </row>
    <row r="368" spans="1:9" ht="84">
      <c r="A368" s="91">
        <v>9.1999999999999993</v>
      </c>
      <c r="B368" s="177"/>
      <c r="C368" s="90" t="s">
        <v>448</v>
      </c>
      <c r="D368" s="91" t="s">
        <v>47</v>
      </c>
      <c r="E368" s="442">
        <v>4</v>
      </c>
      <c r="F368" s="649">
        <v>2</v>
      </c>
      <c r="G368" s="490">
        <v>2205</v>
      </c>
      <c r="H368" s="490">
        <f t="shared" si="21"/>
        <v>8820</v>
      </c>
      <c r="I368" s="217">
        <f t="shared" si="20"/>
        <v>4410</v>
      </c>
    </row>
    <row r="369" spans="1:9" ht="72">
      <c r="A369" s="91">
        <v>9.3000000000000007</v>
      </c>
      <c r="B369" s="177"/>
      <c r="C369" s="90" t="s">
        <v>449</v>
      </c>
      <c r="D369" s="91" t="s">
        <v>47</v>
      </c>
      <c r="E369" s="442">
        <v>2</v>
      </c>
      <c r="F369" s="649">
        <f>'MB Noodles'!H236</f>
        <v>2</v>
      </c>
      <c r="G369" s="490">
        <v>2340</v>
      </c>
      <c r="H369" s="490">
        <f t="shared" si="21"/>
        <v>4680</v>
      </c>
      <c r="I369" s="217">
        <f t="shared" si="20"/>
        <v>4680</v>
      </c>
    </row>
    <row r="370" spans="1:9" ht="48">
      <c r="A370" s="91">
        <v>9.4</v>
      </c>
      <c r="B370" s="177"/>
      <c r="C370" s="90" t="s">
        <v>395</v>
      </c>
      <c r="D370" s="91" t="s">
        <v>47</v>
      </c>
      <c r="E370" s="442">
        <v>1</v>
      </c>
      <c r="F370" s="649"/>
      <c r="G370" s="490">
        <v>1125</v>
      </c>
      <c r="H370" s="490">
        <f t="shared" si="21"/>
        <v>1125</v>
      </c>
      <c r="I370" s="217">
        <f t="shared" si="20"/>
        <v>0</v>
      </c>
    </row>
    <row r="371" spans="1:9">
      <c r="A371" s="91"/>
      <c r="B371" s="177"/>
      <c r="C371" s="330"/>
      <c r="D371" s="91"/>
      <c r="E371" s="442"/>
      <c r="F371" s="649"/>
      <c r="G371" s="490">
        <v>0</v>
      </c>
      <c r="H371" s="490"/>
      <c r="I371" s="217">
        <f t="shared" si="20"/>
        <v>0</v>
      </c>
    </row>
    <row r="372" spans="1:9" ht="24">
      <c r="A372" s="91">
        <v>10</v>
      </c>
      <c r="B372" s="177"/>
      <c r="C372" s="90" t="s">
        <v>396</v>
      </c>
      <c r="D372" s="91" t="s">
        <v>397</v>
      </c>
      <c r="E372" s="442">
        <v>20</v>
      </c>
      <c r="F372" s="649">
        <f>'MB Noodles'!H244</f>
        <v>29</v>
      </c>
      <c r="G372" s="490">
        <v>121.5</v>
      </c>
      <c r="H372" s="490">
        <f>$E372*G372</f>
        <v>2430</v>
      </c>
      <c r="I372" s="217">
        <f t="shared" si="20"/>
        <v>3523.5</v>
      </c>
    </row>
    <row r="373" spans="1:9">
      <c r="A373" s="91"/>
      <c r="B373" s="177"/>
      <c r="C373" s="330"/>
      <c r="D373" s="91"/>
      <c r="E373" s="442"/>
      <c r="F373" s="649"/>
      <c r="G373" s="490">
        <v>0</v>
      </c>
      <c r="H373" s="490"/>
      <c r="I373" s="217">
        <f t="shared" si="20"/>
        <v>0</v>
      </c>
    </row>
    <row r="374" spans="1:9">
      <c r="A374" s="91">
        <v>11</v>
      </c>
      <c r="B374" s="177"/>
      <c r="C374" s="90" t="s">
        <v>398</v>
      </c>
      <c r="D374" s="91" t="s">
        <v>47</v>
      </c>
      <c r="E374" s="442">
        <v>1</v>
      </c>
      <c r="F374" s="649"/>
      <c r="G374" s="490">
        <v>180</v>
      </c>
      <c r="H374" s="490">
        <f>$E374*G374</f>
        <v>180</v>
      </c>
      <c r="I374" s="217">
        <f t="shared" si="20"/>
        <v>0</v>
      </c>
    </row>
    <row r="375" spans="1:9" ht="15">
      <c r="A375" s="499"/>
      <c r="B375" s="500"/>
      <c r="C375" s="501" t="s">
        <v>385</v>
      </c>
      <c r="D375" s="499"/>
      <c r="E375" s="502"/>
      <c r="F375" s="509"/>
      <c r="G375" s="503"/>
      <c r="H375" s="504">
        <f>SUM(H171:H374)</f>
        <v>246558</v>
      </c>
      <c r="I375" s="462">
        <f>SUM(I168:I374)</f>
        <v>158358</v>
      </c>
    </row>
    <row r="376" spans="1:9" ht="15">
      <c r="A376" s="310"/>
      <c r="B376" s="177"/>
      <c r="C376" s="382" t="s">
        <v>628</v>
      </c>
      <c r="D376" s="310"/>
      <c r="E376" s="489"/>
      <c r="F376" s="509"/>
      <c r="G376" s="497"/>
      <c r="H376" s="498">
        <f>H375*0.18</f>
        <v>44380.439999999995</v>
      </c>
      <c r="I376" s="452">
        <f>I375*0.18</f>
        <v>28504.44</v>
      </c>
    </row>
    <row r="377" spans="1:9" ht="15">
      <c r="A377" s="505"/>
      <c r="B377" s="506"/>
      <c r="C377" s="507" t="s">
        <v>629</v>
      </c>
      <c r="D377" s="505"/>
      <c r="E377" s="508"/>
      <c r="F377" s="509"/>
      <c r="G377" s="510"/>
      <c r="H377" s="511">
        <f>SUM(H375:H376)</f>
        <v>290938.44</v>
      </c>
      <c r="I377" s="463">
        <f>SUM(I375:I376)</f>
        <v>186862.44</v>
      </c>
    </row>
    <row r="378" spans="1:9">
      <c r="A378" s="310"/>
      <c r="B378" s="177"/>
      <c r="C378" s="380"/>
      <c r="D378" s="310"/>
      <c r="E378" s="489"/>
      <c r="F378" s="509"/>
      <c r="G378" s="497"/>
      <c r="H378" s="494"/>
      <c r="I378" s="217"/>
    </row>
    <row r="379" spans="1:9" ht="18.75">
      <c r="A379" s="855" t="s">
        <v>606</v>
      </c>
      <c r="B379" s="855"/>
      <c r="C379" s="855"/>
      <c r="D379" s="855"/>
      <c r="E379" s="855"/>
      <c r="F379" s="855"/>
      <c r="G379" s="855"/>
      <c r="H379" s="855"/>
      <c r="I379" s="855"/>
    </row>
    <row r="380" spans="1:9" ht="12.75">
      <c r="A380" s="518" t="s">
        <v>688</v>
      </c>
      <c r="B380" s="519"/>
      <c r="C380" s="520" t="s">
        <v>134</v>
      </c>
      <c r="D380" s="518" t="s">
        <v>26</v>
      </c>
      <c r="E380" s="411" t="s">
        <v>4</v>
      </c>
      <c r="F380" s="736" t="s">
        <v>558</v>
      </c>
      <c r="G380" s="412" t="s">
        <v>5</v>
      </c>
      <c r="H380" s="413" t="s">
        <v>6</v>
      </c>
      <c r="I380" s="387" t="s">
        <v>559</v>
      </c>
    </row>
    <row r="381" spans="1:9" ht="15">
      <c r="A381" s="310">
        <v>1</v>
      </c>
      <c r="B381" s="177"/>
      <c r="C381" s="59" t="s">
        <v>701</v>
      </c>
      <c r="D381" s="310" t="s">
        <v>28</v>
      </c>
      <c r="E381" s="489"/>
      <c r="F381" s="509">
        <f>'MB Noodles'!H247</f>
        <v>1</v>
      </c>
      <c r="G381" s="514">
        <v>6500</v>
      </c>
      <c r="H381" s="494"/>
      <c r="I381" s="515">
        <f>F381*G381</f>
        <v>6500</v>
      </c>
    </row>
    <row r="382" spans="1:9" ht="12.75">
      <c r="A382" s="310"/>
      <c r="B382" s="177"/>
      <c r="C382" s="380"/>
      <c r="D382" s="310"/>
      <c r="E382" s="489"/>
      <c r="F382" s="509"/>
      <c r="G382" s="497"/>
      <c r="H382" s="494"/>
      <c r="I382" s="515"/>
    </row>
    <row r="383" spans="1:9" ht="38.25">
      <c r="A383" s="310">
        <v>3</v>
      </c>
      <c r="B383" s="177"/>
      <c r="C383" s="93" t="s">
        <v>302</v>
      </c>
      <c r="D383" s="516" t="s">
        <v>466</v>
      </c>
      <c r="E383" s="489"/>
      <c r="F383" s="509">
        <f>'MB Noodles'!H252</f>
        <v>218</v>
      </c>
      <c r="G383" s="514">
        <v>65</v>
      </c>
      <c r="H383" s="492"/>
      <c r="I383" s="515">
        <f>F383*G383</f>
        <v>14170</v>
      </c>
    </row>
    <row r="384" spans="1:9" ht="12.75">
      <c r="A384" s="499"/>
      <c r="B384" s="500"/>
      <c r="C384" s="521" t="s">
        <v>689</v>
      </c>
      <c r="D384" s="499"/>
      <c r="E384" s="502"/>
      <c r="F384" s="509"/>
      <c r="G384" s="503"/>
      <c r="H384" s="522"/>
      <c r="I384" s="523">
        <f>SUM(I381:I383)</f>
        <v>20670</v>
      </c>
    </row>
    <row r="385" spans="1:9" ht="15">
      <c r="A385" s="310"/>
      <c r="B385" s="177"/>
      <c r="C385" s="382" t="s">
        <v>628</v>
      </c>
      <c r="D385" s="310"/>
      <c r="E385" s="489"/>
      <c r="F385" s="509"/>
      <c r="G385" s="497"/>
      <c r="H385" s="494"/>
      <c r="I385" s="517">
        <f>I384*0.18</f>
        <v>3720.6</v>
      </c>
    </row>
    <row r="386" spans="1:9" ht="12.75">
      <c r="A386" s="505"/>
      <c r="B386" s="506"/>
      <c r="C386" s="524" t="s">
        <v>629</v>
      </c>
      <c r="D386" s="505"/>
      <c r="E386" s="508"/>
      <c r="F386" s="509"/>
      <c r="G386" s="510"/>
      <c r="H386" s="525"/>
      <c r="I386" s="526">
        <f>SUM(I384:I385)</f>
        <v>24390.6</v>
      </c>
    </row>
    <row r="387" spans="1:9" ht="12.75">
      <c r="A387" s="255"/>
      <c r="B387" s="164"/>
      <c r="C387" s="512"/>
      <c r="D387" s="255"/>
      <c r="E387" s="476"/>
      <c r="F387" s="753"/>
      <c r="G387" s="477"/>
      <c r="H387" s="478"/>
      <c r="I387" s="513"/>
    </row>
    <row r="388" spans="1:9">
      <c r="A388" s="27"/>
      <c r="B388" s="16"/>
      <c r="C388" s="34"/>
      <c r="D388" s="27"/>
      <c r="E388" s="406"/>
      <c r="F388" s="754"/>
      <c r="G388" s="397"/>
      <c r="H388" s="771"/>
      <c r="I388" s="217">
        <f t="shared" si="20"/>
        <v>0</v>
      </c>
    </row>
    <row r="389" spans="1:9">
      <c r="A389" s="7" t="s">
        <v>49</v>
      </c>
      <c r="B389" s="8" t="s">
        <v>352</v>
      </c>
      <c r="C389" s="9"/>
      <c r="D389" s="10"/>
      <c r="E389" s="404"/>
      <c r="F389" s="755"/>
      <c r="G389" s="399"/>
      <c r="H389" s="772"/>
      <c r="I389" s="217">
        <f t="shared" si="20"/>
        <v>0</v>
      </c>
    </row>
    <row r="390" spans="1:9">
      <c r="A390" s="11" t="s">
        <v>27</v>
      </c>
      <c r="B390" s="16"/>
      <c r="C390" s="35" t="s">
        <v>303</v>
      </c>
      <c r="D390" s="11"/>
      <c r="E390" s="404"/>
      <c r="F390" s="755"/>
      <c r="G390" s="400"/>
      <c r="H390" s="773"/>
      <c r="I390" s="217">
        <f t="shared" si="20"/>
        <v>0</v>
      </c>
    </row>
    <row r="391" spans="1:9">
      <c r="A391" s="36"/>
      <c r="B391" s="16"/>
      <c r="C391" s="36"/>
      <c r="D391" s="37"/>
      <c r="E391" s="403"/>
      <c r="F391" s="756"/>
      <c r="G391" s="398"/>
      <c r="H391" s="774"/>
      <c r="I391" s="217">
        <f t="shared" si="20"/>
        <v>0</v>
      </c>
    </row>
    <row r="392" spans="1:9">
      <c r="A392" s="13">
        <v>1</v>
      </c>
      <c r="B392" s="16"/>
      <c r="C392" s="38" t="s">
        <v>304</v>
      </c>
      <c r="D392" s="15"/>
      <c r="E392" s="405"/>
      <c r="F392" s="757"/>
      <c r="G392" s="400"/>
      <c r="H392" s="774"/>
      <c r="I392" s="217">
        <f t="shared" si="20"/>
        <v>0</v>
      </c>
    </row>
    <row r="393" spans="1:9" ht="192">
      <c r="A393" s="13"/>
      <c r="B393" s="16"/>
      <c r="C393" s="39" t="s">
        <v>305</v>
      </c>
      <c r="D393" s="15"/>
      <c r="E393" s="405"/>
      <c r="F393" s="757"/>
      <c r="G393" s="400"/>
      <c r="H393" s="774"/>
      <c r="I393" s="217">
        <f t="shared" si="20"/>
        <v>0</v>
      </c>
    </row>
    <row r="394" spans="1:9">
      <c r="A394" s="13">
        <v>1.1000000000000001</v>
      </c>
      <c r="B394" s="16"/>
      <c r="C394" s="39" t="s">
        <v>391</v>
      </c>
      <c r="D394" s="15" t="s">
        <v>48</v>
      </c>
      <c r="E394" s="405">
        <v>1</v>
      </c>
      <c r="F394" s="757"/>
      <c r="G394" s="400">
        <v>94000</v>
      </c>
      <c r="H394" s="774">
        <f>$E394*G394</f>
        <v>94000</v>
      </c>
      <c r="I394" s="217">
        <f t="shared" si="20"/>
        <v>0</v>
      </c>
    </row>
    <row r="395" spans="1:9">
      <c r="A395" s="13"/>
      <c r="B395" s="16"/>
      <c r="C395" s="39"/>
      <c r="D395" s="15"/>
      <c r="E395" s="405"/>
      <c r="F395" s="757"/>
      <c r="G395" s="400">
        <v>0</v>
      </c>
      <c r="H395" s="774"/>
      <c r="I395" s="217">
        <f t="shared" si="20"/>
        <v>0</v>
      </c>
    </row>
    <row r="396" spans="1:9">
      <c r="A396" s="13">
        <v>2</v>
      </c>
      <c r="B396" s="16"/>
      <c r="C396" s="38" t="s">
        <v>307</v>
      </c>
      <c r="D396" s="15"/>
      <c r="E396" s="405"/>
      <c r="F396" s="757"/>
      <c r="G396" s="400">
        <v>0</v>
      </c>
      <c r="H396" s="774"/>
      <c r="I396" s="217">
        <f t="shared" si="20"/>
        <v>0</v>
      </c>
    </row>
    <row r="397" spans="1:9" ht="192">
      <c r="A397" s="13"/>
      <c r="B397" s="16"/>
      <c r="C397" s="39" t="s">
        <v>308</v>
      </c>
      <c r="D397" s="15"/>
      <c r="E397" s="405"/>
      <c r="F397" s="757"/>
      <c r="G397" s="400">
        <v>0</v>
      </c>
      <c r="H397" s="774"/>
      <c r="I397" s="217">
        <f t="shared" si="20"/>
        <v>0</v>
      </c>
    </row>
    <row r="398" spans="1:9">
      <c r="A398" s="13"/>
      <c r="B398" s="16"/>
      <c r="C398" s="39"/>
      <c r="D398" s="15"/>
      <c r="E398" s="405"/>
      <c r="F398" s="757"/>
      <c r="G398" s="400">
        <v>0</v>
      </c>
      <c r="H398" s="774"/>
      <c r="I398" s="217">
        <f t="shared" si="20"/>
        <v>0</v>
      </c>
    </row>
    <row r="399" spans="1:9">
      <c r="A399" s="13">
        <v>2.1</v>
      </c>
      <c r="B399" s="16"/>
      <c r="C399" s="39" t="s">
        <v>392</v>
      </c>
      <c r="D399" s="15" t="s">
        <v>48</v>
      </c>
      <c r="E399" s="405">
        <v>1</v>
      </c>
      <c r="F399" s="757"/>
      <c r="G399" s="400">
        <v>78300</v>
      </c>
      <c r="H399" s="774">
        <f>$E399*G399</f>
        <v>78300</v>
      </c>
      <c r="I399" s="217">
        <f t="shared" si="20"/>
        <v>0</v>
      </c>
    </row>
    <row r="400" spans="1:9">
      <c r="A400" s="13"/>
      <c r="B400" s="16"/>
      <c r="C400" s="39"/>
      <c r="D400" s="15"/>
      <c r="E400" s="405"/>
      <c r="F400" s="757"/>
      <c r="G400" s="400">
        <v>0</v>
      </c>
      <c r="H400" s="774"/>
      <c r="I400" s="217">
        <f t="shared" si="20"/>
        <v>0</v>
      </c>
    </row>
    <row r="401" spans="1:9">
      <c r="A401" s="12" t="s">
        <v>24</v>
      </c>
      <c r="B401" s="16"/>
      <c r="C401" s="38" t="s">
        <v>310</v>
      </c>
      <c r="D401" s="15"/>
      <c r="E401" s="405"/>
      <c r="F401" s="757"/>
      <c r="G401" s="400">
        <v>0</v>
      </c>
      <c r="H401" s="774"/>
      <c r="I401" s="217">
        <f t="shared" si="20"/>
        <v>0</v>
      </c>
    </row>
    <row r="402" spans="1:9">
      <c r="A402" s="12"/>
      <c r="B402" s="16"/>
      <c r="C402" s="38"/>
      <c r="D402" s="15"/>
      <c r="E402" s="405"/>
      <c r="F402" s="757"/>
      <c r="G402" s="400">
        <v>0</v>
      </c>
      <c r="H402" s="774"/>
      <c r="I402" s="217">
        <f t="shared" si="20"/>
        <v>0</v>
      </c>
    </row>
    <row r="403" spans="1:9" ht="24">
      <c r="A403" s="12"/>
      <c r="B403" s="16"/>
      <c r="C403" s="17" t="s">
        <v>311</v>
      </c>
      <c r="D403" s="17"/>
      <c r="E403" s="403"/>
      <c r="F403" s="756"/>
      <c r="G403" s="398">
        <v>0</v>
      </c>
      <c r="H403" s="774"/>
      <c r="I403" s="217">
        <f t="shared" si="20"/>
        <v>0</v>
      </c>
    </row>
    <row r="404" spans="1:9" ht="48">
      <c r="A404" s="18">
        <v>1</v>
      </c>
      <c r="B404" s="16"/>
      <c r="C404" s="17" t="s">
        <v>312</v>
      </c>
      <c r="D404" s="17"/>
      <c r="E404" s="403"/>
      <c r="F404" s="756"/>
      <c r="G404" s="398">
        <v>0</v>
      </c>
      <c r="H404" s="774"/>
      <c r="I404" s="217">
        <f t="shared" si="20"/>
        <v>0</v>
      </c>
    </row>
    <row r="405" spans="1:9">
      <c r="A405" s="12"/>
      <c r="B405" s="16"/>
      <c r="C405" s="38"/>
      <c r="D405" s="15"/>
      <c r="E405" s="405"/>
      <c r="F405" s="757"/>
      <c r="G405" s="400">
        <v>0</v>
      </c>
      <c r="H405" s="774"/>
      <c r="I405" s="217">
        <f t="shared" si="20"/>
        <v>0</v>
      </c>
    </row>
    <row r="406" spans="1:9">
      <c r="A406" s="12"/>
      <c r="B406" s="16"/>
      <c r="C406" s="40" t="s">
        <v>313</v>
      </c>
      <c r="D406" s="15" t="s">
        <v>314</v>
      </c>
      <c r="E406" s="405">
        <v>0</v>
      </c>
      <c r="F406" s="757"/>
      <c r="G406" s="400">
        <v>1260</v>
      </c>
      <c r="H406" s="774"/>
      <c r="I406" s="217">
        <f t="shared" si="20"/>
        <v>0</v>
      </c>
    </row>
    <row r="407" spans="1:9">
      <c r="A407" s="12"/>
      <c r="B407" s="16"/>
      <c r="C407" s="40" t="s">
        <v>315</v>
      </c>
      <c r="D407" s="15" t="s">
        <v>314</v>
      </c>
      <c r="E407" s="405">
        <v>5</v>
      </c>
      <c r="F407" s="757"/>
      <c r="G407" s="400">
        <v>1125</v>
      </c>
      <c r="H407" s="774">
        <f t="shared" ref="H407:H409" si="22">$E407*G407</f>
        <v>5625</v>
      </c>
      <c r="I407" s="217">
        <f t="shared" si="20"/>
        <v>0</v>
      </c>
    </row>
    <row r="408" spans="1:9">
      <c r="A408" s="12"/>
      <c r="B408" s="16"/>
      <c r="C408" s="40" t="s">
        <v>316</v>
      </c>
      <c r="D408" s="15" t="s">
        <v>314</v>
      </c>
      <c r="E408" s="405">
        <v>5</v>
      </c>
      <c r="F408" s="757">
        <v>38.36</v>
      </c>
      <c r="G408" s="400">
        <v>990</v>
      </c>
      <c r="H408" s="774">
        <f t="shared" si="22"/>
        <v>4950</v>
      </c>
      <c r="I408" s="217">
        <f t="shared" si="20"/>
        <v>37976.400000000001</v>
      </c>
    </row>
    <row r="409" spans="1:9">
      <c r="A409" s="12"/>
      <c r="B409" s="16"/>
      <c r="C409" s="40" t="s">
        <v>317</v>
      </c>
      <c r="D409" s="15" t="s">
        <v>314</v>
      </c>
      <c r="E409" s="405">
        <v>25</v>
      </c>
      <c r="F409" s="757">
        <v>20.3</v>
      </c>
      <c r="G409" s="400">
        <v>810</v>
      </c>
      <c r="H409" s="774">
        <f t="shared" si="22"/>
        <v>20250</v>
      </c>
      <c r="I409" s="217">
        <f t="shared" si="20"/>
        <v>16443</v>
      </c>
    </row>
    <row r="410" spans="1:9">
      <c r="A410" s="12"/>
      <c r="B410" s="16"/>
      <c r="C410" s="40" t="s">
        <v>318</v>
      </c>
      <c r="D410" s="15" t="s">
        <v>314</v>
      </c>
      <c r="E410" s="405">
        <v>0</v>
      </c>
      <c r="F410" s="757"/>
      <c r="G410" s="400">
        <v>711</v>
      </c>
      <c r="H410" s="774"/>
      <c r="I410" s="217">
        <f t="shared" si="20"/>
        <v>0</v>
      </c>
    </row>
    <row r="411" spans="1:9">
      <c r="A411" s="13"/>
      <c r="B411" s="16"/>
      <c r="C411" s="39"/>
      <c r="D411" s="15"/>
      <c r="E411" s="405"/>
      <c r="F411" s="757"/>
      <c r="G411" s="400">
        <v>0</v>
      </c>
      <c r="H411" s="774"/>
      <c r="I411" s="217">
        <f t="shared" ref="I411:I467" si="23">G411*F411</f>
        <v>0</v>
      </c>
    </row>
    <row r="412" spans="1:9" ht="60">
      <c r="A412" s="13">
        <v>2</v>
      </c>
      <c r="B412" s="16"/>
      <c r="C412" s="40" t="s">
        <v>319</v>
      </c>
      <c r="D412" s="15"/>
      <c r="E412" s="405"/>
      <c r="F412" s="757"/>
      <c r="G412" s="400">
        <v>0</v>
      </c>
      <c r="H412" s="774"/>
      <c r="I412" s="217">
        <f t="shared" si="23"/>
        <v>0</v>
      </c>
    </row>
    <row r="413" spans="1:9">
      <c r="A413" s="41"/>
      <c r="B413" s="16"/>
      <c r="C413" s="41"/>
      <c r="D413" s="41"/>
      <c r="E413" s="405"/>
      <c r="F413" s="757"/>
      <c r="G413" s="400">
        <v>0</v>
      </c>
      <c r="H413" s="773"/>
      <c r="I413" s="217">
        <f t="shared" si="23"/>
        <v>0</v>
      </c>
    </row>
    <row r="414" spans="1:9">
      <c r="A414" s="13"/>
      <c r="B414" s="16"/>
      <c r="C414" s="40" t="s">
        <v>313</v>
      </c>
      <c r="D414" s="15" t="s">
        <v>314</v>
      </c>
      <c r="E414" s="405">
        <v>5</v>
      </c>
      <c r="F414" s="757"/>
      <c r="G414" s="400">
        <v>1215</v>
      </c>
      <c r="H414" s="774">
        <f t="shared" ref="H414:H417" si="24">$E414*G414</f>
        <v>6075</v>
      </c>
      <c r="I414" s="217">
        <f t="shared" si="23"/>
        <v>0</v>
      </c>
    </row>
    <row r="415" spans="1:9">
      <c r="A415" s="13"/>
      <c r="B415" s="16"/>
      <c r="C415" s="40" t="s">
        <v>315</v>
      </c>
      <c r="D415" s="15" t="s">
        <v>314</v>
      </c>
      <c r="E415" s="405">
        <v>5</v>
      </c>
      <c r="F415" s="757"/>
      <c r="G415" s="400">
        <v>1080</v>
      </c>
      <c r="H415" s="774">
        <f t="shared" si="24"/>
        <v>5400</v>
      </c>
      <c r="I415" s="217">
        <f t="shared" si="23"/>
        <v>0</v>
      </c>
    </row>
    <row r="416" spans="1:9">
      <c r="A416" s="13"/>
      <c r="B416" s="16"/>
      <c r="C416" s="40" t="s">
        <v>316</v>
      </c>
      <c r="D416" s="15" t="s">
        <v>314</v>
      </c>
      <c r="E416" s="405">
        <v>5</v>
      </c>
      <c r="F416" s="757"/>
      <c r="G416" s="400">
        <v>945</v>
      </c>
      <c r="H416" s="774">
        <f t="shared" si="24"/>
        <v>4725</v>
      </c>
      <c r="I416" s="217">
        <f t="shared" si="23"/>
        <v>0</v>
      </c>
    </row>
    <row r="417" spans="1:9">
      <c r="A417" s="13"/>
      <c r="B417" s="16"/>
      <c r="C417" s="40" t="s">
        <v>317</v>
      </c>
      <c r="D417" s="15" t="s">
        <v>314</v>
      </c>
      <c r="E417" s="405">
        <v>5</v>
      </c>
      <c r="F417" s="757"/>
      <c r="G417" s="400">
        <v>765</v>
      </c>
      <c r="H417" s="774">
        <f t="shared" si="24"/>
        <v>3825</v>
      </c>
      <c r="I417" s="217">
        <f t="shared" si="23"/>
        <v>0</v>
      </c>
    </row>
    <row r="418" spans="1:9">
      <c r="A418" s="13"/>
      <c r="B418" s="16"/>
      <c r="C418" s="40"/>
      <c r="D418" s="15"/>
      <c r="E418" s="405"/>
      <c r="F418" s="757"/>
      <c r="G418" s="400">
        <v>0</v>
      </c>
      <c r="H418" s="774"/>
      <c r="I418" s="217">
        <f t="shared" si="23"/>
        <v>0</v>
      </c>
    </row>
    <row r="419" spans="1:9" ht="48">
      <c r="A419" s="20">
        <v>3</v>
      </c>
      <c r="B419" s="16"/>
      <c r="C419" s="14" t="s">
        <v>320</v>
      </c>
      <c r="D419" s="20" t="s">
        <v>321</v>
      </c>
      <c r="E419" s="405">
        <v>1</v>
      </c>
      <c r="F419" s="757">
        <v>0.65</v>
      </c>
      <c r="G419" s="400">
        <v>7830</v>
      </c>
      <c r="H419" s="774">
        <f>$E419*G419</f>
        <v>7830</v>
      </c>
      <c r="I419" s="217">
        <f t="shared" si="23"/>
        <v>5089.5</v>
      </c>
    </row>
    <row r="420" spans="1:9">
      <c r="A420" s="20"/>
      <c r="B420" s="16"/>
      <c r="C420" s="14"/>
      <c r="D420" s="20"/>
      <c r="E420" s="405"/>
      <c r="F420" s="757"/>
      <c r="G420" s="400">
        <v>0</v>
      </c>
      <c r="H420" s="773"/>
      <c r="I420" s="217">
        <f t="shared" si="23"/>
        <v>0</v>
      </c>
    </row>
    <row r="421" spans="1:9" ht="72">
      <c r="A421" s="20">
        <v>4</v>
      </c>
      <c r="B421" s="16"/>
      <c r="C421" s="17" t="s">
        <v>450</v>
      </c>
      <c r="D421" s="20" t="s">
        <v>321</v>
      </c>
      <c r="E421" s="405">
        <v>1</v>
      </c>
      <c r="F421" s="757">
        <v>0.93600000000000005</v>
      </c>
      <c r="G421" s="400">
        <v>7380</v>
      </c>
      <c r="H421" s="774">
        <f>$E421*G421</f>
        <v>7380</v>
      </c>
      <c r="I421" s="217">
        <f t="shared" si="23"/>
        <v>6907.68</v>
      </c>
    </row>
    <row r="422" spans="1:9">
      <c r="A422" s="20"/>
      <c r="B422" s="16"/>
      <c r="C422" s="17"/>
      <c r="D422" s="20"/>
      <c r="E422" s="405"/>
      <c r="F422" s="757"/>
      <c r="G422" s="398">
        <v>0</v>
      </c>
      <c r="H422" s="773"/>
      <c r="I422" s="217">
        <f t="shared" si="23"/>
        <v>0</v>
      </c>
    </row>
    <row r="423" spans="1:9" ht="36">
      <c r="A423" s="20">
        <v>5</v>
      </c>
      <c r="B423" s="16"/>
      <c r="C423" s="17" t="s">
        <v>451</v>
      </c>
      <c r="D423" s="20" t="s">
        <v>28</v>
      </c>
      <c r="E423" s="405">
        <v>0</v>
      </c>
      <c r="F423" s="757">
        <v>0.4</v>
      </c>
      <c r="G423" s="398">
        <v>2970</v>
      </c>
      <c r="H423" s="774"/>
      <c r="I423" s="217">
        <f t="shared" si="23"/>
        <v>1188</v>
      </c>
    </row>
    <row r="424" spans="1:9">
      <c r="A424" s="20"/>
      <c r="B424" s="16"/>
      <c r="C424" s="17"/>
      <c r="D424" s="20"/>
      <c r="E424" s="405"/>
      <c r="F424" s="757"/>
      <c r="G424" s="398">
        <v>0</v>
      </c>
      <c r="H424" s="774"/>
      <c r="I424" s="217">
        <f t="shared" si="23"/>
        <v>0</v>
      </c>
    </row>
    <row r="425" spans="1:9" ht="48">
      <c r="A425" s="20">
        <v>6</v>
      </c>
      <c r="B425" s="16"/>
      <c r="C425" s="17" t="s">
        <v>322</v>
      </c>
      <c r="D425" s="20" t="s">
        <v>321</v>
      </c>
      <c r="E425" s="405">
        <v>0.1</v>
      </c>
      <c r="F425" s="757"/>
      <c r="G425" s="400">
        <v>6750</v>
      </c>
      <c r="H425" s="774">
        <f>$E425*G425</f>
        <v>675</v>
      </c>
      <c r="I425" s="217">
        <f t="shared" si="23"/>
        <v>0</v>
      </c>
    </row>
    <row r="426" spans="1:9">
      <c r="A426" s="20"/>
      <c r="B426" s="16"/>
      <c r="C426" s="17"/>
      <c r="D426" s="20"/>
      <c r="E426" s="405"/>
      <c r="F426" s="757"/>
      <c r="G426" s="398">
        <v>0</v>
      </c>
      <c r="H426" s="774"/>
      <c r="I426" s="217">
        <f t="shared" si="23"/>
        <v>0</v>
      </c>
    </row>
    <row r="427" spans="1:9" ht="48">
      <c r="A427" s="20">
        <v>7</v>
      </c>
      <c r="B427" s="16"/>
      <c r="C427" s="17" t="s">
        <v>323</v>
      </c>
      <c r="D427" s="20" t="s">
        <v>321</v>
      </c>
      <c r="E427" s="405">
        <v>0.1</v>
      </c>
      <c r="F427" s="757"/>
      <c r="G427" s="400">
        <v>7380</v>
      </c>
      <c r="H427" s="774">
        <f>$E427*G427</f>
        <v>738</v>
      </c>
      <c r="I427" s="217">
        <f t="shared" si="23"/>
        <v>0</v>
      </c>
    </row>
    <row r="428" spans="1:9">
      <c r="A428" s="20"/>
      <c r="B428" s="16"/>
      <c r="C428" s="17"/>
      <c r="D428" s="20"/>
      <c r="E428" s="405"/>
      <c r="F428" s="757"/>
      <c r="G428" s="398">
        <v>0</v>
      </c>
      <c r="H428" s="774"/>
      <c r="I428" s="217">
        <f t="shared" si="23"/>
        <v>0</v>
      </c>
    </row>
    <row r="429" spans="1:9">
      <c r="A429" s="11" t="s">
        <v>46</v>
      </c>
      <c r="B429" s="16"/>
      <c r="C429" s="42" t="s">
        <v>54</v>
      </c>
      <c r="D429" s="20"/>
      <c r="E429" s="405"/>
      <c r="F429" s="757"/>
      <c r="G429" s="398">
        <v>0</v>
      </c>
      <c r="H429" s="774"/>
      <c r="I429" s="217">
        <f t="shared" si="23"/>
        <v>0</v>
      </c>
    </row>
    <row r="430" spans="1:9">
      <c r="A430" s="20"/>
      <c r="B430" s="16"/>
      <c r="C430" s="17"/>
      <c r="D430" s="20"/>
      <c r="E430" s="405"/>
      <c r="F430" s="757"/>
      <c r="G430" s="398">
        <v>0</v>
      </c>
      <c r="H430" s="773"/>
      <c r="I430" s="217">
        <f t="shared" si="23"/>
        <v>0</v>
      </c>
    </row>
    <row r="431" spans="1:9">
      <c r="A431" s="13">
        <v>1</v>
      </c>
      <c r="B431" s="16"/>
      <c r="C431" s="41" t="s">
        <v>324</v>
      </c>
      <c r="D431" s="15"/>
      <c r="E431" s="405"/>
      <c r="F431" s="757"/>
      <c r="G431" s="400">
        <v>0</v>
      </c>
      <c r="H431" s="774"/>
      <c r="I431" s="217">
        <f t="shared" si="23"/>
        <v>0</v>
      </c>
    </row>
    <row r="432" spans="1:9" ht="72">
      <c r="A432" s="13"/>
      <c r="B432" s="16"/>
      <c r="C432" s="40" t="s">
        <v>325</v>
      </c>
      <c r="D432" s="15"/>
      <c r="E432" s="405"/>
      <c r="F432" s="757"/>
      <c r="G432" s="400">
        <v>0</v>
      </c>
      <c r="H432" s="774"/>
      <c r="I432" s="217">
        <f t="shared" si="23"/>
        <v>0</v>
      </c>
    </row>
    <row r="433" spans="1:9">
      <c r="A433" s="13"/>
      <c r="B433" s="16"/>
      <c r="C433" s="40" t="s">
        <v>326</v>
      </c>
      <c r="D433" s="15" t="s">
        <v>314</v>
      </c>
      <c r="E433" s="405">
        <v>20</v>
      </c>
      <c r="F433" s="757">
        <v>30.19</v>
      </c>
      <c r="G433" s="400">
        <v>720</v>
      </c>
      <c r="H433" s="774">
        <f>$E433*G433</f>
        <v>14400</v>
      </c>
      <c r="I433" s="217">
        <f t="shared" si="23"/>
        <v>21736.799999999999</v>
      </c>
    </row>
    <row r="434" spans="1:9">
      <c r="A434" s="13"/>
      <c r="B434" s="16"/>
      <c r="C434" s="39"/>
      <c r="D434" s="15"/>
      <c r="E434" s="405"/>
      <c r="F434" s="757"/>
      <c r="G434" s="400">
        <v>0</v>
      </c>
      <c r="H434" s="774"/>
      <c r="I434" s="217">
        <f t="shared" si="23"/>
        <v>0</v>
      </c>
    </row>
    <row r="435" spans="1:9">
      <c r="A435" s="12" t="s">
        <v>45</v>
      </c>
      <c r="B435" s="16"/>
      <c r="C435" s="43" t="s">
        <v>327</v>
      </c>
      <c r="D435" s="44"/>
      <c r="E435" s="403"/>
      <c r="F435" s="756"/>
      <c r="G435" s="398">
        <v>0</v>
      </c>
      <c r="H435" s="773"/>
      <c r="I435" s="217">
        <f t="shared" si="23"/>
        <v>0</v>
      </c>
    </row>
    <row r="436" spans="1:9">
      <c r="A436" s="20">
        <v>1</v>
      </c>
      <c r="B436" s="16"/>
      <c r="C436" s="45" t="s">
        <v>328</v>
      </c>
      <c r="D436" s="44"/>
      <c r="E436" s="405"/>
      <c r="F436" s="757"/>
      <c r="G436" s="398">
        <v>0</v>
      </c>
      <c r="H436" s="774"/>
      <c r="I436" s="217">
        <f t="shared" si="23"/>
        <v>0</v>
      </c>
    </row>
    <row r="437" spans="1:9" ht="48">
      <c r="A437" s="13"/>
      <c r="B437" s="16"/>
      <c r="C437" s="40" t="s">
        <v>329</v>
      </c>
      <c r="D437" s="41"/>
      <c r="E437" s="405"/>
      <c r="F437" s="757"/>
      <c r="G437" s="400">
        <v>0</v>
      </c>
      <c r="H437" s="773"/>
      <c r="I437" s="217">
        <f t="shared" si="23"/>
        <v>0</v>
      </c>
    </row>
    <row r="438" spans="1:9">
      <c r="A438" s="13"/>
      <c r="B438" s="16"/>
      <c r="C438" s="39"/>
      <c r="D438" s="41"/>
      <c r="E438" s="405"/>
      <c r="F438" s="757"/>
      <c r="G438" s="400">
        <v>0</v>
      </c>
      <c r="H438" s="773"/>
      <c r="I438" s="217">
        <f t="shared" si="23"/>
        <v>0</v>
      </c>
    </row>
    <row r="439" spans="1:9" ht="24">
      <c r="A439" s="13"/>
      <c r="B439" s="16"/>
      <c r="C439" s="40" t="s">
        <v>330</v>
      </c>
      <c r="D439" s="41"/>
      <c r="E439" s="405"/>
      <c r="F439" s="757"/>
      <c r="G439" s="400">
        <v>0</v>
      </c>
      <c r="H439" s="773"/>
      <c r="I439" s="217">
        <f t="shared" si="23"/>
        <v>0</v>
      </c>
    </row>
    <row r="440" spans="1:9">
      <c r="A440" s="13"/>
      <c r="B440" s="16"/>
      <c r="C440" s="39"/>
      <c r="D440" s="41"/>
      <c r="E440" s="405"/>
      <c r="F440" s="757"/>
      <c r="G440" s="400">
        <v>0</v>
      </c>
      <c r="H440" s="773"/>
      <c r="I440" s="217">
        <f t="shared" si="23"/>
        <v>0</v>
      </c>
    </row>
    <row r="441" spans="1:9" ht="36">
      <c r="A441" s="13"/>
      <c r="B441" s="16"/>
      <c r="C441" s="40" t="s">
        <v>331</v>
      </c>
      <c r="D441" s="41"/>
      <c r="E441" s="405"/>
      <c r="F441" s="757"/>
      <c r="G441" s="400">
        <v>0</v>
      </c>
      <c r="H441" s="773"/>
      <c r="I441" s="217">
        <f t="shared" si="23"/>
        <v>0</v>
      </c>
    </row>
    <row r="442" spans="1:9">
      <c r="A442" s="13"/>
      <c r="B442" s="16"/>
      <c r="C442" s="39"/>
      <c r="D442" s="41"/>
      <c r="E442" s="405"/>
      <c r="F442" s="757"/>
      <c r="G442" s="400">
        <v>0</v>
      </c>
      <c r="H442" s="773"/>
      <c r="I442" s="217">
        <f t="shared" si="23"/>
        <v>0</v>
      </c>
    </row>
    <row r="443" spans="1:9">
      <c r="A443" s="13"/>
      <c r="B443" s="16"/>
      <c r="C443" s="40" t="s">
        <v>332</v>
      </c>
      <c r="D443" s="41"/>
      <c r="E443" s="405"/>
      <c r="F443" s="757"/>
      <c r="G443" s="400">
        <v>0</v>
      </c>
      <c r="H443" s="773"/>
      <c r="I443" s="217">
        <f t="shared" si="23"/>
        <v>0</v>
      </c>
    </row>
    <row r="444" spans="1:9">
      <c r="A444" s="13"/>
      <c r="B444" s="16"/>
      <c r="C444" s="40"/>
      <c r="D444" s="41"/>
      <c r="E444" s="405"/>
      <c r="F444" s="757"/>
      <c r="G444" s="400">
        <v>0</v>
      </c>
      <c r="H444" s="773"/>
      <c r="I444" s="217">
        <f t="shared" si="23"/>
        <v>0</v>
      </c>
    </row>
    <row r="445" spans="1:9" ht="24">
      <c r="A445" s="13" t="s">
        <v>333</v>
      </c>
      <c r="B445" s="16"/>
      <c r="C445" s="40" t="s">
        <v>334</v>
      </c>
      <c r="D445" s="41"/>
      <c r="E445" s="405"/>
      <c r="F445" s="757"/>
      <c r="G445" s="400">
        <v>0</v>
      </c>
      <c r="H445" s="773"/>
      <c r="I445" s="217">
        <f t="shared" si="23"/>
        <v>0</v>
      </c>
    </row>
    <row r="446" spans="1:9">
      <c r="A446" s="13"/>
      <c r="B446" s="16"/>
      <c r="C446" s="40"/>
      <c r="D446" s="41"/>
      <c r="E446" s="405"/>
      <c r="F446" s="757"/>
      <c r="G446" s="400">
        <v>0</v>
      </c>
      <c r="H446" s="773"/>
      <c r="I446" s="217">
        <f t="shared" si="23"/>
        <v>0</v>
      </c>
    </row>
    <row r="447" spans="1:9">
      <c r="A447" s="13" t="s">
        <v>335</v>
      </c>
      <c r="B447" s="16"/>
      <c r="C447" s="40" t="s">
        <v>336</v>
      </c>
      <c r="D447" s="41"/>
      <c r="E447" s="405"/>
      <c r="F447" s="757"/>
      <c r="G447" s="400">
        <v>0</v>
      </c>
      <c r="H447" s="773"/>
      <c r="I447" s="217">
        <f t="shared" si="23"/>
        <v>0</v>
      </c>
    </row>
    <row r="448" spans="1:9">
      <c r="A448" s="13"/>
      <c r="B448" s="16"/>
      <c r="C448" s="40"/>
      <c r="D448" s="41"/>
      <c r="E448" s="405"/>
      <c r="F448" s="757"/>
      <c r="G448" s="400">
        <v>0</v>
      </c>
      <c r="H448" s="773"/>
      <c r="I448" s="217">
        <f t="shared" si="23"/>
        <v>0</v>
      </c>
    </row>
    <row r="449" spans="1:9">
      <c r="A449" s="13" t="s">
        <v>337</v>
      </c>
      <c r="B449" s="16"/>
      <c r="C449" s="40" t="s">
        <v>338</v>
      </c>
      <c r="D449" s="41"/>
      <c r="E449" s="405"/>
      <c r="F449" s="757"/>
      <c r="G449" s="400">
        <v>0</v>
      </c>
      <c r="H449" s="773"/>
      <c r="I449" s="217">
        <f t="shared" si="23"/>
        <v>0</v>
      </c>
    </row>
    <row r="450" spans="1:9">
      <c r="A450" s="13"/>
      <c r="B450" s="16"/>
      <c r="C450" s="40"/>
      <c r="D450" s="41"/>
      <c r="E450" s="405"/>
      <c r="F450" s="757"/>
      <c r="G450" s="400">
        <v>0</v>
      </c>
      <c r="H450" s="773"/>
      <c r="I450" s="217">
        <f t="shared" si="23"/>
        <v>0</v>
      </c>
    </row>
    <row r="451" spans="1:9">
      <c r="A451" s="13" t="s">
        <v>339</v>
      </c>
      <c r="B451" s="16"/>
      <c r="C451" s="40" t="s">
        <v>340</v>
      </c>
      <c r="D451" s="41"/>
      <c r="E451" s="405"/>
      <c r="F451" s="757"/>
      <c r="G451" s="400">
        <v>0</v>
      </c>
      <c r="H451" s="773"/>
      <c r="I451" s="217">
        <f t="shared" si="23"/>
        <v>0</v>
      </c>
    </row>
    <row r="452" spans="1:9">
      <c r="A452" s="13"/>
      <c r="B452" s="16"/>
      <c r="C452" s="40"/>
      <c r="D452" s="41"/>
      <c r="E452" s="405"/>
      <c r="F452" s="757"/>
      <c r="G452" s="400">
        <v>0</v>
      </c>
      <c r="H452" s="773"/>
      <c r="I452" s="217">
        <f t="shared" si="23"/>
        <v>0</v>
      </c>
    </row>
    <row r="453" spans="1:9">
      <c r="A453" s="13" t="s">
        <v>341</v>
      </c>
      <c r="B453" s="16"/>
      <c r="C453" s="40" t="s">
        <v>342</v>
      </c>
      <c r="D453" s="41"/>
      <c r="E453" s="405"/>
      <c r="F453" s="757"/>
      <c r="G453" s="400">
        <v>0</v>
      </c>
      <c r="H453" s="773"/>
      <c r="I453" s="217">
        <f t="shared" si="23"/>
        <v>0</v>
      </c>
    </row>
    <row r="454" spans="1:9">
      <c r="A454" s="13"/>
      <c r="B454" s="16"/>
      <c r="C454" s="40"/>
      <c r="D454" s="41"/>
      <c r="E454" s="405"/>
      <c r="F454" s="757"/>
      <c r="G454" s="400">
        <v>0</v>
      </c>
      <c r="H454" s="773"/>
      <c r="I454" s="217">
        <f t="shared" si="23"/>
        <v>0</v>
      </c>
    </row>
    <row r="455" spans="1:9">
      <c r="A455" s="13" t="s">
        <v>343</v>
      </c>
      <c r="B455" s="16"/>
      <c r="C455" s="40" t="s">
        <v>344</v>
      </c>
      <c r="D455" s="41"/>
      <c r="E455" s="405"/>
      <c r="F455" s="757"/>
      <c r="G455" s="400">
        <v>0</v>
      </c>
      <c r="H455" s="773"/>
      <c r="I455" s="217">
        <f t="shared" si="23"/>
        <v>0</v>
      </c>
    </row>
    <row r="456" spans="1:9">
      <c r="A456" s="13"/>
      <c r="B456" s="16"/>
      <c r="C456" s="40"/>
      <c r="D456" s="41"/>
      <c r="E456" s="405"/>
      <c r="F456" s="757"/>
      <c r="G456" s="400">
        <v>0</v>
      </c>
      <c r="H456" s="773"/>
      <c r="I456" s="217">
        <f t="shared" si="23"/>
        <v>0</v>
      </c>
    </row>
    <row r="457" spans="1:9">
      <c r="A457" s="13" t="s">
        <v>345</v>
      </c>
      <c r="B457" s="16"/>
      <c r="C457" s="40" t="s">
        <v>346</v>
      </c>
      <c r="D457" s="41"/>
      <c r="E457" s="405"/>
      <c r="F457" s="757"/>
      <c r="G457" s="400">
        <v>0</v>
      </c>
      <c r="H457" s="773"/>
      <c r="I457" s="217">
        <f t="shared" si="23"/>
        <v>0</v>
      </c>
    </row>
    <row r="458" spans="1:9">
      <c r="A458" s="13"/>
      <c r="B458" s="16"/>
      <c r="C458" s="40"/>
      <c r="D458" s="41"/>
      <c r="E458" s="405"/>
      <c r="F458" s="757"/>
      <c r="G458" s="400">
        <v>0</v>
      </c>
      <c r="H458" s="773"/>
      <c r="I458" s="217">
        <f t="shared" si="23"/>
        <v>0</v>
      </c>
    </row>
    <row r="459" spans="1:9" ht="36">
      <c r="A459" s="13" t="s">
        <v>34</v>
      </c>
      <c r="B459" s="16"/>
      <c r="C459" s="40" t="s">
        <v>347</v>
      </c>
      <c r="D459" s="41"/>
      <c r="E459" s="405"/>
      <c r="F459" s="757"/>
      <c r="G459" s="400">
        <v>0</v>
      </c>
      <c r="H459" s="773"/>
      <c r="I459" s="217">
        <f t="shared" si="23"/>
        <v>0</v>
      </c>
    </row>
    <row r="460" spans="1:9">
      <c r="A460" s="13"/>
      <c r="B460" s="16"/>
      <c r="C460" s="40"/>
      <c r="D460" s="41"/>
      <c r="E460" s="405"/>
      <c r="F460" s="757"/>
      <c r="G460" s="400">
        <v>0</v>
      </c>
      <c r="H460" s="773"/>
      <c r="I460" s="217">
        <f t="shared" si="23"/>
        <v>0</v>
      </c>
    </row>
    <row r="461" spans="1:9" ht="24">
      <c r="A461" s="13" t="s">
        <v>35</v>
      </c>
      <c r="B461" s="16"/>
      <c r="C461" s="40" t="s">
        <v>348</v>
      </c>
      <c r="D461" s="41"/>
      <c r="E461" s="405"/>
      <c r="F461" s="757"/>
      <c r="G461" s="400">
        <v>0</v>
      </c>
      <c r="H461" s="773"/>
      <c r="I461" s="217">
        <f t="shared" si="23"/>
        <v>0</v>
      </c>
    </row>
    <row r="462" spans="1:9">
      <c r="A462" s="13"/>
      <c r="B462" s="16"/>
      <c r="C462" s="40"/>
      <c r="D462" s="41"/>
      <c r="E462" s="405"/>
      <c r="F462" s="757"/>
      <c r="G462" s="400">
        <v>0</v>
      </c>
      <c r="H462" s="773"/>
      <c r="I462" s="217">
        <f t="shared" si="23"/>
        <v>0</v>
      </c>
    </row>
    <row r="463" spans="1:9">
      <c r="A463" s="13"/>
      <c r="B463" s="16"/>
      <c r="C463" s="40" t="s">
        <v>349</v>
      </c>
      <c r="D463" s="41"/>
      <c r="E463" s="405"/>
      <c r="F463" s="757"/>
      <c r="G463" s="400">
        <v>0</v>
      </c>
      <c r="H463" s="773"/>
      <c r="I463" s="217">
        <f t="shared" si="23"/>
        <v>0</v>
      </c>
    </row>
    <row r="464" spans="1:9">
      <c r="A464" s="41"/>
      <c r="B464" s="16"/>
      <c r="C464" s="41"/>
      <c r="D464" s="41"/>
      <c r="E464" s="405"/>
      <c r="F464" s="757"/>
      <c r="G464" s="400">
        <v>0</v>
      </c>
      <c r="H464" s="773"/>
      <c r="I464" s="217">
        <f t="shared" si="23"/>
        <v>0</v>
      </c>
    </row>
    <row r="465" spans="1:9">
      <c r="A465" s="41"/>
      <c r="B465" s="16"/>
      <c r="C465" s="41" t="s">
        <v>350</v>
      </c>
      <c r="D465" s="41" t="s">
        <v>48</v>
      </c>
      <c r="E465" s="405">
        <v>1</v>
      </c>
      <c r="F465" s="757"/>
      <c r="G465" s="400">
        <v>18000</v>
      </c>
      <c r="H465" s="774">
        <f t="shared" ref="H465:H466" si="25">$E465*G465</f>
        <v>18000</v>
      </c>
      <c r="I465" s="217">
        <f t="shared" si="23"/>
        <v>0</v>
      </c>
    </row>
    <row r="466" spans="1:9">
      <c r="A466" s="41"/>
      <c r="B466" s="16"/>
      <c r="C466" s="41" t="s">
        <v>351</v>
      </c>
      <c r="D466" s="41" t="s">
        <v>48</v>
      </c>
      <c r="E466" s="405">
        <v>1</v>
      </c>
      <c r="F466" s="757"/>
      <c r="G466" s="400">
        <v>22000</v>
      </c>
      <c r="H466" s="774">
        <f t="shared" si="25"/>
        <v>22000</v>
      </c>
      <c r="I466" s="217">
        <f t="shared" si="23"/>
        <v>0</v>
      </c>
    </row>
    <row r="467" spans="1:9">
      <c r="A467" s="11"/>
      <c r="B467" s="16"/>
      <c r="C467" s="21"/>
      <c r="D467" s="20"/>
      <c r="E467" s="405"/>
      <c r="F467" s="757"/>
      <c r="G467" s="400"/>
      <c r="H467" s="773"/>
      <c r="I467" s="217">
        <f t="shared" si="23"/>
        <v>0</v>
      </c>
    </row>
    <row r="468" spans="1:9">
      <c r="A468" s="4"/>
      <c r="B468" s="394"/>
      <c r="C468" s="394" t="s">
        <v>452</v>
      </c>
      <c r="D468" s="394"/>
      <c r="E468" s="395"/>
      <c r="F468" s="758"/>
      <c r="G468" s="401"/>
      <c r="H468" s="775">
        <f>SUM(H393:H466)</f>
        <v>294173</v>
      </c>
      <c r="I468" s="217">
        <f>SUM(I388:I467)</f>
        <v>89341.38</v>
      </c>
    </row>
    <row r="469" spans="1:9">
      <c r="A469" s="205"/>
      <c r="B469" s="177" t="s">
        <v>808</v>
      </c>
      <c r="C469" s="177"/>
      <c r="D469" s="205"/>
      <c r="E469" s="222"/>
      <c r="F469" s="624"/>
      <c r="G469" s="421"/>
      <c r="H469" s="421"/>
      <c r="I469" s="217"/>
    </row>
    <row r="470" spans="1:9">
      <c r="A470" s="157"/>
      <c r="B470" s="157" t="s">
        <v>809</v>
      </c>
      <c r="C470" s="157" t="s">
        <v>810</v>
      </c>
      <c r="D470" s="157" t="s">
        <v>47</v>
      </c>
      <c r="E470" s="583"/>
      <c r="F470" s="624">
        <v>2</v>
      </c>
      <c r="G470" s="421">
        <v>5500</v>
      </c>
      <c r="H470" s="421"/>
      <c r="I470" s="217">
        <f>F470*G470</f>
        <v>11000</v>
      </c>
    </row>
    <row r="471" spans="1:9">
      <c r="A471" s="157"/>
      <c r="B471" s="157"/>
      <c r="C471" s="157" t="s">
        <v>811</v>
      </c>
      <c r="D471" s="157" t="s">
        <v>812</v>
      </c>
      <c r="E471" s="583"/>
      <c r="F471" s="624">
        <v>0.3</v>
      </c>
      <c r="G471" s="421">
        <v>6500</v>
      </c>
      <c r="H471" s="421"/>
      <c r="I471" s="217">
        <f>G471*F471</f>
        <v>1950</v>
      </c>
    </row>
    <row r="472" spans="1:9">
      <c r="A472" s="1"/>
      <c r="B472" s="1"/>
      <c r="C472" s="1"/>
      <c r="D472" s="1"/>
      <c r="E472" s="46"/>
      <c r="I472" s="101">
        <f>SUM(I470:I471)</f>
        <v>12950</v>
      </c>
    </row>
  </sheetData>
  <protectedRanges>
    <protectedRange sqref="C11" name="Range1_11"/>
    <protectedRange sqref="G1" name="Range1"/>
  </protectedRanges>
  <autoFilter ref="A3:H468" xr:uid="{00000000-0009-0000-0000-000003000000}"/>
  <mergeCells count="5">
    <mergeCell ref="H167:H168"/>
    <mergeCell ref="A1:H1"/>
    <mergeCell ref="A5:B5"/>
    <mergeCell ref="A379:I379"/>
    <mergeCell ref="A64:I64"/>
  </mergeCells>
  <hyperlinks>
    <hyperlink ref="C62" r:id="rId1" xr:uid="{00000000-0004-0000-0300-000000000000}"/>
    <hyperlink ref="C157" r:id="rId2" xr:uid="{00000000-0004-0000-0300-000001000000}"/>
    <hyperlink ref="C376" r:id="rId3" xr:uid="{00000000-0004-0000-0300-000002000000}"/>
    <hyperlink ref="C385" r:id="rId4" xr:uid="{00000000-0004-0000-0300-000003000000}"/>
  </hyperlinks>
  <pageMargins left="0.70866141732283461" right="0.70866141732283461" top="0.74803149606299213" bottom="0.74803149606299213" header="0.31496062992125984" footer="0.31496062992125984"/>
  <pageSetup scale="66" fitToHeight="0" orientation="landscape" r:id="rId5"/>
  <ignoredErrors>
    <ignoredError sqref="H375" unlockedFormula="1"/>
  </ignoredError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6"/>
  <sheetViews>
    <sheetView topLeftCell="A283" workbookViewId="0">
      <selection activeCell="B194" sqref="B194"/>
    </sheetView>
  </sheetViews>
  <sheetFormatPr defaultRowHeight="15"/>
  <cols>
    <col min="1" max="1" width="7.28515625" style="149" customWidth="1"/>
    <col min="2" max="2" width="61.28515625" customWidth="1"/>
    <col min="3" max="3" width="9.5703125" customWidth="1"/>
    <col min="4" max="4" width="8" customWidth="1"/>
    <col min="5" max="5" width="8.85546875" style="150" customWidth="1"/>
    <col min="6" max="7" width="8.7109375" style="150"/>
  </cols>
  <sheetData>
    <row r="1" spans="1:8">
      <c r="A1" s="844" t="s">
        <v>454</v>
      </c>
      <c r="B1" s="844"/>
      <c r="C1" s="844"/>
      <c r="D1" s="844"/>
      <c r="E1" s="844"/>
      <c r="F1" s="844"/>
      <c r="G1" s="844"/>
      <c r="H1" s="60"/>
    </row>
    <row r="2" spans="1:8">
      <c r="A2" s="844" t="s">
        <v>455</v>
      </c>
      <c r="B2" s="844"/>
      <c r="C2" s="844"/>
      <c r="D2" s="844"/>
      <c r="E2" s="844"/>
      <c r="F2" s="844"/>
      <c r="G2" s="844"/>
      <c r="H2" s="60"/>
    </row>
    <row r="3" spans="1:8">
      <c r="A3" s="859" t="s">
        <v>634</v>
      </c>
      <c r="B3" s="860"/>
      <c r="C3" s="860"/>
      <c r="D3" s="860"/>
      <c r="E3" s="860"/>
      <c r="F3" s="860"/>
      <c r="G3" s="860"/>
      <c r="H3" s="60"/>
    </row>
    <row r="4" spans="1:8" ht="15.75" thickBot="1">
      <c r="A4" s="861" t="s">
        <v>456</v>
      </c>
      <c r="B4" s="861"/>
      <c r="C4" s="861"/>
      <c r="D4" s="861"/>
      <c r="E4" s="861"/>
      <c r="F4" s="861"/>
      <c r="G4" s="861"/>
      <c r="H4" s="60"/>
    </row>
    <row r="5" spans="1:8">
      <c r="A5" s="102" t="s">
        <v>457</v>
      </c>
      <c r="B5" s="103" t="s">
        <v>458</v>
      </c>
      <c r="C5" s="104" t="s">
        <v>3</v>
      </c>
      <c r="D5" s="104" t="s">
        <v>47</v>
      </c>
      <c r="E5" s="105" t="s">
        <v>459</v>
      </c>
      <c r="F5" s="104" t="s">
        <v>24</v>
      </c>
      <c r="G5" s="104" t="s">
        <v>460</v>
      </c>
      <c r="H5" s="106" t="s">
        <v>461</v>
      </c>
    </row>
    <row r="6" spans="1:8">
      <c r="A6" s="58">
        <v>1</v>
      </c>
      <c r="B6" s="59" t="s">
        <v>405</v>
      </c>
      <c r="C6" s="60" t="s">
        <v>462</v>
      </c>
      <c r="D6" s="61">
        <v>1</v>
      </c>
      <c r="E6" s="61"/>
      <c r="F6" s="61"/>
      <c r="G6" s="61"/>
      <c r="H6" s="62">
        <f>ROUND(PRODUCT(D6:G6),2)</f>
        <v>1</v>
      </c>
    </row>
    <row r="7" spans="1:8">
      <c r="A7" s="58"/>
      <c r="B7" s="59"/>
      <c r="C7" s="60"/>
      <c r="D7" s="61"/>
      <c r="E7" s="61"/>
      <c r="F7" s="61"/>
      <c r="G7" s="61"/>
      <c r="H7" s="60"/>
    </row>
    <row r="8" spans="1:8">
      <c r="A8" s="58">
        <v>3</v>
      </c>
      <c r="B8" s="59" t="s">
        <v>354</v>
      </c>
      <c r="C8" s="60"/>
      <c r="D8" s="61"/>
      <c r="E8" s="61"/>
      <c r="F8" s="61"/>
      <c r="G8" s="61"/>
      <c r="H8" s="60"/>
    </row>
    <row r="9" spans="1:8">
      <c r="A9" s="58"/>
      <c r="B9" s="59" t="s">
        <v>635</v>
      </c>
      <c r="C9" s="60" t="s">
        <v>463</v>
      </c>
      <c r="D9" s="61">
        <v>1</v>
      </c>
      <c r="E9" s="61">
        <v>3</v>
      </c>
      <c r="F9" s="61"/>
      <c r="G9" s="61">
        <v>2.6</v>
      </c>
      <c r="H9" s="62">
        <f>ROUND(PRODUCT(D9:G9),2)</f>
        <v>7.8</v>
      </c>
    </row>
    <row r="10" spans="1:8">
      <c r="A10" s="58"/>
      <c r="B10" s="60"/>
      <c r="C10" s="59"/>
      <c r="D10" s="59"/>
      <c r="E10" s="59"/>
      <c r="F10" s="107"/>
      <c r="G10" s="108" t="s">
        <v>464</v>
      </c>
      <c r="H10" s="60">
        <f>SUM(H9:H9)</f>
        <v>7.8</v>
      </c>
    </row>
    <row r="11" spans="1:8">
      <c r="A11" s="58"/>
      <c r="B11" s="60"/>
      <c r="C11" s="59" t="s">
        <v>89</v>
      </c>
      <c r="D11" s="59"/>
      <c r="E11" s="59"/>
      <c r="F11" s="107"/>
      <c r="G11" s="128"/>
      <c r="H11" s="77">
        <f>H10*10.764</f>
        <v>83.959199999999996</v>
      </c>
    </row>
    <row r="12" spans="1:8">
      <c r="A12" s="58"/>
      <c r="B12" s="59"/>
      <c r="C12" s="60"/>
      <c r="D12" s="61"/>
      <c r="E12" s="61"/>
      <c r="F12" s="61"/>
      <c r="G12" s="61"/>
      <c r="H12" s="60"/>
    </row>
    <row r="13" spans="1:8">
      <c r="A13" s="58">
        <v>4</v>
      </c>
      <c r="B13" s="59" t="s">
        <v>16</v>
      </c>
      <c r="C13" s="60" t="s">
        <v>463</v>
      </c>
      <c r="D13" s="61">
        <v>1</v>
      </c>
      <c r="E13" s="61">
        <v>3</v>
      </c>
      <c r="F13" s="61"/>
      <c r="G13" s="61">
        <v>2.6</v>
      </c>
      <c r="H13" s="62">
        <f>ROUND(PRODUCT(D13:G13),2)</f>
        <v>7.8</v>
      </c>
    </row>
    <row r="14" spans="1:8">
      <c r="A14" s="58"/>
      <c r="B14" s="60"/>
      <c r="C14" s="59"/>
      <c r="D14" s="59"/>
      <c r="E14" s="59"/>
      <c r="F14" s="107"/>
      <c r="G14" s="108" t="s">
        <v>464</v>
      </c>
      <c r="H14" s="60">
        <f>SUM(H13:H13)</f>
        <v>7.8</v>
      </c>
    </row>
    <row r="15" spans="1:8">
      <c r="A15" s="58"/>
      <c r="B15" s="60"/>
      <c r="C15" s="59" t="s">
        <v>89</v>
      </c>
      <c r="D15" s="59"/>
      <c r="E15" s="59"/>
      <c r="F15" s="107"/>
      <c r="G15" s="128"/>
      <c r="H15" s="77">
        <f>H14*10.764</f>
        <v>83.959199999999996</v>
      </c>
    </row>
    <row r="16" spans="1:8">
      <c r="A16" s="58"/>
      <c r="B16" s="60"/>
      <c r="C16" s="59"/>
      <c r="D16" s="59"/>
      <c r="E16" s="59"/>
      <c r="F16" s="107"/>
      <c r="G16" s="127"/>
      <c r="H16" s="60"/>
    </row>
    <row r="17" spans="1:8">
      <c r="A17" s="58">
        <v>6</v>
      </c>
      <c r="B17" s="71" t="s">
        <v>17</v>
      </c>
      <c r="C17" s="60" t="s">
        <v>463</v>
      </c>
      <c r="D17" s="61">
        <v>1</v>
      </c>
      <c r="E17" s="61">
        <v>5.92</v>
      </c>
      <c r="F17" s="61">
        <v>3.78</v>
      </c>
      <c r="G17" s="61"/>
      <c r="H17" s="62">
        <f>ROUND(PRODUCT(D17:G17),2)</f>
        <v>22.38</v>
      </c>
    </row>
    <row r="18" spans="1:8">
      <c r="A18" s="58"/>
      <c r="B18" s="59"/>
      <c r="C18" s="59"/>
      <c r="D18" s="59"/>
      <c r="E18" s="59"/>
      <c r="F18" s="107"/>
      <c r="G18" s="108" t="s">
        <v>464</v>
      </c>
      <c r="H18" s="60">
        <f>SUM(H17:H17)</f>
        <v>22.38</v>
      </c>
    </row>
    <row r="19" spans="1:8">
      <c r="A19" s="58"/>
      <c r="B19" s="60"/>
      <c r="C19" s="59" t="s">
        <v>89</v>
      </c>
      <c r="D19" s="59"/>
      <c r="E19" s="59"/>
      <c r="F19" s="107"/>
      <c r="G19" s="128"/>
      <c r="H19" s="77">
        <f>H18*10.764</f>
        <v>240.89831999999998</v>
      </c>
    </row>
    <row r="20" spans="1:8">
      <c r="A20" s="58"/>
      <c r="B20" s="60"/>
      <c r="C20" s="60"/>
      <c r="D20" s="61"/>
      <c r="E20" s="61"/>
      <c r="F20" s="61"/>
      <c r="G20" s="61"/>
      <c r="H20" s="60"/>
    </row>
    <row r="21" spans="1:8">
      <c r="A21" s="58">
        <v>9</v>
      </c>
      <c r="B21" s="71" t="s">
        <v>7</v>
      </c>
      <c r="C21" s="60" t="s">
        <v>465</v>
      </c>
      <c r="D21" s="61"/>
      <c r="E21" s="61">
        <f>5.12+5.9+3.95+3.95+0.8+0.9</f>
        <v>20.619999999999997</v>
      </c>
      <c r="F21" s="61"/>
      <c r="G21" s="61"/>
      <c r="H21" s="62">
        <f>ROUND(PRODUCT(D21:G21),2)</f>
        <v>20.62</v>
      </c>
    </row>
    <row r="22" spans="1:8">
      <c r="A22" s="58"/>
      <c r="B22" s="59"/>
      <c r="C22" s="59"/>
      <c r="D22" s="59"/>
      <c r="E22" s="59"/>
      <c r="F22" s="107"/>
      <c r="G22" s="108" t="s">
        <v>464</v>
      </c>
      <c r="H22" s="60">
        <f>SUM(H21:H21)</f>
        <v>20.62</v>
      </c>
    </row>
    <row r="23" spans="1:8">
      <c r="A23" s="58"/>
      <c r="B23" s="60"/>
      <c r="C23" s="59" t="s">
        <v>562</v>
      </c>
      <c r="D23" s="59"/>
      <c r="E23" s="59"/>
      <c r="F23" s="107"/>
      <c r="G23" s="128"/>
      <c r="H23" s="77">
        <f>H22*3.28</f>
        <v>67.633600000000001</v>
      </c>
    </row>
    <row r="24" spans="1:8">
      <c r="A24" s="58"/>
      <c r="B24" s="60"/>
      <c r="C24" s="60"/>
      <c r="D24" s="61"/>
      <c r="E24" s="61"/>
      <c r="F24" s="61"/>
      <c r="G24" s="61"/>
      <c r="H24" s="60"/>
    </row>
    <row r="25" spans="1:8">
      <c r="A25" s="58">
        <v>10</v>
      </c>
      <c r="B25" s="59" t="s">
        <v>407</v>
      </c>
      <c r="C25" s="60" t="s">
        <v>466</v>
      </c>
      <c r="D25" s="61">
        <v>1</v>
      </c>
      <c r="E25" s="61">
        <f>2.4+1.1+2.4+1.3+1.3+0.8+0.8</f>
        <v>10.100000000000001</v>
      </c>
      <c r="F25" s="61"/>
      <c r="G25" s="61"/>
      <c r="H25" s="62">
        <f>ROUND(PRODUCT(D25:G25),2)</f>
        <v>10.1</v>
      </c>
    </row>
    <row r="26" spans="1:8">
      <c r="A26" s="58"/>
      <c r="B26" s="60"/>
      <c r="C26" s="59"/>
      <c r="D26" s="59"/>
      <c r="E26" s="59"/>
      <c r="F26" s="107"/>
      <c r="G26" s="108" t="s">
        <v>464</v>
      </c>
      <c r="H26" s="60">
        <f>SUM(H25:H25)</f>
        <v>10.1</v>
      </c>
    </row>
    <row r="27" spans="1:8">
      <c r="A27" s="58"/>
      <c r="B27" s="60"/>
      <c r="C27" s="59" t="s">
        <v>562</v>
      </c>
      <c r="D27" s="59"/>
      <c r="E27" s="59"/>
      <c r="F27" s="107"/>
      <c r="G27" s="128"/>
      <c r="H27" s="77">
        <f>H26*3.28</f>
        <v>33.128</v>
      </c>
    </row>
    <row r="28" spans="1:8">
      <c r="A28" s="58"/>
      <c r="B28" s="60"/>
      <c r="C28" s="60"/>
      <c r="D28" s="61"/>
      <c r="E28" s="61"/>
      <c r="F28" s="61"/>
      <c r="G28" s="61"/>
      <c r="H28" s="60"/>
    </row>
    <row r="29" spans="1:8">
      <c r="A29" s="58">
        <v>12</v>
      </c>
      <c r="B29" s="59" t="s">
        <v>11</v>
      </c>
      <c r="C29" s="60" t="s">
        <v>28</v>
      </c>
      <c r="D29" s="61">
        <v>1</v>
      </c>
      <c r="E29" s="61"/>
      <c r="F29" s="61"/>
      <c r="G29" s="137"/>
      <c r="H29" s="83">
        <f>ROUND(PRODUCT(D29:G29),2)</f>
        <v>1</v>
      </c>
    </row>
    <row r="30" spans="1:8">
      <c r="A30" s="58"/>
      <c r="B30" s="59"/>
      <c r="C30" s="60"/>
      <c r="D30" s="61"/>
      <c r="E30" s="61"/>
      <c r="F30" s="61"/>
      <c r="G30" s="61"/>
      <c r="H30" s="60"/>
    </row>
    <row r="31" spans="1:8">
      <c r="A31" s="58"/>
      <c r="B31" s="60"/>
      <c r="C31" s="60"/>
      <c r="D31" s="61"/>
      <c r="E31" s="61"/>
      <c r="F31" s="61"/>
      <c r="G31" s="61"/>
      <c r="H31" s="60"/>
    </row>
    <row r="32" spans="1:8">
      <c r="A32" s="58">
        <v>13</v>
      </c>
      <c r="B32" s="71" t="s">
        <v>408</v>
      </c>
      <c r="C32" s="60" t="s">
        <v>466</v>
      </c>
      <c r="D32" s="61">
        <v>1</v>
      </c>
      <c r="E32" s="61">
        <f>1.1</f>
        <v>1.1000000000000001</v>
      </c>
      <c r="F32" s="61"/>
      <c r="G32" s="61"/>
      <c r="H32" s="62">
        <f>ROUND(PRODUCT(D32:G32),2)</f>
        <v>1.1000000000000001</v>
      </c>
    </row>
    <row r="33" spans="1:8">
      <c r="A33" s="58"/>
      <c r="B33" s="60"/>
      <c r="C33" s="59"/>
      <c r="D33" s="59"/>
      <c r="E33" s="59"/>
      <c r="F33" s="107"/>
      <c r="G33" s="108" t="s">
        <v>464</v>
      </c>
      <c r="H33" s="60">
        <f>SUM(H32:H32)</f>
        <v>1.1000000000000001</v>
      </c>
    </row>
    <row r="34" spans="1:8">
      <c r="A34" s="58"/>
      <c r="B34" s="60"/>
      <c r="C34" s="59" t="s">
        <v>562</v>
      </c>
      <c r="D34" s="59"/>
      <c r="E34" s="59"/>
      <c r="F34" s="107"/>
      <c r="G34" s="128"/>
      <c r="H34" s="77">
        <f>H33*3.28</f>
        <v>3.6080000000000001</v>
      </c>
    </row>
    <row r="35" spans="1:8">
      <c r="A35" s="58"/>
      <c r="B35" s="60"/>
      <c r="C35" s="59"/>
      <c r="D35" s="59"/>
      <c r="E35" s="59"/>
      <c r="F35" s="107"/>
      <c r="G35" s="127"/>
      <c r="H35" s="124"/>
    </row>
    <row r="36" spans="1:8">
      <c r="A36" s="58">
        <v>15</v>
      </c>
      <c r="B36" s="71" t="s">
        <v>696</v>
      </c>
      <c r="C36" s="77" t="s">
        <v>697</v>
      </c>
      <c r="D36" s="659"/>
      <c r="E36" s="137">
        <v>16.07</v>
      </c>
      <c r="F36" s="137"/>
      <c r="G36" s="137"/>
      <c r="H36" s="77">
        <f>E36</f>
        <v>16.07</v>
      </c>
    </row>
    <row r="37" spans="1:8">
      <c r="A37" s="58"/>
      <c r="B37" s="114"/>
      <c r="C37" s="124"/>
      <c r="D37" s="715"/>
      <c r="E37" s="123"/>
      <c r="F37" s="123"/>
      <c r="G37" s="123"/>
      <c r="H37" s="124"/>
    </row>
    <row r="38" spans="1:8">
      <c r="A38" s="58">
        <v>16</v>
      </c>
      <c r="B38" s="71" t="s">
        <v>698</v>
      </c>
      <c r="C38" s="77" t="s">
        <v>699</v>
      </c>
      <c r="D38" s="137"/>
      <c r="E38" s="137">
        <v>16.105</v>
      </c>
      <c r="F38" s="137"/>
      <c r="G38" s="137">
        <v>3.01</v>
      </c>
      <c r="H38" s="77">
        <f>E38*G38</f>
        <v>48.476050000000001</v>
      </c>
    </row>
    <row r="39" spans="1:8">
      <c r="A39" s="58"/>
      <c r="B39" s="59"/>
      <c r="C39" s="60"/>
      <c r="D39" s="61"/>
      <c r="E39" s="61"/>
      <c r="F39" s="61"/>
      <c r="G39" s="61"/>
      <c r="H39" s="60"/>
    </row>
    <row r="40" spans="1:8" ht="48">
      <c r="A40" s="58">
        <v>18</v>
      </c>
      <c r="B40" s="184" t="s">
        <v>419</v>
      </c>
      <c r="C40" s="77" t="s">
        <v>709</v>
      </c>
      <c r="D40" s="137">
        <v>1</v>
      </c>
      <c r="E40" s="137">
        <f>1.2*3.28</f>
        <v>3.9359999999999995</v>
      </c>
      <c r="F40" s="137">
        <f>(0.52*3.28)</f>
        <v>1.7056</v>
      </c>
      <c r="G40" s="137"/>
      <c r="H40" s="83">
        <f>F40*E40</f>
        <v>6.713241599999999</v>
      </c>
    </row>
    <row r="41" spans="1:8">
      <c r="A41" s="58"/>
      <c r="B41" s="59"/>
      <c r="C41" s="60"/>
      <c r="D41" s="61"/>
      <c r="E41" s="61"/>
      <c r="F41" s="61"/>
      <c r="G41" s="61"/>
      <c r="H41" s="60"/>
    </row>
    <row r="42" spans="1:8">
      <c r="A42" s="58">
        <v>19</v>
      </c>
      <c r="B42" s="71" t="s">
        <v>65</v>
      </c>
      <c r="C42" s="60" t="s">
        <v>463</v>
      </c>
      <c r="D42" s="61">
        <v>1</v>
      </c>
      <c r="E42" s="61">
        <v>5.9</v>
      </c>
      <c r="F42" s="61">
        <v>3.75</v>
      </c>
      <c r="G42" s="61"/>
      <c r="H42" s="62">
        <f t="shared" ref="H42:H43" si="0">ROUND(PRODUCT(D42:G42),2)</f>
        <v>22.13</v>
      </c>
    </row>
    <row r="43" spans="1:8">
      <c r="A43" s="58"/>
      <c r="B43" s="59"/>
      <c r="C43" s="60" t="s">
        <v>463</v>
      </c>
      <c r="D43" s="61">
        <v>1</v>
      </c>
      <c r="E43" s="61">
        <v>0.2</v>
      </c>
      <c r="F43" s="61">
        <v>1.1000000000000001</v>
      </c>
      <c r="G43" s="61"/>
      <c r="H43" s="62">
        <f t="shared" si="0"/>
        <v>0.22</v>
      </c>
    </row>
    <row r="44" spans="1:8">
      <c r="A44" s="58"/>
      <c r="B44" s="59"/>
      <c r="C44" s="59"/>
      <c r="D44" s="59"/>
      <c r="E44" s="59"/>
      <c r="F44" s="107"/>
      <c r="G44" s="108" t="s">
        <v>464</v>
      </c>
      <c r="H44" s="62">
        <f>SUM(H42:H43)</f>
        <v>22.349999999999998</v>
      </c>
    </row>
    <row r="45" spans="1:8">
      <c r="A45" s="58"/>
      <c r="B45" s="59"/>
      <c r="C45" s="59" t="s">
        <v>561</v>
      </c>
      <c r="D45" s="59"/>
      <c r="E45" s="59"/>
      <c r="F45" s="107"/>
      <c r="G45" s="128"/>
      <c r="H45" s="77">
        <f>H44*10.764</f>
        <v>240.57539999999997</v>
      </c>
    </row>
    <row r="46" spans="1:8">
      <c r="A46" s="58"/>
      <c r="B46" s="60"/>
      <c r="C46" s="60"/>
      <c r="D46" s="61"/>
      <c r="E46" s="61"/>
      <c r="F46" s="61"/>
      <c r="G46" s="61"/>
      <c r="H46" s="60"/>
    </row>
    <row r="47" spans="1:8">
      <c r="A47" s="58">
        <v>20</v>
      </c>
      <c r="B47" s="660" t="s">
        <v>468</v>
      </c>
      <c r="C47" s="60" t="s">
        <v>463</v>
      </c>
      <c r="D47" s="61">
        <v>2</v>
      </c>
      <c r="E47" s="61">
        <v>5.92</v>
      </c>
      <c r="F47" s="61"/>
      <c r="G47" s="61">
        <v>2.4</v>
      </c>
      <c r="H47" s="62">
        <f t="shared" ref="H47:H54" si="1">ROUND(PRODUCT(D47:G47),2)</f>
        <v>28.42</v>
      </c>
    </row>
    <row r="48" spans="1:8">
      <c r="A48" s="58"/>
      <c r="B48" s="60"/>
      <c r="C48" s="60" t="s">
        <v>463</v>
      </c>
      <c r="D48" s="61">
        <v>1</v>
      </c>
      <c r="E48" s="61">
        <v>3.75</v>
      </c>
      <c r="F48" s="61"/>
      <c r="G48" s="61">
        <v>2.4</v>
      </c>
      <c r="H48" s="62">
        <f t="shared" si="1"/>
        <v>9</v>
      </c>
    </row>
    <row r="49" spans="1:8">
      <c r="A49" s="58"/>
      <c r="B49" s="60"/>
      <c r="C49" s="60" t="s">
        <v>463</v>
      </c>
      <c r="D49" s="61">
        <v>1</v>
      </c>
      <c r="E49" s="61">
        <v>1.62</v>
      </c>
      <c r="F49" s="61"/>
      <c r="G49" s="61">
        <v>1.35</v>
      </c>
      <c r="H49" s="62">
        <f t="shared" si="1"/>
        <v>2.19</v>
      </c>
    </row>
    <row r="50" spans="1:8">
      <c r="A50" s="58"/>
      <c r="B50" s="60"/>
      <c r="C50" s="60" t="s">
        <v>463</v>
      </c>
      <c r="D50" s="61">
        <v>1</v>
      </c>
      <c r="E50" s="61">
        <v>0.1</v>
      </c>
      <c r="F50" s="61"/>
      <c r="G50" s="61">
        <v>2.1</v>
      </c>
      <c r="H50" s="62">
        <f t="shared" si="1"/>
        <v>0.21</v>
      </c>
    </row>
    <row r="51" spans="1:8">
      <c r="A51" s="58"/>
      <c r="B51" s="60"/>
      <c r="C51" s="60" t="s">
        <v>463</v>
      </c>
      <c r="D51" s="61">
        <v>1</v>
      </c>
      <c r="E51" s="61">
        <v>3.1</v>
      </c>
      <c r="F51" s="61"/>
      <c r="G51" s="61">
        <v>0.15</v>
      </c>
      <c r="H51" s="62">
        <f t="shared" si="1"/>
        <v>0.47</v>
      </c>
    </row>
    <row r="52" spans="1:8">
      <c r="A52" s="58"/>
      <c r="B52" s="60" t="s">
        <v>636</v>
      </c>
      <c r="C52" s="60" t="s">
        <v>463</v>
      </c>
      <c r="D52" s="61">
        <v>1</v>
      </c>
      <c r="E52" s="61">
        <v>0.9</v>
      </c>
      <c r="F52" s="61"/>
      <c r="G52" s="61">
        <v>0.9</v>
      </c>
      <c r="H52" s="62">
        <f t="shared" si="1"/>
        <v>0.81</v>
      </c>
    </row>
    <row r="53" spans="1:8">
      <c r="A53" s="58"/>
      <c r="B53" s="59" t="s">
        <v>637</v>
      </c>
      <c r="C53" s="60" t="s">
        <v>463</v>
      </c>
      <c r="D53" s="61">
        <v>-1</v>
      </c>
      <c r="E53" s="61">
        <v>4.8</v>
      </c>
      <c r="F53" s="61"/>
      <c r="G53" s="61">
        <v>1.46</v>
      </c>
      <c r="H53" s="62">
        <f t="shared" si="1"/>
        <v>-7.01</v>
      </c>
    </row>
    <row r="54" spans="1:8">
      <c r="A54" s="58"/>
      <c r="B54" s="59" t="s">
        <v>638</v>
      </c>
      <c r="C54" s="60" t="s">
        <v>463</v>
      </c>
      <c r="D54" s="61">
        <v>-1</v>
      </c>
      <c r="E54" s="61">
        <v>0.9</v>
      </c>
      <c r="F54" s="61"/>
      <c r="G54" s="61">
        <v>2</v>
      </c>
      <c r="H54" s="62">
        <f t="shared" si="1"/>
        <v>-1.8</v>
      </c>
    </row>
    <row r="55" spans="1:8">
      <c r="A55" s="58"/>
      <c r="B55" s="59"/>
      <c r="C55" s="60" t="s">
        <v>463</v>
      </c>
      <c r="D55" s="59"/>
      <c r="E55" s="59"/>
      <c r="F55" s="107"/>
      <c r="G55" s="108" t="s">
        <v>464</v>
      </c>
      <c r="H55" s="62">
        <f>SUM(H47:H54)</f>
        <v>32.290000000000006</v>
      </c>
    </row>
    <row r="56" spans="1:8">
      <c r="A56" s="58"/>
      <c r="B56" s="60"/>
      <c r="C56" s="59" t="s">
        <v>561</v>
      </c>
      <c r="D56" s="59"/>
      <c r="E56" s="59"/>
      <c r="F56" s="107"/>
      <c r="G56" s="128"/>
      <c r="H56" s="77">
        <f>H55*10.764</f>
        <v>347.56956000000002</v>
      </c>
    </row>
    <row r="57" spans="1:8">
      <c r="A57" s="58"/>
      <c r="B57" s="60"/>
      <c r="C57" s="60"/>
      <c r="D57" s="61"/>
      <c r="E57" s="61"/>
      <c r="F57" s="61"/>
      <c r="G57" s="61"/>
      <c r="H57" s="60"/>
    </row>
    <row r="58" spans="1:8">
      <c r="A58" s="58"/>
      <c r="B58" s="60"/>
      <c r="C58" s="60"/>
      <c r="D58" s="61"/>
      <c r="E58" s="61"/>
      <c r="F58" s="61"/>
      <c r="G58" s="61"/>
      <c r="H58" s="60"/>
    </row>
    <row r="59" spans="1:8">
      <c r="A59" s="58"/>
      <c r="B59" s="60"/>
      <c r="C59" s="60"/>
      <c r="D59" s="61"/>
      <c r="E59" s="61"/>
      <c r="F59" s="61"/>
      <c r="G59" s="61"/>
      <c r="H59" s="60"/>
    </row>
    <row r="60" spans="1:8">
      <c r="A60" s="58">
        <v>21</v>
      </c>
      <c r="B60" s="660" t="s">
        <v>467</v>
      </c>
      <c r="C60" s="60"/>
      <c r="D60" s="61"/>
      <c r="E60" s="61"/>
      <c r="F60" s="61"/>
      <c r="G60" s="61"/>
      <c r="H60" s="60"/>
    </row>
    <row r="61" spans="1:8">
      <c r="A61" s="58"/>
      <c r="B61" s="124" t="s">
        <v>639</v>
      </c>
      <c r="C61" s="60" t="s">
        <v>463</v>
      </c>
      <c r="D61" s="61">
        <v>1</v>
      </c>
      <c r="E61" s="61">
        <v>4.22</v>
      </c>
      <c r="F61" s="61"/>
      <c r="G61" s="61">
        <v>2.5</v>
      </c>
      <c r="H61" s="62">
        <f t="shared" ref="H61:H63" si="2">ROUND(PRODUCT(D61:G61),2)</f>
        <v>10.55</v>
      </c>
    </row>
    <row r="62" spans="1:8">
      <c r="A62" s="58"/>
      <c r="B62" s="60"/>
      <c r="C62" s="60"/>
      <c r="D62" s="61">
        <v>1</v>
      </c>
      <c r="E62" s="61">
        <v>0.3</v>
      </c>
      <c r="F62" s="61"/>
      <c r="G62" s="61">
        <v>1.85</v>
      </c>
      <c r="H62" s="62">
        <f t="shared" si="2"/>
        <v>0.56000000000000005</v>
      </c>
    </row>
    <row r="63" spans="1:8">
      <c r="A63" s="58"/>
      <c r="B63" s="60" t="s">
        <v>636</v>
      </c>
      <c r="C63" s="60" t="s">
        <v>463</v>
      </c>
      <c r="D63" s="61">
        <v>1</v>
      </c>
      <c r="E63" s="61">
        <v>0.6</v>
      </c>
      <c r="F63" s="61"/>
      <c r="G63" s="61">
        <v>1.2</v>
      </c>
      <c r="H63" s="62">
        <f t="shared" si="2"/>
        <v>0.72</v>
      </c>
    </row>
    <row r="64" spans="1:8">
      <c r="A64" s="58"/>
      <c r="B64" s="60"/>
      <c r="C64" s="60" t="s">
        <v>463</v>
      </c>
      <c r="D64" s="59"/>
      <c r="E64" s="59"/>
      <c r="F64" s="107"/>
      <c r="G64" s="108" t="s">
        <v>464</v>
      </c>
      <c r="H64" s="62">
        <f>SUM(H61:H63)</f>
        <v>11.830000000000002</v>
      </c>
    </row>
    <row r="65" spans="1:8">
      <c r="A65" s="58"/>
      <c r="B65" s="60"/>
      <c r="C65" s="59" t="s">
        <v>561</v>
      </c>
      <c r="D65" s="59"/>
      <c r="E65" s="59"/>
      <c r="F65" s="107"/>
      <c r="G65" s="128"/>
      <c r="H65" s="77">
        <f>H64*10.764</f>
        <v>127.33812000000002</v>
      </c>
    </row>
    <row r="66" spans="1:8">
      <c r="A66" s="58"/>
      <c r="B66" s="60"/>
      <c r="C66" s="60"/>
      <c r="D66" s="61"/>
      <c r="E66" s="61"/>
      <c r="F66" s="61"/>
      <c r="G66" s="61"/>
      <c r="H66" s="60"/>
    </row>
    <row r="67" spans="1:8">
      <c r="A67" s="58">
        <v>22.1</v>
      </c>
      <c r="B67" s="71" t="s">
        <v>374</v>
      </c>
      <c r="C67" s="60" t="s">
        <v>463</v>
      </c>
      <c r="D67" s="61">
        <v>1</v>
      </c>
      <c r="E67" s="61">
        <v>5.9</v>
      </c>
      <c r="F67" s="61">
        <v>3.75</v>
      </c>
      <c r="G67" s="61"/>
      <c r="H67" s="62">
        <f>ROUND(PRODUCT(D67:G67),2)</f>
        <v>22.13</v>
      </c>
    </row>
    <row r="68" spans="1:8">
      <c r="A68" s="58"/>
      <c r="B68" s="60"/>
      <c r="C68" s="60" t="s">
        <v>463</v>
      </c>
      <c r="D68" s="59"/>
      <c r="E68" s="59"/>
      <c r="F68" s="107"/>
      <c r="G68" s="108" t="s">
        <v>464</v>
      </c>
      <c r="H68" s="62">
        <f>SUM(H66:H67)</f>
        <v>22.13</v>
      </c>
    </row>
    <row r="69" spans="1:8">
      <c r="A69" s="58"/>
      <c r="B69" s="60"/>
      <c r="C69" s="59" t="s">
        <v>561</v>
      </c>
      <c r="D69" s="59"/>
      <c r="E69" s="59"/>
      <c r="F69" s="107"/>
      <c r="G69" s="128"/>
      <c r="H69" s="77">
        <f>H68*10.764</f>
        <v>238.20731999999998</v>
      </c>
    </row>
    <row r="70" spans="1:8">
      <c r="A70" s="58"/>
      <c r="B70" s="60"/>
      <c r="C70" s="60"/>
      <c r="D70" s="61"/>
      <c r="E70" s="61"/>
      <c r="F70" s="61"/>
      <c r="G70" s="61"/>
      <c r="H70" s="60"/>
    </row>
    <row r="71" spans="1:8">
      <c r="A71" s="58">
        <v>23</v>
      </c>
      <c r="B71" s="59" t="s">
        <v>71</v>
      </c>
      <c r="C71" s="60" t="s">
        <v>28</v>
      </c>
      <c r="D71" s="61">
        <v>1</v>
      </c>
      <c r="E71" s="61"/>
      <c r="F71" s="61"/>
      <c r="G71" s="61"/>
      <c r="H71" s="62">
        <f>ROUND(PRODUCT(D71:G71),2)</f>
        <v>1</v>
      </c>
    </row>
    <row r="72" spans="1:8">
      <c r="A72" s="58"/>
      <c r="B72" s="60"/>
      <c r="C72" s="60"/>
      <c r="D72" s="61"/>
      <c r="E72" s="61"/>
      <c r="F72" s="61"/>
      <c r="G72" s="61"/>
      <c r="H72" s="60"/>
    </row>
    <row r="73" spans="1:8">
      <c r="A73" s="58">
        <v>26</v>
      </c>
      <c r="B73" s="59" t="s">
        <v>470</v>
      </c>
      <c r="C73" s="60" t="s">
        <v>463</v>
      </c>
      <c r="D73" s="61">
        <v>10</v>
      </c>
      <c r="E73" s="61">
        <v>0.3</v>
      </c>
      <c r="F73" s="61">
        <v>0.3</v>
      </c>
      <c r="G73" s="61"/>
      <c r="H73" s="62">
        <f>ROUND(PRODUCT(D73:G73),2)</f>
        <v>0.9</v>
      </c>
    </row>
    <row r="74" spans="1:8">
      <c r="A74" s="58"/>
      <c r="B74" s="60"/>
      <c r="C74" s="60" t="s">
        <v>463</v>
      </c>
      <c r="D74" s="61">
        <v>5</v>
      </c>
      <c r="E74" s="61">
        <v>0.45</v>
      </c>
      <c r="F74" s="61">
        <v>0.4</v>
      </c>
      <c r="G74" s="61"/>
      <c r="H74" s="62">
        <f>ROUND(PRODUCT(D74:G74),2)</f>
        <v>0.9</v>
      </c>
    </row>
    <row r="75" spans="1:8">
      <c r="A75" s="58"/>
      <c r="B75" s="60"/>
      <c r="C75" s="60" t="s">
        <v>463</v>
      </c>
      <c r="D75" s="59"/>
      <c r="E75" s="59"/>
      <c r="F75" s="107"/>
      <c r="G75" s="108" t="s">
        <v>464</v>
      </c>
      <c r="H75" s="62">
        <f>SUM(H72:H74)</f>
        <v>1.8</v>
      </c>
    </row>
    <row r="76" spans="1:8">
      <c r="A76" s="58"/>
      <c r="B76" s="60"/>
      <c r="C76" s="59" t="s">
        <v>561</v>
      </c>
      <c r="D76" s="59"/>
      <c r="E76" s="59"/>
      <c r="F76" s="107"/>
      <c r="G76" s="128"/>
      <c r="H76" s="77">
        <f>H75*10.764</f>
        <v>19.3752</v>
      </c>
    </row>
    <row r="77" spans="1:8">
      <c r="A77" s="58"/>
      <c r="B77" s="60"/>
      <c r="C77" s="60"/>
      <c r="D77" s="61"/>
      <c r="E77" s="61"/>
      <c r="F77" s="61"/>
      <c r="G77" s="61"/>
      <c r="H77" s="60"/>
    </row>
    <row r="78" spans="1:8">
      <c r="A78" s="58">
        <v>27</v>
      </c>
      <c r="B78" s="59" t="s">
        <v>188</v>
      </c>
      <c r="C78" s="60" t="s">
        <v>28</v>
      </c>
      <c r="D78" s="61">
        <v>1</v>
      </c>
      <c r="E78" s="61"/>
      <c r="F78" s="61"/>
      <c r="G78" s="61"/>
      <c r="H78" s="62">
        <f>ROUND(PRODUCT(D78:G78),2)</f>
        <v>1</v>
      </c>
    </row>
    <row r="79" spans="1:8">
      <c r="A79" s="58"/>
      <c r="B79" s="59"/>
      <c r="C79" s="60"/>
      <c r="D79" s="61"/>
      <c r="E79" s="61"/>
      <c r="F79" s="61"/>
      <c r="G79" s="61"/>
      <c r="H79" s="62"/>
    </row>
    <row r="80" spans="1:8">
      <c r="A80" s="705"/>
      <c r="B80" s="706" t="s">
        <v>702</v>
      </c>
      <c r="C80" s="707"/>
      <c r="D80" s="708"/>
      <c r="E80" s="708"/>
      <c r="F80" s="708"/>
      <c r="G80" s="708"/>
      <c r="H80" s="462"/>
    </row>
    <row r="81" spans="1:8">
      <c r="A81" s="708">
        <v>1</v>
      </c>
      <c r="B81" s="707" t="s">
        <v>703</v>
      </c>
      <c r="C81" s="707" t="s">
        <v>626</v>
      </c>
      <c r="D81" s="708"/>
      <c r="E81" s="708"/>
      <c r="F81" s="708"/>
      <c r="G81" s="708"/>
      <c r="H81" s="462"/>
    </row>
    <row r="82" spans="1:8">
      <c r="A82" s="708"/>
      <c r="B82" s="707" t="s">
        <v>722</v>
      </c>
      <c r="C82" s="77" t="s">
        <v>705</v>
      </c>
      <c r="D82" s="137"/>
      <c r="E82" s="137"/>
      <c r="F82" s="77">
        <f>(4.91*2+0.91*2+1.4+0.4)*3.28</f>
        <v>44.083200000000005</v>
      </c>
      <c r="G82" s="137"/>
      <c r="H82" s="83">
        <f>F82</f>
        <v>44.083200000000005</v>
      </c>
    </row>
    <row r="83" spans="1:8">
      <c r="A83" s="708"/>
      <c r="B83" s="707"/>
      <c r="C83" s="707"/>
      <c r="D83" s="708"/>
      <c r="E83" s="708"/>
      <c r="F83" s="708"/>
      <c r="G83" s="708"/>
      <c r="H83" s="462"/>
    </row>
    <row r="84" spans="1:8" ht="30">
      <c r="A84" s="709">
        <v>2</v>
      </c>
      <c r="B84" s="710" t="s">
        <v>706</v>
      </c>
      <c r="C84" s="77" t="s">
        <v>626</v>
      </c>
      <c r="D84" s="137"/>
      <c r="E84" s="137">
        <v>6.56</v>
      </c>
      <c r="F84" s="137">
        <v>4.92</v>
      </c>
      <c r="G84" s="137"/>
      <c r="H84" s="83">
        <f>F84*E84</f>
        <v>32.275199999999998</v>
      </c>
    </row>
    <row r="85" spans="1:8">
      <c r="A85" s="708"/>
      <c r="B85" s="707"/>
      <c r="C85" s="707"/>
      <c r="D85" s="708"/>
      <c r="E85" s="708"/>
      <c r="F85" s="708"/>
      <c r="G85" s="708"/>
      <c r="H85" s="462"/>
    </row>
    <row r="86" spans="1:8" ht="30">
      <c r="A86" s="708">
        <v>3</v>
      </c>
      <c r="B86" s="710" t="s">
        <v>708</v>
      </c>
      <c r="C86" s="77" t="s">
        <v>709</v>
      </c>
      <c r="D86" s="137">
        <v>1</v>
      </c>
      <c r="E86" s="137">
        <v>1</v>
      </c>
      <c r="F86" s="137">
        <v>17.056000000000001</v>
      </c>
      <c r="G86" s="137"/>
      <c r="H86" s="83">
        <f>F86*E86</f>
        <v>17.056000000000001</v>
      </c>
    </row>
    <row r="87" spans="1:8">
      <c r="A87" s="708"/>
      <c r="B87" s="707"/>
      <c r="C87" s="707"/>
      <c r="D87" s="708"/>
      <c r="E87" s="708"/>
      <c r="F87" s="708"/>
      <c r="G87" s="708"/>
      <c r="H87" s="462"/>
    </row>
    <row r="88" spans="1:8" ht="30">
      <c r="A88" s="709">
        <v>4</v>
      </c>
      <c r="B88" s="710" t="s">
        <v>723</v>
      </c>
      <c r="C88" s="77" t="s">
        <v>561</v>
      </c>
      <c r="D88" s="137"/>
      <c r="E88" s="137">
        <f>0.8*3.28</f>
        <v>2.6240000000000001</v>
      </c>
      <c r="F88" s="137">
        <f>1.35*3.28</f>
        <v>4.4279999999999999</v>
      </c>
      <c r="G88" s="137"/>
      <c r="H88" s="83">
        <f>F88*E88</f>
        <v>11.619072000000001</v>
      </c>
    </row>
    <row r="89" spans="1:8">
      <c r="A89" s="708"/>
      <c r="B89" s="707"/>
      <c r="C89" s="707"/>
      <c r="D89" s="708"/>
      <c r="E89" s="708"/>
      <c r="F89" s="708"/>
      <c r="G89" s="708"/>
      <c r="H89" s="462"/>
    </row>
    <row r="90" spans="1:8">
      <c r="A90" s="708">
        <v>5</v>
      </c>
      <c r="B90" s="707" t="s">
        <v>720</v>
      </c>
      <c r="C90" s="77" t="s">
        <v>28</v>
      </c>
      <c r="D90" s="137">
        <f>3*2</f>
        <v>6</v>
      </c>
      <c r="E90" s="137"/>
      <c r="F90" s="137"/>
      <c r="G90" s="137"/>
      <c r="H90" s="83">
        <f>D90</f>
        <v>6</v>
      </c>
    </row>
    <row r="91" spans="1:8">
      <c r="A91" s="708"/>
      <c r="B91" s="707"/>
      <c r="C91" s="707"/>
      <c r="D91" s="708"/>
      <c r="E91" s="708"/>
      <c r="F91" s="708"/>
      <c r="G91" s="708"/>
      <c r="H91" s="462"/>
    </row>
    <row r="92" spans="1:8" ht="30">
      <c r="A92" s="708">
        <v>6</v>
      </c>
      <c r="B92" s="710" t="s">
        <v>721</v>
      </c>
      <c r="C92" s="77" t="s">
        <v>626</v>
      </c>
      <c r="D92" s="137"/>
      <c r="E92" s="137">
        <v>3.28</v>
      </c>
      <c r="F92" s="137">
        <f>0.6*3.28</f>
        <v>1.9679999999999997</v>
      </c>
      <c r="G92" s="137"/>
      <c r="H92" s="83">
        <f>F92*E92</f>
        <v>6.4550399999999986</v>
      </c>
    </row>
    <row r="93" spans="1:8">
      <c r="A93" s="708"/>
      <c r="B93" s="707"/>
      <c r="C93" s="707"/>
      <c r="D93" s="708"/>
      <c r="E93" s="708"/>
      <c r="F93" s="708"/>
      <c r="G93" s="708"/>
      <c r="H93" s="462"/>
    </row>
    <row r="94" spans="1:8">
      <c r="A94" s="708">
        <v>7</v>
      </c>
      <c r="B94" s="707" t="s">
        <v>713</v>
      </c>
      <c r="C94" s="77" t="s">
        <v>28</v>
      </c>
      <c r="D94" s="137">
        <v>3</v>
      </c>
      <c r="E94" s="137"/>
      <c r="F94" s="137"/>
      <c r="G94" s="137"/>
      <c r="H94" s="83">
        <f>D94</f>
        <v>3</v>
      </c>
    </row>
    <row r="95" spans="1:8">
      <c r="A95" s="708"/>
      <c r="B95" s="707"/>
      <c r="C95" s="707"/>
      <c r="D95" s="708"/>
      <c r="E95" s="708"/>
      <c r="F95" s="708"/>
      <c r="G95" s="708"/>
      <c r="H95" s="462"/>
    </row>
    <row r="96" spans="1:8">
      <c r="A96" s="708">
        <v>8</v>
      </c>
      <c r="B96" s="707" t="s">
        <v>714</v>
      </c>
      <c r="C96" s="77" t="s">
        <v>28</v>
      </c>
      <c r="D96" s="137">
        <v>1</v>
      </c>
      <c r="E96" s="137"/>
      <c r="F96" s="137"/>
      <c r="G96" s="137"/>
      <c r="H96" s="83">
        <f>D96</f>
        <v>1</v>
      </c>
    </row>
    <row r="97" spans="1:8">
      <c r="A97" s="708"/>
      <c r="B97" s="707"/>
      <c r="C97" s="707"/>
      <c r="D97" s="708"/>
      <c r="E97" s="708"/>
      <c r="F97" s="708"/>
      <c r="G97" s="708"/>
      <c r="H97" s="462"/>
    </row>
    <row r="98" spans="1:8">
      <c r="A98" s="708">
        <v>9</v>
      </c>
      <c r="B98" s="707" t="s">
        <v>715</v>
      </c>
      <c r="C98" s="707"/>
      <c r="D98" s="708"/>
      <c r="E98" s="708"/>
      <c r="F98" s="708"/>
      <c r="G98" s="708"/>
      <c r="H98" s="462"/>
    </row>
    <row r="99" spans="1:8">
      <c r="A99" s="708"/>
      <c r="B99" s="707" t="s">
        <v>716</v>
      </c>
      <c r="C99" s="707"/>
      <c r="D99" s="708">
        <v>1</v>
      </c>
      <c r="E99" s="708">
        <v>5.9</v>
      </c>
      <c r="F99" s="708">
        <v>3.75</v>
      </c>
      <c r="G99" s="708"/>
      <c r="H99" s="462">
        <f t="shared" ref="H99:H100" si="3">ROUND(PRODUCT(D99:G99),2)</f>
        <v>22.13</v>
      </c>
    </row>
    <row r="100" spans="1:8">
      <c r="A100" s="708"/>
      <c r="B100" s="707"/>
      <c r="C100" s="707"/>
      <c r="D100" s="708">
        <v>1</v>
      </c>
      <c r="E100" s="708">
        <v>0.2</v>
      </c>
      <c r="F100" s="708">
        <v>1.1000000000000001</v>
      </c>
      <c r="G100" s="708"/>
      <c r="H100" s="462">
        <f t="shared" si="3"/>
        <v>0.22</v>
      </c>
    </row>
    <row r="101" spans="1:8">
      <c r="A101" s="708"/>
      <c r="B101" s="707" t="s">
        <v>717</v>
      </c>
      <c r="C101" s="707"/>
      <c r="D101" s="708">
        <v>1</v>
      </c>
      <c r="E101" s="708">
        <v>16.07</v>
      </c>
      <c r="F101" s="708">
        <v>0.38</v>
      </c>
      <c r="G101" s="708"/>
      <c r="H101" s="462">
        <f>F101*E101</f>
        <v>6.1066000000000003</v>
      </c>
    </row>
    <row r="102" spans="1:8">
      <c r="A102" s="708"/>
      <c r="B102" s="707"/>
      <c r="C102" s="71" t="s">
        <v>626</v>
      </c>
      <c r="D102" s="658"/>
      <c r="E102" s="658"/>
      <c r="F102" s="658"/>
      <c r="G102" s="658"/>
      <c r="H102" s="463">
        <f>SUM(H99:H101)</f>
        <v>28.456599999999998</v>
      </c>
    </row>
    <row r="103" spans="1:8">
      <c r="A103" s="708"/>
      <c r="B103" s="707"/>
      <c r="C103" s="712"/>
      <c r="D103" s="713"/>
      <c r="E103" s="713"/>
      <c r="F103" s="713"/>
      <c r="G103" s="713"/>
      <c r="H103" s="714"/>
    </row>
    <row r="104" spans="1:8" ht="30">
      <c r="A104" s="708">
        <v>10</v>
      </c>
      <c r="B104" s="710" t="s">
        <v>718</v>
      </c>
      <c r="C104" s="77" t="s">
        <v>28</v>
      </c>
      <c r="D104" s="137">
        <v>3</v>
      </c>
      <c r="E104" s="137"/>
      <c r="F104" s="137"/>
      <c r="G104" s="137"/>
      <c r="H104" s="83">
        <f>D104</f>
        <v>3</v>
      </c>
    </row>
    <row r="105" spans="1:8">
      <c r="A105" s="708"/>
      <c r="B105" s="707"/>
      <c r="C105" s="706"/>
      <c r="D105" s="705"/>
      <c r="E105" s="705"/>
      <c r="F105" s="705"/>
      <c r="G105" s="705"/>
      <c r="H105" s="711"/>
    </row>
    <row r="106" spans="1:8">
      <c r="A106" s="708">
        <v>11</v>
      </c>
      <c r="B106" s="707" t="s">
        <v>719</v>
      </c>
      <c r="C106" s="77" t="s">
        <v>28</v>
      </c>
      <c r="D106" s="137">
        <f>3+1</f>
        <v>4</v>
      </c>
      <c r="E106" s="137"/>
      <c r="F106" s="137"/>
      <c r="G106" s="137"/>
      <c r="H106" s="83">
        <f>D106</f>
        <v>4</v>
      </c>
    </row>
    <row r="107" spans="1:8">
      <c r="A107" s="708"/>
      <c r="B107" s="707"/>
      <c r="C107" s="707"/>
      <c r="D107" s="708"/>
      <c r="E107" s="708"/>
      <c r="F107" s="708"/>
      <c r="G107" s="708"/>
      <c r="H107" s="462"/>
    </row>
    <row r="108" spans="1:8">
      <c r="A108" s="708">
        <v>12</v>
      </c>
      <c r="B108" s="721" t="s">
        <v>786</v>
      </c>
      <c r="C108" s="77" t="s">
        <v>626</v>
      </c>
      <c r="D108" s="137"/>
      <c r="E108" s="137">
        <v>16.071999999999999</v>
      </c>
      <c r="F108" s="137">
        <v>2.0992000000000002</v>
      </c>
      <c r="G108" s="137"/>
      <c r="H108" s="83">
        <f>F108*E108</f>
        <v>33.738342400000001</v>
      </c>
    </row>
    <row r="109" spans="1:8">
      <c r="A109" s="705"/>
      <c r="B109" s="706"/>
      <c r="C109" s="707"/>
      <c r="D109" s="708"/>
      <c r="E109" s="708"/>
      <c r="F109" s="708"/>
      <c r="G109" s="708"/>
      <c r="H109" s="462"/>
    </row>
    <row r="110" spans="1:8">
      <c r="A110" s="708">
        <v>13</v>
      </c>
      <c r="B110" s="707" t="s">
        <v>793</v>
      </c>
      <c r="C110" s="77" t="s">
        <v>28</v>
      </c>
      <c r="D110" s="137">
        <v>1</v>
      </c>
      <c r="E110" s="137"/>
      <c r="F110" s="137"/>
      <c r="G110" s="137"/>
      <c r="H110" s="83">
        <f>D110</f>
        <v>1</v>
      </c>
    </row>
    <row r="111" spans="1:8">
      <c r="A111" s="58"/>
      <c r="B111" s="60"/>
      <c r="C111" s="60"/>
      <c r="D111" s="61"/>
      <c r="E111" s="61"/>
      <c r="F111" s="61"/>
      <c r="G111" s="61"/>
      <c r="H111" s="61"/>
    </row>
    <row r="112" spans="1:8">
      <c r="A112" s="58" t="s">
        <v>27</v>
      </c>
      <c r="B112" s="59" t="s">
        <v>473</v>
      </c>
      <c r="C112" s="60"/>
      <c r="D112" s="61"/>
      <c r="E112" s="61"/>
      <c r="F112" s="61"/>
      <c r="G112" s="61"/>
      <c r="H112" s="61"/>
    </row>
    <row r="113" spans="1:8">
      <c r="A113" s="58">
        <v>1.2</v>
      </c>
      <c r="B113" s="67" t="s">
        <v>474</v>
      </c>
      <c r="C113" s="60" t="s">
        <v>466</v>
      </c>
      <c r="D113" s="61"/>
      <c r="E113" s="61">
        <f>0.4+0.5+0.2+0.3+2.6+2.6+2.5+0.8+2.6+2.2+0.8+0.8+0.45+0.45+4+4+4.2+4.2+1.45+1.45+1.2+1.2+0.2+0.2</f>
        <v>39.300000000000018</v>
      </c>
      <c r="F113" s="61"/>
      <c r="G113" s="61"/>
      <c r="H113" s="83">
        <f>ROUND(PRODUCT(D113:G113),2)</f>
        <v>39.299999999999997</v>
      </c>
    </row>
    <row r="114" spans="1:8">
      <c r="A114" s="58"/>
      <c r="B114" s="60"/>
      <c r="C114" s="60" t="s">
        <v>466</v>
      </c>
      <c r="D114" s="61"/>
      <c r="E114" s="61"/>
      <c r="F114" s="61"/>
      <c r="G114" s="61"/>
      <c r="H114" s="61"/>
    </row>
    <row r="115" spans="1:8">
      <c r="A115" s="58">
        <v>6</v>
      </c>
      <c r="B115" s="60"/>
      <c r="C115" s="60" t="s">
        <v>28</v>
      </c>
      <c r="D115" s="61"/>
      <c r="E115" s="61"/>
      <c r="F115" s="61"/>
      <c r="G115" s="61"/>
      <c r="H115" s="61"/>
    </row>
    <row r="116" spans="1:8">
      <c r="A116" s="58">
        <v>6.2</v>
      </c>
      <c r="B116" s="389" t="s">
        <v>476</v>
      </c>
      <c r="C116" s="60" t="s">
        <v>28</v>
      </c>
      <c r="D116" s="61">
        <v>1</v>
      </c>
      <c r="E116" s="61"/>
      <c r="F116" s="61"/>
      <c r="G116" s="61"/>
      <c r="H116" s="83">
        <f t="shared" ref="H116:H117" si="4">ROUND(PRODUCT(D116:G116),2)</f>
        <v>1</v>
      </c>
    </row>
    <row r="117" spans="1:8">
      <c r="A117" s="58">
        <v>8</v>
      </c>
      <c r="B117" s="59" t="s">
        <v>477</v>
      </c>
      <c r="C117" s="60" t="s">
        <v>28</v>
      </c>
      <c r="D117" s="61">
        <v>1</v>
      </c>
      <c r="E117" s="61"/>
      <c r="F117" s="61"/>
      <c r="G117" s="61"/>
      <c r="H117" s="83">
        <f t="shared" si="4"/>
        <v>1</v>
      </c>
    </row>
    <row r="118" spans="1:8">
      <c r="A118" s="58"/>
      <c r="B118" s="60"/>
      <c r="C118" s="60"/>
      <c r="D118" s="61"/>
      <c r="E118" s="61"/>
      <c r="F118" s="61"/>
      <c r="G118" s="61"/>
      <c r="H118" s="61"/>
    </row>
    <row r="119" spans="1:8">
      <c r="A119" s="58" t="s">
        <v>24</v>
      </c>
      <c r="B119" s="59" t="s">
        <v>115</v>
      </c>
      <c r="C119" s="60"/>
      <c r="D119" s="61"/>
      <c r="E119" s="61"/>
      <c r="F119" s="61"/>
      <c r="G119" s="61"/>
      <c r="H119" s="61"/>
    </row>
    <row r="120" spans="1:8">
      <c r="A120" s="58">
        <v>1.3</v>
      </c>
      <c r="B120" s="60" t="s">
        <v>479</v>
      </c>
      <c r="C120" s="60" t="s">
        <v>466</v>
      </c>
      <c r="D120" s="61">
        <v>1</v>
      </c>
      <c r="E120" s="61">
        <f>2.2+1.2+2.1+1.8+2.1</f>
        <v>9.4</v>
      </c>
      <c r="F120" s="61"/>
      <c r="G120" s="61"/>
      <c r="H120" s="83">
        <f t="shared" ref="H120" si="5">ROUND(PRODUCT(D120:G120),2)</f>
        <v>9.4</v>
      </c>
    </row>
    <row r="121" spans="1:8">
      <c r="A121" s="58"/>
      <c r="B121" s="60"/>
      <c r="C121" s="60"/>
      <c r="D121" s="61"/>
      <c r="E121" s="61"/>
      <c r="F121" s="61"/>
      <c r="G121" s="61"/>
      <c r="H121" s="61"/>
    </row>
    <row r="122" spans="1:8">
      <c r="A122" s="58" t="s">
        <v>480</v>
      </c>
      <c r="B122" s="59" t="s">
        <v>481</v>
      </c>
      <c r="C122" s="60" t="s">
        <v>51</v>
      </c>
      <c r="D122" s="61">
        <v>1</v>
      </c>
      <c r="E122" s="61"/>
      <c r="F122" s="61"/>
      <c r="G122" s="61"/>
      <c r="H122" s="83">
        <f t="shared" ref="H122:H124" si="6">ROUND(PRODUCT(D122:G122),2)</f>
        <v>1</v>
      </c>
    </row>
    <row r="123" spans="1:8">
      <c r="A123" s="58">
        <v>2.2000000000000002</v>
      </c>
      <c r="B123" s="22" t="s">
        <v>106</v>
      </c>
      <c r="C123" s="60" t="s">
        <v>51</v>
      </c>
      <c r="D123" s="61">
        <v>1</v>
      </c>
      <c r="E123" s="61"/>
      <c r="F123" s="61"/>
      <c r="G123" s="61"/>
      <c r="H123" s="83">
        <f t="shared" si="6"/>
        <v>1</v>
      </c>
    </row>
    <row r="124" spans="1:8">
      <c r="A124" s="58">
        <v>2.4</v>
      </c>
      <c r="B124" s="67" t="s">
        <v>369</v>
      </c>
      <c r="C124" s="60" t="s">
        <v>51</v>
      </c>
      <c r="D124" s="61">
        <v>2</v>
      </c>
      <c r="E124" s="61"/>
      <c r="F124" s="61"/>
      <c r="G124" s="61"/>
      <c r="H124" s="83">
        <f t="shared" si="6"/>
        <v>2</v>
      </c>
    </row>
    <row r="125" spans="1:8">
      <c r="A125" s="58"/>
      <c r="B125" s="60"/>
      <c r="C125" s="60"/>
      <c r="D125" s="61"/>
      <c r="E125" s="61"/>
      <c r="F125" s="61"/>
      <c r="G125" s="61"/>
      <c r="H125" s="60"/>
    </row>
    <row r="126" spans="1:8">
      <c r="A126" s="58" t="s">
        <v>46</v>
      </c>
      <c r="B126" s="59" t="s">
        <v>105</v>
      </c>
      <c r="C126" s="60"/>
      <c r="D126" s="61"/>
      <c r="E126" s="61"/>
      <c r="F126" s="61"/>
      <c r="G126" s="61"/>
      <c r="H126" s="60"/>
    </row>
    <row r="127" spans="1:8">
      <c r="A127" s="58">
        <v>1.1000000000000001</v>
      </c>
      <c r="B127" s="67" t="s">
        <v>365</v>
      </c>
      <c r="C127" s="60" t="s">
        <v>28</v>
      </c>
      <c r="D127" s="61">
        <v>5</v>
      </c>
      <c r="E127" s="61"/>
      <c r="F127" s="61"/>
      <c r="G127" s="61"/>
      <c r="H127" s="83">
        <f t="shared" ref="H127:H129" si="7">ROUND(PRODUCT(D127:G127),2)</f>
        <v>5</v>
      </c>
    </row>
    <row r="128" spans="1:8" ht="24">
      <c r="A128" s="58"/>
      <c r="B128" s="14" t="s">
        <v>366</v>
      </c>
      <c r="C128" s="60" t="s">
        <v>28</v>
      </c>
      <c r="D128" s="61">
        <v>2</v>
      </c>
      <c r="E128" s="61"/>
      <c r="F128" s="61"/>
      <c r="G128" s="61"/>
      <c r="H128" s="83">
        <f t="shared" si="7"/>
        <v>2</v>
      </c>
    </row>
    <row r="129" spans="1:8" ht="24">
      <c r="A129" s="58"/>
      <c r="B129" s="14" t="s">
        <v>426</v>
      </c>
      <c r="C129" s="60" t="s">
        <v>28</v>
      </c>
      <c r="D129" s="61">
        <v>2</v>
      </c>
      <c r="E129" s="61"/>
      <c r="F129" s="61"/>
      <c r="G129" s="61"/>
      <c r="H129" s="83">
        <f t="shared" si="7"/>
        <v>2</v>
      </c>
    </row>
    <row r="130" spans="1:8">
      <c r="A130" s="58"/>
      <c r="B130" s="60"/>
      <c r="C130" s="60"/>
      <c r="D130" s="61"/>
      <c r="E130" s="61"/>
      <c r="F130" s="61"/>
      <c r="G130" s="61"/>
      <c r="H130" s="60"/>
    </row>
    <row r="131" spans="1:8">
      <c r="A131" s="58" t="s">
        <v>45</v>
      </c>
      <c r="B131" s="60" t="s">
        <v>482</v>
      </c>
      <c r="C131" s="60"/>
      <c r="D131" s="61"/>
      <c r="E131" s="61"/>
      <c r="F131" s="61"/>
      <c r="G131" s="61"/>
      <c r="H131" s="60"/>
    </row>
    <row r="132" spans="1:8">
      <c r="A132" s="58">
        <v>1</v>
      </c>
      <c r="B132" s="67" t="s">
        <v>483</v>
      </c>
      <c r="C132" s="60" t="s">
        <v>28</v>
      </c>
      <c r="D132" s="61">
        <v>2</v>
      </c>
      <c r="E132" s="61"/>
      <c r="F132" s="61"/>
      <c r="G132" s="61"/>
      <c r="H132" s="83">
        <f t="shared" ref="H132:H133" si="8">ROUND(PRODUCT(D132:G132),2)</f>
        <v>2</v>
      </c>
    </row>
    <row r="133" spans="1:8">
      <c r="A133" s="58">
        <v>2</v>
      </c>
      <c r="B133" s="67" t="s">
        <v>484</v>
      </c>
      <c r="C133" s="60" t="s">
        <v>28</v>
      </c>
      <c r="D133" s="61">
        <v>1</v>
      </c>
      <c r="E133" s="61"/>
      <c r="F133" s="61"/>
      <c r="G133" s="61"/>
      <c r="H133" s="83">
        <f t="shared" si="8"/>
        <v>1</v>
      </c>
    </row>
    <row r="134" spans="1:8">
      <c r="A134" s="58"/>
      <c r="B134" s="67"/>
      <c r="C134" s="60"/>
      <c r="D134" s="61"/>
      <c r="E134" s="61"/>
      <c r="F134" s="61"/>
      <c r="G134" s="61"/>
      <c r="H134" s="60"/>
    </row>
    <row r="135" spans="1:8">
      <c r="A135" s="58" t="s">
        <v>49</v>
      </c>
      <c r="B135" s="67" t="s">
        <v>400</v>
      </c>
      <c r="C135" s="60"/>
      <c r="D135" s="61"/>
      <c r="E135" s="61"/>
      <c r="F135" s="61"/>
      <c r="G135" s="61"/>
      <c r="H135" s="60"/>
    </row>
    <row r="136" spans="1:8">
      <c r="A136" s="58">
        <v>1</v>
      </c>
      <c r="B136" s="67"/>
      <c r="C136" s="60" t="s">
        <v>28</v>
      </c>
      <c r="D136" s="61">
        <v>4</v>
      </c>
      <c r="E136" s="61"/>
      <c r="F136" s="61"/>
      <c r="G136" s="61"/>
      <c r="H136" s="83">
        <f t="shared" ref="H136:H137" si="9">ROUND(PRODUCT(D136:G136),2)</f>
        <v>4</v>
      </c>
    </row>
    <row r="137" spans="1:8">
      <c r="A137" s="58">
        <v>2</v>
      </c>
      <c r="B137" s="23" t="s">
        <v>403</v>
      </c>
      <c r="C137" s="60" t="s">
        <v>28</v>
      </c>
      <c r="D137" s="61">
        <v>1</v>
      </c>
      <c r="E137" s="61"/>
      <c r="F137" s="61"/>
      <c r="G137" s="61"/>
      <c r="H137" s="83">
        <f t="shared" si="9"/>
        <v>1</v>
      </c>
    </row>
    <row r="138" spans="1:8">
      <c r="A138" s="862" t="s">
        <v>640</v>
      </c>
      <c r="B138" s="863"/>
      <c r="C138" s="863"/>
      <c r="D138" s="863"/>
      <c r="E138" s="863"/>
      <c r="F138" s="863"/>
      <c r="G138" s="863"/>
      <c r="H138" s="864"/>
    </row>
    <row r="139" spans="1:8">
      <c r="A139" s="865"/>
      <c r="B139" s="866"/>
      <c r="C139" s="866"/>
      <c r="D139" s="866"/>
      <c r="E139" s="866"/>
      <c r="F139" s="866"/>
      <c r="G139" s="866"/>
      <c r="H139" s="867"/>
    </row>
    <row r="140" spans="1:8">
      <c r="A140" s="58">
        <v>1</v>
      </c>
      <c r="B140" s="67" t="s">
        <v>365</v>
      </c>
      <c r="C140" s="60" t="s">
        <v>28</v>
      </c>
      <c r="D140" s="61">
        <v>5</v>
      </c>
      <c r="E140" s="61"/>
      <c r="F140" s="61"/>
      <c r="G140" s="61"/>
      <c r="H140" s="83">
        <f t="shared" ref="H140:H142" si="10">ROUND(PRODUCT(D140:G140),2)</f>
        <v>5</v>
      </c>
    </row>
    <row r="141" spans="1:8" ht="24">
      <c r="A141" s="58">
        <v>2</v>
      </c>
      <c r="B141" s="14" t="s">
        <v>366</v>
      </c>
      <c r="C141" s="60" t="s">
        <v>28</v>
      </c>
      <c r="D141" s="61">
        <v>2</v>
      </c>
      <c r="E141" s="61"/>
      <c r="F141" s="61"/>
      <c r="G141" s="61"/>
      <c r="H141" s="83">
        <f t="shared" si="10"/>
        <v>2</v>
      </c>
    </row>
    <row r="142" spans="1:8" ht="24">
      <c r="A142" s="58">
        <v>3</v>
      </c>
      <c r="B142" s="14" t="s">
        <v>426</v>
      </c>
      <c r="C142" s="60" t="s">
        <v>28</v>
      </c>
      <c r="D142" s="61">
        <v>2</v>
      </c>
      <c r="E142" s="61"/>
      <c r="F142" s="61"/>
      <c r="G142" s="61"/>
      <c r="H142" s="83">
        <f t="shared" si="10"/>
        <v>2</v>
      </c>
    </row>
    <row r="143" spans="1:8">
      <c r="A143" s="58"/>
      <c r="B143" s="67"/>
      <c r="C143" s="60"/>
      <c r="D143" s="61"/>
      <c r="E143" s="61"/>
      <c r="F143" s="61"/>
      <c r="G143" s="61"/>
      <c r="H143" s="60"/>
    </row>
    <row r="144" spans="1:8">
      <c r="A144" s="58" t="s">
        <v>49</v>
      </c>
      <c r="B144" s="59" t="s">
        <v>189</v>
      </c>
      <c r="C144" s="60"/>
      <c r="D144" s="61"/>
      <c r="E144" s="61"/>
      <c r="F144" s="61"/>
      <c r="G144" s="61"/>
      <c r="H144" s="60"/>
    </row>
    <row r="145" spans="1:8">
      <c r="A145" s="58"/>
      <c r="B145" s="60"/>
      <c r="C145" s="60"/>
      <c r="D145" s="61"/>
      <c r="E145" s="61"/>
      <c r="F145" s="61"/>
      <c r="G145" s="61"/>
      <c r="H145" s="60"/>
    </row>
    <row r="146" spans="1:8">
      <c r="A146" s="58">
        <v>2.2000000000000002</v>
      </c>
      <c r="B146" s="59" t="s">
        <v>171</v>
      </c>
      <c r="C146" s="60"/>
      <c r="D146" s="61"/>
      <c r="E146" s="61"/>
      <c r="F146" s="61"/>
      <c r="G146" s="61"/>
      <c r="H146" s="60"/>
    </row>
    <row r="147" spans="1:8">
      <c r="A147" s="58" t="s">
        <v>172</v>
      </c>
      <c r="B147" s="60" t="s">
        <v>173</v>
      </c>
      <c r="C147" s="60" t="s">
        <v>28</v>
      </c>
      <c r="D147" s="61">
        <v>1</v>
      </c>
      <c r="E147" s="61"/>
      <c r="F147" s="61"/>
      <c r="G147" s="61"/>
      <c r="H147" s="83">
        <f t="shared" ref="H147" si="11">ROUND(PRODUCT(D147:G147),2)</f>
        <v>1</v>
      </c>
    </row>
    <row r="148" spans="1:8">
      <c r="A148" s="58"/>
      <c r="B148" s="67" t="s">
        <v>174</v>
      </c>
      <c r="C148" s="60"/>
      <c r="D148" s="61"/>
      <c r="E148" s="61"/>
      <c r="F148" s="61"/>
      <c r="G148" s="61"/>
      <c r="H148" s="60"/>
    </row>
    <row r="149" spans="1:8">
      <c r="A149" s="58"/>
      <c r="B149" s="67" t="s">
        <v>175</v>
      </c>
      <c r="C149" s="60"/>
      <c r="D149" s="61"/>
      <c r="E149" s="61"/>
      <c r="F149" s="61"/>
      <c r="G149" s="61"/>
      <c r="H149" s="60"/>
    </row>
    <row r="150" spans="1:8">
      <c r="A150" s="58"/>
      <c r="B150" s="60"/>
      <c r="C150" s="60"/>
      <c r="D150" s="61"/>
      <c r="E150" s="61"/>
      <c r="F150" s="61"/>
      <c r="G150" s="61"/>
      <c r="H150" s="60"/>
    </row>
    <row r="151" spans="1:8">
      <c r="A151" s="58" t="s">
        <v>176</v>
      </c>
      <c r="B151" s="277" t="s">
        <v>177</v>
      </c>
      <c r="C151" s="60" t="s">
        <v>47</v>
      </c>
      <c r="D151" s="61">
        <v>1</v>
      </c>
      <c r="E151" s="61"/>
      <c r="F151" s="61"/>
      <c r="G151" s="61"/>
      <c r="H151" s="59">
        <v>1</v>
      </c>
    </row>
    <row r="152" spans="1:8">
      <c r="A152" s="58"/>
      <c r="B152" s="60"/>
      <c r="C152" s="60"/>
      <c r="D152" s="61"/>
      <c r="E152" s="61"/>
      <c r="F152" s="61"/>
      <c r="G152" s="61"/>
      <c r="H152" s="60"/>
    </row>
    <row r="153" spans="1:8">
      <c r="A153" s="58">
        <v>3</v>
      </c>
      <c r="B153" s="59" t="s">
        <v>190</v>
      </c>
      <c r="C153" s="60"/>
      <c r="D153" s="61"/>
      <c r="E153" s="61"/>
      <c r="F153" s="61"/>
      <c r="G153" s="61"/>
      <c r="H153" s="60"/>
    </row>
    <row r="154" spans="1:8">
      <c r="A154" s="58">
        <v>3.1</v>
      </c>
      <c r="B154" s="59" t="s">
        <v>191</v>
      </c>
      <c r="C154" s="60"/>
      <c r="D154" s="61"/>
      <c r="E154" s="61"/>
      <c r="F154" s="61"/>
      <c r="G154" s="61"/>
      <c r="H154" s="60"/>
    </row>
    <row r="155" spans="1:8">
      <c r="A155" s="58" t="s">
        <v>377</v>
      </c>
      <c r="B155" s="59" t="s">
        <v>192</v>
      </c>
      <c r="C155" s="60"/>
      <c r="D155" s="61"/>
      <c r="E155" s="61"/>
      <c r="F155" s="61"/>
      <c r="G155" s="61"/>
      <c r="H155" s="60"/>
    </row>
    <row r="156" spans="1:8">
      <c r="A156" s="58" t="s">
        <v>14</v>
      </c>
      <c r="B156" s="67" t="s">
        <v>194</v>
      </c>
      <c r="C156" s="60"/>
      <c r="D156" s="61"/>
      <c r="E156" s="61"/>
      <c r="F156" s="61"/>
      <c r="G156" s="61"/>
      <c r="H156" s="62"/>
    </row>
    <row r="157" spans="1:8" s="60" customFormat="1">
      <c r="B157" s="60" t="s">
        <v>641</v>
      </c>
      <c r="C157" s="60" t="s">
        <v>53</v>
      </c>
      <c r="D157" s="61">
        <v>1</v>
      </c>
      <c r="E157" s="61">
        <v>13</v>
      </c>
      <c r="F157" s="61"/>
      <c r="G157" s="61"/>
      <c r="H157" s="83">
        <f t="shared" ref="H157" si="12">ROUND(PRODUCT(D157:G157),2)</f>
        <v>13</v>
      </c>
    </row>
    <row r="158" spans="1:8">
      <c r="A158" s="58" t="s">
        <v>379</v>
      </c>
      <c r="B158" s="59" t="s">
        <v>206</v>
      </c>
      <c r="C158" s="60"/>
      <c r="D158" s="61"/>
      <c r="E158" s="61"/>
      <c r="F158" s="61"/>
      <c r="G158" s="61"/>
      <c r="H158" s="60"/>
    </row>
    <row r="159" spans="1:8">
      <c r="A159" s="58" t="s">
        <v>15</v>
      </c>
      <c r="B159" s="67" t="s">
        <v>204</v>
      </c>
      <c r="C159" s="60" t="s">
        <v>53</v>
      </c>
      <c r="D159" s="61"/>
      <c r="E159" s="61"/>
      <c r="F159" s="61"/>
      <c r="G159" s="61"/>
      <c r="H159" s="60"/>
    </row>
    <row r="160" spans="1:8">
      <c r="A160" s="58"/>
      <c r="B160" s="60" t="s">
        <v>642</v>
      </c>
      <c r="C160" s="60" t="s">
        <v>53</v>
      </c>
      <c r="D160" s="390">
        <v>1</v>
      </c>
      <c r="E160" s="61">
        <f>1+2.5+3.5+2+5+2+8</f>
        <v>24</v>
      </c>
      <c r="F160" s="60"/>
      <c r="G160" s="60"/>
      <c r="H160" s="83">
        <f t="shared" ref="H160:H162" si="13">ROUND(PRODUCT(D160:G160),2)</f>
        <v>24</v>
      </c>
    </row>
    <row r="161" spans="1:8">
      <c r="A161" s="58" t="s">
        <v>29</v>
      </c>
      <c r="B161" s="67" t="s">
        <v>207</v>
      </c>
      <c r="C161" s="60" t="s">
        <v>53</v>
      </c>
      <c r="D161" s="61"/>
      <c r="E161" s="61"/>
      <c r="F161" s="61"/>
      <c r="G161" s="61"/>
      <c r="H161" s="60"/>
    </row>
    <row r="162" spans="1:8">
      <c r="A162" s="58"/>
      <c r="B162" s="60" t="s">
        <v>643</v>
      </c>
      <c r="C162" s="60" t="s">
        <v>53</v>
      </c>
      <c r="D162" s="61">
        <v>1</v>
      </c>
      <c r="E162" s="61">
        <f>1+2+10+10+3+3</f>
        <v>29</v>
      </c>
      <c r="F162" s="60"/>
      <c r="G162" s="60"/>
      <c r="H162" s="83">
        <f t="shared" si="13"/>
        <v>29</v>
      </c>
    </row>
    <row r="163" spans="1:8">
      <c r="A163" s="58"/>
      <c r="B163" s="60"/>
      <c r="C163" s="60"/>
      <c r="D163" s="61"/>
      <c r="E163" s="61"/>
      <c r="F163" s="61"/>
      <c r="G163" s="61"/>
      <c r="H163" s="60"/>
    </row>
    <row r="164" spans="1:8">
      <c r="A164" s="58"/>
      <c r="B164" s="59" t="s">
        <v>211</v>
      </c>
      <c r="C164" s="60"/>
      <c r="D164" s="61"/>
      <c r="E164" s="61"/>
      <c r="F164" s="61"/>
      <c r="G164" s="61"/>
      <c r="H164" s="60"/>
    </row>
    <row r="165" spans="1:8">
      <c r="A165" s="58">
        <v>3.2</v>
      </c>
      <c r="B165" s="59" t="s">
        <v>490</v>
      </c>
      <c r="C165" s="60"/>
      <c r="D165" s="61"/>
      <c r="E165" s="61"/>
      <c r="F165" s="61"/>
      <c r="G165" s="61"/>
      <c r="H165" s="60"/>
    </row>
    <row r="166" spans="1:8" ht="22.5" customHeight="1">
      <c r="A166" s="58"/>
      <c r="B166" s="78" t="s">
        <v>212</v>
      </c>
      <c r="C166" s="60"/>
      <c r="D166" s="61"/>
      <c r="E166" s="61"/>
      <c r="F166" s="61"/>
      <c r="G166" s="61"/>
      <c r="H166" s="60"/>
    </row>
    <row r="167" spans="1:8">
      <c r="A167" s="58" t="s">
        <v>14</v>
      </c>
      <c r="B167" s="67" t="s">
        <v>194</v>
      </c>
      <c r="C167" s="60" t="s">
        <v>28</v>
      </c>
      <c r="D167" s="61">
        <v>2</v>
      </c>
      <c r="E167" s="61"/>
      <c r="F167" s="61"/>
      <c r="G167" s="61"/>
      <c r="H167" s="83">
        <f t="shared" ref="H167:H169" si="14">ROUND(PRODUCT(D167:G167),2)</f>
        <v>2</v>
      </c>
    </row>
    <row r="168" spans="1:8">
      <c r="A168" s="58" t="s">
        <v>36</v>
      </c>
      <c r="B168" s="67" t="s">
        <v>204</v>
      </c>
      <c r="C168" s="60" t="s">
        <v>28</v>
      </c>
      <c r="D168" s="61">
        <v>2</v>
      </c>
      <c r="E168" s="61"/>
      <c r="F168" s="61"/>
      <c r="G168" s="61"/>
      <c r="H168" s="83">
        <f t="shared" si="14"/>
        <v>2</v>
      </c>
    </row>
    <row r="169" spans="1:8">
      <c r="A169" s="58" t="s">
        <v>37</v>
      </c>
      <c r="B169" s="67" t="s">
        <v>205</v>
      </c>
      <c r="C169" s="60" t="s">
        <v>28</v>
      </c>
      <c r="D169" s="61">
        <v>2</v>
      </c>
      <c r="E169" s="61"/>
      <c r="F169" s="61"/>
      <c r="G169" s="61"/>
      <c r="H169" s="83">
        <f t="shared" si="14"/>
        <v>2</v>
      </c>
    </row>
    <row r="170" spans="1:8">
      <c r="A170" s="58">
        <v>4</v>
      </c>
      <c r="B170" s="59" t="s">
        <v>495</v>
      </c>
      <c r="C170" s="60"/>
      <c r="D170" s="61"/>
      <c r="E170" s="61"/>
      <c r="F170" s="61"/>
      <c r="G170" s="61"/>
      <c r="H170" s="60"/>
    </row>
    <row r="171" spans="1:8" ht="72">
      <c r="A171" s="58">
        <v>4.0999999999999996</v>
      </c>
      <c r="B171" s="82" t="s">
        <v>237</v>
      </c>
      <c r="C171" s="60" t="s">
        <v>53</v>
      </c>
      <c r="D171" s="61"/>
      <c r="E171" s="61"/>
      <c r="F171" s="61"/>
      <c r="G171" s="61"/>
      <c r="H171" s="60"/>
    </row>
    <row r="172" spans="1:8">
      <c r="A172" s="58"/>
      <c r="B172" s="60" t="s">
        <v>673</v>
      </c>
      <c r="C172" s="60" t="s">
        <v>674</v>
      </c>
      <c r="D172" s="60">
        <v>1</v>
      </c>
      <c r="E172" s="60">
        <f>0.5+2.5+3+4.5+6+1.5+3</f>
        <v>21</v>
      </c>
      <c r="F172" s="60"/>
      <c r="G172" s="60"/>
      <c r="H172" s="62">
        <f t="shared" ref="H172:H183" si="15">ROUND(PRODUCT(D172:G172),2)</f>
        <v>21</v>
      </c>
    </row>
    <row r="173" spans="1:8">
      <c r="A173" s="58"/>
      <c r="B173" s="60" t="s">
        <v>675</v>
      </c>
      <c r="C173" s="60" t="s">
        <v>674</v>
      </c>
      <c r="D173" s="60">
        <v>1</v>
      </c>
      <c r="E173" s="60">
        <f>0.5+1+3+4.5+6+1.5+3</f>
        <v>19.5</v>
      </c>
      <c r="F173" s="60"/>
      <c r="G173" s="60"/>
      <c r="H173" s="62">
        <f t="shared" si="15"/>
        <v>19.5</v>
      </c>
    </row>
    <row r="174" spans="1:8">
      <c r="A174" s="58"/>
      <c r="B174" s="60" t="s">
        <v>676</v>
      </c>
      <c r="C174" s="60" t="s">
        <v>674</v>
      </c>
      <c r="D174" s="60">
        <v>1</v>
      </c>
      <c r="E174" s="60">
        <f>0.5+1+0.5+5</f>
        <v>7</v>
      </c>
      <c r="F174" s="60"/>
      <c r="G174" s="60"/>
      <c r="H174" s="62">
        <f t="shared" si="15"/>
        <v>7</v>
      </c>
    </row>
    <row r="175" spans="1:8">
      <c r="A175" s="58"/>
      <c r="B175" s="60" t="s">
        <v>677</v>
      </c>
      <c r="C175" s="60" t="s">
        <v>674</v>
      </c>
      <c r="D175" s="60">
        <v>1</v>
      </c>
      <c r="E175" s="60">
        <f>0.5+1.5+4+1.5+3</f>
        <v>10.5</v>
      </c>
      <c r="F175" s="60"/>
      <c r="G175" s="60"/>
      <c r="H175" s="62">
        <f t="shared" si="15"/>
        <v>10.5</v>
      </c>
    </row>
    <row r="176" spans="1:8">
      <c r="A176" s="58"/>
      <c r="B176" s="60" t="s">
        <v>678</v>
      </c>
      <c r="C176" s="60" t="s">
        <v>674</v>
      </c>
      <c r="D176" s="60">
        <v>1</v>
      </c>
      <c r="E176" s="60">
        <f>0.5+1.5+0.5+0.5+1+2+2+3</f>
        <v>11</v>
      </c>
      <c r="F176" s="60"/>
      <c r="G176" s="60"/>
      <c r="H176" s="62">
        <f t="shared" si="15"/>
        <v>11</v>
      </c>
    </row>
    <row r="177" spans="1:8">
      <c r="A177" s="58"/>
      <c r="B177" s="60" t="s">
        <v>679</v>
      </c>
      <c r="C177" s="60" t="s">
        <v>674</v>
      </c>
      <c r="D177" s="60">
        <v>1</v>
      </c>
      <c r="E177" s="60">
        <f>0.5+2+0.5+2.3+0.5+1.5+3</f>
        <v>10.3</v>
      </c>
      <c r="F177" s="60"/>
      <c r="G177" s="60"/>
      <c r="H177" s="62">
        <f t="shared" si="15"/>
        <v>10.3</v>
      </c>
    </row>
    <row r="178" spans="1:8">
      <c r="A178" s="58"/>
      <c r="B178" s="60" t="s">
        <v>680</v>
      </c>
      <c r="C178" s="60" t="s">
        <v>674</v>
      </c>
      <c r="D178" s="60">
        <v>1</v>
      </c>
      <c r="E178" s="60">
        <f>0.5+2+3+3.5+1+1.5+3</f>
        <v>14.5</v>
      </c>
      <c r="F178" s="60"/>
      <c r="G178" s="60"/>
      <c r="H178" s="62">
        <f t="shared" si="15"/>
        <v>14.5</v>
      </c>
    </row>
    <row r="179" spans="1:8">
      <c r="A179" s="58"/>
      <c r="B179" s="60" t="s">
        <v>681</v>
      </c>
      <c r="C179" s="60" t="s">
        <v>674</v>
      </c>
      <c r="D179" s="60">
        <v>1</v>
      </c>
      <c r="E179" s="60">
        <f>0.5+1.5+3+1.5+3</f>
        <v>9.5</v>
      </c>
      <c r="F179" s="60"/>
      <c r="G179" s="60"/>
      <c r="H179" s="62">
        <f t="shared" si="15"/>
        <v>9.5</v>
      </c>
    </row>
    <row r="180" spans="1:8">
      <c r="A180" s="58"/>
      <c r="B180" s="60" t="s">
        <v>682</v>
      </c>
      <c r="C180" s="60" t="s">
        <v>674</v>
      </c>
      <c r="D180" s="60">
        <v>1</v>
      </c>
      <c r="E180" s="60">
        <f>1.5+2+1.5</f>
        <v>5</v>
      </c>
      <c r="F180" s="60"/>
      <c r="G180" s="60"/>
      <c r="H180" s="62">
        <f t="shared" si="15"/>
        <v>5</v>
      </c>
    </row>
    <row r="181" spans="1:8">
      <c r="A181" s="58"/>
      <c r="B181" s="60" t="s">
        <v>683</v>
      </c>
      <c r="C181" s="60" t="s">
        <v>674</v>
      </c>
      <c r="D181" s="60">
        <v>1</v>
      </c>
      <c r="E181" s="60">
        <f>0.5+1+3+4.5+6+2+1</f>
        <v>18</v>
      </c>
      <c r="F181" s="60"/>
      <c r="G181" s="60"/>
      <c r="H181" s="62">
        <f t="shared" si="15"/>
        <v>18</v>
      </c>
    </row>
    <row r="182" spans="1:8">
      <c r="A182" s="58"/>
      <c r="B182" s="60" t="s">
        <v>684</v>
      </c>
      <c r="C182" s="60" t="s">
        <v>674</v>
      </c>
      <c r="D182" s="60">
        <v>1</v>
      </c>
      <c r="E182" s="60">
        <f>0.5+1+4.5+6+2+1</f>
        <v>15</v>
      </c>
      <c r="F182" s="60"/>
      <c r="G182" s="60"/>
      <c r="H182" s="62">
        <f t="shared" si="15"/>
        <v>15</v>
      </c>
    </row>
    <row r="183" spans="1:8">
      <c r="A183" s="58"/>
      <c r="B183" s="60" t="s">
        <v>685</v>
      </c>
      <c r="C183" s="60" t="s">
        <v>674</v>
      </c>
      <c r="D183" s="60">
        <v>1</v>
      </c>
      <c r="E183" s="60">
        <f>0.5+1+3+4.5+6+2+1</f>
        <v>18</v>
      </c>
      <c r="F183" s="60"/>
      <c r="G183" s="60"/>
      <c r="H183" s="62">
        <f t="shared" si="15"/>
        <v>18</v>
      </c>
    </row>
    <row r="184" spans="1:8">
      <c r="A184" s="58"/>
      <c r="B184" s="60"/>
      <c r="C184" s="60"/>
      <c r="D184" s="60"/>
      <c r="E184" s="60"/>
      <c r="F184" s="60"/>
      <c r="G184" s="77" t="s">
        <v>522</v>
      </c>
      <c r="H184" s="77">
        <f>SUM(H172:H183)</f>
        <v>159.30000000000001</v>
      </c>
    </row>
    <row r="185" spans="1:8">
      <c r="A185" s="58" t="s">
        <v>244</v>
      </c>
      <c r="B185" s="25" t="s">
        <v>245</v>
      </c>
      <c r="C185" s="60" t="s">
        <v>28</v>
      </c>
      <c r="D185" s="61">
        <v>2</v>
      </c>
      <c r="E185" s="61"/>
      <c r="F185" s="61"/>
      <c r="G185" s="61"/>
      <c r="H185" s="83">
        <f t="shared" ref="H185:H187" si="16">ROUND(PRODUCT(D185:G185),2)</f>
        <v>2</v>
      </c>
    </row>
    <row r="186" spans="1:8" ht="24">
      <c r="A186" s="58" t="s">
        <v>248</v>
      </c>
      <c r="B186" s="25" t="s">
        <v>249</v>
      </c>
      <c r="C186" s="60" t="s">
        <v>28</v>
      </c>
      <c r="D186" s="61">
        <v>1</v>
      </c>
      <c r="E186" s="61"/>
      <c r="F186" s="61"/>
      <c r="G186" s="61"/>
      <c r="H186" s="83">
        <f t="shared" si="16"/>
        <v>1</v>
      </c>
    </row>
    <row r="187" spans="1:8" ht="33.75" customHeight="1">
      <c r="A187" s="58">
        <v>4.3</v>
      </c>
      <c r="B187" s="25" t="s">
        <v>439</v>
      </c>
      <c r="C187" s="60" t="s">
        <v>28</v>
      </c>
      <c r="D187" s="61">
        <v>6</v>
      </c>
      <c r="E187" s="61"/>
      <c r="F187" s="61"/>
      <c r="G187" s="61"/>
      <c r="H187" s="83">
        <f t="shared" si="16"/>
        <v>6</v>
      </c>
    </row>
    <row r="188" spans="1:8">
      <c r="A188" s="58"/>
      <c r="B188" s="26"/>
      <c r="C188" s="60"/>
      <c r="D188" s="61"/>
      <c r="E188" s="61"/>
      <c r="F188" s="61"/>
      <c r="G188" s="61"/>
      <c r="H188" s="60"/>
    </row>
    <row r="189" spans="1:8">
      <c r="A189" s="58" t="s">
        <v>259</v>
      </c>
      <c r="B189" s="26" t="s">
        <v>260</v>
      </c>
      <c r="C189" s="60" t="s">
        <v>53</v>
      </c>
      <c r="D189" s="61"/>
      <c r="E189" s="61"/>
      <c r="F189" s="61"/>
      <c r="G189" s="61"/>
      <c r="H189" s="60"/>
    </row>
    <row r="190" spans="1:8">
      <c r="A190" s="58"/>
      <c r="B190" s="60" t="s">
        <v>644</v>
      </c>
      <c r="C190" s="60" t="s">
        <v>53</v>
      </c>
      <c r="D190" s="60">
        <v>1</v>
      </c>
      <c r="E190" s="60">
        <f>1.5</f>
        <v>1.5</v>
      </c>
      <c r="F190" s="60"/>
      <c r="G190" s="60"/>
      <c r="H190" s="62">
        <f t="shared" ref="H190:H211" si="17">ROUND(PRODUCT(D190:G190),2)</f>
        <v>1.5</v>
      </c>
    </row>
    <row r="191" spans="1:8">
      <c r="A191" s="58"/>
      <c r="B191" s="60" t="s">
        <v>645</v>
      </c>
      <c r="C191" s="60" t="s">
        <v>53</v>
      </c>
      <c r="D191" s="60">
        <v>2</v>
      </c>
      <c r="E191" s="60">
        <f>1+3+4.5+6+1.5</f>
        <v>16</v>
      </c>
      <c r="F191" s="60"/>
      <c r="G191" s="60"/>
      <c r="H191" s="62">
        <f t="shared" si="17"/>
        <v>32</v>
      </c>
    </row>
    <row r="192" spans="1:8">
      <c r="A192" s="58"/>
      <c r="B192" s="60" t="s">
        <v>646</v>
      </c>
      <c r="C192" s="60" t="s">
        <v>53</v>
      </c>
      <c r="D192" s="60">
        <v>1</v>
      </c>
      <c r="E192" s="60">
        <f>1+0.5+5</f>
        <v>6.5</v>
      </c>
      <c r="F192" s="60"/>
      <c r="G192" s="60"/>
      <c r="H192" s="62">
        <f t="shared" si="17"/>
        <v>6.5</v>
      </c>
    </row>
    <row r="193" spans="1:8">
      <c r="A193" s="58"/>
      <c r="B193" s="60" t="s">
        <v>647</v>
      </c>
      <c r="C193" s="60" t="s">
        <v>53</v>
      </c>
      <c r="D193" s="60">
        <v>1</v>
      </c>
      <c r="E193" s="60">
        <f>1.5</f>
        <v>1.5</v>
      </c>
      <c r="F193" s="60"/>
      <c r="G193" s="60"/>
      <c r="H193" s="62">
        <f t="shared" si="17"/>
        <v>1.5</v>
      </c>
    </row>
    <row r="194" spans="1:8">
      <c r="A194" s="58"/>
      <c r="B194" s="60" t="s">
        <v>807</v>
      </c>
      <c r="C194" s="60" t="s">
        <v>53</v>
      </c>
      <c r="D194" s="60">
        <v>1</v>
      </c>
      <c r="E194" s="60">
        <f>1.5+0.5+1+2+2</f>
        <v>7</v>
      </c>
      <c r="F194" s="60"/>
      <c r="G194" s="60"/>
      <c r="H194" s="62">
        <f t="shared" si="17"/>
        <v>7</v>
      </c>
    </row>
    <row r="195" spans="1:8">
      <c r="A195" s="58"/>
      <c r="B195" s="60" t="s">
        <v>648</v>
      </c>
      <c r="C195" s="60" t="s">
        <v>53</v>
      </c>
      <c r="D195" s="60">
        <v>1</v>
      </c>
      <c r="E195" s="60">
        <f>2+0.5+2.3+0.5+1.5</f>
        <v>6.8</v>
      </c>
      <c r="F195" s="60"/>
      <c r="G195" s="60"/>
      <c r="H195" s="62">
        <f t="shared" si="17"/>
        <v>6.8</v>
      </c>
    </row>
    <row r="196" spans="1:8">
      <c r="A196" s="58"/>
      <c r="B196" s="60" t="s">
        <v>649</v>
      </c>
      <c r="C196" s="60" t="s">
        <v>53</v>
      </c>
      <c r="D196" s="60">
        <v>1</v>
      </c>
      <c r="E196" s="60">
        <f>2+3+3.5+1+1.5</f>
        <v>11</v>
      </c>
      <c r="F196" s="60"/>
      <c r="G196" s="60"/>
      <c r="H196" s="62">
        <f t="shared" si="17"/>
        <v>11</v>
      </c>
    </row>
    <row r="197" spans="1:8">
      <c r="A197" s="58"/>
      <c r="B197" s="60" t="s">
        <v>650</v>
      </c>
      <c r="C197" s="60" t="s">
        <v>53</v>
      </c>
      <c r="D197" s="60">
        <v>1</v>
      </c>
      <c r="E197" s="60">
        <f>1.5+3+1.5</f>
        <v>6</v>
      </c>
      <c r="F197" s="60"/>
      <c r="G197" s="60"/>
      <c r="H197" s="62">
        <f t="shared" si="17"/>
        <v>6</v>
      </c>
    </row>
    <row r="198" spans="1:8">
      <c r="A198" s="58"/>
      <c r="B198" s="60" t="s">
        <v>651</v>
      </c>
      <c r="C198" s="60" t="s">
        <v>53</v>
      </c>
      <c r="D198" s="60">
        <v>1</v>
      </c>
      <c r="E198" s="60">
        <v>2</v>
      </c>
      <c r="F198" s="60"/>
      <c r="G198" s="60"/>
      <c r="H198" s="62">
        <f t="shared" si="17"/>
        <v>2</v>
      </c>
    </row>
    <row r="199" spans="1:8">
      <c r="A199" s="58"/>
      <c r="B199" s="60" t="s">
        <v>584</v>
      </c>
      <c r="C199" s="60" t="s">
        <v>53</v>
      </c>
      <c r="D199" s="60"/>
      <c r="E199" s="60"/>
      <c r="F199" s="60"/>
      <c r="G199" s="60"/>
      <c r="H199" s="62">
        <f t="shared" si="17"/>
        <v>0</v>
      </c>
    </row>
    <row r="200" spans="1:8">
      <c r="A200" s="58"/>
      <c r="B200" s="60" t="s">
        <v>652</v>
      </c>
      <c r="C200" s="60" t="s">
        <v>53</v>
      </c>
      <c r="D200" s="60">
        <v>1</v>
      </c>
      <c r="E200" s="60">
        <f>1</f>
        <v>1</v>
      </c>
      <c r="F200" s="60"/>
      <c r="G200" s="60"/>
      <c r="H200" s="62">
        <f t="shared" si="17"/>
        <v>1</v>
      </c>
    </row>
    <row r="201" spans="1:8">
      <c r="A201" s="58"/>
      <c r="B201" s="60" t="s">
        <v>653</v>
      </c>
      <c r="C201" s="60" t="s">
        <v>53</v>
      </c>
      <c r="D201" s="60">
        <v>1</v>
      </c>
      <c r="E201" s="60">
        <f>1+1+6</f>
        <v>8</v>
      </c>
      <c r="F201" s="60"/>
      <c r="G201" s="60"/>
      <c r="H201" s="62">
        <f t="shared" si="17"/>
        <v>8</v>
      </c>
    </row>
    <row r="202" spans="1:8">
      <c r="A202" s="58"/>
      <c r="B202" s="60" t="s">
        <v>654</v>
      </c>
      <c r="C202" s="60" t="s">
        <v>53</v>
      </c>
      <c r="D202" s="60">
        <v>1</v>
      </c>
      <c r="E202" s="60">
        <f>1.5</f>
        <v>1.5</v>
      </c>
      <c r="F202" s="60"/>
      <c r="G202" s="60"/>
      <c r="H202" s="62">
        <f t="shared" si="17"/>
        <v>1.5</v>
      </c>
    </row>
    <row r="203" spans="1:8">
      <c r="A203" s="58"/>
      <c r="B203" s="60" t="s">
        <v>655</v>
      </c>
      <c r="C203" s="60" t="s">
        <v>53</v>
      </c>
      <c r="D203" s="60"/>
      <c r="E203" s="60"/>
      <c r="F203" s="60"/>
      <c r="G203" s="60"/>
      <c r="H203" s="62">
        <f t="shared" si="17"/>
        <v>0</v>
      </c>
    </row>
    <row r="204" spans="1:8">
      <c r="A204" s="58"/>
      <c r="B204" s="60" t="s">
        <v>656</v>
      </c>
      <c r="C204" s="60" t="s">
        <v>53</v>
      </c>
      <c r="D204" s="60">
        <v>1</v>
      </c>
      <c r="E204" s="60">
        <f>2.5+3</f>
        <v>5.5</v>
      </c>
      <c r="F204" s="60"/>
      <c r="G204" s="60"/>
      <c r="H204" s="62">
        <f t="shared" si="17"/>
        <v>5.5</v>
      </c>
    </row>
    <row r="205" spans="1:8">
      <c r="A205" s="58"/>
      <c r="B205" s="60" t="s">
        <v>657</v>
      </c>
      <c r="C205" s="60" t="s">
        <v>53</v>
      </c>
      <c r="D205" s="60">
        <v>1</v>
      </c>
      <c r="E205" s="60">
        <f>3.5+1</f>
        <v>4.5</v>
      </c>
      <c r="F205" s="60"/>
      <c r="G205" s="60"/>
      <c r="H205" s="62">
        <f t="shared" si="17"/>
        <v>4.5</v>
      </c>
    </row>
    <row r="206" spans="1:8">
      <c r="A206" s="58"/>
      <c r="B206" s="60" t="s">
        <v>658</v>
      </c>
      <c r="C206" s="60" t="s">
        <v>53</v>
      </c>
      <c r="D206" s="60">
        <v>1</v>
      </c>
      <c r="E206" s="60">
        <f>5</f>
        <v>5</v>
      </c>
      <c r="F206" s="60"/>
      <c r="G206" s="60"/>
      <c r="H206" s="62">
        <f t="shared" si="17"/>
        <v>5</v>
      </c>
    </row>
    <row r="207" spans="1:8">
      <c r="A207" s="58"/>
      <c r="B207" s="60" t="s">
        <v>659</v>
      </c>
      <c r="C207" s="60" t="s">
        <v>53</v>
      </c>
      <c r="D207" s="60">
        <v>1</v>
      </c>
      <c r="E207" s="60">
        <f>3.5+2+5+2+6</f>
        <v>18.5</v>
      </c>
      <c r="F207" s="60"/>
      <c r="G207" s="60"/>
      <c r="H207" s="62">
        <f t="shared" si="17"/>
        <v>18.5</v>
      </c>
    </row>
    <row r="208" spans="1:8">
      <c r="A208" s="58"/>
      <c r="B208" s="60" t="s">
        <v>660</v>
      </c>
      <c r="C208" s="60" t="s">
        <v>53</v>
      </c>
      <c r="D208" s="60">
        <v>1</v>
      </c>
      <c r="E208" s="60">
        <f>2+5+2+6</f>
        <v>15</v>
      </c>
      <c r="F208" s="60"/>
      <c r="G208" s="60"/>
      <c r="H208" s="62">
        <f t="shared" si="17"/>
        <v>15</v>
      </c>
    </row>
    <row r="209" spans="1:8">
      <c r="A209" s="58"/>
      <c r="B209" s="60" t="s">
        <v>661</v>
      </c>
      <c r="C209" s="60" t="s">
        <v>53</v>
      </c>
      <c r="D209" s="60"/>
      <c r="E209" s="60"/>
      <c r="F209" s="60"/>
      <c r="G209" s="60"/>
      <c r="H209" s="62">
        <f t="shared" si="17"/>
        <v>0</v>
      </c>
    </row>
    <row r="210" spans="1:8">
      <c r="A210" s="58"/>
      <c r="B210" s="60" t="s">
        <v>662</v>
      </c>
      <c r="C210" s="60" t="s">
        <v>53</v>
      </c>
      <c r="D210" s="60">
        <v>1</v>
      </c>
      <c r="E210" s="60">
        <f>2.5+3.5+2+5+2+6+2.5</f>
        <v>23.5</v>
      </c>
      <c r="F210" s="60"/>
      <c r="G210" s="60"/>
      <c r="H210" s="62">
        <f t="shared" si="17"/>
        <v>23.5</v>
      </c>
    </row>
    <row r="211" spans="1:8">
      <c r="A211" s="58"/>
      <c r="B211" s="60" t="s">
        <v>663</v>
      </c>
      <c r="C211" s="60" t="s">
        <v>53</v>
      </c>
      <c r="D211" s="60">
        <v>1</v>
      </c>
      <c r="E211" s="60">
        <f>3+2+1.5+3+3+4+2</f>
        <v>18.5</v>
      </c>
      <c r="F211" s="60"/>
      <c r="G211" s="60"/>
      <c r="H211" s="62">
        <f t="shared" si="17"/>
        <v>18.5</v>
      </c>
    </row>
    <row r="212" spans="1:8">
      <c r="A212" s="58"/>
      <c r="B212" s="60"/>
      <c r="C212" s="60"/>
      <c r="D212" s="60"/>
      <c r="E212" s="60"/>
      <c r="F212" s="60"/>
      <c r="G212" s="77" t="s">
        <v>522</v>
      </c>
      <c r="H212" s="83">
        <f>SUM(H190:H211)</f>
        <v>175.3</v>
      </c>
    </row>
    <row r="213" spans="1:8" ht="24">
      <c r="A213" s="58">
        <v>4.12</v>
      </c>
      <c r="B213" s="26" t="s">
        <v>264</v>
      </c>
      <c r="C213" s="60"/>
      <c r="D213" s="61"/>
      <c r="E213" s="61"/>
      <c r="F213" s="61"/>
      <c r="G213" s="61"/>
      <c r="H213" s="60"/>
    </row>
    <row r="214" spans="1:8">
      <c r="A214" s="58"/>
      <c r="B214" s="60" t="s">
        <v>664</v>
      </c>
      <c r="C214" s="60" t="s">
        <v>53</v>
      </c>
      <c r="D214" s="60">
        <v>1</v>
      </c>
      <c r="E214" s="60">
        <v>28.5</v>
      </c>
      <c r="F214" s="60"/>
      <c r="G214" s="60"/>
      <c r="H214" s="62">
        <f t="shared" ref="H214:H219" si="18">ROUND(PRODUCT(D214:G214),2)</f>
        <v>28.5</v>
      </c>
    </row>
    <row r="215" spans="1:8">
      <c r="A215" s="58"/>
      <c r="B215" s="60" t="s">
        <v>524</v>
      </c>
      <c r="C215" s="60" t="s">
        <v>53</v>
      </c>
      <c r="D215" s="60">
        <v>1</v>
      </c>
      <c r="E215" s="60">
        <v>27</v>
      </c>
      <c r="F215" s="60"/>
      <c r="G215" s="60"/>
      <c r="H215" s="62">
        <f t="shared" si="18"/>
        <v>27</v>
      </c>
    </row>
    <row r="216" spans="1:8">
      <c r="A216" s="58"/>
      <c r="B216" s="60" t="s">
        <v>525</v>
      </c>
      <c r="C216" s="60" t="s">
        <v>53</v>
      </c>
      <c r="D216" s="60">
        <v>1</v>
      </c>
      <c r="E216" s="60">
        <v>23</v>
      </c>
      <c r="F216" s="60"/>
      <c r="G216" s="60"/>
      <c r="H216" s="62">
        <f t="shared" si="18"/>
        <v>23</v>
      </c>
    </row>
    <row r="217" spans="1:8">
      <c r="A217" s="58"/>
      <c r="B217" s="60" t="s">
        <v>526</v>
      </c>
      <c r="C217" s="60" t="s">
        <v>53</v>
      </c>
      <c r="D217" s="60">
        <v>1</v>
      </c>
      <c r="E217" s="60">
        <v>30.5</v>
      </c>
      <c r="F217" s="60"/>
      <c r="G217" s="60"/>
      <c r="H217" s="62">
        <f t="shared" si="18"/>
        <v>30.5</v>
      </c>
    </row>
    <row r="218" spans="1:8">
      <c r="A218" s="58"/>
      <c r="B218" s="60" t="s">
        <v>527</v>
      </c>
      <c r="C218" s="60" t="s">
        <v>53</v>
      </c>
      <c r="D218" s="60">
        <v>1</v>
      </c>
      <c r="E218" s="60">
        <v>26</v>
      </c>
      <c r="F218" s="60"/>
      <c r="G218" s="60"/>
      <c r="H218" s="62">
        <f t="shared" si="18"/>
        <v>26</v>
      </c>
    </row>
    <row r="219" spans="1:8">
      <c r="A219" s="58"/>
      <c r="B219" s="60" t="s">
        <v>528</v>
      </c>
      <c r="C219" s="60" t="s">
        <v>53</v>
      </c>
      <c r="D219" s="60">
        <v>1</v>
      </c>
      <c r="E219" s="60">
        <v>33.5</v>
      </c>
      <c r="F219" s="60"/>
      <c r="G219" s="60"/>
      <c r="H219" s="62">
        <f t="shared" si="18"/>
        <v>33.5</v>
      </c>
    </row>
    <row r="220" spans="1:8">
      <c r="A220" s="58"/>
      <c r="B220" s="60"/>
      <c r="C220" s="60"/>
      <c r="D220" s="60"/>
      <c r="E220" s="60"/>
      <c r="F220" s="60"/>
      <c r="G220" s="77" t="s">
        <v>522</v>
      </c>
      <c r="H220" s="77">
        <f>SUM(H214:H219)</f>
        <v>168.5</v>
      </c>
    </row>
    <row r="221" spans="1:8">
      <c r="A221" s="58">
        <v>5</v>
      </c>
      <c r="B221" s="59" t="s">
        <v>265</v>
      </c>
      <c r="C221" s="60"/>
      <c r="D221" s="61"/>
      <c r="E221" s="61"/>
      <c r="F221" s="61"/>
      <c r="G221" s="61"/>
      <c r="H221" s="60"/>
    </row>
    <row r="222" spans="1:8">
      <c r="A222" s="58" t="s">
        <v>268</v>
      </c>
      <c r="B222" s="136" t="s">
        <v>269</v>
      </c>
      <c r="C222" s="60" t="s">
        <v>28</v>
      </c>
      <c r="D222" s="61"/>
      <c r="E222" s="61"/>
      <c r="F222" s="61"/>
      <c r="G222" s="61"/>
      <c r="H222" s="60"/>
    </row>
    <row r="223" spans="1:8">
      <c r="A223" s="58"/>
      <c r="B223" s="136" t="s">
        <v>665</v>
      </c>
      <c r="C223" s="60" t="s">
        <v>28</v>
      </c>
      <c r="D223" s="61">
        <v>2</v>
      </c>
      <c r="E223" s="61">
        <v>1</v>
      </c>
      <c r="F223" s="61"/>
      <c r="G223" s="61"/>
      <c r="H223" s="62">
        <f t="shared" ref="H223" si="19">ROUND(PRODUCT(D223:G223),2)</f>
        <v>2</v>
      </c>
    </row>
    <row r="224" spans="1:8">
      <c r="A224" s="58"/>
      <c r="B224" s="136"/>
      <c r="C224" s="60"/>
      <c r="D224" s="61"/>
      <c r="E224" s="61"/>
      <c r="F224" s="61"/>
      <c r="G224" s="77" t="s">
        <v>464</v>
      </c>
      <c r="H224" s="83">
        <f>SUM(H222:H223)</f>
        <v>2</v>
      </c>
    </row>
    <row r="225" spans="1:8">
      <c r="A225" s="58" t="s">
        <v>270</v>
      </c>
      <c r="B225" s="136" t="s">
        <v>271</v>
      </c>
      <c r="C225" s="60" t="s">
        <v>28</v>
      </c>
      <c r="D225" s="61"/>
      <c r="E225" s="61"/>
      <c r="F225" s="61"/>
      <c r="G225" s="61"/>
      <c r="H225" s="62"/>
    </row>
    <row r="226" spans="1:8">
      <c r="A226" s="58"/>
      <c r="B226" s="136" t="s">
        <v>666</v>
      </c>
      <c r="C226" s="60" t="s">
        <v>28</v>
      </c>
      <c r="D226" s="61">
        <v>3</v>
      </c>
      <c r="E226" s="61"/>
      <c r="F226" s="61"/>
      <c r="G226" s="61"/>
      <c r="H226" s="62">
        <f t="shared" ref="H226:H227" si="20">ROUND(PRODUCT(D226:G226),2)</f>
        <v>3</v>
      </c>
    </row>
    <row r="227" spans="1:8">
      <c r="A227" s="58"/>
      <c r="B227" s="136" t="s">
        <v>665</v>
      </c>
      <c r="C227" s="60" t="s">
        <v>28</v>
      </c>
      <c r="D227" s="61">
        <v>2</v>
      </c>
      <c r="E227" s="61">
        <v>8</v>
      </c>
      <c r="F227" s="61"/>
      <c r="G227" s="61"/>
      <c r="H227" s="62">
        <f t="shared" si="20"/>
        <v>16</v>
      </c>
    </row>
    <row r="228" spans="1:8">
      <c r="A228" s="58"/>
      <c r="B228" s="136"/>
      <c r="C228" s="60"/>
      <c r="D228" s="61"/>
      <c r="E228" s="61"/>
      <c r="F228" s="61"/>
      <c r="G228" s="77" t="s">
        <v>464</v>
      </c>
      <c r="H228" s="83">
        <f>SUM(H226:H227)</f>
        <v>19</v>
      </c>
    </row>
    <row r="229" spans="1:8">
      <c r="A229" s="58">
        <v>6</v>
      </c>
      <c r="B229" s="59" t="s">
        <v>282</v>
      </c>
      <c r="C229" s="60"/>
      <c r="D229" s="61"/>
      <c r="E229" s="61"/>
      <c r="F229" s="61"/>
      <c r="G229" s="61"/>
      <c r="H229" s="60"/>
    </row>
    <row r="230" spans="1:8">
      <c r="A230" s="58" t="s">
        <v>285</v>
      </c>
      <c r="B230" s="24" t="s">
        <v>286</v>
      </c>
      <c r="C230" s="60" t="s">
        <v>53</v>
      </c>
      <c r="D230" s="61">
        <v>2</v>
      </c>
      <c r="E230" s="61">
        <v>13</v>
      </c>
      <c r="F230" s="61"/>
      <c r="G230" s="61"/>
      <c r="H230" s="62">
        <f t="shared" ref="H230:H234" si="21">ROUND(PRODUCT(D230:G230),2)</f>
        <v>26</v>
      </c>
    </row>
    <row r="231" spans="1:8">
      <c r="A231" s="58"/>
      <c r="B231" s="60"/>
      <c r="C231" s="60"/>
      <c r="D231" s="61"/>
      <c r="E231" s="61"/>
      <c r="F231" s="61"/>
      <c r="G231" s="77" t="s">
        <v>464</v>
      </c>
      <c r="H231" s="83">
        <f>SUM(H229:H230)</f>
        <v>26</v>
      </c>
    </row>
    <row r="232" spans="1:8">
      <c r="A232" s="58">
        <v>7</v>
      </c>
      <c r="B232" s="87" t="s">
        <v>287</v>
      </c>
      <c r="C232" s="60"/>
      <c r="D232" s="60"/>
      <c r="E232" s="61"/>
      <c r="F232" s="61"/>
      <c r="G232" s="61"/>
      <c r="H232" s="60"/>
    </row>
    <row r="233" spans="1:8">
      <c r="A233" s="88" t="s">
        <v>289</v>
      </c>
      <c r="B233" s="138" t="s">
        <v>370</v>
      </c>
      <c r="C233" s="60" t="s">
        <v>28</v>
      </c>
      <c r="D233" s="61">
        <v>6</v>
      </c>
      <c r="E233" s="61"/>
      <c r="F233" s="61"/>
      <c r="G233" s="61"/>
      <c r="H233" s="83">
        <f t="shared" si="21"/>
        <v>6</v>
      </c>
    </row>
    <row r="234" spans="1:8">
      <c r="A234" s="88" t="s">
        <v>290</v>
      </c>
      <c r="B234" s="138" t="s">
        <v>371</v>
      </c>
      <c r="C234" s="60" t="s">
        <v>28</v>
      </c>
      <c r="D234" s="61">
        <v>3</v>
      </c>
      <c r="E234" s="61"/>
      <c r="F234" s="61"/>
      <c r="G234" s="61"/>
      <c r="H234" s="83">
        <f t="shared" si="21"/>
        <v>3</v>
      </c>
    </row>
    <row r="235" spans="1:8">
      <c r="A235" s="58">
        <v>8</v>
      </c>
      <c r="B235" s="28" t="s">
        <v>299</v>
      </c>
      <c r="C235" s="60"/>
      <c r="D235" s="60"/>
      <c r="E235" s="61"/>
      <c r="F235" s="61"/>
      <c r="G235" s="61"/>
      <c r="H235" s="60"/>
    </row>
    <row r="236" spans="1:8" ht="72">
      <c r="A236" s="32">
        <v>9.3000000000000007</v>
      </c>
      <c r="B236" s="33" t="s">
        <v>449</v>
      </c>
      <c r="C236" s="32" t="s">
        <v>47</v>
      </c>
      <c r="D236" s="60">
        <v>2</v>
      </c>
      <c r="E236" s="61"/>
      <c r="F236" s="61"/>
      <c r="G236" s="61"/>
      <c r="H236" s="83">
        <f t="shared" ref="H236:H243" si="22">ROUND(PRODUCT(D236:G236),2)</f>
        <v>2</v>
      </c>
    </row>
    <row r="237" spans="1:8" ht="24">
      <c r="A237" s="32">
        <v>10</v>
      </c>
      <c r="B237" s="33" t="s">
        <v>396</v>
      </c>
      <c r="C237" s="391" t="s">
        <v>397</v>
      </c>
      <c r="D237" s="60"/>
      <c r="E237" s="61"/>
      <c r="F237" s="61"/>
      <c r="G237" s="61"/>
      <c r="H237" s="60"/>
    </row>
    <row r="238" spans="1:8">
      <c r="A238" s="392"/>
      <c r="B238" s="60" t="s">
        <v>667</v>
      </c>
      <c r="C238" s="391" t="s">
        <v>397</v>
      </c>
      <c r="D238" s="60">
        <v>1</v>
      </c>
      <c r="E238" s="60">
        <f>1+1+2.5</f>
        <v>4.5</v>
      </c>
      <c r="F238" s="60"/>
      <c r="G238" s="60"/>
      <c r="H238" s="62">
        <f t="shared" si="22"/>
        <v>4.5</v>
      </c>
    </row>
    <row r="239" spans="1:8">
      <c r="A239" s="392"/>
      <c r="B239" s="60" t="s">
        <v>668</v>
      </c>
      <c r="C239" s="391" t="s">
        <v>397</v>
      </c>
      <c r="D239" s="60"/>
      <c r="E239" s="60"/>
      <c r="F239" s="60"/>
      <c r="G239" s="60"/>
      <c r="H239" s="62">
        <f t="shared" si="22"/>
        <v>0</v>
      </c>
    </row>
    <row r="240" spans="1:8">
      <c r="A240" s="392"/>
      <c r="B240" s="60" t="s">
        <v>669</v>
      </c>
      <c r="C240" s="391" t="s">
        <v>397</v>
      </c>
      <c r="D240" s="60"/>
      <c r="E240" s="60"/>
      <c r="F240" s="60"/>
      <c r="G240" s="60"/>
      <c r="H240" s="62">
        <f t="shared" si="22"/>
        <v>0</v>
      </c>
    </row>
    <row r="241" spans="1:8">
      <c r="A241" s="392"/>
      <c r="B241" s="60" t="s">
        <v>670</v>
      </c>
      <c r="C241" s="391" t="s">
        <v>397</v>
      </c>
      <c r="D241" s="60"/>
      <c r="E241" s="60"/>
      <c r="F241" s="60"/>
      <c r="G241" s="60"/>
      <c r="H241" s="62">
        <f t="shared" si="22"/>
        <v>0</v>
      </c>
    </row>
    <row r="242" spans="1:8">
      <c r="A242" s="392"/>
      <c r="B242" s="60" t="s">
        <v>671</v>
      </c>
      <c r="C242" s="391" t="s">
        <v>397</v>
      </c>
      <c r="D242" s="60">
        <v>1</v>
      </c>
      <c r="E242" s="60">
        <f>2+4+2</f>
        <v>8</v>
      </c>
      <c r="F242" s="60"/>
      <c r="G242" s="60"/>
      <c r="H242" s="62">
        <f t="shared" si="22"/>
        <v>8</v>
      </c>
    </row>
    <row r="243" spans="1:8">
      <c r="A243" s="392"/>
      <c r="B243" s="60" t="s">
        <v>672</v>
      </c>
      <c r="C243" s="391" t="s">
        <v>397</v>
      </c>
      <c r="D243" s="60">
        <v>1</v>
      </c>
      <c r="E243" s="60">
        <f>1+8+6+1.5</f>
        <v>16.5</v>
      </c>
      <c r="F243" s="60"/>
      <c r="G243" s="60"/>
      <c r="H243" s="62">
        <f t="shared" si="22"/>
        <v>16.5</v>
      </c>
    </row>
    <row r="244" spans="1:8">
      <c r="A244" s="392"/>
      <c r="B244" s="393"/>
      <c r="C244" s="91"/>
      <c r="D244" s="60"/>
      <c r="E244" s="61"/>
      <c r="F244" s="61"/>
      <c r="G244" s="137" t="s">
        <v>464</v>
      </c>
      <c r="H244" s="83">
        <f>SUM(H238:H243)</f>
        <v>29</v>
      </c>
    </row>
    <row r="245" spans="1:8">
      <c r="A245" s="392"/>
      <c r="B245" s="393"/>
      <c r="C245" s="91"/>
      <c r="D245" s="60"/>
      <c r="E245" s="61"/>
      <c r="F245" s="61"/>
      <c r="G245" s="137"/>
      <c r="H245" s="83"/>
    </row>
    <row r="246" spans="1:8" ht="26.25">
      <c r="A246" s="845" t="s">
        <v>539</v>
      </c>
      <c r="B246" s="845"/>
      <c r="C246" s="845"/>
      <c r="D246" s="845"/>
      <c r="E246" s="845"/>
      <c r="F246" s="845"/>
      <c r="G246" s="845"/>
      <c r="H246" s="845"/>
    </row>
    <row r="247" spans="1:8">
      <c r="A247" s="58">
        <v>1</v>
      </c>
      <c r="B247" s="59" t="s">
        <v>540</v>
      </c>
      <c r="C247" s="60" t="s">
        <v>28</v>
      </c>
      <c r="D247" s="61">
        <v>1</v>
      </c>
      <c r="E247" s="61"/>
      <c r="F247" s="61"/>
      <c r="G247" s="61"/>
      <c r="H247" s="83">
        <f>D247</f>
        <v>1</v>
      </c>
    </row>
    <row r="248" spans="1:8">
      <c r="A248" s="392"/>
      <c r="B248" s="393"/>
      <c r="C248" s="91"/>
      <c r="D248" s="60"/>
      <c r="E248" s="61"/>
      <c r="F248" s="61"/>
      <c r="G248" s="60"/>
      <c r="H248" s="60"/>
    </row>
    <row r="249" spans="1:8" ht="38.25">
      <c r="A249" s="91">
        <v>3</v>
      </c>
      <c r="B249" s="93" t="s">
        <v>302</v>
      </c>
      <c r="C249" s="91"/>
      <c r="D249" s="60"/>
      <c r="E249" s="61"/>
      <c r="F249" s="61"/>
      <c r="G249" s="60"/>
      <c r="H249" s="60"/>
    </row>
    <row r="250" spans="1:8">
      <c r="A250" s="392"/>
      <c r="B250" s="60" t="s">
        <v>686</v>
      </c>
      <c r="C250" s="60"/>
      <c r="D250" s="60">
        <v>3</v>
      </c>
      <c r="E250" s="60">
        <f>1+1+5+6+2+2+5+2+6+4</f>
        <v>34</v>
      </c>
      <c r="F250" s="60"/>
      <c r="G250" s="60"/>
      <c r="H250" s="60">
        <f>D250*E250</f>
        <v>102</v>
      </c>
    </row>
    <row r="251" spans="1:8">
      <c r="A251" s="392"/>
      <c r="B251" s="60" t="s">
        <v>687</v>
      </c>
      <c r="C251" s="60"/>
      <c r="D251" s="60">
        <v>4</v>
      </c>
      <c r="E251" s="60">
        <f>1+1+6+2+2+5+2+6+4</f>
        <v>29</v>
      </c>
      <c r="F251" s="60"/>
      <c r="G251" s="60"/>
      <c r="H251" s="60">
        <f>D251*E251</f>
        <v>116</v>
      </c>
    </row>
    <row r="252" spans="1:8">
      <c r="A252" s="392"/>
      <c r="B252" s="60"/>
      <c r="C252" s="60"/>
      <c r="D252" s="60"/>
      <c r="E252" s="60"/>
      <c r="F252" s="60"/>
      <c r="G252" s="77" t="s">
        <v>522</v>
      </c>
      <c r="H252" s="77">
        <f>SUM(H250:H251)</f>
        <v>218</v>
      </c>
    </row>
    <row r="253" spans="1:8">
      <c r="A253" s="392"/>
      <c r="B253" s="393"/>
      <c r="C253" s="91"/>
      <c r="D253" s="60"/>
      <c r="E253" s="61"/>
      <c r="F253" s="61"/>
      <c r="G253" s="60"/>
      <c r="H253" s="60"/>
    </row>
    <row r="254" spans="1:8">
      <c r="A254" s="392"/>
      <c r="B254" s="393"/>
      <c r="C254" s="91"/>
      <c r="D254" s="60"/>
      <c r="E254" s="61"/>
      <c r="F254" s="61"/>
      <c r="G254" s="60"/>
      <c r="H254" s="60"/>
    </row>
    <row r="255" spans="1:8">
      <c r="A255" s="58" t="s">
        <v>49</v>
      </c>
      <c r="B255" s="146" t="s">
        <v>352</v>
      </c>
      <c r="C255" s="60"/>
      <c r="D255" s="60"/>
      <c r="E255" s="61"/>
      <c r="F255" s="61"/>
      <c r="G255" s="61"/>
      <c r="H255" s="60"/>
    </row>
    <row r="256" spans="1:8">
      <c r="A256" s="58" t="s">
        <v>27</v>
      </c>
      <c r="B256" s="38" t="s">
        <v>304</v>
      </c>
      <c r="C256" s="60"/>
      <c r="D256" s="60"/>
      <c r="E256" s="61"/>
      <c r="F256" s="61"/>
      <c r="G256" s="61"/>
      <c r="H256" s="60"/>
    </row>
    <row r="257" spans="1:8">
      <c r="A257" s="58">
        <v>1.1000000000000001</v>
      </c>
      <c r="B257" s="60"/>
      <c r="C257" s="60" t="s">
        <v>48</v>
      </c>
      <c r="D257" s="60"/>
      <c r="E257" s="61"/>
      <c r="F257" s="61"/>
      <c r="G257" s="61"/>
      <c r="H257" s="60"/>
    </row>
    <row r="258" spans="1:8">
      <c r="A258" s="58"/>
      <c r="B258" s="60"/>
      <c r="C258" s="60"/>
      <c r="D258" s="60"/>
      <c r="E258" s="61"/>
      <c r="F258" s="61"/>
      <c r="G258" s="61"/>
      <c r="H258" s="60"/>
    </row>
    <row r="259" spans="1:8">
      <c r="A259" s="58">
        <v>2</v>
      </c>
      <c r="B259" s="38" t="s">
        <v>307</v>
      </c>
      <c r="C259" s="60"/>
      <c r="D259" s="60"/>
      <c r="E259" s="61"/>
      <c r="F259" s="61"/>
      <c r="G259" s="61"/>
      <c r="H259" s="60"/>
    </row>
    <row r="260" spans="1:8">
      <c r="A260" s="58">
        <v>2.1</v>
      </c>
      <c r="B260" s="60"/>
      <c r="C260" s="60" t="s">
        <v>48</v>
      </c>
      <c r="D260" s="60"/>
      <c r="E260" s="61"/>
      <c r="F260" s="61"/>
      <c r="G260" s="61"/>
      <c r="H260" s="60"/>
    </row>
    <row r="261" spans="1:8">
      <c r="A261" s="58"/>
      <c r="B261" s="60"/>
      <c r="C261" s="60"/>
      <c r="D261" s="60"/>
      <c r="E261" s="61"/>
      <c r="F261" s="61"/>
      <c r="G261" s="61"/>
      <c r="H261" s="60"/>
    </row>
    <row r="262" spans="1:8">
      <c r="A262" s="58" t="s">
        <v>24</v>
      </c>
      <c r="B262" s="38" t="s">
        <v>310</v>
      </c>
      <c r="C262" s="60"/>
      <c r="D262" s="60"/>
      <c r="E262" s="61"/>
      <c r="F262" s="61"/>
      <c r="G262" s="61"/>
      <c r="H262" s="60"/>
    </row>
    <row r="263" spans="1:8">
      <c r="A263" s="58">
        <v>1</v>
      </c>
      <c r="B263" s="40" t="s">
        <v>313</v>
      </c>
      <c r="C263" s="60" t="s">
        <v>463</v>
      </c>
      <c r="D263" s="60"/>
      <c r="E263" s="61"/>
      <c r="F263" s="61"/>
      <c r="G263" s="61"/>
      <c r="H263" s="60"/>
    </row>
    <row r="264" spans="1:8">
      <c r="A264" s="58"/>
      <c r="B264" s="40" t="s">
        <v>315</v>
      </c>
      <c r="C264" s="60" t="s">
        <v>463</v>
      </c>
      <c r="D264" s="60"/>
      <c r="E264" s="61"/>
      <c r="F264" s="61"/>
      <c r="G264" s="61"/>
      <c r="H264" s="60"/>
    </row>
    <row r="265" spans="1:8">
      <c r="A265" s="58"/>
      <c r="B265" s="40" t="s">
        <v>316</v>
      </c>
      <c r="C265" s="60" t="s">
        <v>463</v>
      </c>
      <c r="D265" s="60"/>
      <c r="E265" s="61"/>
      <c r="F265" s="61"/>
      <c r="G265" s="61"/>
      <c r="H265" s="60"/>
    </row>
    <row r="266" spans="1:8">
      <c r="A266" s="58"/>
      <c r="B266" s="40" t="s">
        <v>317</v>
      </c>
      <c r="C266" s="60" t="s">
        <v>463</v>
      </c>
      <c r="D266" s="60"/>
      <c r="E266" s="61"/>
      <c r="F266" s="61"/>
      <c r="G266" s="61"/>
      <c r="H266" s="60"/>
    </row>
    <row r="267" spans="1:8">
      <c r="A267" s="58"/>
      <c r="B267" s="40" t="s">
        <v>318</v>
      </c>
      <c r="C267" s="60" t="s">
        <v>463</v>
      </c>
      <c r="D267" s="60"/>
      <c r="E267" s="61"/>
      <c r="F267" s="61"/>
      <c r="G267" s="61"/>
      <c r="H267" s="60"/>
    </row>
    <row r="268" spans="1:8">
      <c r="A268" s="58"/>
      <c r="B268" s="39"/>
      <c r="C268" s="60"/>
      <c r="D268" s="60"/>
      <c r="E268" s="61"/>
      <c r="F268" s="61"/>
      <c r="G268" s="61"/>
      <c r="H268" s="60"/>
    </row>
    <row r="269" spans="1:8">
      <c r="A269" s="58">
        <v>2</v>
      </c>
      <c r="B269" s="40" t="s">
        <v>313</v>
      </c>
      <c r="C269" s="60" t="s">
        <v>463</v>
      </c>
      <c r="D269" s="60"/>
      <c r="E269" s="61"/>
      <c r="F269" s="61"/>
      <c r="G269" s="61"/>
      <c r="H269" s="60"/>
    </row>
    <row r="270" spans="1:8">
      <c r="A270" s="58"/>
      <c r="B270" s="40" t="s">
        <v>315</v>
      </c>
      <c r="C270" s="60" t="s">
        <v>463</v>
      </c>
      <c r="D270" s="60"/>
      <c r="E270" s="61"/>
      <c r="F270" s="61"/>
      <c r="G270" s="61"/>
      <c r="H270" s="60"/>
    </row>
    <row r="271" spans="1:8">
      <c r="A271" s="58"/>
      <c r="B271" s="40" t="s">
        <v>316</v>
      </c>
      <c r="C271" s="60" t="s">
        <v>463</v>
      </c>
      <c r="D271" s="60"/>
      <c r="E271" s="61"/>
      <c r="F271" s="61"/>
      <c r="G271" s="61"/>
      <c r="H271" s="60"/>
    </row>
    <row r="272" spans="1:8">
      <c r="A272" s="58"/>
      <c r="B272" s="40" t="s">
        <v>317</v>
      </c>
      <c r="C272" s="60" t="s">
        <v>463</v>
      </c>
      <c r="D272" s="60"/>
      <c r="E272" s="61"/>
      <c r="F272" s="61"/>
      <c r="G272" s="61"/>
      <c r="H272" s="60"/>
    </row>
    <row r="273" spans="1:8">
      <c r="A273" s="58"/>
      <c r="B273" s="60"/>
      <c r="C273" s="60"/>
      <c r="D273" s="60"/>
      <c r="E273" s="61"/>
      <c r="F273" s="61"/>
      <c r="G273" s="61"/>
      <c r="H273" s="60"/>
    </row>
    <row r="274" spans="1:8">
      <c r="A274" s="58">
        <v>3</v>
      </c>
      <c r="B274" s="60"/>
      <c r="C274" s="60" t="s">
        <v>463</v>
      </c>
      <c r="D274" s="60"/>
      <c r="E274" s="61"/>
      <c r="F274" s="61"/>
      <c r="G274" s="61"/>
      <c r="H274" s="60"/>
    </row>
    <row r="275" spans="1:8">
      <c r="A275" s="58">
        <v>4</v>
      </c>
      <c r="B275" s="60"/>
      <c r="C275" s="60" t="s">
        <v>463</v>
      </c>
      <c r="D275" s="60"/>
      <c r="E275" s="61"/>
      <c r="F275" s="61"/>
      <c r="G275" s="61"/>
      <c r="H275" s="60"/>
    </row>
    <row r="276" spans="1:8">
      <c r="A276" s="58">
        <v>5</v>
      </c>
      <c r="B276" s="60"/>
      <c r="C276" s="60" t="s">
        <v>28</v>
      </c>
      <c r="D276" s="60"/>
      <c r="E276" s="61"/>
      <c r="F276" s="61"/>
      <c r="G276" s="61"/>
      <c r="H276" s="60"/>
    </row>
    <row r="277" spans="1:8">
      <c r="A277" s="58">
        <v>6</v>
      </c>
      <c r="B277" s="60"/>
      <c r="C277" s="60" t="s">
        <v>463</v>
      </c>
      <c r="D277" s="60"/>
      <c r="E277" s="61"/>
      <c r="F277" s="61"/>
      <c r="G277" s="61"/>
      <c r="H277" s="60"/>
    </row>
    <row r="278" spans="1:8">
      <c r="A278" s="58">
        <v>7</v>
      </c>
      <c r="B278" s="60"/>
      <c r="C278" s="60" t="s">
        <v>463</v>
      </c>
      <c r="D278" s="60"/>
      <c r="E278" s="61"/>
      <c r="F278" s="61"/>
      <c r="G278" s="61"/>
      <c r="H278" s="60"/>
    </row>
    <row r="279" spans="1:8">
      <c r="A279" s="58"/>
      <c r="B279" s="60"/>
      <c r="C279" s="60"/>
      <c r="D279" s="60"/>
      <c r="E279" s="61"/>
      <c r="F279" s="61"/>
      <c r="G279" s="61"/>
      <c r="H279" s="60"/>
    </row>
    <row r="280" spans="1:8">
      <c r="A280" s="58" t="s">
        <v>46</v>
      </c>
      <c r="B280" s="42" t="s">
        <v>54</v>
      </c>
      <c r="C280" s="60"/>
      <c r="D280" s="60"/>
      <c r="E280" s="61"/>
      <c r="F280" s="61"/>
      <c r="G280" s="61"/>
      <c r="H280" s="60"/>
    </row>
    <row r="281" spans="1:8">
      <c r="A281" s="58">
        <v>1</v>
      </c>
      <c r="B281" s="60"/>
      <c r="C281" s="60"/>
      <c r="D281" s="60"/>
      <c r="E281" s="61"/>
      <c r="F281" s="61"/>
      <c r="G281" s="61"/>
      <c r="H281" s="60"/>
    </row>
    <row r="282" spans="1:8">
      <c r="A282" s="58"/>
      <c r="B282" s="40" t="s">
        <v>326</v>
      </c>
      <c r="C282" s="60" t="s">
        <v>463</v>
      </c>
      <c r="D282" s="60"/>
      <c r="E282" s="61"/>
      <c r="F282" s="61"/>
      <c r="G282" s="61"/>
      <c r="H282" s="60"/>
    </row>
    <row r="283" spans="1:8">
      <c r="A283" s="58"/>
      <c r="B283" s="60"/>
      <c r="C283" s="60"/>
      <c r="D283" s="60"/>
      <c r="E283" s="61"/>
      <c r="F283" s="61"/>
      <c r="G283" s="61"/>
      <c r="H283" s="60"/>
    </row>
    <row r="284" spans="1:8">
      <c r="A284" s="58" t="s">
        <v>45</v>
      </c>
      <c r="B284" s="43" t="s">
        <v>327</v>
      </c>
      <c r="C284" s="60"/>
      <c r="D284" s="60"/>
      <c r="E284" s="61"/>
      <c r="F284" s="61"/>
      <c r="G284" s="61"/>
      <c r="H284" s="60"/>
    </row>
    <row r="285" spans="1:8">
      <c r="A285" s="58">
        <v>1</v>
      </c>
      <c r="B285" s="147" t="s">
        <v>328</v>
      </c>
      <c r="C285" s="60"/>
      <c r="D285" s="60"/>
      <c r="E285" s="61"/>
      <c r="F285" s="61"/>
      <c r="G285" s="61"/>
      <c r="H285" s="60"/>
    </row>
    <row r="286" spans="1:8">
      <c r="A286" s="58" t="s">
        <v>13</v>
      </c>
      <c r="B286" s="60"/>
      <c r="C286" s="60"/>
      <c r="D286" s="60"/>
      <c r="E286" s="61"/>
      <c r="F286" s="61"/>
      <c r="G286" s="61"/>
      <c r="H286" s="60"/>
    </row>
    <row r="287" spans="1:8">
      <c r="A287" s="58" t="s">
        <v>14</v>
      </c>
      <c r="B287" s="60"/>
      <c r="C287" s="60"/>
      <c r="D287" s="60"/>
      <c r="E287" s="61"/>
      <c r="F287" s="61"/>
      <c r="G287" s="61"/>
      <c r="H287" s="60"/>
    </row>
    <row r="288" spans="1:8">
      <c r="A288" s="58" t="s">
        <v>15</v>
      </c>
      <c r="B288" s="60"/>
      <c r="C288" s="60"/>
      <c r="D288" s="60"/>
      <c r="E288" s="61"/>
      <c r="F288" s="61"/>
      <c r="G288" s="61"/>
      <c r="H288" s="60"/>
    </row>
    <row r="289" spans="1:8">
      <c r="A289" s="58" t="s">
        <v>29</v>
      </c>
      <c r="B289" s="60"/>
      <c r="C289" s="60"/>
      <c r="D289" s="60"/>
      <c r="E289" s="61"/>
      <c r="F289" s="61"/>
      <c r="G289" s="61"/>
      <c r="H289" s="60"/>
    </row>
    <row r="290" spans="1:8">
      <c r="A290" s="58" t="s">
        <v>30</v>
      </c>
      <c r="B290" s="60"/>
      <c r="C290" s="60"/>
      <c r="D290" s="60"/>
      <c r="E290" s="61"/>
      <c r="F290" s="61"/>
      <c r="G290" s="61"/>
      <c r="H290" s="60"/>
    </row>
    <row r="291" spans="1:8">
      <c r="A291" s="58" t="s">
        <v>32</v>
      </c>
      <c r="B291" s="60"/>
      <c r="C291" s="60"/>
      <c r="D291" s="60"/>
      <c r="E291" s="61"/>
      <c r="F291" s="61"/>
      <c r="G291" s="61"/>
      <c r="H291" s="60"/>
    </row>
    <row r="292" spans="1:8">
      <c r="A292" s="58" t="s">
        <v>33</v>
      </c>
      <c r="B292" s="60"/>
      <c r="C292" s="60"/>
      <c r="D292" s="60"/>
      <c r="E292" s="61"/>
      <c r="F292" s="61"/>
      <c r="G292" s="61"/>
      <c r="H292" s="60"/>
    </row>
    <row r="293" spans="1:8">
      <c r="A293" s="58" t="s">
        <v>34</v>
      </c>
      <c r="B293" s="60"/>
      <c r="C293" s="60"/>
      <c r="D293" s="60"/>
      <c r="E293" s="61"/>
      <c r="F293" s="61"/>
      <c r="G293" s="61"/>
      <c r="H293" s="60"/>
    </row>
    <row r="294" spans="1:8">
      <c r="A294" s="58" t="s">
        <v>35</v>
      </c>
      <c r="B294" s="60"/>
      <c r="C294" s="60"/>
      <c r="D294" s="60"/>
      <c r="E294" s="61"/>
      <c r="F294" s="61"/>
      <c r="G294" s="61"/>
      <c r="H294" s="60"/>
    </row>
    <row r="295" spans="1:8">
      <c r="A295" s="58"/>
      <c r="B295" s="148" t="s">
        <v>350</v>
      </c>
      <c r="C295" s="148" t="s">
        <v>48</v>
      </c>
      <c r="D295" s="60"/>
      <c r="E295" s="61"/>
      <c r="F295" s="61"/>
      <c r="G295" s="61"/>
      <c r="H295" s="60"/>
    </row>
    <row r="296" spans="1:8">
      <c r="A296" s="58"/>
      <c r="B296" s="148" t="s">
        <v>351</v>
      </c>
      <c r="C296" s="148" t="s">
        <v>48</v>
      </c>
      <c r="D296" s="60"/>
      <c r="E296" s="61"/>
      <c r="F296" s="61"/>
      <c r="G296" s="61"/>
      <c r="H296" s="60"/>
    </row>
  </sheetData>
  <mergeCells count="6">
    <mergeCell ref="A246:H246"/>
    <mergeCell ref="A1:G1"/>
    <mergeCell ref="A2:G2"/>
    <mergeCell ref="A3:G3"/>
    <mergeCell ref="A4:G4"/>
    <mergeCell ref="A138:H1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44"/>
  <sheetViews>
    <sheetView tabSelected="1" topLeftCell="A146" zoomScale="84" zoomScaleNormal="84" workbookViewId="0">
      <selection activeCell="F73" sqref="F73"/>
    </sheetView>
  </sheetViews>
  <sheetFormatPr defaultColWidth="9.140625" defaultRowHeight="12"/>
  <cols>
    <col min="1" max="1" width="10.85546875" style="6" bestFit="1" customWidth="1"/>
    <col min="2" max="2" width="17.85546875" style="5" bestFit="1" customWidth="1"/>
    <col min="3" max="3" width="65.28515625" style="5" customWidth="1"/>
    <col min="4" max="4" width="11.85546875" style="6" bestFit="1" customWidth="1"/>
    <col min="5" max="5" width="11.28515625" style="47" customWidth="1"/>
    <col min="6" max="6" width="11.28515625" style="704" customWidth="1"/>
    <col min="7" max="7" width="11.28515625" style="47" customWidth="1"/>
    <col min="8" max="8" width="13.85546875" style="47" bestFit="1" customWidth="1"/>
    <col min="9" max="9" width="12.42578125" style="162" bestFit="1" customWidth="1"/>
    <col min="10" max="16384" width="9.140625" style="1"/>
  </cols>
  <sheetData>
    <row r="1" spans="1:9" ht="12" customHeight="1">
      <c r="A1" s="868" t="s">
        <v>386</v>
      </c>
      <c r="B1" s="868"/>
      <c r="C1" s="868"/>
      <c r="D1" s="868"/>
      <c r="E1" s="868"/>
      <c r="F1" s="868"/>
      <c r="G1" s="868"/>
      <c r="H1" s="868"/>
      <c r="I1" s="163"/>
    </row>
    <row r="2" spans="1:9">
      <c r="A2" s="153" t="s">
        <v>27</v>
      </c>
      <c r="B2" s="154" t="s">
        <v>187</v>
      </c>
      <c r="C2" s="155"/>
      <c r="D2" s="156"/>
      <c r="E2" s="151"/>
      <c r="F2" s="661"/>
      <c r="G2" s="152"/>
      <c r="H2" s="152"/>
      <c r="I2" s="163"/>
    </row>
    <row r="3" spans="1:9" ht="12.75">
      <c r="A3" s="165" t="s">
        <v>0</v>
      </c>
      <c r="B3" s="165" t="s">
        <v>1</v>
      </c>
      <c r="C3" s="165" t="s">
        <v>2</v>
      </c>
      <c r="D3" s="165" t="s">
        <v>3</v>
      </c>
      <c r="E3" s="166" t="s">
        <v>624</v>
      </c>
      <c r="F3" s="662" t="s">
        <v>558</v>
      </c>
      <c r="G3" s="166" t="s">
        <v>623</v>
      </c>
      <c r="H3" s="167" t="s">
        <v>625</v>
      </c>
      <c r="I3" s="214" t="s">
        <v>559</v>
      </c>
    </row>
    <row r="4" spans="1:9" ht="24">
      <c r="A4" s="168">
        <v>1</v>
      </c>
      <c r="B4" s="169" t="s">
        <v>405</v>
      </c>
      <c r="C4" s="72" t="s">
        <v>410</v>
      </c>
      <c r="D4" s="170" t="s">
        <v>406</v>
      </c>
      <c r="E4" s="171">
        <v>1</v>
      </c>
      <c r="F4" s="663">
        <f>'MB Gianis''s'!H6</f>
        <v>1</v>
      </c>
      <c r="G4" s="171">
        <v>8700</v>
      </c>
      <c r="H4" s="209">
        <f>$E4*G4</f>
        <v>8700</v>
      </c>
      <c r="I4" s="217">
        <f>G4*F4</f>
        <v>8700</v>
      </c>
    </row>
    <row r="5" spans="1:9" ht="24" customHeight="1">
      <c r="A5" s="173" t="s">
        <v>22</v>
      </c>
      <c r="B5" s="169"/>
      <c r="C5" s="169"/>
      <c r="D5" s="174"/>
      <c r="E5" s="175"/>
      <c r="F5" s="664"/>
      <c r="G5" s="175">
        <v>0</v>
      </c>
      <c r="H5" s="218"/>
      <c r="I5" s="217"/>
    </row>
    <row r="6" spans="1:9" ht="72">
      <c r="A6" s="168">
        <v>2</v>
      </c>
      <c r="B6" s="176" t="s">
        <v>355</v>
      </c>
      <c r="C6" s="177" t="s">
        <v>356</v>
      </c>
      <c r="D6" s="170" t="s">
        <v>25</v>
      </c>
      <c r="E6" s="171" t="s">
        <v>31</v>
      </c>
      <c r="F6" s="663"/>
      <c r="G6" s="171">
        <v>98</v>
      </c>
      <c r="H6" s="209"/>
      <c r="I6" s="217"/>
    </row>
    <row r="7" spans="1:9">
      <c r="A7" s="168">
        <v>3</v>
      </c>
      <c r="B7" s="178" t="s">
        <v>354</v>
      </c>
      <c r="C7" s="179" t="e">
        <f>GIANIS!#REF!</f>
        <v>#REF!</v>
      </c>
      <c r="D7" s="170" t="s">
        <v>25</v>
      </c>
      <c r="E7" s="171">
        <v>10</v>
      </c>
      <c r="F7" s="663">
        <f>'MB Gianis''s'!H11</f>
        <v>25.403039999999997</v>
      </c>
      <c r="G7" s="171">
        <v>110</v>
      </c>
      <c r="H7" s="209">
        <f t="shared" ref="H7:H8" si="0">$E7*G7</f>
        <v>1100</v>
      </c>
      <c r="I7" s="217">
        <f t="shared" ref="I7:I60" si="1">G7*F7</f>
        <v>2794.3343999999997</v>
      </c>
    </row>
    <row r="8" spans="1:9" ht="60">
      <c r="A8" s="168">
        <v>4</v>
      </c>
      <c r="B8" s="180" t="s">
        <v>16</v>
      </c>
      <c r="C8" s="72" t="s">
        <v>411</v>
      </c>
      <c r="D8" s="170" t="s">
        <v>25</v>
      </c>
      <c r="E8" s="171">
        <v>20</v>
      </c>
      <c r="F8" s="663">
        <f>'MB Gianis''s'!H21</f>
        <v>116.9074</v>
      </c>
      <c r="G8" s="171">
        <v>26</v>
      </c>
      <c r="H8" s="209">
        <f t="shared" si="0"/>
        <v>520</v>
      </c>
      <c r="I8" s="217">
        <f t="shared" si="1"/>
        <v>3039.5924</v>
      </c>
    </row>
    <row r="9" spans="1:9">
      <c r="A9" s="168">
        <v>5</v>
      </c>
      <c r="B9" s="180"/>
      <c r="C9" s="181" t="s">
        <v>353</v>
      </c>
      <c r="D9" s="170"/>
      <c r="E9" s="171"/>
      <c r="F9" s="663"/>
      <c r="G9" s="171">
        <v>0</v>
      </c>
      <c r="H9" s="209"/>
      <c r="I9" s="217"/>
    </row>
    <row r="10" spans="1:9" ht="60">
      <c r="A10" s="168">
        <v>6</v>
      </c>
      <c r="B10" s="180" t="s">
        <v>17</v>
      </c>
      <c r="C10" s="72" t="s">
        <v>412</v>
      </c>
      <c r="D10" s="170" t="s">
        <v>25</v>
      </c>
      <c r="E10" s="171">
        <v>100</v>
      </c>
      <c r="F10" s="663">
        <f>'MB Gianis''s'!H25</f>
        <v>87.618960000000001</v>
      </c>
      <c r="G10" s="171">
        <v>45</v>
      </c>
      <c r="H10" s="209">
        <f>$E10*G10</f>
        <v>4500</v>
      </c>
      <c r="I10" s="217">
        <f t="shared" si="1"/>
        <v>3942.8532</v>
      </c>
    </row>
    <row r="11" spans="1:9" ht="36">
      <c r="A11" s="168">
        <v>7</v>
      </c>
      <c r="B11" s="180" t="s">
        <v>18</v>
      </c>
      <c r="C11" s="182" t="s">
        <v>413</v>
      </c>
      <c r="D11" s="170" t="s">
        <v>25</v>
      </c>
      <c r="E11" s="171">
        <v>0</v>
      </c>
      <c r="F11" s="663"/>
      <c r="G11" s="171">
        <v>80</v>
      </c>
      <c r="H11" s="209"/>
      <c r="I11" s="217"/>
    </row>
    <row r="12" spans="1:9" ht="84">
      <c r="A12" s="168">
        <v>8</v>
      </c>
      <c r="B12" s="180" t="s">
        <v>19</v>
      </c>
      <c r="C12" s="72" t="s">
        <v>20</v>
      </c>
      <c r="D12" s="170"/>
      <c r="E12" s="171"/>
      <c r="F12" s="663"/>
      <c r="G12" s="171">
        <v>0</v>
      </c>
      <c r="H12" s="209"/>
      <c r="I12" s="217"/>
    </row>
    <row r="13" spans="1:9">
      <c r="A13" s="168"/>
      <c r="B13" s="169"/>
      <c r="C13" s="72" t="s">
        <v>21</v>
      </c>
      <c r="D13" s="170" t="s">
        <v>25</v>
      </c>
      <c r="E13" s="171">
        <v>0</v>
      </c>
      <c r="F13" s="663"/>
      <c r="G13" s="171">
        <v>72</v>
      </c>
      <c r="H13" s="209"/>
      <c r="I13" s="217"/>
    </row>
    <row r="14" spans="1:9" ht="60">
      <c r="A14" s="168">
        <v>9</v>
      </c>
      <c r="B14" s="183" t="s">
        <v>7</v>
      </c>
      <c r="C14" s="184" t="s">
        <v>84</v>
      </c>
      <c r="D14" s="185"/>
      <c r="E14" s="186"/>
      <c r="F14" s="665"/>
      <c r="G14" s="186">
        <v>0</v>
      </c>
      <c r="H14" s="190"/>
      <c r="I14" s="217"/>
    </row>
    <row r="15" spans="1:9">
      <c r="A15" s="187"/>
      <c r="B15" s="187"/>
      <c r="C15" s="184" t="s">
        <v>10</v>
      </c>
      <c r="D15" s="169" t="s">
        <v>362</v>
      </c>
      <c r="E15" s="188">
        <v>40</v>
      </c>
      <c r="F15" s="666">
        <f>'MB Gianis''s'!H29</f>
        <v>37.621600000000001</v>
      </c>
      <c r="G15" s="188">
        <v>63</v>
      </c>
      <c r="H15" s="209">
        <f t="shared" ref="H15:H16" si="2">$E15*G15</f>
        <v>2520</v>
      </c>
      <c r="I15" s="217">
        <f t="shared" si="1"/>
        <v>2370.1608000000001</v>
      </c>
    </row>
    <row r="16" spans="1:9" ht="48">
      <c r="A16" s="168">
        <v>10</v>
      </c>
      <c r="B16" s="183" t="s">
        <v>407</v>
      </c>
      <c r="C16" s="183" t="s">
        <v>387</v>
      </c>
      <c r="D16" s="170" t="s">
        <v>362</v>
      </c>
      <c r="E16" s="171">
        <v>10</v>
      </c>
      <c r="F16" s="663"/>
      <c r="G16" s="171">
        <v>270</v>
      </c>
      <c r="H16" s="209">
        <f t="shared" si="2"/>
        <v>2700</v>
      </c>
      <c r="I16" s="217"/>
    </row>
    <row r="17" spans="1:9" ht="120">
      <c r="A17" s="168">
        <v>11</v>
      </c>
      <c r="B17" s="183" t="s">
        <v>357</v>
      </c>
      <c r="C17" s="184" t="s">
        <v>361</v>
      </c>
      <c r="D17" s="170" t="s">
        <v>9</v>
      </c>
      <c r="E17" s="171">
        <v>0</v>
      </c>
      <c r="F17" s="663"/>
      <c r="G17" s="171">
        <v>21000</v>
      </c>
      <c r="H17" s="209"/>
      <c r="I17" s="217"/>
    </row>
    <row r="18" spans="1:9" ht="144">
      <c r="A18" s="168">
        <v>12</v>
      </c>
      <c r="B18" s="183" t="s">
        <v>11</v>
      </c>
      <c r="C18" s="184" t="s">
        <v>360</v>
      </c>
      <c r="D18" s="170" t="s">
        <v>9</v>
      </c>
      <c r="E18" s="171">
        <v>0</v>
      </c>
      <c r="F18" s="663"/>
      <c r="G18" s="171">
        <v>18500</v>
      </c>
      <c r="H18" s="209"/>
      <c r="I18" s="217"/>
    </row>
    <row r="19" spans="1:9">
      <c r="A19" s="187"/>
      <c r="B19" s="187"/>
      <c r="C19" s="184" t="s">
        <v>66</v>
      </c>
      <c r="D19" s="169"/>
      <c r="E19" s="188"/>
      <c r="F19" s="666"/>
      <c r="G19" s="188">
        <v>0</v>
      </c>
      <c r="H19" s="209"/>
      <c r="I19" s="217"/>
    </row>
    <row r="20" spans="1:9" ht="84">
      <c r="A20" s="168">
        <v>13</v>
      </c>
      <c r="B20" s="170" t="s">
        <v>408</v>
      </c>
      <c r="C20" s="189" t="s">
        <v>415</v>
      </c>
      <c r="D20" s="170" t="s">
        <v>362</v>
      </c>
      <c r="E20" s="171">
        <v>0</v>
      </c>
      <c r="F20" s="663"/>
      <c r="G20" s="171">
        <v>495</v>
      </c>
      <c r="H20" s="209"/>
      <c r="I20" s="217"/>
    </row>
    <row r="21" spans="1:9">
      <c r="A21" s="187"/>
      <c r="B21" s="187"/>
      <c r="C21" s="184" t="s">
        <v>416</v>
      </c>
      <c r="D21" s="187"/>
      <c r="E21" s="190"/>
      <c r="F21" s="667"/>
      <c r="G21" s="190">
        <v>0</v>
      </c>
      <c r="H21" s="190"/>
      <c r="I21" s="217"/>
    </row>
    <row r="22" spans="1:9">
      <c r="A22" s="187"/>
      <c r="B22" s="187"/>
      <c r="C22" s="184" t="s">
        <v>12</v>
      </c>
      <c r="D22" s="169" t="s">
        <v>362</v>
      </c>
      <c r="E22" s="188">
        <v>0</v>
      </c>
      <c r="F22" s="666"/>
      <c r="G22" s="188">
        <v>585</v>
      </c>
      <c r="H22" s="209"/>
      <c r="I22" s="217"/>
    </row>
    <row r="23" spans="1:9" ht="132">
      <c r="A23" s="168">
        <v>14</v>
      </c>
      <c r="B23" s="170" t="s">
        <v>409</v>
      </c>
      <c r="C23" s="184" t="s">
        <v>358</v>
      </c>
      <c r="D23" s="170" t="s">
        <v>9</v>
      </c>
      <c r="E23" s="171">
        <v>0</v>
      </c>
      <c r="F23" s="663"/>
      <c r="G23" s="171">
        <v>22950</v>
      </c>
      <c r="H23" s="209"/>
      <c r="I23" s="217"/>
    </row>
    <row r="24" spans="1:9">
      <c r="A24" s="191"/>
      <c r="B24" s="169" t="s">
        <v>23</v>
      </c>
      <c r="C24" s="192"/>
      <c r="D24" s="169"/>
      <c r="E24" s="188"/>
      <c r="F24" s="666"/>
      <c r="G24" s="188">
        <v>0</v>
      </c>
      <c r="H24" s="209"/>
      <c r="I24" s="217"/>
    </row>
    <row r="25" spans="1:9" ht="72">
      <c r="A25" s="168">
        <v>15</v>
      </c>
      <c r="B25" s="193"/>
      <c r="C25" s="184" t="s">
        <v>359</v>
      </c>
      <c r="D25" s="185"/>
      <c r="E25" s="186"/>
      <c r="F25" s="665"/>
      <c r="G25" s="186">
        <v>0</v>
      </c>
      <c r="H25" s="190"/>
      <c r="I25" s="217"/>
    </row>
    <row r="26" spans="1:9">
      <c r="A26" s="168"/>
      <c r="B26" s="193"/>
      <c r="C26" s="184" t="s">
        <v>388</v>
      </c>
      <c r="D26" s="169" t="s">
        <v>362</v>
      </c>
      <c r="E26" s="188">
        <v>15</v>
      </c>
      <c r="F26" s="666">
        <f>'MB Gianis''s'!H31</f>
        <v>17.079999999999998</v>
      </c>
      <c r="G26" s="188">
        <v>4050</v>
      </c>
      <c r="H26" s="209">
        <f>$E26*G26</f>
        <v>60750</v>
      </c>
      <c r="I26" s="217">
        <f>G26*F26</f>
        <v>69174</v>
      </c>
    </row>
    <row r="27" spans="1:9" ht="72">
      <c r="A27" s="168">
        <v>16</v>
      </c>
      <c r="B27" s="185"/>
      <c r="C27" s="184" t="s">
        <v>417</v>
      </c>
      <c r="D27" s="185"/>
      <c r="E27" s="186"/>
      <c r="F27" s="665"/>
      <c r="G27" s="186">
        <v>0</v>
      </c>
      <c r="H27" s="190"/>
      <c r="I27" s="217"/>
    </row>
    <row r="28" spans="1:9">
      <c r="A28" s="187"/>
      <c r="B28" s="187"/>
      <c r="C28" s="184" t="s">
        <v>389</v>
      </c>
      <c r="D28" s="169" t="s">
        <v>89</v>
      </c>
      <c r="E28" s="188">
        <v>30</v>
      </c>
      <c r="F28" s="666">
        <f>'MB Gianis''s'!H33</f>
        <v>44.006199999999993</v>
      </c>
      <c r="G28" s="188">
        <v>337.5</v>
      </c>
      <c r="H28" s="209">
        <f t="shared" ref="H28:H30" si="3">$E28*G28</f>
        <v>10125</v>
      </c>
      <c r="I28" s="217">
        <f>G28*F28</f>
        <v>14852.092499999997</v>
      </c>
    </row>
    <row r="29" spans="1:9" ht="48">
      <c r="A29" s="187">
        <v>17</v>
      </c>
      <c r="B29" s="187"/>
      <c r="C29" s="184" t="s">
        <v>418</v>
      </c>
      <c r="D29" s="169" t="s">
        <v>89</v>
      </c>
      <c r="E29" s="188">
        <v>30</v>
      </c>
      <c r="F29" s="666"/>
      <c r="G29" s="188">
        <v>315</v>
      </c>
      <c r="H29" s="209">
        <f t="shared" si="3"/>
        <v>9450</v>
      </c>
      <c r="I29" s="217"/>
    </row>
    <row r="30" spans="1:9" ht="48">
      <c r="A30" s="187">
        <v>18</v>
      </c>
      <c r="B30" s="187"/>
      <c r="C30" s="184" t="s">
        <v>419</v>
      </c>
      <c r="D30" s="169" t="s">
        <v>89</v>
      </c>
      <c r="E30" s="188">
        <v>5</v>
      </c>
      <c r="F30" s="666"/>
      <c r="G30" s="188">
        <v>360</v>
      </c>
      <c r="H30" s="209">
        <f t="shared" si="3"/>
        <v>1800</v>
      </c>
      <c r="I30" s="217"/>
    </row>
    <row r="31" spans="1:9">
      <c r="A31" s="187"/>
      <c r="B31" s="187"/>
      <c r="C31" s="184"/>
      <c r="D31" s="169"/>
      <c r="E31" s="188"/>
      <c r="F31" s="666"/>
      <c r="G31" s="188">
        <v>0</v>
      </c>
      <c r="H31" s="209"/>
      <c r="I31" s="217"/>
    </row>
    <row r="32" spans="1:9">
      <c r="A32" s="187"/>
      <c r="B32" s="187" t="s">
        <v>56</v>
      </c>
      <c r="C32" s="184"/>
      <c r="D32" s="169"/>
      <c r="E32" s="194"/>
      <c r="F32" s="668"/>
      <c r="G32" s="194">
        <v>0</v>
      </c>
      <c r="H32" s="219"/>
      <c r="I32" s="217"/>
    </row>
    <row r="33" spans="1:9" ht="60">
      <c r="A33" s="195">
        <v>19</v>
      </c>
      <c r="B33" s="187"/>
      <c r="C33" s="184" t="s">
        <v>55</v>
      </c>
      <c r="D33" s="169"/>
      <c r="E33" s="194"/>
      <c r="F33" s="668"/>
      <c r="G33" s="194">
        <v>0</v>
      </c>
      <c r="H33" s="219"/>
      <c r="I33" s="217"/>
    </row>
    <row r="34" spans="1:9">
      <c r="A34" s="187"/>
      <c r="B34" s="187"/>
      <c r="C34" s="184" t="s">
        <v>389</v>
      </c>
      <c r="D34" s="169" t="s">
        <v>362</v>
      </c>
      <c r="E34" s="188">
        <v>10</v>
      </c>
      <c r="F34" s="666">
        <v>6.23</v>
      </c>
      <c r="G34" s="188">
        <v>4050</v>
      </c>
      <c r="H34" s="209">
        <f>$E34*G34</f>
        <v>40500</v>
      </c>
      <c r="I34" s="217">
        <f>F34*G34</f>
        <v>25231.5</v>
      </c>
    </row>
    <row r="35" spans="1:9">
      <c r="A35" s="187"/>
      <c r="B35" s="187" t="s">
        <v>60</v>
      </c>
      <c r="C35" s="184"/>
      <c r="D35" s="169"/>
      <c r="E35" s="194"/>
      <c r="F35" s="668"/>
      <c r="G35" s="194">
        <v>0</v>
      </c>
      <c r="H35" s="219"/>
      <c r="I35" s="217"/>
    </row>
    <row r="36" spans="1:9" ht="48">
      <c r="A36" s="195">
        <v>19</v>
      </c>
      <c r="B36" s="195" t="s">
        <v>65</v>
      </c>
      <c r="C36" s="177" t="s">
        <v>57</v>
      </c>
      <c r="D36" s="169"/>
      <c r="E36" s="194"/>
      <c r="F36" s="668"/>
      <c r="G36" s="194">
        <v>0</v>
      </c>
      <c r="H36" s="219"/>
      <c r="I36" s="217"/>
    </row>
    <row r="37" spans="1:9">
      <c r="A37" s="187"/>
      <c r="B37" s="187"/>
      <c r="C37" s="184" t="s">
        <v>58</v>
      </c>
      <c r="D37" s="169" t="s">
        <v>89</v>
      </c>
      <c r="E37" s="188">
        <v>100</v>
      </c>
      <c r="F37" s="666">
        <f>'MB Gianis''s'!H37</f>
        <v>87.618960000000001</v>
      </c>
      <c r="G37" s="188">
        <v>121.5</v>
      </c>
      <c r="H37" s="209">
        <f t="shared" ref="H37:H38" si="4">$E37*G37</f>
        <v>12150</v>
      </c>
      <c r="I37" s="217">
        <f t="shared" si="1"/>
        <v>10645.70364</v>
      </c>
    </row>
    <row r="38" spans="1:9" ht="96">
      <c r="A38" s="195">
        <v>20</v>
      </c>
      <c r="B38" s="195" t="s">
        <v>59</v>
      </c>
      <c r="C38" s="196" t="s">
        <v>420</v>
      </c>
      <c r="D38" s="170" t="s">
        <v>89</v>
      </c>
      <c r="E38" s="197">
        <v>200</v>
      </c>
      <c r="F38" s="669">
        <f>'MB Gianis''s'!H43</f>
        <v>131.53607999999997</v>
      </c>
      <c r="G38" s="197">
        <v>171</v>
      </c>
      <c r="H38" s="219">
        <f t="shared" si="4"/>
        <v>34200</v>
      </c>
      <c r="I38" s="217">
        <f t="shared" si="1"/>
        <v>22492.669679999995</v>
      </c>
    </row>
    <row r="39" spans="1:9" ht="120">
      <c r="A39" s="195">
        <v>21</v>
      </c>
      <c r="B39" s="195" t="s">
        <v>64</v>
      </c>
      <c r="C39" s="196" t="s">
        <v>421</v>
      </c>
      <c r="D39" s="170" t="s">
        <v>89</v>
      </c>
      <c r="E39" s="197">
        <v>0</v>
      </c>
      <c r="F39" s="669"/>
      <c r="G39" s="197">
        <v>121.5</v>
      </c>
      <c r="H39" s="219"/>
      <c r="I39" s="217"/>
    </row>
    <row r="40" spans="1:9">
      <c r="A40" s="195"/>
      <c r="B40" s="195" t="s">
        <v>61</v>
      </c>
      <c r="C40" s="196"/>
      <c r="D40" s="170"/>
      <c r="E40" s="197"/>
      <c r="F40" s="669"/>
      <c r="G40" s="197">
        <v>0</v>
      </c>
      <c r="H40" s="219"/>
      <c r="I40" s="217"/>
    </row>
    <row r="41" spans="1:9" ht="192">
      <c r="A41" s="195">
        <v>22</v>
      </c>
      <c r="B41" s="195" t="s">
        <v>63</v>
      </c>
      <c r="C41" s="176" t="s">
        <v>90</v>
      </c>
      <c r="D41" s="170"/>
      <c r="E41" s="197"/>
      <c r="F41" s="669"/>
      <c r="G41" s="197">
        <v>0</v>
      </c>
      <c r="H41" s="219"/>
      <c r="I41" s="217"/>
    </row>
    <row r="42" spans="1:9">
      <c r="A42" s="195"/>
      <c r="B42" s="195"/>
      <c r="C42" s="176" t="s">
        <v>62</v>
      </c>
      <c r="D42" s="170" t="s">
        <v>89</v>
      </c>
      <c r="E42" s="197">
        <v>100</v>
      </c>
      <c r="F42" s="669">
        <f>'MB Gianis''s'!H47</f>
        <v>93.000960000000006</v>
      </c>
      <c r="G42" s="197">
        <v>103.5</v>
      </c>
      <c r="H42" s="219">
        <f>$E42*G42</f>
        <v>10350</v>
      </c>
      <c r="I42" s="217">
        <f t="shared" si="1"/>
        <v>9625.5993600000002</v>
      </c>
    </row>
    <row r="43" spans="1:9" ht="48">
      <c r="A43" s="195">
        <v>22.1</v>
      </c>
      <c r="B43" s="198" t="s">
        <v>374</v>
      </c>
      <c r="C43" s="199" t="s">
        <v>375</v>
      </c>
      <c r="D43" s="157"/>
      <c r="E43" s="197"/>
      <c r="F43" s="669"/>
      <c r="G43" s="197">
        <v>0</v>
      </c>
      <c r="H43" s="219"/>
      <c r="I43" s="217"/>
    </row>
    <row r="44" spans="1:9">
      <c r="A44" s="195"/>
      <c r="B44" s="195"/>
      <c r="C44" s="199" t="s">
        <v>376</v>
      </c>
      <c r="D44" s="170" t="s">
        <v>89</v>
      </c>
      <c r="E44" s="197">
        <v>0</v>
      </c>
      <c r="F44" s="669"/>
      <c r="G44" s="197">
        <v>193.5</v>
      </c>
      <c r="H44" s="219"/>
      <c r="I44" s="217"/>
    </row>
    <row r="45" spans="1:9">
      <c r="A45" s="200"/>
      <c r="B45" s="170" t="s">
        <v>70</v>
      </c>
      <c r="C45" s="189"/>
      <c r="D45" s="170"/>
      <c r="E45" s="171"/>
      <c r="F45" s="663"/>
      <c r="G45" s="171">
        <v>0</v>
      </c>
      <c r="H45" s="209"/>
      <c r="I45" s="217"/>
    </row>
    <row r="46" spans="1:9" ht="60">
      <c r="A46" s="200">
        <v>23</v>
      </c>
      <c r="B46" s="170" t="s">
        <v>71</v>
      </c>
      <c r="C46" s="201" t="s">
        <v>72</v>
      </c>
      <c r="D46" s="170" t="s">
        <v>28</v>
      </c>
      <c r="E46" s="171">
        <v>1</v>
      </c>
      <c r="F46" s="663">
        <f>'MB Gianis''s'!H49</f>
        <v>1</v>
      </c>
      <c r="G46" s="171">
        <v>32400</v>
      </c>
      <c r="H46" s="209">
        <f>$E46*G46</f>
        <v>32400</v>
      </c>
      <c r="I46" s="217">
        <f t="shared" si="1"/>
        <v>32400</v>
      </c>
    </row>
    <row r="47" spans="1:9">
      <c r="A47" s="200"/>
      <c r="B47" s="170"/>
      <c r="C47" s="183" t="s">
        <v>82</v>
      </c>
      <c r="D47" s="170"/>
      <c r="E47" s="171"/>
      <c r="F47" s="663"/>
      <c r="G47" s="171">
        <v>0</v>
      </c>
      <c r="H47" s="209"/>
      <c r="I47" s="217"/>
    </row>
    <row r="48" spans="1:9" ht="24">
      <c r="A48" s="200"/>
      <c r="B48" s="202" t="s">
        <v>74</v>
      </c>
      <c r="C48" s="183" t="s">
        <v>73</v>
      </c>
      <c r="D48" s="170"/>
      <c r="E48" s="171"/>
      <c r="F48" s="663"/>
      <c r="G48" s="171">
        <v>0</v>
      </c>
      <c r="H48" s="209"/>
      <c r="I48" s="217"/>
    </row>
    <row r="49" spans="1:10" ht="24">
      <c r="A49" s="200"/>
      <c r="B49" s="202" t="s">
        <v>74</v>
      </c>
      <c r="C49" s="201" t="s">
        <v>75</v>
      </c>
      <c r="D49" s="170"/>
      <c r="E49" s="171"/>
      <c r="F49" s="663"/>
      <c r="G49" s="171">
        <v>0</v>
      </c>
      <c r="H49" s="209"/>
      <c r="I49" s="217"/>
    </row>
    <row r="50" spans="1:10">
      <c r="A50" s="200"/>
      <c r="B50" s="202" t="s">
        <v>74</v>
      </c>
      <c r="C50" s="183" t="s">
        <v>76</v>
      </c>
      <c r="D50" s="170"/>
      <c r="E50" s="171"/>
      <c r="F50" s="663"/>
      <c r="G50" s="171">
        <v>0</v>
      </c>
      <c r="H50" s="209"/>
      <c r="I50" s="217"/>
    </row>
    <row r="51" spans="1:10">
      <c r="A51" s="200"/>
      <c r="B51" s="202" t="s">
        <v>74</v>
      </c>
      <c r="C51" s="183" t="s">
        <v>77</v>
      </c>
      <c r="D51" s="170"/>
      <c r="E51" s="171"/>
      <c r="F51" s="663"/>
      <c r="G51" s="171">
        <v>0</v>
      </c>
      <c r="H51" s="209"/>
      <c r="I51" s="217"/>
    </row>
    <row r="52" spans="1:10" ht="60">
      <c r="A52" s="200">
        <v>24</v>
      </c>
      <c r="B52" s="170" t="s">
        <v>78</v>
      </c>
      <c r="C52" s="183" t="s">
        <v>79</v>
      </c>
      <c r="D52" s="170" t="s">
        <v>28</v>
      </c>
      <c r="E52" s="171">
        <v>0</v>
      </c>
      <c r="F52" s="663">
        <f>'MB Gianis''s'!H52</f>
        <v>1</v>
      </c>
      <c r="G52" s="171">
        <v>49500</v>
      </c>
      <c r="H52" s="209"/>
      <c r="I52" s="217">
        <f t="shared" si="1"/>
        <v>49500</v>
      </c>
      <c r="J52" s="254"/>
    </row>
    <row r="53" spans="1:10">
      <c r="A53" s="200"/>
      <c r="B53" s="170"/>
      <c r="C53" s="183" t="s">
        <v>83</v>
      </c>
      <c r="D53" s="170"/>
      <c r="E53" s="171"/>
      <c r="F53" s="663"/>
      <c r="G53" s="171">
        <v>0</v>
      </c>
      <c r="H53" s="209"/>
      <c r="I53" s="217"/>
    </row>
    <row r="54" spans="1:10" ht="24">
      <c r="A54" s="200"/>
      <c r="B54" s="202" t="s">
        <v>74</v>
      </c>
      <c r="C54" s="183" t="s">
        <v>80</v>
      </c>
      <c r="D54" s="170"/>
      <c r="E54" s="171"/>
      <c r="F54" s="663"/>
      <c r="G54" s="171">
        <v>0</v>
      </c>
      <c r="H54" s="209"/>
      <c r="I54" s="217"/>
    </row>
    <row r="55" spans="1:10">
      <c r="A55" s="200"/>
      <c r="B55" s="202" t="s">
        <v>74</v>
      </c>
      <c r="C55" s="183" t="s">
        <v>81</v>
      </c>
      <c r="D55" s="170"/>
      <c r="E55" s="171"/>
      <c r="F55" s="663"/>
      <c r="G55" s="171">
        <v>0</v>
      </c>
      <c r="H55" s="209"/>
      <c r="I55" s="217"/>
    </row>
    <row r="56" spans="1:10" ht="24">
      <c r="A56" s="200">
        <v>25</v>
      </c>
      <c r="B56" s="203" t="s">
        <v>91</v>
      </c>
      <c r="C56" s="204" t="s">
        <v>44</v>
      </c>
      <c r="D56" s="200" t="s">
        <v>362</v>
      </c>
      <c r="E56" s="188">
        <v>0</v>
      </c>
      <c r="F56" s="666"/>
      <c r="G56" s="188">
        <v>270</v>
      </c>
      <c r="H56" s="209"/>
      <c r="I56" s="217"/>
    </row>
    <row r="57" spans="1:10">
      <c r="A57" s="205"/>
      <c r="B57" s="206"/>
      <c r="C57" s="183"/>
      <c r="D57" s="205"/>
      <c r="E57" s="188"/>
      <c r="F57" s="666"/>
      <c r="G57" s="188">
        <v>0</v>
      </c>
      <c r="H57" s="209"/>
      <c r="I57" s="217"/>
    </row>
    <row r="58" spans="1:10" ht="132">
      <c r="A58" s="200">
        <v>26</v>
      </c>
      <c r="B58" s="206" t="s">
        <v>85</v>
      </c>
      <c r="C58" s="207" t="s">
        <v>86</v>
      </c>
      <c r="D58" s="205"/>
      <c r="E58" s="188"/>
      <c r="F58" s="666"/>
      <c r="G58" s="188">
        <v>0</v>
      </c>
      <c r="H58" s="209"/>
      <c r="I58" s="217"/>
    </row>
    <row r="59" spans="1:10">
      <c r="A59" s="205"/>
      <c r="B59" s="208" t="s">
        <v>74</v>
      </c>
      <c r="C59" s="183" t="s">
        <v>87</v>
      </c>
      <c r="D59" s="205" t="s">
        <v>88</v>
      </c>
      <c r="E59" s="188">
        <v>100</v>
      </c>
      <c r="F59" s="666">
        <f>'MB Gianis''s'!H58</f>
        <v>14.746679999999998</v>
      </c>
      <c r="G59" s="188">
        <v>31.5</v>
      </c>
      <c r="H59" s="209">
        <f t="shared" ref="H59:H60" si="5">$E59*G59</f>
        <v>3150</v>
      </c>
      <c r="I59" s="217">
        <f t="shared" si="1"/>
        <v>464.52041999999994</v>
      </c>
    </row>
    <row r="60" spans="1:10" ht="48">
      <c r="A60" s="205">
        <v>27</v>
      </c>
      <c r="B60" s="206" t="s">
        <v>188</v>
      </c>
      <c r="C60" s="183" t="s">
        <v>373</v>
      </c>
      <c r="D60" s="205" t="s">
        <v>48</v>
      </c>
      <c r="E60" s="209">
        <v>1</v>
      </c>
      <c r="F60" s="670">
        <f>'MB Gianis''s'!H61</f>
        <v>1</v>
      </c>
      <c r="G60" s="209">
        <v>13500</v>
      </c>
      <c r="H60" s="209">
        <f t="shared" si="5"/>
        <v>13500</v>
      </c>
      <c r="I60" s="217">
        <f t="shared" si="1"/>
        <v>13500</v>
      </c>
    </row>
    <row r="61" spans="1:10" ht="12.75">
      <c r="A61" s="210"/>
      <c r="B61" s="211"/>
      <c r="C61" s="212" t="s">
        <v>8</v>
      </c>
      <c r="D61" s="210"/>
      <c r="E61" s="213"/>
      <c r="F61" s="671"/>
      <c r="G61" s="213"/>
      <c r="H61" s="216">
        <f>SUM(H4:H60)</f>
        <v>248415</v>
      </c>
      <c r="I61" s="220">
        <f>SUM(I4:I60)</f>
        <v>268733.02639999997</v>
      </c>
    </row>
    <row r="62" spans="1:10" ht="15">
      <c r="A62" s="205"/>
      <c r="B62" s="177"/>
      <c r="C62" s="360" t="s">
        <v>628</v>
      </c>
      <c r="D62" s="205"/>
      <c r="E62" s="222"/>
      <c r="F62" s="671"/>
      <c r="G62" s="222"/>
      <c r="H62" s="364">
        <f>H61*0.18</f>
        <v>44714.7</v>
      </c>
      <c r="I62" s="361">
        <f>I61*0.18</f>
        <v>48371.944751999996</v>
      </c>
    </row>
    <row r="63" spans="1:10" ht="15">
      <c r="A63" s="153"/>
      <c r="B63" s="154"/>
      <c r="C63" s="359" t="s">
        <v>629</v>
      </c>
      <c r="D63" s="156"/>
      <c r="E63" s="151"/>
      <c r="F63" s="661"/>
      <c r="G63" s="151"/>
      <c r="H63" s="362">
        <f>SUM(H61:H62)</f>
        <v>293129.7</v>
      </c>
      <c r="I63" s="363">
        <f>SUM(I61:I62)</f>
        <v>317104.97115199995</v>
      </c>
    </row>
    <row r="64" spans="1:10" ht="14.45" customHeight="1">
      <c r="A64" s="875" t="s">
        <v>805</v>
      </c>
      <c r="B64" s="876"/>
      <c r="C64" s="876"/>
      <c r="D64" s="876"/>
      <c r="E64" s="876"/>
      <c r="F64" s="876"/>
      <c r="G64" s="876"/>
      <c r="H64" s="876"/>
      <c r="I64" s="877"/>
    </row>
    <row r="65" spans="1:9" ht="30">
      <c r="A65" s="153">
        <v>1</v>
      </c>
      <c r="B65" s="154"/>
      <c r="C65" s="710" t="s">
        <v>703</v>
      </c>
      <c r="D65" s="156" t="s">
        <v>705</v>
      </c>
      <c r="E65" s="151"/>
      <c r="F65" s="661">
        <f>'MB Gianis''s'!H64</f>
        <v>49.068799999999996</v>
      </c>
      <c r="G65" s="151">
        <v>250</v>
      </c>
      <c r="H65" s="362"/>
      <c r="I65" s="776">
        <f>F65*G65</f>
        <v>12267.199999999999</v>
      </c>
    </row>
    <row r="66" spans="1:9" ht="15">
      <c r="A66" s="153"/>
      <c r="B66" s="154"/>
      <c r="C66" s="359"/>
      <c r="D66" s="156"/>
      <c r="E66" s="151"/>
      <c r="F66" s="661"/>
      <c r="G66" s="151"/>
      <c r="H66" s="362"/>
      <c r="I66" s="776"/>
    </row>
    <row r="67" spans="1:9" ht="30">
      <c r="A67" s="153">
        <v>2</v>
      </c>
      <c r="B67" s="154"/>
      <c r="C67" s="710" t="s">
        <v>725</v>
      </c>
      <c r="D67" s="156" t="s">
        <v>626</v>
      </c>
      <c r="E67" s="151"/>
      <c r="F67" s="661">
        <f>'MB Gianis''s'!H70</f>
        <v>12.679902720000001</v>
      </c>
      <c r="G67" s="151">
        <v>600</v>
      </c>
      <c r="H67" s="362"/>
      <c r="I67" s="776">
        <f>F67*G67</f>
        <v>7607.9416320000009</v>
      </c>
    </row>
    <row r="68" spans="1:9" ht="15">
      <c r="A68" s="153"/>
      <c r="B68" s="154"/>
      <c r="C68" s="359"/>
      <c r="D68" s="156"/>
      <c r="E68" s="151"/>
      <c r="F68" s="661"/>
      <c r="G68" s="151"/>
      <c r="H68" s="362"/>
      <c r="I68" s="776"/>
    </row>
    <row r="69" spans="1:9" ht="15">
      <c r="A69" s="153">
        <v>3</v>
      </c>
      <c r="B69" s="154"/>
      <c r="C69" s="707" t="s">
        <v>707</v>
      </c>
      <c r="D69" s="156" t="s">
        <v>28</v>
      </c>
      <c r="E69" s="151"/>
      <c r="F69" s="661">
        <f>'MB Gianis''s'!H72</f>
        <v>2</v>
      </c>
      <c r="G69" s="151">
        <v>4000</v>
      </c>
      <c r="H69" s="362"/>
      <c r="I69" s="776">
        <f>F69*G69</f>
        <v>8000</v>
      </c>
    </row>
    <row r="70" spans="1:9" ht="15">
      <c r="A70" s="153"/>
      <c r="B70" s="154"/>
      <c r="C70" s="359"/>
      <c r="D70" s="156"/>
      <c r="E70" s="151"/>
      <c r="F70" s="661"/>
      <c r="G70" s="151"/>
      <c r="H70" s="362"/>
      <c r="I70" s="776"/>
    </row>
    <row r="71" spans="1:9" ht="15">
      <c r="A71" s="153">
        <v>4</v>
      </c>
      <c r="B71" s="154"/>
      <c r="C71" s="707" t="s">
        <v>715</v>
      </c>
      <c r="D71" s="156" t="s">
        <v>626</v>
      </c>
      <c r="E71" s="151"/>
      <c r="F71" s="661">
        <v>0</v>
      </c>
      <c r="G71" s="151">
        <v>30</v>
      </c>
      <c r="H71" s="362"/>
      <c r="I71" s="776">
        <f>F71*G71</f>
        <v>0</v>
      </c>
    </row>
    <row r="72" spans="1:9" ht="15">
      <c r="A72" s="153"/>
      <c r="B72" s="154"/>
      <c r="C72" s="359"/>
      <c r="D72" s="156"/>
      <c r="E72" s="151"/>
      <c r="F72" s="661"/>
      <c r="G72" s="151"/>
      <c r="H72" s="362"/>
      <c r="I72" s="776"/>
    </row>
    <row r="73" spans="1:9" ht="30">
      <c r="A73" s="153">
        <v>5</v>
      </c>
      <c r="B73" s="154"/>
      <c r="C73" s="710" t="s">
        <v>718</v>
      </c>
      <c r="D73" s="156" t="s">
        <v>28</v>
      </c>
      <c r="E73" s="151"/>
      <c r="F73" s="661">
        <f>'MB Gianis''s'!H79</f>
        <v>2</v>
      </c>
      <c r="G73" s="151">
        <v>4000</v>
      </c>
      <c r="H73" s="362"/>
      <c r="I73" s="776">
        <f>F73*G73</f>
        <v>8000</v>
      </c>
    </row>
    <row r="74" spans="1:9" ht="15">
      <c r="A74" s="153"/>
      <c r="B74" s="154"/>
      <c r="C74" s="359"/>
      <c r="D74" s="156"/>
      <c r="E74" s="151"/>
      <c r="F74" s="661"/>
      <c r="G74" s="151"/>
      <c r="H74" s="362"/>
      <c r="I74" s="776"/>
    </row>
    <row r="75" spans="1:9" ht="15">
      <c r="A75" s="153">
        <v>6</v>
      </c>
      <c r="B75" s="154"/>
      <c r="C75" s="707" t="s">
        <v>731</v>
      </c>
      <c r="D75" s="156" t="s">
        <v>28</v>
      </c>
      <c r="E75" s="151"/>
      <c r="F75" s="661">
        <f>'MB Gianis''s'!H81</f>
        <v>1</v>
      </c>
      <c r="G75" s="151">
        <v>1500</v>
      </c>
      <c r="H75" s="362"/>
      <c r="I75" s="776">
        <f>F75*G75</f>
        <v>1500</v>
      </c>
    </row>
    <row r="76" spans="1:9" ht="15">
      <c r="A76" s="153"/>
      <c r="B76" s="154"/>
      <c r="C76" s="359"/>
      <c r="D76" s="156"/>
      <c r="E76" s="151"/>
      <c r="F76" s="661"/>
      <c r="G76" s="151"/>
      <c r="H76" s="362"/>
      <c r="I76" s="776"/>
    </row>
    <row r="77" spans="1:9" ht="30">
      <c r="A77" s="153">
        <v>7</v>
      </c>
      <c r="B77" s="154"/>
      <c r="C77" s="710" t="s">
        <v>726</v>
      </c>
      <c r="D77" s="156" t="s">
        <v>626</v>
      </c>
      <c r="E77" s="151"/>
      <c r="F77" s="661">
        <f>'MB Gianis''s'!H83</f>
        <v>9.3070918399999965</v>
      </c>
      <c r="G77" s="151">
        <v>2500</v>
      </c>
      <c r="H77" s="362"/>
      <c r="I77" s="776">
        <f>F77*G77</f>
        <v>23267.729599999991</v>
      </c>
    </row>
    <row r="78" spans="1:9" ht="15">
      <c r="A78" s="153"/>
      <c r="B78" s="154"/>
      <c r="C78" s="359"/>
      <c r="D78" s="156"/>
      <c r="E78" s="151"/>
      <c r="F78" s="661"/>
      <c r="G78" s="151"/>
      <c r="H78" s="362"/>
      <c r="I78" s="776"/>
    </row>
    <row r="79" spans="1:9" ht="30">
      <c r="A79" s="153">
        <v>8</v>
      </c>
      <c r="B79" s="154"/>
      <c r="C79" s="710" t="s">
        <v>727</v>
      </c>
      <c r="D79" s="156" t="s">
        <v>705</v>
      </c>
      <c r="E79" s="151"/>
      <c r="F79" s="661">
        <f>'MB Gianis''s'!H85</f>
        <v>43.886400000000002</v>
      </c>
      <c r="G79" s="151">
        <v>300</v>
      </c>
      <c r="H79" s="362"/>
      <c r="I79" s="776">
        <f>F79*G79</f>
        <v>13165.92</v>
      </c>
    </row>
    <row r="80" spans="1:9" ht="15">
      <c r="A80" s="153"/>
      <c r="B80" s="154"/>
      <c r="C80" s="359"/>
      <c r="D80" s="156"/>
      <c r="E80" s="151"/>
      <c r="F80" s="661"/>
      <c r="G80" s="151"/>
      <c r="H80" s="362"/>
      <c r="I80" s="776"/>
    </row>
    <row r="81" spans="1:9" ht="30">
      <c r="A81" s="153">
        <v>9</v>
      </c>
      <c r="B81" s="154"/>
      <c r="C81" s="710" t="s">
        <v>728</v>
      </c>
      <c r="D81" s="156" t="s">
        <v>705</v>
      </c>
      <c r="E81" s="151"/>
      <c r="F81" s="661">
        <f>'MB Gianis''s'!H87</f>
        <v>27.355199999999996</v>
      </c>
      <c r="G81" s="151">
        <v>450</v>
      </c>
      <c r="H81" s="362"/>
      <c r="I81" s="776">
        <f>F81*G81</f>
        <v>12309.839999999998</v>
      </c>
    </row>
    <row r="82" spans="1:9" ht="15">
      <c r="A82" s="153"/>
      <c r="B82" s="154"/>
      <c r="C82" s="359"/>
      <c r="D82" s="156"/>
      <c r="E82" s="151"/>
      <c r="F82" s="661"/>
      <c r="G82" s="151"/>
      <c r="H82" s="362"/>
      <c r="I82" s="776"/>
    </row>
    <row r="83" spans="1:9" ht="30">
      <c r="A83" s="153">
        <v>10</v>
      </c>
      <c r="B83" s="154"/>
      <c r="C83" s="710" t="s">
        <v>729</v>
      </c>
      <c r="D83" s="156" t="s">
        <v>28</v>
      </c>
      <c r="E83" s="151"/>
      <c r="F83" s="661">
        <f>'MB Gianis''s'!H89</f>
        <v>1</v>
      </c>
      <c r="G83" s="151">
        <v>15000</v>
      </c>
      <c r="H83" s="362"/>
      <c r="I83" s="776">
        <f>F83*G83</f>
        <v>15000</v>
      </c>
    </row>
    <row r="84" spans="1:9" ht="15">
      <c r="A84" s="153"/>
      <c r="B84" s="154"/>
      <c r="C84" s="359"/>
      <c r="D84" s="156"/>
      <c r="E84" s="151"/>
      <c r="F84" s="661"/>
      <c r="G84" s="151"/>
      <c r="H84" s="362"/>
      <c r="I84" s="776"/>
    </row>
    <row r="85" spans="1:9" ht="15">
      <c r="A85" s="153">
        <v>11</v>
      </c>
      <c r="B85" s="154"/>
      <c r="C85" s="707" t="s">
        <v>732</v>
      </c>
      <c r="D85" s="156" t="s">
        <v>626</v>
      </c>
      <c r="E85" s="151"/>
      <c r="F85" s="661">
        <f>'MB Gianis''s'!H93</f>
        <v>111.25906943999999</v>
      </c>
      <c r="G85" s="151">
        <v>90</v>
      </c>
      <c r="H85" s="362"/>
      <c r="I85" s="776">
        <f>F85*G85</f>
        <v>10013.316249599999</v>
      </c>
    </row>
    <row r="86" spans="1:9" ht="15">
      <c r="A86" s="153"/>
      <c r="B86" s="154"/>
      <c r="C86" s="359"/>
      <c r="D86" s="156"/>
      <c r="E86" s="151"/>
      <c r="F86" s="661"/>
      <c r="G86" s="151"/>
      <c r="H86" s="362"/>
      <c r="I86" s="776"/>
    </row>
    <row r="87" spans="1:9" ht="15">
      <c r="A87" s="153">
        <v>12</v>
      </c>
      <c r="B87" s="154"/>
      <c r="C87" s="721" t="s">
        <v>786</v>
      </c>
      <c r="D87" s="156" t="s">
        <v>626</v>
      </c>
      <c r="E87" s="151"/>
      <c r="F87" s="661">
        <f>'MB Gianis''s'!H97</f>
        <v>41.673449599999998</v>
      </c>
      <c r="G87" s="151">
        <v>250</v>
      </c>
      <c r="H87" s="362"/>
      <c r="I87" s="776">
        <f>F87*G87</f>
        <v>10418.3624</v>
      </c>
    </row>
    <row r="88" spans="1:9" ht="15">
      <c r="A88" s="153"/>
      <c r="B88" s="154"/>
      <c r="C88" s="734"/>
      <c r="D88" s="156"/>
      <c r="E88" s="151"/>
      <c r="F88" s="661"/>
      <c r="G88" s="151"/>
      <c r="H88" s="362"/>
      <c r="I88" s="776"/>
    </row>
    <row r="89" spans="1:9" ht="15">
      <c r="A89" s="153"/>
      <c r="B89" s="154"/>
      <c r="C89" s="734"/>
      <c r="D89" s="156"/>
      <c r="E89" s="151"/>
      <c r="F89" s="661"/>
      <c r="G89" s="151"/>
      <c r="H89" s="362"/>
      <c r="I89" s="776">
        <f>SUM(I65:I88)</f>
        <v>121550.30988159998</v>
      </c>
    </row>
    <row r="90" spans="1:9" ht="15">
      <c r="A90" s="153"/>
      <c r="B90" s="154"/>
      <c r="C90" s="359"/>
      <c r="D90" s="156"/>
      <c r="E90" s="151"/>
      <c r="F90" s="661"/>
      <c r="G90" s="151"/>
      <c r="H90" s="362"/>
      <c r="I90" s="363"/>
    </row>
    <row r="91" spans="1:9">
      <c r="A91" s="223" t="s">
        <v>135</v>
      </c>
      <c r="B91" s="224" t="s">
        <v>132</v>
      </c>
      <c r="C91" s="223" t="s">
        <v>134</v>
      </c>
      <c r="D91" s="223" t="s">
        <v>26</v>
      </c>
      <c r="E91" s="225" t="s">
        <v>624</v>
      </c>
      <c r="F91" s="672" t="s">
        <v>558</v>
      </c>
      <c r="G91" s="225" t="s">
        <v>623</v>
      </c>
      <c r="H91" s="225" t="s">
        <v>625</v>
      </c>
      <c r="I91" s="253" t="s">
        <v>559</v>
      </c>
    </row>
    <row r="92" spans="1:9" ht="96">
      <c r="A92" s="226">
        <v>1</v>
      </c>
      <c r="B92" s="157"/>
      <c r="C92" s="72" t="s">
        <v>131</v>
      </c>
      <c r="D92" s="227"/>
      <c r="E92" s="228"/>
      <c r="F92" s="673"/>
      <c r="G92" s="228">
        <v>0</v>
      </c>
      <c r="H92" s="228"/>
      <c r="I92" s="172"/>
    </row>
    <row r="93" spans="1:9">
      <c r="A93" s="226">
        <v>1.1000000000000001</v>
      </c>
      <c r="B93" s="157"/>
      <c r="C93" s="72" t="s">
        <v>130</v>
      </c>
      <c r="D93" s="226" t="s">
        <v>109</v>
      </c>
      <c r="E93" s="229">
        <v>10</v>
      </c>
      <c r="F93" s="674"/>
      <c r="G93" s="229">
        <v>180</v>
      </c>
      <c r="H93" s="229">
        <f t="shared" ref="H93:H95" si="6">$E93*G93</f>
        <v>1800</v>
      </c>
      <c r="I93" s="172"/>
    </row>
    <row r="94" spans="1:9">
      <c r="A94" s="226">
        <v>1.2</v>
      </c>
      <c r="B94" s="157"/>
      <c r="C94" s="72" t="s">
        <v>129</v>
      </c>
      <c r="D94" s="226" t="s">
        <v>109</v>
      </c>
      <c r="E94" s="229">
        <v>3</v>
      </c>
      <c r="F94" s="674">
        <f>'MB Gianis''s'!H100</f>
        <v>2.2999999999999998</v>
      </c>
      <c r="G94" s="229">
        <v>202.5</v>
      </c>
      <c r="H94" s="229">
        <f t="shared" si="6"/>
        <v>607.5</v>
      </c>
      <c r="I94" s="172">
        <f t="shared" ref="I94:I151" si="7">G94*F94</f>
        <v>465.74999999999994</v>
      </c>
    </row>
    <row r="95" spans="1:9">
      <c r="A95" s="226">
        <v>1.3</v>
      </c>
      <c r="B95" s="157"/>
      <c r="C95" s="72" t="s">
        <v>128</v>
      </c>
      <c r="D95" s="226" t="s">
        <v>109</v>
      </c>
      <c r="E95" s="229">
        <v>1</v>
      </c>
      <c r="F95" s="674"/>
      <c r="G95" s="229">
        <v>270</v>
      </c>
      <c r="H95" s="229">
        <f t="shared" si="6"/>
        <v>270</v>
      </c>
      <c r="I95" s="172"/>
    </row>
    <row r="96" spans="1:9">
      <c r="A96" s="226">
        <v>1.4</v>
      </c>
      <c r="B96" s="157"/>
      <c r="C96" s="72" t="s">
        <v>125</v>
      </c>
      <c r="D96" s="226" t="s">
        <v>109</v>
      </c>
      <c r="E96" s="228">
        <v>0</v>
      </c>
      <c r="F96" s="673"/>
      <c r="G96" s="228">
        <v>315</v>
      </c>
      <c r="H96" s="228"/>
      <c r="I96" s="172"/>
    </row>
    <row r="97" spans="1:9">
      <c r="A97" s="226"/>
      <c r="B97" s="157"/>
      <c r="C97" s="72"/>
      <c r="D97" s="226"/>
      <c r="E97" s="228"/>
      <c r="F97" s="673"/>
      <c r="G97" s="228">
        <v>0</v>
      </c>
      <c r="H97" s="228"/>
      <c r="I97" s="172"/>
    </row>
    <row r="98" spans="1:9" ht="36">
      <c r="A98" s="226">
        <v>2</v>
      </c>
      <c r="B98" s="157"/>
      <c r="C98" s="72" t="s">
        <v>127</v>
      </c>
      <c r="D98" s="226"/>
      <c r="E98" s="228"/>
      <c r="F98" s="673"/>
      <c r="G98" s="228">
        <v>0</v>
      </c>
      <c r="H98" s="228"/>
      <c r="I98" s="172"/>
    </row>
    <row r="99" spans="1:9">
      <c r="A99" s="226">
        <v>2.1</v>
      </c>
      <c r="B99" s="157"/>
      <c r="C99" s="72" t="s">
        <v>363</v>
      </c>
      <c r="D99" s="230" t="s">
        <v>28</v>
      </c>
      <c r="E99" s="228">
        <v>2</v>
      </c>
      <c r="F99" s="673"/>
      <c r="G99" s="228">
        <v>675</v>
      </c>
      <c r="H99" s="228">
        <f t="shared" ref="H99:H100" si="8">$E99*G99</f>
        <v>1350</v>
      </c>
      <c r="I99" s="172"/>
    </row>
    <row r="100" spans="1:9">
      <c r="A100" s="226">
        <v>2.2000000000000002</v>
      </c>
      <c r="B100" s="157"/>
      <c r="C100" s="72" t="s">
        <v>126</v>
      </c>
      <c r="D100" s="230" t="s">
        <v>28</v>
      </c>
      <c r="E100" s="228">
        <v>1</v>
      </c>
      <c r="F100" s="673"/>
      <c r="G100" s="228">
        <v>765</v>
      </c>
      <c r="H100" s="228">
        <f t="shared" si="8"/>
        <v>765</v>
      </c>
      <c r="I100" s="172"/>
    </row>
    <row r="101" spans="1:9">
      <c r="A101" s="226">
        <v>2.2999999999999998</v>
      </c>
      <c r="B101" s="157"/>
      <c r="C101" s="72" t="s">
        <v>122</v>
      </c>
      <c r="D101" s="230" t="s">
        <v>28</v>
      </c>
      <c r="E101" s="228" t="s">
        <v>31</v>
      </c>
      <c r="F101" s="673"/>
      <c r="G101" s="228">
        <v>945</v>
      </c>
      <c r="H101" s="228"/>
      <c r="I101" s="172"/>
    </row>
    <row r="102" spans="1:9">
      <c r="A102" s="226">
        <v>2.4</v>
      </c>
      <c r="B102" s="157"/>
      <c r="C102" s="231" t="s">
        <v>125</v>
      </c>
      <c r="D102" s="230" t="s">
        <v>28</v>
      </c>
      <c r="E102" s="228">
        <v>0</v>
      </c>
      <c r="F102" s="673"/>
      <c r="G102" s="228">
        <v>1260</v>
      </c>
      <c r="H102" s="228"/>
      <c r="I102" s="172"/>
    </row>
    <row r="103" spans="1:9">
      <c r="A103" s="226"/>
      <c r="B103" s="157"/>
      <c r="C103" s="231"/>
      <c r="D103" s="230"/>
      <c r="E103" s="228"/>
      <c r="F103" s="673"/>
      <c r="G103" s="228">
        <v>0</v>
      </c>
      <c r="H103" s="228"/>
      <c r="I103" s="172"/>
    </row>
    <row r="104" spans="1:9" ht="24">
      <c r="A104" s="226">
        <v>3</v>
      </c>
      <c r="B104" s="157"/>
      <c r="C104" s="72" t="s">
        <v>124</v>
      </c>
      <c r="D104" s="230"/>
      <c r="E104" s="228"/>
      <c r="F104" s="673"/>
      <c r="G104" s="228">
        <v>0</v>
      </c>
      <c r="H104" s="228"/>
      <c r="I104" s="172"/>
    </row>
    <row r="105" spans="1:9">
      <c r="A105" s="226">
        <v>3.1</v>
      </c>
      <c r="B105" s="157"/>
      <c r="C105" s="72" t="s">
        <v>122</v>
      </c>
      <c r="D105" s="230" t="s">
        <v>28</v>
      </c>
      <c r="E105" s="228" t="s">
        <v>31</v>
      </c>
      <c r="F105" s="673"/>
      <c r="G105" s="228">
        <v>2340</v>
      </c>
      <c r="H105" s="228"/>
      <c r="I105" s="172"/>
    </row>
    <row r="106" spans="1:9">
      <c r="A106" s="226"/>
      <c r="B106" s="157"/>
      <c r="C106" s="231"/>
      <c r="D106" s="230"/>
      <c r="E106" s="228"/>
      <c r="F106" s="673"/>
      <c r="G106" s="228">
        <v>0</v>
      </c>
      <c r="H106" s="228"/>
      <c r="I106" s="172"/>
    </row>
    <row r="107" spans="1:9" ht="24">
      <c r="A107" s="226">
        <v>4</v>
      </c>
      <c r="B107" s="157"/>
      <c r="C107" s="72" t="s">
        <v>123</v>
      </c>
      <c r="D107" s="230"/>
      <c r="E107" s="228"/>
      <c r="F107" s="673"/>
      <c r="G107" s="228">
        <v>0</v>
      </c>
      <c r="H107" s="228"/>
      <c r="I107" s="172"/>
    </row>
    <row r="108" spans="1:9">
      <c r="A108" s="226">
        <v>4.0999999999999996</v>
      </c>
      <c r="B108" s="157"/>
      <c r="C108" s="72" t="s">
        <v>122</v>
      </c>
      <c r="D108" s="230" t="s">
        <v>28</v>
      </c>
      <c r="E108" s="228" t="s">
        <v>31</v>
      </c>
      <c r="F108" s="673"/>
      <c r="G108" s="228">
        <v>2700</v>
      </c>
      <c r="H108" s="228"/>
      <c r="I108" s="172"/>
    </row>
    <row r="109" spans="1:9">
      <c r="A109" s="226"/>
      <c r="B109" s="157"/>
      <c r="C109" s="231"/>
      <c r="D109" s="230"/>
      <c r="E109" s="228"/>
      <c r="F109" s="673"/>
      <c r="G109" s="228">
        <v>0</v>
      </c>
      <c r="H109" s="228"/>
      <c r="I109" s="172"/>
    </row>
    <row r="110" spans="1:9" ht="36">
      <c r="A110" s="226">
        <v>5</v>
      </c>
      <c r="B110" s="157"/>
      <c r="C110" s="72" t="s">
        <v>121</v>
      </c>
      <c r="D110" s="230"/>
      <c r="E110" s="228"/>
      <c r="F110" s="673"/>
      <c r="G110" s="228">
        <v>0</v>
      </c>
      <c r="H110" s="228"/>
      <c r="I110" s="172"/>
    </row>
    <row r="111" spans="1:9">
      <c r="A111" s="226">
        <v>5.0999999999999996</v>
      </c>
      <c r="B111" s="157"/>
      <c r="C111" s="72" t="s">
        <v>422</v>
      </c>
      <c r="D111" s="230" t="s">
        <v>28</v>
      </c>
      <c r="E111" s="228" t="s">
        <v>31</v>
      </c>
      <c r="F111" s="673"/>
      <c r="G111" s="228">
        <v>3330</v>
      </c>
      <c r="H111" s="228"/>
      <c r="I111" s="172"/>
    </row>
    <row r="112" spans="1:9">
      <c r="A112" s="226">
        <v>5.2</v>
      </c>
      <c r="B112" s="157"/>
      <c r="C112" s="72" t="s">
        <v>120</v>
      </c>
      <c r="D112" s="230" t="s">
        <v>28</v>
      </c>
      <c r="E112" s="228">
        <v>0</v>
      </c>
      <c r="F112" s="673"/>
      <c r="G112" s="228">
        <v>3847.5</v>
      </c>
      <c r="H112" s="228"/>
      <c r="I112" s="172"/>
    </row>
    <row r="113" spans="1:9">
      <c r="A113" s="226">
        <v>5.3</v>
      </c>
      <c r="B113" s="157"/>
      <c r="C113" s="72" t="s">
        <v>423</v>
      </c>
      <c r="D113" s="230" t="s">
        <v>28</v>
      </c>
      <c r="E113" s="228">
        <v>0</v>
      </c>
      <c r="F113" s="673"/>
      <c r="G113" s="228">
        <v>5130</v>
      </c>
      <c r="H113" s="228"/>
      <c r="I113" s="172"/>
    </row>
    <row r="114" spans="1:9">
      <c r="A114" s="226"/>
      <c r="B114" s="157"/>
      <c r="C114" s="72"/>
      <c r="D114" s="230"/>
      <c r="E114" s="228"/>
      <c r="F114" s="673"/>
      <c r="G114" s="228">
        <v>0</v>
      </c>
      <c r="H114" s="228"/>
      <c r="I114" s="172"/>
    </row>
    <row r="115" spans="1:9" ht="48">
      <c r="A115" s="226">
        <v>6</v>
      </c>
      <c r="B115" s="157"/>
      <c r="C115" s="69" t="s">
        <v>119</v>
      </c>
      <c r="D115" s="230" t="s">
        <v>69</v>
      </c>
      <c r="E115" s="228"/>
      <c r="F115" s="673"/>
      <c r="G115" s="228">
        <v>0</v>
      </c>
      <c r="H115" s="228"/>
      <c r="I115" s="172"/>
    </row>
    <row r="116" spans="1:9">
      <c r="A116" s="226">
        <v>6.1</v>
      </c>
      <c r="B116" s="157"/>
      <c r="C116" s="69" t="s">
        <v>404</v>
      </c>
      <c r="D116" s="230" t="s">
        <v>28</v>
      </c>
      <c r="E116" s="228">
        <v>1</v>
      </c>
      <c r="F116" s="673"/>
      <c r="G116" s="228">
        <v>6412.5</v>
      </c>
      <c r="H116" s="228">
        <f>$E116*G116</f>
        <v>6412.5</v>
      </c>
      <c r="I116" s="172"/>
    </row>
    <row r="117" spans="1:9">
      <c r="A117" s="226">
        <v>6.2</v>
      </c>
      <c r="B117" s="157"/>
      <c r="C117" s="69" t="s">
        <v>117</v>
      </c>
      <c r="D117" s="230" t="s">
        <v>28</v>
      </c>
      <c r="E117" s="228">
        <v>0</v>
      </c>
      <c r="F117" s="673"/>
      <c r="G117" s="228">
        <v>12150</v>
      </c>
      <c r="H117" s="228"/>
      <c r="I117" s="172"/>
    </row>
    <row r="118" spans="1:9">
      <c r="A118" s="226">
        <v>6.3</v>
      </c>
      <c r="B118" s="157"/>
      <c r="C118" s="69" t="s">
        <v>390</v>
      </c>
      <c r="D118" s="230" t="s">
        <v>28</v>
      </c>
      <c r="E118" s="228">
        <v>0</v>
      </c>
      <c r="F118" s="673"/>
      <c r="G118" s="228">
        <v>16650</v>
      </c>
      <c r="H118" s="228"/>
      <c r="I118" s="172"/>
    </row>
    <row r="119" spans="1:9">
      <c r="A119" s="226"/>
      <c r="B119" s="157"/>
      <c r="C119" s="69"/>
      <c r="D119" s="230"/>
      <c r="E119" s="228"/>
      <c r="F119" s="673"/>
      <c r="G119" s="228">
        <v>0</v>
      </c>
      <c r="H119" s="228"/>
      <c r="I119" s="172"/>
    </row>
    <row r="120" spans="1:9">
      <c r="A120" s="226">
        <v>7</v>
      </c>
      <c r="B120" s="157"/>
      <c r="C120" s="183" t="s">
        <v>116</v>
      </c>
      <c r="D120" s="232" t="s">
        <v>47</v>
      </c>
      <c r="E120" s="233">
        <v>0</v>
      </c>
      <c r="F120" s="675"/>
      <c r="G120" s="233">
        <v>0</v>
      </c>
      <c r="H120" s="233"/>
      <c r="I120" s="172"/>
    </row>
    <row r="121" spans="1:9" ht="24">
      <c r="A121" s="226">
        <v>8</v>
      </c>
      <c r="B121" s="157"/>
      <c r="C121" s="72" t="s">
        <v>424</v>
      </c>
      <c r="D121" s="232" t="s">
        <v>47</v>
      </c>
      <c r="E121" s="233">
        <v>1</v>
      </c>
      <c r="F121" s="675">
        <f>'MB Gianis''s'!H103</f>
        <v>1</v>
      </c>
      <c r="G121" s="233">
        <v>27000</v>
      </c>
      <c r="H121" s="233">
        <f>$E121*G121</f>
        <v>27000</v>
      </c>
      <c r="I121" s="172">
        <f>G121*F121</f>
        <v>27000</v>
      </c>
    </row>
    <row r="122" spans="1:9" ht="24">
      <c r="A122" s="226">
        <v>9</v>
      </c>
      <c r="B122" s="157"/>
      <c r="C122" s="72" t="s">
        <v>425</v>
      </c>
      <c r="D122" s="232" t="s">
        <v>47</v>
      </c>
      <c r="E122" s="233">
        <v>0</v>
      </c>
      <c r="F122" s="675"/>
      <c r="G122" s="233">
        <v>58500</v>
      </c>
      <c r="H122" s="233"/>
      <c r="I122" s="172"/>
    </row>
    <row r="123" spans="1:9">
      <c r="A123" s="226"/>
      <c r="B123" s="157"/>
      <c r="C123" s="72"/>
      <c r="D123" s="232"/>
      <c r="E123" s="233"/>
      <c r="F123" s="675"/>
      <c r="G123" s="233">
        <v>0</v>
      </c>
      <c r="H123" s="233"/>
      <c r="I123" s="172"/>
    </row>
    <row r="124" spans="1:9" ht="18.75">
      <c r="A124" s="366" t="s">
        <v>24</v>
      </c>
      <c r="B124" s="157"/>
      <c r="C124" s="154" t="s">
        <v>115</v>
      </c>
      <c r="D124" s="154"/>
      <c r="E124" s="234"/>
      <c r="F124" s="676"/>
      <c r="G124" s="234">
        <v>0</v>
      </c>
      <c r="H124" s="234"/>
      <c r="I124" s="172"/>
    </row>
    <row r="125" spans="1:9" ht="48">
      <c r="A125" s="226">
        <v>1</v>
      </c>
      <c r="B125" s="157"/>
      <c r="C125" s="235" t="s">
        <v>114</v>
      </c>
      <c r="D125" s="227"/>
      <c r="E125" s="228"/>
      <c r="F125" s="673"/>
      <c r="G125" s="228">
        <v>0</v>
      </c>
      <c r="H125" s="228"/>
      <c r="I125" s="172"/>
    </row>
    <row r="126" spans="1:9">
      <c r="A126" s="226">
        <v>1.1000000000000001</v>
      </c>
      <c r="B126" s="157"/>
      <c r="C126" s="231" t="s">
        <v>113</v>
      </c>
      <c r="D126" s="226" t="s">
        <v>109</v>
      </c>
      <c r="E126" s="228">
        <v>2</v>
      </c>
      <c r="F126" s="673"/>
      <c r="G126" s="236">
        <v>340</v>
      </c>
      <c r="H126" s="228">
        <f>$E126*G126</f>
        <v>680</v>
      </c>
      <c r="I126" s="172"/>
    </row>
    <row r="127" spans="1:9">
      <c r="A127" s="226">
        <v>1.2</v>
      </c>
      <c r="B127" s="157"/>
      <c r="C127" s="231" t="s">
        <v>112</v>
      </c>
      <c r="D127" s="226" t="s">
        <v>109</v>
      </c>
      <c r="E127" s="228">
        <v>0</v>
      </c>
      <c r="F127" s="673"/>
      <c r="G127" s="236">
        <v>495</v>
      </c>
      <c r="H127" s="228"/>
      <c r="I127" s="172"/>
    </row>
    <row r="128" spans="1:9">
      <c r="A128" s="226">
        <v>1.3</v>
      </c>
      <c r="B128" s="157"/>
      <c r="C128" s="231" t="s">
        <v>111</v>
      </c>
      <c r="D128" s="230" t="s">
        <v>109</v>
      </c>
      <c r="E128" s="228">
        <v>5</v>
      </c>
      <c r="F128" s="673">
        <f>'MB Gianis''s'!H105</f>
        <v>2.5</v>
      </c>
      <c r="G128" s="236">
        <v>595</v>
      </c>
      <c r="H128" s="228">
        <f>$E128*G128</f>
        <v>2975</v>
      </c>
      <c r="I128" s="172">
        <f>G128*F128</f>
        <v>1487.5</v>
      </c>
    </row>
    <row r="129" spans="1:11">
      <c r="A129" s="226">
        <v>1.4</v>
      </c>
      <c r="B129" s="157"/>
      <c r="C129" s="231" t="s">
        <v>110</v>
      </c>
      <c r="D129" s="230" t="s">
        <v>109</v>
      </c>
      <c r="E129" s="228">
        <v>0</v>
      </c>
      <c r="F129" s="673"/>
      <c r="G129" s="228">
        <v>900</v>
      </c>
      <c r="H129" s="228"/>
      <c r="I129" s="172"/>
    </row>
    <row r="130" spans="1:11">
      <c r="A130" s="226"/>
      <c r="B130" s="157"/>
      <c r="C130" s="231"/>
      <c r="D130" s="230"/>
      <c r="E130" s="228"/>
      <c r="F130" s="673"/>
      <c r="G130" s="228">
        <v>0</v>
      </c>
      <c r="H130" s="228"/>
      <c r="I130" s="172"/>
    </row>
    <row r="131" spans="1:11" ht="60">
      <c r="A131" s="226">
        <v>2</v>
      </c>
      <c r="B131" s="157"/>
      <c r="C131" s="237" t="s">
        <v>108</v>
      </c>
      <c r="D131" s="238"/>
      <c r="E131" s="228"/>
      <c r="F131" s="673"/>
      <c r="G131" s="228">
        <v>0</v>
      </c>
      <c r="H131" s="228"/>
      <c r="I131" s="172"/>
    </row>
    <row r="132" spans="1:11">
      <c r="A132" s="226">
        <v>2.1</v>
      </c>
      <c r="B132" s="157"/>
      <c r="C132" s="237" t="s">
        <v>107</v>
      </c>
      <c r="D132" s="238" t="s">
        <v>51</v>
      </c>
      <c r="E132" s="228">
        <v>1</v>
      </c>
      <c r="F132" s="673">
        <f>'MB Gianis''s'!H107</f>
        <v>1</v>
      </c>
      <c r="G132" s="228">
        <v>855</v>
      </c>
      <c r="H132" s="228">
        <f>$E132*G132</f>
        <v>855</v>
      </c>
      <c r="I132" s="172">
        <f>G132*F132</f>
        <v>855</v>
      </c>
    </row>
    <row r="133" spans="1:11">
      <c r="A133" s="226">
        <v>2.2000000000000002</v>
      </c>
      <c r="B133" s="157"/>
      <c r="C133" s="237" t="s">
        <v>106</v>
      </c>
      <c r="D133" s="238" t="s">
        <v>51</v>
      </c>
      <c r="E133" s="228">
        <v>0</v>
      </c>
      <c r="F133" s="673"/>
      <c r="G133" s="228">
        <v>945</v>
      </c>
      <c r="H133" s="228"/>
      <c r="I133" s="172"/>
    </row>
    <row r="134" spans="1:11">
      <c r="A134" s="226">
        <v>2.2999999999999998</v>
      </c>
      <c r="B134" s="157"/>
      <c r="C134" s="237" t="s">
        <v>368</v>
      </c>
      <c r="D134" s="238" t="s">
        <v>51</v>
      </c>
      <c r="E134" s="228">
        <v>2</v>
      </c>
      <c r="F134" s="673"/>
      <c r="G134" s="228">
        <v>1170</v>
      </c>
      <c r="H134" s="228">
        <f t="shared" ref="H134:H135" si="9">$E134*G134</f>
        <v>2340</v>
      </c>
      <c r="I134" s="172"/>
    </row>
    <row r="135" spans="1:11">
      <c r="A135" s="226">
        <v>2.4</v>
      </c>
      <c r="B135" s="157"/>
      <c r="C135" s="237" t="s">
        <v>369</v>
      </c>
      <c r="D135" s="238" t="s">
        <v>51</v>
      </c>
      <c r="E135" s="228">
        <v>2</v>
      </c>
      <c r="F135" s="673">
        <f>'MB Gianis''s'!H108</f>
        <v>1</v>
      </c>
      <c r="G135" s="228">
        <v>1215</v>
      </c>
      <c r="H135" s="228">
        <f t="shared" si="9"/>
        <v>2430</v>
      </c>
      <c r="I135" s="172">
        <f>G135*F135</f>
        <v>1215</v>
      </c>
    </row>
    <row r="136" spans="1:11" ht="18.75">
      <c r="A136" s="367" t="s">
        <v>46</v>
      </c>
      <c r="B136" s="157"/>
      <c r="C136" s="240" t="s">
        <v>105</v>
      </c>
      <c r="D136" s="241"/>
      <c r="E136" s="242"/>
      <c r="F136" s="677"/>
      <c r="G136" s="242">
        <v>0</v>
      </c>
      <c r="H136" s="242"/>
      <c r="I136" s="172"/>
    </row>
    <row r="137" spans="1:11">
      <c r="A137" s="243"/>
      <c r="B137" s="157"/>
      <c r="C137" s="244" t="s">
        <v>104</v>
      </c>
      <c r="D137" s="245"/>
      <c r="E137" s="246"/>
      <c r="F137" s="678"/>
      <c r="G137" s="246">
        <v>0</v>
      </c>
      <c r="H137" s="246"/>
      <c r="I137" s="172"/>
    </row>
    <row r="138" spans="1:11">
      <c r="A138" s="243"/>
      <c r="B138" s="157"/>
      <c r="C138" s="244"/>
      <c r="D138" s="245"/>
      <c r="E138" s="246"/>
      <c r="F138" s="678"/>
      <c r="G138" s="246">
        <v>0</v>
      </c>
      <c r="H138" s="246"/>
      <c r="I138" s="172"/>
    </row>
    <row r="139" spans="1:11">
      <c r="A139" s="226">
        <v>1.1000000000000001</v>
      </c>
      <c r="B139" s="157"/>
      <c r="C139" s="72" t="s">
        <v>365</v>
      </c>
      <c r="D139" s="232" t="s">
        <v>47</v>
      </c>
      <c r="E139" s="233">
        <v>6</v>
      </c>
      <c r="F139" s="675">
        <f>'MB Gianis''s'!H111</f>
        <v>1</v>
      </c>
      <c r="G139" s="233">
        <v>225</v>
      </c>
      <c r="H139" s="233">
        <f>$E139*G139</f>
        <v>1350</v>
      </c>
      <c r="I139" s="172">
        <f>G139*F139</f>
        <v>225</v>
      </c>
      <c r="J139" s="254" t="s">
        <v>633</v>
      </c>
    </row>
    <row r="140" spans="1:11" ht="24">
      <c r="A140" s="226"/>
      <c r="B140" s="157"/>
      <c r="C140" s="72" t="s">
        <v>366</v>
      </c>
      <c r="D140" s="232" t="s">
        <v>47</v>
      </c>
      <c r="E140" s="233">
        <v>0</v>
      </c>
      <c r="F140" s="675"/>
      <c r="G140" s="233">
        <v>495</v>
      </c>
      <c r="H140" s="233"/>
      <c r="I140" s="172"/>
    </row>
    <row r="141" spans="1:11" ht="24">
      <c r="A141" s="226"/>
      <c r="B141" s="157"/>
      <c r="C141" s="72" t="s">
        <v>426</v>
      </c>
      <c r="D141" s="232" t="s">
        <v>47</v>
      </c>
      <c r="E141" s="233">
        <v>1</v>
      </c>
      <c r="F141" s="675">
        <f>'MB Gianis''s'!H123</f>
        <v>1</v>
      </c>
      <c r="G141" s="233">
        <v>495</v>
      </c>
      <c r="H141" s="233">
        <f>$E141*G141</f>
        <v>495</v>
      </c>
      <c r="I141" s="172">
        <f>G141*F141</f>
        <v>495</v>
      </c>
    </row>
    <row r="142" spans="1:11" ht="24">
      <c r="A142" s="226"/>
      <c r="B142" s="157"/>
      <c r="C142" s="72" t="s">
        <v>367</v>
      </c>
      <c r="D142" s="232" t="s">
        <v>47</v>
      </c>
      <c r="E142" s="233">
        <v>0</v>
      </c>
      <c r="F142" s="675"/>
      <c r="G142" s="233">
        <v>495</v>
      </c>
      <c r="H142" s="233"/>
      <c r="I142" s="172"/>
      <c r="K142" s="1" t="s">
        <v>14</v>
      </c>
    </row>
    <row r="143" spans="1:11" s="254" customFormat="1" ht="18.75">
      <c r="A143" s="759" t="s">
        <v>45</v>
      </c>
      <c r="B143" s="760"/>
      <c r="C143" s="761" t="s">
        <v>103</v>
      </c>
      <c r="D143" s="762"/>
      <c r="E143" s="763"/>
      <c r="F143" s="677"/>
      <c r="G143" s="763">
        <v>0</v>
      </c>
      <c r="H143" s="763"/>
      <c r="I143" s="764"/>
    </row>
    <row r="144" spans="1:11">
      <c r="A144" s="243"/>
      <c r="B144" s="157"/>
      <c r="C144" s="244"/>
      <c r="D144" s="245"/>
      <c r="E144" s="246"/>
      <c r="F144" s="678"/>
      <c r="G144" s="246">
        <v>0</v>
      </c>
      <c r="H144" s="246"/>
      <c r="I144" s="172"/>
    </row>
    <row r="145" spans="1:9" ht="60">
      <c r="A145" s="247">
        <v>1</v>
      </c>
      <c r="B145" s="157"/>
      <c r="C145" s="73" t="s">
        <v>427</v>
      </c>
      <c r="D145" s="248" t="s">
        <v>28</v>
      </c>
      <c r="E145" s="228">
        <v>1</v>
      </c>
      <c r="F145" s="673">
        <v>1</v>
      </c>
      <c r="G145" s="228">
        <v>4500</v>
      </c>
      <c r="H145" s="228">
        <f>$E145*G145</f>
        <v>4500</v>
      </c>
      <c r="I145" s="172">
        <f>F145*G145</f>
        <v>4500</v>
      </c>
    </row>
    <row r="146" spans="1:9" ht="60">
      <c r="A146" s="247">
        <v>2</v>
      </c>
      <c r="B146" s="157"/>
      <c r="C146" s="73" t="s">
        <v>428</v>
      </c>
      <c r="D146" s="248" t="s">
        <v>28</v>
      </c>
      <c r="E146" s="228" t="s">
        <v>31</v>
      </c>
      <c r="F146" s="673">
        <v>1</v>
      </c>
      <c r="G146" s="228">
        <v>7200</v>
      </c>
      <c r="H146" s="228"/>
      <c r="I146" s="172">
        <f>F146*G146</f>
        <v>7200</v>
      </c>
    </row>
    <row r="147" spans="1:9">
      <c r="A147" s="247"/>
      <c r="B147" s="157"/>
      <c r="C147" s="73"/>
      <c r="D147" s="248"/>
      <c r="E147" s="228"/>
      <c r="F147" s="673"/>
      <c r="G147" s="228">
        <v>0</v>
      </c>
      <c r="H147" s="228"/>
      <c r="I147" s="172"/>
    </row>
    <row r="148" spans="1:9">
      <c r="A148" s="239" t="s">
        <v>49</v>
      </c>
      <c r="B148" s="157"/>
      <c r="C148" s="240" t="s">
        <v>400</v>
      </c>
      <c r="D148" s="248"/>
      <c r="E148" s="228"/>
      <c r="F148" s="673"/>
      <c r="G148" s="228">
        <v>0</v>
      </c>
      <c r="H148" s="228"/>
      <c r="I148" s="172"/>
    </row>
    <row r="149" spans="1:9">
      <c r="A149" s="239"/>
      <c r="B149" s="157"/>
      <c r="C149" s="240"/>
      <c r="D149" s="248"/>
      <c r="E149" s="228"/>
      <c r="F149" s="673"/>
      <c r="G149" s="228">
        <v>0</v>
      </c>
      <c r="H149" s="228"/>
      <c r="I149" s="172"/>
    </row>
    <row r="150" spans="1:9" ht="24">
      <c r="A150" s="247">
        <v>1</v>
      </c>
      <c r="B150" s="157"/>
      <c r="C150" s="73" t="s">
        <v>402</v>
      </c>
      <c r="D150" s="248" t="s">
        <v>401</v>
      </c>
      <c r="E150" s="228">
        <v>2</v>
      </c>
      <c r="F150" s="673">
        <f>'MB Gianis''s'!H118</f>
        <v>1</v>
      </c>
      <c r="G150" s="228">
        <v>4050</v>
      </c>
      <c r="H150" s="228">
        <f t="shared" ref="H150:H151" si="10">$E150*G150</f>
        <v>8100</v>
      </c>
      <c r="I150" s="172">
        <f t="shared" si="7"/>
        <v>4050</v>
      </c>
    </row>
    <row r="151" spans="1:9">
      <c r="A151" s="247">
        <v>2</v>
      </c>
      <c r="B151" s="157"/>
      <c r="C151" s="73" t="s">
        <v>403</v>
      </c>
      <c r="D151" s="248" t="s">
        <v>401</v>
      </c>
      <c r="E151" s="228">
        <v>1</v>
      </c>
      <c r="F151" s="673">
        <f>'MB Gianis''s'!H119</f>
        <v>1</v>
      </c>
      <c r="G151" s="228">
        <v>4050</v>
      </c>
      <c r="H151" s="228">
        <f t="shared" si="10"/>
        <v>4050</v>
      </c>
      <c r="I151" s="172">
        <f t="shared" si="7"/>
        <v>4050</v>
      </c>
    </row>
    <row r="152" spans="1:9">
      <c r="A152" s="247"/>
      <c r="B152" s="157"/>
      <c r="C152" s="73"/>
      <c r="D152" s="248"/>
      <c r="E152" s="228"/>
      <c r="F152" s="673"/>
      <c r="G152" s="228"/>
      <c r="H152" s="228"/>
      <c r="I152" s="172"/>
    </row>
    <row r="153" spans="1:9" ht="12.75">
      <c r="A153" s="249"/>
      <c r="B153" s="250"/>
      <c r="C153" s="368" t="s">
        <v>399</v>
      </c>
      <c r="D153" s="251"/>
      <c r="E153" s="252"/>
      <c r="F153" s="679"/>
      <c r="G153" s="252"/>
      <c r="H153" s="365">
        <f>SUM(H92:H151)</f>
        <v>65980</v>
      </c>
      <c r="I153" s="215">
        <f>SUM(I92:I152)</f>
        <v>51543.25</v>
      </c>
    </row>
    <row r="154" spans="1:9" ht="15">
      <c r="A154" s="256"/>
      <c r="B154" s="257"/>
      <c r="C154" s="369" t="s">
        <v>628</v>
      </c>
      <c r="D154" s="256"/>
      <c r="E154" s="229"/>
      <c r="F154" s="674"/>
      <c r="G154" s="229"/>
      <c r="H154" s="370">
        <f>H153*0.18</f>
        <v>11876.4</v>
      </c>
      <c r="I154" s="371">
        <f>I153*0.18</f>
        <v>9277.7849999999999</v>
      </c>
    </row>
    <row r="155" spans="1:9" ht="15">
      <c r="A155" s="256"/>
      <c r="B155" s="257"/>
      <c r="C155" s="372" t="s">
        <v>629</v>
      </c>
      <c r="D155" s="373"/>
      <c r="E155" s="362"/>
      <c r="F155" s="680"/>
      <c r="G155" s="362"/>
      <c r="H155" s="362">
        <f>SUM(H153:H154)</f>
        <v>77856.399999999994</v>
      </c>
      <c r="I155" s="363">
        <f>SUM(I153:I154)</f>
        <v>60821.035000000003</v>
      </c>
    </row>
    <row r="156" spans="1:9" ht="15">
      <c r="A156" s="256"/>
      <c r="B156" s="257"/>
      <c r="C156" s="369"/>
      <c r="D156" s="256"/>
      <c r="E156" s="229"/>
      <c r="F156" s="674"/>
      <c r="G156" s="229"/>
      <c r="H156" s="370"/>
      <c r="I156" s="371"/>
    </row>
    <row r="157" spans="1:9" ht="15.75">
      <c r="A157" s="872" t="s">
        <v>630</v>
      </c>
      <c r="B157" s="873"/>
      <c r="C157" s="873"/>
      <c r="D157" s="873"/>
      <c r="E157" s="873"/>
      <c r="F157" s="873"/>
      <c r="G157" s="873"/>
      <c r="H157" s="873"/>
      <c r="I157" s="874"/>
    </row>
    <row r="158" spans="1:9" ht="15">
      <c r="A158" s="256">
        <v>1.1000000000000001</v>
      </c>
      <c r="B158" s="224" t="s">
        <v>132</v>
      </c>
      <c r="C158" s="79" t="s">
        <v>365</v>
      </c>
      <c r="D158" s="60" t="s">
        <v>28</v>
      </c>
      <c r="E158" s="61">
        <v>1</v>
      </c>
      <c r="F158" s="137">
        <v>1</v>
      </c>
      <c r="G158" s="61">
        <v>1100</v>
      </c>
      <c r="H158" s="61"/>
      <c r="I158" s="60">
        <f>F158*G158</f>
        <v>1100</v>
      </c>
    </row>
    <row r="159" spans="1:9" ht="24">
      <c r="A159" s="256"/>
      <c r="B159" s="257"/>
      <c r="C159" s="14" t="s">
        <v>426</v>
      </c>
      <c r="D159" s="60" t="s">
        <v>28</v>
      </c>
      <c r="E159" s="61">
        <v>1</v>
      </c>
      <c r="F159" s="674">
        <v>1</v>
      </c>
      <c r="G159" s="378">
        <v>5500</v>
      </c>
      <c r="H159" s="370"/>
      <c r="I159" s="777">
        <f>F159*G159</f>
        <v>5500</v>
      </c>
    </row>
    <row r="160" spans="1:9" ht="15">
      <c r="A160" s="256"/>
      <c r="B160" s="257"/>
      <c r="C160" s="369"/>
      <c r="D160" s="256"/>
      <c r="E160" s="229"/>
      <c r="F160" s="674"/>
      <c r="G160" s="229"/>
      <c r="H160" s="370"/>
      <c r="I160" s="371">
        <f>SUM(I158:I159)</f>
        <v>6600</v>
      </c>
    </row>
    <row r="161" spans="1:9" ht="15">
      <c r="A161" s="153" t="s">
        <v>49</v>
      </c>
      <c r="B161" s="375" t="s">
        <v>189</v>
      </c>
      <c r="C161" s="155"/>
      <c r="D161" s="156"/>
      <c r="E161" s="151"/>
      <c r="F161" s="661"/>
      <c r="G161" s="151"/>
      <c r="H161" s="151"/>
      <c r="I161" s="163"/>
    </row>
    <row r="162" spans="1:9" ht="12" customHeight="1">
      <c r="A162" s="258" t="s">
        <v>136</v>
      </c>
      <c r="B162" s="259" t="s">
        <v>189</v>
      </c>
      <c r="C162" s="260" t="s">
        <v>2</v>
      </c>
      <c r="D162" s="261" t="s">
        <v>3</v>
      </c>
      <c r="E162" s="262" t="s">
        <v>137</v>
      </c>
      <c r="F162" s="681"/>
      <c r="G162" s="262" t="s">
        <v>138</v>
      </c>
      <c r="H162" s="262"/>
      <c r="I162" s="263"/>
    </row>
    <row r="163" spans="1:9">
      <c r="A163" s="258"/>
      <c r="B163" s="259"/>
      <c r="C163" s="260"/>
      <c r="D163" s="261"/>
      <c r="E163" s="262"/>
      <c r="F163" s="681"/>
      <c r="G163" s="262"/>
      <c r="H163" s="262"/>
      <c r="I163" s="263"/>
    </row>
    <row r="164" spans="1:9">
      <c r="A164" s="264"/>
      <c r="B164" s="157"/>
      <c r="C164" s="265"/>
      <c r="D164" s="266"/>
      <c r="E164" s="267"/>
      <c r="F164" s="682"/>
      <c r="G164" s="267"/>
      <c r="H164" s="267"/>
      <c r="I164" s="163"/>
    </row>
    <row r="165" spans="1:9">
      <c r="A165" s="264">
        <v>1</v>
      </c>
      <c r="B165" s="157"/>
      <c r="C165" s="265" t="s">
        <v>139</v>
      </c>
      <c r="D165" s="266"/>
      <c r="E165" s="267"/>
      <c r="F165" s="682"/>
      <c r="G165" s="267"/>
      <c r="H165" s="267"/>
      <c r="I165" s="163"/>
    </row>
    <row r="166" spans="1:9">
      <c r="A166" s="264">
        <v>1.1000000000000001</v>
      </c>
      <c r="B166" s="157"/>
      <c r="C166" s="265" t="s">
        <v>140</v>
      </c>
      <c r="D166" s="266" t="s">
        <v>28</v>
      </c>
      <c r="E166" s="267">
        <v>0</v>
      </c>
      <c r="F166" s="682"/>
      <c r="G166" s="267"/>
      <c r="H166" s="267"/>
      <c r="I166" s="163"/>
    </row>
    <row r="167" spans="1:9">
      <c r="A167" s="264"/>
      <c r="B167" s="157"/>
      <c r="C167" s="268" t="s">
        <v>141</v>
      </c>
      <c r="D167" s="266"/>
      <c r="E167" s="267"/>
      <c r="F167" s="682"/>
      <c r="G167" s="267"/>
      <c r="H167" s="267"/>
      <c r="I167" s="163"/>
    </row>
    <row r="168" spans="1:9" ht="24">
      <c r="A168" s="264"/>
      <c r="B168" s="157"/>
      <c r="C168" s="268" t="s">
        <v>142</v>
      </c>
      <c r="D168" s="266"/>
      <c r="E168" s="267"/>
      <c r="F168" s="682"/>
      <c r="G168" s="267"/>
      <c r="H168" s="267"/>
      <c r="I168" s="163"/>
    </row>
    <row r="169" spans="1:9">
      <c r="A169" s="264"/>
      <c r="B169" s="157"/>
      <c r="C169" s="86" t="s">
        <v>143</v>
      </c>
      <c r="D169" s="266"/>
      <c r="E169" s="267"/>
      <c r="F169" s="682"/>
      <c r="G169" s="267"/>
      <c r="H169" s="267"/>
      <c r="I169" s="163"/>
    </row>
    <row r="170" spans="1:9">
      <c r="A170" s="264"/>
      <c r="B170" s="157"/>
      <c r="C170" s="86" t="s">
        <v>144</v>
      </c>
      <c r="D170" s="266"/>
      <c r="E170" s="267"/>
      <c r="F170" s="682"/>
      <c r="G170" s="267"/>
      <c r="H170" s="267"/>
      <c r="I170" s="163"/>
    </row>
    <row r="171" spans="1:9">
      <c r="A171" s="264"/>
      <c r="B171" s="157"/>
      <c r="C171" s="86" t="s">
        <v>145</v>
      </c>
      <c r="D171" s="266"/>
      <c r="E171" s="267"/>
      <c r="F171" s="682"/>
      <c r="G171" s="267"/>
      <c r="H171" s="267"/>
      <c r="I171" s="163"/>
    </row>
    <row r="172" spans="1:9">
      <c r="A172" s="264"/>
      <c r="B172" s="157"/>
      <c r="C172" s="86" t="s">
        <v>146</v>
      </c>
      <c r="D172" s="266"/>
      <c r="E172" s="267"/>
      <c r="F172" s="682"/>
      <c r="G172" s="267"/>
      <c r="H172" s="267"/>
      <c r="I172" s="163"/>
    </row>
    <row r="173" spans="1:9">
      <c r="A173" s="264"/>
      <c r="B173" s="157"/>
      <c r="C173" s="86" t="s">
        <v>147</v>
      </c>
      <c r="D173" s="266"/>
      <c r="E173" s="267"/>
      <c r="F173" s="682"/>
      <c r="G173" s="267"/>
      <c r="H173" s="267"/>
      <c r="I173" s="163"/>
    </row>
    <row r="174" spans="1:9" ht="24">
      <c r="A174" s="264"/>
      <c r="B174" s="157"/>
      <c r="C174" s="86" t="s">
        <v>148</v>
      </c>
      <c r="D174" s="266"/>
      <c r="E174" s="267"/>
      <c r="F174" s="682"/>
      <c r="G174" s="267"/>
      <c r="H174" s="267"/>
      <c r="I174" s="163"/>
    </row>
    <row r="175" spans="1:9">
      <c r="A175" s="264"/>
      <c r="B175" s="157"/>
      <c r="C175" s="86"/>
      <c r="D175" s="266"/>
      <c r="E175" s="267"/>
      <c r="F175" s="682"/>
      <c r="G175" s="267"/>
      <c r="H175" s="267"/>
      <c r="I175" s="163"/>
    </row>
    <row r="176" spans="1:9">
      <c r="A176" s="264">
        <v>1.2</v>
      </c>
      <c r="B176" s="157"/>
      <c r="C176" s="265" t="s">
        <v>149</v>
      </c>
      <c r="D176" s="266" t="s">
        <v>28</v>
      </c>
      <c r="E176" s="267">
        <v>0</v>
      </c>
      <c r="F176" s="682"/>
      <c r="G176" s="267"/>
      <c r="H176" s="267"/>
      <c r="I176" s="163"/>
    </row>
    <row r="177" spans="1:9">
      <c r="A177" s="264"/>
      <c r="B177" s="157"/>
      <c r="C177" s="268" t="s">
        <v>150</v>
      </c>
      <c r="D177" s="266"/>
      <c r="E177" s="267"/>
      <c r="F177" s="682"/>
      <c r="G177" s="267"/>
      <c r="H177" s="267"/>
      <c r="I177" s="163"/>
    </row>
    <row r="178" spans="1:9" ht="24">
      <c r="A178" s="264"/>
      <c r="B178" s="157"/>
      <c r="C178" s="268" t="s">
        <v>151</v>
      </c>
      <c r="D178" s="266"/>
      <c r="E178" s="267"/>
      <c r="F178" s="682"/>
      <c r="G178" s="267"/>
      <c r="H178" s="267"/>
      <c r="I178" s="163"/>
    </row>
    <row r="179" spans="1:9">
      <c r="A179" s="264"/>
      <c r="B179" s="157"/>
      <c r="C179" s="86" t="s">
        <v>143</v>
      </c>
      <c r="D179" s="266"/>
      <c r="E179" s="267"/>
      <c r="F179" s="682"/>
      <c r="G179" s="267"/>
      <c r="H179" s="267"/>
      <c r="I179" s="163"/>
    </row>
    <row r="180" spans="1:9">
      <c r="A180" s="264"/>
      <c r="B180" s="157"/>
      <c r="C180" s="86" t="s">
        <v>152</v>
      </c>
      <c r="D180" s="266"/>
      <c r="E180" s="267"/>
      <c r="F180" s="682"/>
      <c r="G180" s="267"/>
      <c r="H180" s="267"/>
      <c r="I180" s="163"/>
    </row>
    <row r="181" spans="1:9">
      <c r="A181" s="264"/>
      <c r="B181" s="157"/>
      <c r="C181" s="86" t="s">
        <v>145</v>
      </c>
      <c r="D181" s="266"/>
      <c r="E181" s="267"/>
      <c r="F181" s="682"/>
      <c r="G181" s="267"/>
      <c r="H181" s="267"/>
      <c r="I181" s="163"/>
    </row>
    <row r="182" spans="1:9">
      <c r="A182" s="264"/>
      <c r="B182" s="157"/>
      <c r="C182" s="86" t="s">
        <v>153</v>
      </c>
      <c r="D182" s="266"/>
      <c r="E182" s="267"/>
      <c r="F182" s="682"/>
      <c r="G182" s="267"/>
      <c r="H182" s="267"/>
      <c r="I182" s="163"/>
    </row>
    <row r="183" spans="1:9">
      <c r="A183" s="264"/>
      <c r="B183" s="157"/>
      <c r="C183" s="86" t="s">
        <v>154</v>
      </c>
      <c r="D183" s="266"/>
      <c r="E183" s="267"/>
      <c r="F183" s="682"/>
      <c r="G183" s="267"/>
      <c r="H183" s="267"/>
      <c r="I183" s="163"/>
    </row>
    <row r="184" spans="1:9">
      <c r="A184" s="264"/>
      <c r="B184" s="157"/>
      <c r="C184" s="86" t="s">
        <v>155</v>
      </c>
      <c r="D184" s="266"/>
      <c r="E184" s="267"/>
      <c r="F184" s="682"/>
      <c r="G184" s="267"/>
      <c r="H184" s="267"/>
      <c r="I184" s="163"/>
    </row>
    <row r="185" spans="1:9">
      <c r="A185" s="264"/>
      <c r="B185" s="157"/>
      <c r="C185" s="86" t="s">
        <v>156</v>
      </c>
      <c r="D185" s="266"/>
      <c r="E185" s="267"/>
      <c r="F185" s="682"/>
      <c r="G185" s="267"/>
      <c r="H185" s="267"/>
      <c r="I185" s="163"/>
    </row>
    <row r="186" spans="1:9">
      <c r="A186" s="264"/>
      <c r="B186" s="157"/>
      <c r="C186" s="86"/>
      <c r="D186" s="266"/>
      <c r="E186" s="267"/>
      <c r="F186" s="682"/>
      <c r="G186" s="267"/>
      <c r="H186" s="267"/>
      <c r="I186" s="163"/>
    </row>
    <row r="187" spans="1:9">
      <c r="A187" s="264">
        <v>2</v>
      </c>
      <c r="B187" s="157"/>
      <c r="C187" s="265" t="s">
        <v>157</v>
      </c>
      <c r="D187" s="266"/>
      <c r="E187" s="267"/>
      <c r="F187" s="682"/>
      <c r="G187" s="267"/>
      <c r="H187" s="267"/>
      <c r="I187" s="163"/>
    </row>
    <row r="188" spans="1:9" ht="36">
      <c r="A188" s="264"/>
      <c r="B188" s="157"/>
      <c r="C188" s="269" t="s">
        <v>158</v>
      </c>
      <c r="D188" s="266"/>
      <c r="E188" s="267"/>
      <c r="F188" s="682"/>
      <c r="G188" s="267"/>
      <c r="H188" s="267"/>
      <c r="I188" s="163"/>
    </row>
    <row r="189" spans="1:9">
      <c r="A189" s="264"/>
      <c r="B189" s="157"/>
      <c r="C189" s="270" t="s">
        <v>159</v>
      </c>
      <c r="D189" s="266"/>
      <c r="E189" s="267"/>
      <c r="F189" s="682"/>
      <c r="G189" s="267"/>
      <c r="H189" s="267"/>
      <c r="I189" s="163"/>
    </row>
    <row r="190" spans="1:9">
      <c r="A190" s="264"/>
      <c r="B190" s="157"/>
      <c r="C190" s="269" t="s">
        <v>160</v>
      </c>
      <c r="D190" s="266"/>
      <c r="E190" s="267"/>
      <c r="F190" s="682"/>
      <c r="G190" s="267"/>
      <c r="H190" s="267"/>
      <c r="I190" s="163"/>
    </row>
    <row r="191" spans="1:9">
      <c r="A191" s="264"/>
      <c r="B191" s="157"/>
      <c r="C191" s="270"/>
      <c r="D191" s="266"/>
      <c r="E191" s="267"/>
      <c r="F191" s="682"/>
      <c r="G191" s="267"/>
      <c r="H191" s="267"/>
      <c r="I191" s="163"/>
    </row>
    <row r="192" spans="1:9">
      <c r="A192" s="264">
        <v>2.1</v>
      </c>
      <c r="B192" s="157"/>
      <c r="C192" s="265" t="s">
        <v>161</v>
      </c>
      <c r="D192" s="266"/>
      <c r="E192" s="267"/>
      <c r="F192" s="682"/>
      <c r="G192" s="267"/>
      <c r="H192" s="267"/>
      <c r="I192" s="163"/>
    </row>
    <row r="193" spans="1:9" ht="24">
      <c r="A193" s="264" t="s">
        <v>162</v>
      </c>
      <c r="B193" s="157"/>
      <c r="C193" s="271" t="s">
        <v>163</v>
      </c>
      <c r="D193" s="266"/>
      <c r="E193" s="267"/>
      <c r="F193" s="682"/>
      <c r="G193" s="267"/>
      <c r="H193" s="267"/>
      <c r="I193" s="163"/>
    </row>
    <row r="194" spans="1:9">
      <c r="A194" s="264"/>
      <c r="B194" s="157"/>
      <c r="C194" s="270"/>
      <c r="D194" s="266"/>
      <c r="E194" s="267"/>
      <c r="F194" s="682"/>
      <c r="G194" s="267"/>
      <c r="H194" s="267"/>
      <c r="I194" s="163"/>
    </row>
    <row r="195" spans="1:9" ht="24">
      <c r="A195" s="272" t="s">
        <v>164</v>
      </c>
      <c r="B195" s="157"/>
      <c r="C195" s="268" t="s">
        <v>165</v>
      </c>
      <c r="D195" s="272" t="s">
        <v>28</v>
      </c>
      <c r="E195" s="273"/>
      <c r="F195" s="683"/>
      <c r="G195" s="273"/>
      <c r="H195" s="273"/>
      <c r="I195" s="163"/>
    </row>
    <row r="196" spans="1:9">
      <c r="A196" s="272"/>
      <c r="B196" s="157"/>
      <c r="C196" s="268"/>
      <c r="D196" s="272"/>
      <c r="E196" s="273"/>
      <c r="F196" s="683"/>
      <c r="G196" s="273"/>
      <c r="H196" s="273"/>
      <c r="I196" s="163"/>
    </row>
    <row r="197" spans="1:9" ht="24">
      <c r="A197" s="272" t="s">
        <v>166</v>
      </c>
      <c r="B197" s="157"/>
      <c r="C197" s="268" t="s">
        <v>167</v>
      </c>
      <c r="D197" s="272"/>
      <c r="E197" s="273">
        <v>0</v>
      </c>
      <c r="F197" s="683"/>
      <c r="G197" s="273"/>
      <c r="H197" s="273"/>
      <c r="I197" s="163"/>
    </row>
    <row r="198" spans="1:9">
      <c r="A198" s="264"/>
      <c r="B198" s="157"/>
      <c r="C198" s="270"/>
      <c r="D198" s="274"/>
      <c r="E198" s="275"/>
      <c r="F198" s="684"/>
      <c r="G198" s="275"/>
      <c r="H198" s="275"/>
      <c r="I198" s="163"/>
    </row>
    <row r="199" spans="1:9" ht="24">
      <c r="A199" s="272" t="s">
        <v>168</v>
      </c>
      <c r="B199" s="157"/>
      <c r="C199" s="268" t="s">
        <v>429</v>
      </c>
      <c r="D199" s="272" t="s">
        <v>28</v>
      </c>
      <c r="E199" s="273">
        <v>0</v>
      </c>
      <c r="F199" s="683"/>
      <c r="G199" s="273"/>
      <c r="H199" s="273"/>
      <c r="I199" s="163"/>
    </row>
    <row r="200" spans="1:9">
      <c r="A200" s="264"/>
      <c r="B200" s="157"/>
      <c r="C200" s="270"/>
      <c r="D200" s="274"/>
      <c r="E200" s="275"/>
      <c r="F200" s="684"/>
      <c r="G200" s="275"/>
      <c r="H200" s="275"/>
      <c r="I200" s="163"/>
    </row>
    <row r="201" spans="1:9" ht="24">
      <c r="A201" s="272" t="s">
        <v>169</v>
      </c>
      <c r="B201" s="157"/>
      <c r="C201" s="268" t="s">
        <v>430</v>
      </c>
      <c r="D201" s="272" t="s">
        <v>28</v>
      </c>
      <c r="E201" s="273"/>
      <c r="F201" s="683"/>
      <c r="G201" s="273"/>
      <c r="H201" s="273"/>
      <c r="I201" s="163"/>
    </row>
    <row r="202" spans="1:9">
      <c r="A202" s="272"/>
      <c r="B202" s="157"/>
      <c r="C202" s="268"/>
      <c r="D202" s="272"/>
      <c r="E202" s="273"/>
      <c r="F202" s="683"/>
      <c r="G202" s="273"/>
      <c r="H202" s="273"/>
      <c r="I202" s="163"/>
    </row>
    <row r="203" spans="1:9" ht="24">
      <c r="A203" s="272" t="s">
        <v>169</v>
      </c>
      <c r="B203" s="157"/>
      <c r="C203" s="268" t="s">
        <v>431</v>
      </c>
      <c r="D203" s="272" t="s">
        <v>28</v>
      </c>
      <c r="E203" s="273">
        <v>0</v>
      </c>
      <c r="F203" s="683"/>
      <c r="G203" s="273"/>
      <c r="H203" s="273"/>
      <c r="I203" s="163"/>
    </row>
    <row r="204" spans="1:9">
      <c r="A204" s="272"/>
      <c r="B204" s="157"/>
      <c r="C204" s="268"/>
      <c r="D204" s="272"/>
      <c r="E204" s="273"/>
      <c r="F204" s="683"/>
      <c r="G204" s="273"/>
      <c r="H204" s="273"/>
      <c r="I204" s="163"/>
    </row>
    <row r="205" spans="1:9" ht="24">
      <c r="A205" s="272" t="s">
        <v>170</v>
      </c>
      <c r="B205" s="157"/>
      <c r="C205" s="268" t="s">
        <v>432</v>
      </c>
      <c r="D205" s="272" t="s">
        <v>28</v>
      </c>
      <c r="E205" s="273">
        <v>0</v>
      </c>
      <c r="F205" s="683"/>
      <c r="G205" s="273"/>
      <c r="H205" s="273"/>
      <c r="I205" s="163"/>
    </row>
    <row r="206" spans="1:9">
      <c r="A206" s="272"/>
      <c r="B206" s="157"/>
      <c r="C206" s="268"/>
      <c r="D206" s="272"/>
      <c r="E206" s="273"/>
      <c r="F206" s="683"/>
      <c r="G206" s="273"/>
      <c r="H206" s="273"/>
      <c r="I206" s="163"/>
    </row>
    <row r="207" spans="1:9">
      <c r="A207" s="264">
        <v>2.2000000000000002</v>
      </c>
      <c r="B207" s="157"/>
      <c r="C207" s="276" t="s">
        <v>171</v>
      </c>
      <c r="D207" s="274"/>
      <c r="E207" s="275"/>
      <c r="F207" s="684"/>
      <c r="G207" s="275"/>
      <c r="H207" s="275"/>
      <c r="I207" s="163"/>
    </row>
    <row r="208" spans="1:9">
      <c r="A208" s="88" t="s">
        <v>172</v>
      </c>
      <c r="B208" s="157"/>
      <c r="C208" s="277" t="s">
        <v>173</v>
      </c>
      <c r="D208" s="274" t="s">
        <v>28</v>
      </c>
      <c r="E208" s="275">
        <v>1</v>
      </c>
      <c r="F208" s="684">
        <f>'MB Gianis''s'!H128</f>
        <v>1</v>
      </c>
      <c r="G208" s="275">
        <v>7500</v>
      </c>
      <c r="H208" s="275">
        <f>$E208*G208</f>
        <v>7500</v>
      </c>
      <c r="I208" s="172">
        <f>G208*F208</f>
        <v>7500</v>
      </c>
    </row>
    <row r="209" spans="1:10">
      <c r="A209" s="88"/>
      <c r="B209" s="157"/>
      <c r="C209" s="268" t="s">
        <v>174</v>
      </c>
      <c r="D209" s="274"/>
      <c r="E209" s="275"/>
      <c r="F209" s="684"/>
      <c r="G209" s="275">
        <v>0</v>
      </c>
      <c r="H209" s="275"/>
      <c r="I209" s="172">
        <f t="shared" ref="I209:I272" si="11">G209*F209</f>
        <v>0</v>
      </c>
    </row>
    <row r="210" spans="1:10">
      <c r="A210" s="88"/>
      <c r="B210" s="157"/>
      <c r="C210" s="268" t="s">
        <v>175</v>
      </c>
      <c r="D210" s="274"/>
      <c r="E210" s="275"/>
      <c r="F210" s="684"/>
      <c r="G210" s="275">
        <v>0</v>
      </c>
      <c r="H210" s="275"/>
      <c r="I210" s="172">
        <f t="shared" si="11"/>
        <v>0</v>
      </c>
    </row>
    <row r="211" spans="1:10">
      <c r="A211" s="88"/>
      <c r="B211" s="157"/>
      <c r="C211" s="276"/>
      <c r="D211" s="274"/>
      <c r="E211" s="275"/>
      <c r="F211" s="684"/>
      <c r="G211" s="275">
        <v>0</v>
      </c>
      <c r="H211" s="275"/>
      <c r="I211" s="172">
        <f t="shared" si="11"/>
        <v>0</v>
      </c>
    </row>
    <row r="212" spans="1:10">
      <c r="A212" s="88" t="s">
        <v>176</v>
      </c>
      <c r="B212" s="157"/>
      <c r="C212" s="277" t="s">
        <v>177</v>
      </c>
      <c r="D212" s="274" t="s">
        <v>28</v>
      </c>
      <c r="E212" s="275">
        <v>1</v>
      </c>
      <c r="F212" s="684"/>
      <c r="G212" s="275">
        <v>17550</v>
      </c>
      <c r="H212" s="275">
        <f>$E212*G212</f>
        <v>17550</v>
      </c>
      <c r="I212" s="172">
        <f t="shared" si="11"/>
        <v>0</v>
      </c>
    </row>
    <row r="213" spans="1:10">
      <c r="A213" s="88"/>
      <c r="B213" s="157"/>
      <c r="C213" s="268" t="s">
        <v>178</v>
      </c>
      <c r="D213" s="274"/>
      <c r="E213" s="275"/>
      <c r="F213" s="684"/>
      <c r="G213" s="275">
        <v>0</v>
      </c>
      <c r="H213" s="275"/>
      <c r="I213" s="172">
        <f t="shared" si="11"/>
        <v>0</v>
      </c>
    </row>
    <row r="214" spans="1:10">
      <c r="A214" s="88"/>
      <c r="B214" s="157"/>
      <c r="C214" s="268" t="s">
        <v>179</v>
      </c>
      <c r="D214" s="274"/>
      <c r="E214" s="275"/>
      <c r="F214" s="684"/>
      <c r="G214" s="275">
        <v>0</v>
      </c>
      <c r="H214" s="275"/>
      <c r="I214" s="172">
        <f t="shared" si="11"/>
        <v>0</v>
      </c>
    </row>
    <row r="215" spans="1:10">
      <c r="A215" s="88"/>
      <c r="B215" s="157"/>
      <c r="C215" s="268" t="s">
        <v>180</v>
      </c>
      <c r="D215" s="274"/>
      <c r="E215" s="275"/>
      <c r="F215" s="684"/>
      <c r="G215" s="275">
        <v>0</v>
      </c>
      <c r="H215" s="275"/>
      <c r="I215" s="172">
        <f t="shared" si="11"/>
        <v>0</v>
      </c>
    </row>
    <row r="216" spans="1:10">
      <c r="A216" s="88"/>
      <c r="B216" s="157"/>
      <c r="C216" s="268" t="s">
        <v>181</v>
      </c>
      <c r="D216" s="274"/>
      <c r="E216" s="275"/>
      <c r="F216" s="684"/>
      <c r="G216" s="275">
        <v>0</v>
      </c>
      <c r="H216" s="275"/>
      <c r="I216" s="172">
        <f t="shared" si="11"/>
        <v>0</v>
      </c>
    </row>
    <row r="217" spans="1:10">
      <c r="A217" s="88"/>
      <c r="B217" s="157"/>
      <c r="C217" s="268"/>
      <c r="D217" s="274"/>
      <c r="E217" s="275"/>
      <c r="F217" s="684"/>
      <c r="G217" s="275">
        <v>0</v>
      </c>
      <c r="H217" s="275"/>
      <c r="I217" s="172">
        <f t="shared" si="11"/>
        <v>0</v>
      </c>
    </row>
    <row r="218" spans="1:10">
      <c r="A218" s="88" t="s">
        <v>182</v>
      </c>
      <c r="B218" s="157"/>
      <c r="C218" s="277" t="s">
        <v>183</v>
      </c>
      <c r="D218" s="274" t="s">
        <v>28</v>
      </c>
      <c r="E218" s="275">
        <v>0</v>
      </c>
      <c r="F218" s="684">
        <f>'MB Gianis''s'!H132</f>
        <v>1</v>
      </c>
      <c r="G218" s="275">
        <v>9450</v>
      </c>
      <c r="H218" s="275"/>
      <c r="I218" s="172">
        <f t="shared" si="11"/>
        <v>9450</v>
      </c>
      <c r="J218" s="254"/>
    </row>
    <row r="219" spans="1:10">
      <c r="A219" s="264"/>
      <c r="B219" s="157"/>
      <c r="C219" s="268" t="s">
        <v>184</v>
      </c>
      <c r="D219" s="278"/>
      <c r="E219" s="275"/>
      <c r="F219" s="684"/>
      <c r="G219" s="275">
        <v>0</v>
      </c>
      <c r="H219" s="275"/>
      <c r="I219" s="172">
        <f t="shared" si="11"/>
        <v>0</v>
      </c>
    </row>
    <row r="220" spans="1:10">
      <c r="A220" s="264"/>
      <c r="B220" s="157"/>
      <c r="C220" s="268" t="s">
        <v>185</v>
      </c>
      <c r="D220" s="278"/>
      <c r="E220" s="275"/>
      <c r="F220" s="684"/>
      <c r="G220" s="275">
        <v>0</v>
      </c>
      <c r="H220" s="275"/>
      <c r="I220" s="172">
        <f t="shared" si="11"/>
        <v>0</v>
      </c>
    </row>
    <row r="221" spans="1:10">
      <c r="A221" s="264"/>
      <c r="B221" s="157"/>
      <c r="C221" s="265"/>
      <c r="D221" s="266"/>
      <c r="E221" s="267"/>
      <c r="F221" s="682"/>
      <c r="G221" s="267">
        <v>0</v>
      </c>
      <c r="H221" s="267"/>
      <c r="I221" s="172">
        <f t="shared" si="11"/>
        <v>0</v>
      </c>
    </row>
    <row r="222" spans="1:10">
      <c r="A222" s="279">
        <v>3</v>
      </c>
      <c r="B222" s="157"/>
      <c r="C222" s="276" t="s">
        <v>190</v>
      </c>
      <c r="D222" s="280"/>
      <c r="E222" s="281"/>
      <c r="F222" s="685"/>
      <c r="G222" s="281">
        <v>0</v>
      </c>
      <c r="H222" s="281"/>
      <c r="I222" s="172">
        <f t="shared" si="11"/>
        <v>0</v>
      </c>
    </row>
    <row r="223" spans="1:10">
      <c r="A223" s="74">
        <v>3.1</v>
      </c>
      <c r="B223" s="157"/>
      <c r="C223" s="282" t="s">
        <v>191</v>
      </c>
      <c r="D223" s="283"/>
      <c r="E223" s="284"/>
      <c r="F223" s="686"/>
      <c r="G223" s="284">
        <v>0</v>
      </c>
      <c r="H223" s="284"/>
      <c r="I223" s="172">
        <f t="shared" si="11"/>
        <v>0</v>
      </c>
    </row>
    <row r="224" spans="1:10" ht="108">
      <c r="A224" s="74"/>
      <c r="B224" s="157"/>
      <c r="C224" s="285" t="s">
        <v>433</v>
      </c>
      <c r="D224" s="283"/>
      <c r="E224" s="284"/>
      <c r="F224" s="686"/>
      <c r="G224" s="284">
        <v>0</v>
      </c>
      <c r="H224" s="284"/>
      <c r="I224" s="172">
        <f t="shared" si="11"/>
        <v>0</v>
      </c>
    </row>
    <row r="225" spans="1:10">
      <c r="A225" s="74" t="s">
        <v>377</v>
      </c>
      <c r="B225" s="157"/>
      <c r="C225" s="286" t="s">
        <v>192</v>
      </c>
      <c r="D225" s="287"/>
      <c r="E225" s="288"/>
      <c r="F225" s="687"/>
      <c r="G225" s="288">
        <v>0</v>
      </c>
      <c r="H225" s="288"/>
      <c r="I225" s="172">
        <f t="shared" si="11"/>
        <v>0</v>
      </c>
    </row>
    <row r="226" spans="1:10">
      <c r="A226" s="74" t="s">
        <v>13</v>
      </c>
      <c r="B226" s="157"/>
      <c r="C226" s="76" t="s">
        <v>193</v>
      </c>
      <c r="D226" s="287" t="s">
        <v>53</v>
      </c>
      <c r="E226" s="288"/>
      <c r="F226" s="687"/>
      <c r="G226" s="288">
        <v>360</v>
      </c>
      <c r="H226" s="288"/>
      <c r="I226" s="172">
        <f t="shared" si="11"/>
        <v>0</v>
      </c>
    </row>
    <row r="227" spans="1:10">
      <c r="A227" s="74" t="s">
        <v>14</v>
      </c>
      <c r="B227" s="157"/>
      <c r="C227" s="76" t="s">
        <v>194</v>
      </c>
      <c r="D227" s="287" t="s">
        <v>53</v>
      </c>
      <c r="E227" s="288"/>
      <c r="F227" s="687"/>
      <c r="G227" s="288">
        <v>315</v>
      </c>
      <c r="H227" s="288"/>
      <c r="I227" s="172">
        <f t="shared" si="11"/>
        <v>0</v>
      </c>
    </row>
    <row r="228" spans="1:10">
      <c r="A228" s="74" t="s">
        <v>15</v>
      </c>
      <c r="B228" s="157"/>
      <c r="C228" s="76" t="s">
        <v>195</v>
      </c>
      <c r="D228" s="287" t="s">
        <v>53</v>
      </c>
      <c r="E228" s="288" t="s">
        <v>31</v>
      </c>
      <c r="F228" s="687"/>
      <c r="G228" s="288">
        <v>180</v>
      </c>
      <c r="H228" s="288"/>
      <c r="I228" s="172">
        <f t="shared" si="11"/>
        <v>0</v>
      </c>
    </row>
    <row r="229" spans="1:10">
      <c r="A229" s="74" t="s">
        <v>378</v>
      </c>
      <c r="B229" s="157"/>
      <c r="C229" s="75" t="s">
        <v>196</v>
      </c>
      <c r="D229" s="287"/>
      <c r="E229" s="288"/>
      <c r="F229" s="687"/>
      <c r="G229" s="288">
        <v>0</v>
      </c>
      <c r="H229" s="288"/>
      <c r="I229" s="172">
        <f t="shared" si="11"/>
        <v>0</v>
      </c>
    </row>
    <row r="230" spans="1:10">
      <c r="A230" s="74" t="s">
        <v>13</v>
      </c>
      <c r="B230" s="157"/>
      <c r="C230" s="76" t="s">
        <v>197</v>
      </c>
      <c r="D230" s="287" t="s">
        <v>53</v>
      </c>
      <c r="E230" s="273"/>
      <c r="F230" s="683"/>
      <c r="G230" s="273">
        <v>2025</v>
      </c>
      <c r="H230" s="273"/>
      <c r="I230" s="172">
        <f t="shared" si="11"/>
        <v>0</v>
      </c>
    </row>
    <row r="231" spans="1:10">
      <c r="A231" s="74" t="s">
        <v>14</v>
      </c>
      <c r="B231" s="157"/>
      <c r="C231" s="76" t="s">
        <v>198</v>
      </c>
      <c r="D231" s="287" t="s">
        <v>53</v>
      </c>
      <c r="E231" s="273"/>
      <c r="F231" s="683"/>
      <c r="G231" s="273">
        <v>1152</v>
      </c>
      <c r="H231" s="273"/>
      <c r="I231" s="172">
        <f t="shared" si="11"/>
        <v>0</v>
      </c>
    </row>
    <row r="232" spans="1:10">
      <c r="A232" s="74" t="s">
        <v>15</v>
      </c>
      <c r="B232" s="157"/>
      <c r="C232" s="76" t="s">
        <v>195</v>
      </c>
      <c r="D232" s="287" t="s">
        <v>53</v>
      </c>
      <c r="E232" s="288"/>
      <c r="F232" s="687">
        <v>49</v>
      </c>
      <c r="G232" s="288">
        <v>675</v>
      </c>
      <c r="H232" s="288"/>
      <c r="I232" s="172">
        <f t="shared" si="11"/>
        <v>33075</v>
      </c>
    </row>
    <row r="233" spans="1:10">
      <c r="A233" s="74" t="s">
        <v>199</v>
      </c>
      <c r="B233" s="157"/>
      <c r="C233" s="76" t="s">
        <v>200</v>
      </c>
      <c r="D233" s="287" t="s">
        <v>53</v>
      </c>
      <c r="E233" s="289"/>
      <c r="F233" s="688"/>
      <c r="G233" s="289">
        <v>495</v>
      </c>
      <c r="H233" s="289"/>
      <c r="I233" s="172">
        <f t="shared" si="11"/>
        <v>0</v>
      </c>
    </row>
    <row r="234" spans="1:10">
      <c r="A234" s="74" t="s">
        <v>30</v>
      </c>
      <c r="B234" s="157"/>
      <c r="C234" s="76" t="s">
        <v>201</v>
      </c>
      <c r="D234" s="287" t="s">
        <v>53</v>
      </c>
      <c r="E234" s="288"/>
      <c r="F234" s="687"/>
      <c r="G234" s="288">
        <v>315</v>
      </c>
      <c r="H234" s="288"/>
      <c r="I234" s="172">
        <f t="shared" si="11"/>
        <v>0</v>
      </c>
    </row>
    <row r="235" spans="1:10">
      <c r="A235" s="74" t="s">
        <v>32</v>
      </c>
      <c r="B235" s="157"/>
      <c r="C235" s="290" t="s">
        <v>202</v>
      </c>
      <c r="D235" s="287" t="s">
        <v>53</v>
      </c>
      <c r="E235" s="288"/>
      <c r="F235" s="687"/>
      <c r="G235" s="288">
        <v>243</v>
      </c>
      <c r="H235" s="288"/>
      <c r="I235" s="172">
        <f t="shared" si="11"/>
        <v>0</v>
      </c>
    </row>
    <row r="236" spans="1:10">
      <c r="A236" s="74" t="s">
        <v>33</v>
      </c>
      <c r="B236" s="157"/>
      <c r="C236" s="388" t="s">
        <v>820</v>
      </c>
      <c r="D236" s="287" t="s">
        <v>53</v>
      </c>
      <c r="E236" s="288"/>
      <c r="F236" s="687"/>
      <c r="G236" s="288">
        <v>315</v>
      </c>
      <c r="H236" s="288"/>
      <c r="I236" s="172">
        <f t="shared" si="11"/>
        <v>0</v>
      </c>
      <c r="J236" s="254"/>
    </row>
    <row r="237" spans="1:10">
      <c r="A237" s="74" t="s">
        <v>34</v>
      </c>
      <c r="B237" s="157"/>
      <c r="C237" s="76" t="s">
        <v>204</v>
      </c>
      <c r="D237" s="287" t="s">
        <v>53</v>
      </c>
      <c r="E237" s="288"/>
      <c r="F237" s="687"/>
      <c r="G237" s="288">
        <v>225</v>
      </c>
      <c r="H237" s="288"/>
      <c r="I237" s="172">
        <f t="shared" si="11"/>
        <v>0</v>
      </c>
    </row>
    <row r="238" spans="1:10">
      <c r="A238" s="74" t="s">
        <v>35</v>
      </c>
      <c r="B238" s="157"/>
      <c r="C238" s="76" t="s">
        <v>205</v>
      </c>
      <c r="D238" s="287" t="s">
        <v>53</v>
      </c>
      <c r="E238" s="288"/>
      <c r="F238" s="687"/>
      <c r="G238" s="288">
        <v>171</v>
      </c>
      <c r="H238" s="288"/>
      <c r="I238" s="172">
        <f t="shared" si="11"/>
        <v>0</v>
      </c>
    </row>
    <row r="239" spans="1:10">
      <c r="A239" s="74" t="s">
        <v>379</v>
      </c>
      <c r="B239" s="157"/>
      <c r="C239" s="75" t="s">
        <v>206</v>
      </c>
      <c r="D239" s="287"/>
      <c r="E239" s="288"/>
      <c r="F239" s="687"/>
      <c r="G239" s="288">
        <v>0</v>
      </c>
      <c r="H239" s="288"/>
      <c r="I239" s="172">
        <f t="shared" si="11"/>
        <v>0</v>
      </c>
    </row>
    <row r="240" spans="1:10">
      <c r="A240" s="74" t="s">
        <v>13</v>
      </c>
      <c r="B240" s="157"/>
      <c r="C240" s="76" t="s">
        <v>200</v>
      </c>
      <c r="D240" s="287" t="s">
        <v>53</v>
      </c>
      <c r="E240" s="288"/>
      <c r="F240" s="687"/>
      <c r="G240" s="288">
        <v>360</v>
      </c>
      <c r="H240" s="288"/>
      <c r="I240" s="172">
        <f t="shared" si="11"/>
        <v>0</v>
      </c>
    </row>
    <row r="241" spans="1:10">
      <c r="A241" s="74" t="s">
        <v>14</v>
      </c>
      <c r="B241" s="157"/>
      <c r="C241" s="76" t="s">
        <v>201</v>
      </c>
      <c r="D241" s="287" t="s">
        <v>53</v>
      </c>
      <c r="E241" s="288"/>
      <c r="F241" s="687"/>
      <c r="G241" s="288">
        <v>247.5</v>
      </c>
      <c r="H241" s="288"/>
      <c r="I241" s="172">
        <f t="shared" si="11"/>
        <v>0</v>
      </c>
    </row>
    <row r="242" spans="1:10">
      <c r="A242" s="74" t="s">
        <v>15</v>
      </c>
      <c r="B242" s="157"/>
      <c r="C242" s="388" t="s">
        <v>204</v>
      </c>
      <c r="D242" s="287" t="s">
        <v>53</v>
      </c>
      <c r="E242" s="288"/>
      <c r="F242" s="687">
        <f>'MB Gianis''s'!H142</f>
        <v>20.5</v>
      </c>
      <c r="G242" s="288">
        <v>171</v>
      </c>
      <c r="H242" s="288"/>
      <c r="I242" s="172">
        <f t="shared" si="11"/>
        <v>3505.5</v>
      </c>
      <c r="J242" s="254" t="s">
        <v>632</v>
      </c>
    </row>
    <row r="243" spans="1:10">
      <c r="A243" s="74" t="s">
        <v>199</v>
      </c>
      <c r="B243" s="157"/>
      <c r="C243" s="388" t="s">
        <v>207</v>
      </c>
      <c r="D243" s="287" t="s">
        <v>53</v>
      </c>
      <c r="E243" s="288"/>
      <c r="F243" s="687">
        <f>'MB Gianis''s'!H147</f>
        <v>55.5</v>
      </c>
      <c r="G243" s="288">
        <v>121.5</v>
      </c>
      <c r="H243" s="288"/>
      <c r="I243" s="172">
        <f t="shared" si="11"/>
        <v>6743.25</v>
      </c>
      <c r="J243" s="254"/>
    </row>
    <row r="244" spans="1:10">
      <c r="A244" s="74" t="s">
        <v>30</v>
      </c>
      <c r="B244" s="157"/>
      <c r="C244" s="76" t="s">
        <v>208</v>
      </c>
      <c r="D244" s="287" t="s">
        <v>53</v>
      </c>
      <c r="E244" s="288"/>
      <c r="F244" s="687"/>
      <c r="G244" s="288">
        <v>99</v>
      </c>
      <c r="H244" s="288"/>
      <c r="I244" s="172">
        <f t="shared" si="11"/>
        <v>0</v>
      </c>
    </row>
    <row r="245" spans="1:10">
      <c r="A245" s="74"/>
      <c r="B245" s="157"/>
      <c r="C245" s="76"/>
      <c r="D245" s="287"/>
      <c r="E245" s="288"/>
      <c r="F245" s="687"/>
      <c r="G245" s="288">
        <v>0</v>
      </c>
      <c r="H245" s="288"/>
      <c r="I245" s="172">
        <f t="shared" si="11"/>
        <v>0</v>
      </c>
    </row>
    <row r="246" spans="1:10">
      <c r="A246" s="74" t="s">
        <v>380</v>
      </c>
      <c r="B246" s="157"/>
      <c r="C246" s="75" t="s">
        <v>209</v>
      </c>
      <c r="D246" s="287"/>
      <c r="E246" s="288"/>
      <c r="F246" s="687"/>
      <c r="G246" s="288">
        <v>0</v>
      </c>
      <c r="H246" s="288"/>
      <c r="I246" s="172">
        <f t="shared" si="11"/>
        <v>0</v>
      </c>
    </row>
    <row r="247" spans="1:10" ht="24">
      <c r="A247" s="74" t="s">
        <v>13</v>
      </c>
      <c r="B247" s="157"/>
      <c r="C247" s="285" t="s">
        <v>210</v>
      </c>
      <c r="D247" s="287" t="s">
        <v>53</v>
      </c>
      <c r="E247" s="288"/>
      <c r="F247" s="687"/>
      <c r="G247" s="288">
        <v>63</v>
      </c>
      <c r="H247" s="288"/>
      <c r="I247" s="172">
        <f t="shared" si="11"/>
        <v>0</v>
      </c>
    </row>
    <row r="248" spans="1:10">
      <c r="A248" s="74"/>
      <c r="B248" s="157"/>
      <c r="C248" s="75" t="s">
        <v>211</v>
      </c>
      <c r="D248" s="287"/>
      <c r="E248" s="288"/>
      <c r="F248" s="687"/>
      <c r="G248" s="288">
        <v>0</v>
      </c>
      <c r="H248" s="288"/>
      <c r="I248" s="172">
        <f t="shared" si="11"/>
        <v>0</v>
      </c>
    </row>
    <row r="249" spans="1:10">
      <c r="A249" s="74"/>
      <c r="B249" s="157"/>
      <c r="C249" s="75"/>
      <c r="D249" s="287"/>
      <c r="E249" s="288"/>
      <c r="F249" s="687"/>
      <c r="G249" s="288">
        <v>0</v>
      </c>
      <c r="H249" s="288"/>
      <c r="I249" s="172">
        <f t="shared" si="11"/>
        <v>0</v>
      </c>
    </row>
    <row r="250" spans="1:10">
      <c r="A250" s="74">
        <v>3.2</v>
      </c>
      <c r="B250" s="157"/>
      <c r="C250" s="291" t="s">
        <v>52</v>
      </c>
      <c r="D250" s="287"/>
      <c r="E250" s="288"/>
      <c r="F250" s="687"/>
      <c r="G250" s="288">
        <v>0</v>
      </c>
      <c r="H250" s="288"/>
      <c r="I250" s="172">
        <f t="shared" si="11"/>
        <v>0</v>
      </c>
    </row>
    <row r="251" spans="1:10" ht="36">
      <c r="A251" s="74"/>
      <c r="B251" s="157"/>
      <c r="C251" s="290" t="s">
        <v>212</v>
      </c>
      <c r="D251" s="287"/>
      <c r="E251" s="288"/>
      <c r="F251" s="687"/>
      <c r="G251" s="288">
        <v>0</v>
      </c>
      <c r="H251" s="288"/>
      <c r="I251" s="172">
        <f t="shared" si="11"/>
        <v>0</v>
      </c>
    </row>
    <row r="252" spans="1:10">
      <c r="A252" s="74" t="s">
        <v>13</v>
      </c>
      <c r="B252" s="157"/>
      <c r="C252" s="76" t="s">
        <v>213</v>
      </c>
      <c r="D252" s="287" t="s">
        <v>28</v>
      </c>
      <c r="E252" s="288"/>
      <c r="F252" s="687"/>
      <c r="G252" s="288">
        <v>675</v>
      </c>
      <c r="H252" s="288"/>
      <c r="I252" s="172">
        <f t="shared" si="11"/>
        <v>0</v>
      </c>
    </row>
    <row r="253" spans="1:10">
      <c r="A253" s="74" t="s">
        <v>14</v>
      </c>
      <c r="B253" s="157"/>
      <c r="C253" s="76" t="s">
        <v>194</v>
      </c>
      <c r="D253" s="287" t="s">
        <v>28</v>
      </c>
      <c r="E253" s="288"/>
      <c r="F253" s="687"/>
      <c r="G253" s="288">
        <v>540</v>
      </c>
      <c r="H253" s="288"/>
      <c r="I253" s="172">
        <f t="shared" si="11"/>
        <v>0</v>
      </c>
    </row>
    <row r="254" spans="1:10">
      <c r="A254" s="74" t="s">
        <v>15</v>
      </c>
      <c r="B254" s="157"/>
      <c r="C254" s="76" t="s">
        <v>195</v>
      </c>
      <c r="D254" s="287" t="s">
        <v>28</v>
      </c>
      <c r="E254" s="288" t="s">
        <v>31</v>
      </c>
      <c r="F254" s="687"/>
      <c r="G254" s="288">
        <v>495</v>
      </c>
      <c r="H254" s="288"/>
      <c r="I254" s="172">
        <f t="shared" si="11"/>
        <v>0</v>
      </c>
    </row>
    <row r="255" spans="1:10">
      <c r="A255" s="74" t="s">
        <v>29</v>
      </c>
      <c r="B255" s="157"/>
      <c r="C255" s="76" t="s">
        <v>214</v>
      </c>
      <c r="D255" s="287" t="s">
        <v>28</v>
      </c>
      <c r="E255" s="288"/>
      <c r="F255" s="687"/>
      <c r="G255" s="288">
        <v>495</v>
      </c>
      <c r="H255" s="288"/>
      <c r="I255" s="172">
        <f t="shared" si="11"/>
        <v>0</v>
      </c>
    </row>
    <row r="256" spans="1:10">
      <c r="A256" s="74" t="s">
        <v>30</v>
      </c>
      <c r="B256" s="157"/>
      <c r="C256" s="76" t="s">
        <v>195</v>
      </c>
      <c r="D256" s="287" t="s">
        <v>28</v>
      </c>
      <c r="E256" s="288"/>
      <c r="F256" s="687"/>
      <c r="G256" s="288">
        <v>450</v>
      </c>
      <c r="H256" s="288"/>
      <c r="I256" s="172">
        <f t="shared" si="11"/>
        <v>0</v>
      </c>
    </row>
    <row r="257" spans="1:9">
      <c r="A257" s="74" t="s">
        <v>32</v>
      </c>
      <c r="B257" s="157"/>
      <c r="C257" s="76" t="s">
        <v>200</v>
      </c>
      <c r="D257" s="287" t="s">
        <v>28</v>
      </c>
      <c r="E257" s="289"/>
      <c r="F257" s="688"/>
      <c r="G257" s="289">
        <v>405</v>
      </c>
      <c r="H257" s="289"/>
      <c r="I257" s="172">
        <f t="shared" si="11"/>
        <v>0</v>
      </c>
    </row>
    <row r="258" spans="1:9">
      <c r="A258" s="74" t="s">
        <v>33</v>
      </c>
      <c r="B258" s="157"/>
      <c r="C258" s="76" t="s">
        <v>201</v>
      </c>
      <c r="D258" s="287" t="s">
        <v>28</v>
      </c>
      <c r="E258" s="288"/>
      <c r="F258" s="687"/>
      <c r="G258" s="288">
        <v>360</v>
      </c>
      <c r="H258" s="288"/>
      <c r="I258" s="172">
        <f t="shared" si="11"/>
        <v>0</v>
      </c>
    </row>
    <row r="259" spans="1:9">
      <c r="A259" s="74" t="s">
        <v>34</v>
      </c>
      <c r="B259" s="157"/>
      <c r="C259" s="290" t="s">
        <v>202</v>
      </c>
      <c r="D259" s="287" t="s">
        <v>28</v>
      </c>
      <c r="E259" s="288"/>
      <c r="F259" s="687"/>
      <c r="G259" s="288">
        <v>315</v>
      </c>
      <c r="H259" s="288"/>
      <c r="I259" s="172">
        <f t="shared" si="11"/>
        <v>0</v>
      </c>
    </row>
    <row r="260" spans="1:9">
      <c r="A260" s="74" t="s">
        <v>35</v>
      </c>
      <c r="B260" s="157"/>
      <c r="C260" s="76" t="s">
        <v>203</v>
      </c>
      <c r="D260" s="287" t="s">
        <v>28</v>
      </c>
      <c r="E260" s="288"/>
      <c r="F260" s="687"/>
      <c r="G260" s="288">
        <v>270</v>
      </c>
      <c r="H260" s="288"/>
      <c r="I260" s="172">
        <f t="shared" si="11"/>
        <v>0</v>
      </c>
    </row>
    <row r="261" spans="1:9">
      <c r="A261" s="74" t="s">
        <v>36</v>
      </c>
      <c r="B261" s="157"/>
      <c r="C261" s="76" t="s">
        <v>204</v>
      </c>
      <c r="D261" s="287" t="s">
        <v>28</v>
      </c>
      <c r="E261" s="288"/>
      <c r="F261" s="687"/>
      <c r="G261" s="288">
        <v>360</v>
      </c>
      <c r="H261" s="288"/>
      <c r="I261" s="172">
        <f t="shared" si="11"/>
        <v>0</v>
      </c>
    </row>
    <row r="262" spans="1:9">
      <c r="A262" s="74" t="s">
        <v>37</v>
      </c>
      <c r="B262" s="157"/>
      <c r="C262" s="76" t="s">
        <v>205</v>
      </c>
      <c r="D262" s="287" t="s">
        <v>28</v>
      </c>
      <c r="E262" s="288"/>
      <c r="F262" s="687"/>
      <c r="G262" s="288">
        <v>270</v>
      </c>
      <c r="H262" s="288"/>
      <c r="I262" s="172">
        <f t="shared" si="11"/>
        <v>0</v>
      </c>
    </row>
    <row r="263" spans="1:9">
      <c r="A263" s="74" t="s">
        <v>38</v>
      </c>
      <c r="B263" s="157"/>
      <c r="C263" s="76" t="s">
        <v>215</v>
      </c>
      <c r="D263" s="287"/>
      <c r="E263" s="288"/>
      <c r="F263" s="687"/>
      <c r="G263" s="288">
        <v>0</v>
      </c>
      <c r="H263" s="288"/>
      <c r="I263" s="172">
        <f t="shared" si="11"/>
        <v>0</v>
      </c>
    </row>
    <row r="264" spans="1:9">
      <c r="A264" s="74" t="s">
        <v>39</v>
      </c>
      <c r="B264" s="157"/>
      <c r="C264" s="76" t="s">
        <v>200</v>
      </c>
      <c r="D264" s="287" t="s">
        <v>28</v>
      </c>
      <c r="E264" s="288"/>
      <c r="F264" s="687"/>
      <c r="G264" s="288">
        <v>360</v>
      </c>
      <c r="H264" s="288"/>
      <c r="I264" s="172">
        <f t="shared" si="11"/>
        <v>0</v>
      </c>
    </row>
    <row r="265" spans="1:9">
      <c r="A265" s="74" t="s">
        <v>40</v>
      </c>
      <c r="B265" s="157"/>
      <c r="C265" s="76" t="s">
        <v>201</v>
      </c>
      <c r="D265" s="287" t="s">
        <v>28</v>
      </c>
      <c r="E265" s="288"/>
      <c r="F265" s="687"/>
      <c r="G265" s="288">
        <v>315</v>
      </c>
      <c r="H265" s="288"/>
      <c r="I265" s="172">
        <f t="shared" si="11"/>
        <v>0</v>
      </c>
    </row>
    <row r="266" spans="1:9">
      <c r="A266" s="74" t="s">
        <v>41</v>
      </c>
      <c r="B266" s="157"/>
      <c r="C266" s="76" t="s">
        <v>204</v>
      </c>
      <c r="D266" s="287" t="s">
        <v>28</v>
      </c>
      <c r="E266" s="288"/>
      <c r="F266" s="687"/>
      <c r="G266" s="288">
        <v>270</v>
      </c>
      <c r="H266" s="288"/>
      <c r="I266" s="172">
        <f t="shared" si="11"/>
        <v>0</v>
      </c>
    </row>
    <row r="267" spans="1:9">
      <c r="A267" s="74" t="s">
        <v>42</v>
      </c>
      <c r="B267" s="157"/>
      <c r="C267" s="76" t="s">
        <v>216</v>
      </c>
      <c r="D267" s="287" t="s">
        <v>28</v>
      </c>
      <c r="E267" s="288"/>
      <c r="F267" s="687"/>
      <c r="G267" s="288">
        <v>225</v>
      </c>
      <c r="H267" s="288"/>
      <c r="I267" s="172">
        <f t="shared" si="11"/>
        <v>0</v>
      </c>
    </row>
    <row r="268" spans="1:9">
      <c r="A268" s="74" t="s">
        <v>43</v>
      </c>
      <c r="B268" s="157"/>
      <c r="C268" s="76" t="s">
        <v>217</v>
      </c>
      <c r="D268" s="287" t="s">
        <v>28</v>
      </c>
      <c r="E268" s="288"/>
      <c r="F268" s="687"/>
      <c r="G268" s="288">
        <v>180</v>
      </c>
      <c r="H268" s="288"/>
      <c r="I268" s="172">
        <f t="shared" si="11"/>
        <v>0</v>
      </c>
    </row>
    <row r="269" spans="1:9">
      <c r="A269" s="74"/>
      <c r="B269" s="157"/>
      <c r="C269" s="76"/>
      <c r="D269" s="287"/>
      <c r="E269" s="288"/>
      <c r="F269" s="687"/>
      <c r="G269" s="288">
        <v>0</v>
      </c>
      <c r="H269" s="288"/>
      <c r="I269" s="172">
        <f t="shared" si="11"/>
        <v>0</v>
      </c>
    </row>
    <row r="270" spans="1:9">
      <c r="A270" s="74"/>
      <c r="B270" s="157"/>
      <c r="C270" s="292"/>
      <c r="D270" s="287"/>
      <c r="E270" s="288"/>
      <c r="F270" s="687"/>
      <c r="G270" s="288">
        <v>0</v>
      </c>
      <c r="H270" s="288"/>
      <c r="I270" s="172">
        <f t="shared" si="11"/>
        <v>0</v>
      </c>
    </row>
    <row r="271" spans="1:9">
      <c r="A271" s="293">
        <v>3.3</v>
      </c>
      <c r="B271" s="157"/>
      <c r="C271" s="294" t="s">
        <v>218</v>
      </c>
      <c r="D271" s="295"/>
      <c r="E271" s="296"/>
      <c r="F271" s="689"/>
      <c r="G271" s="296">
        <v>0</v>
      </c>
      <c r="H271" s="296"/>
      <c r="I271" s="172">
        <f t="shared" si="11"/>
        <v>0</v>
      </c>
    </row>
    <row r="272" spans="1:9" ht="72">
      <c r="A272" s="297" t="s">
        <v>381</v>
      </c>
      <c r="B272" s="157"/>
      <c r="C272" s="82" t="s">
        <v>434</v>
      </c>
      <c r="D272" s="295"/>
      <c r="E272" s="296"/>
      <c r="F272" s="689"/>
      <c r="G272" s="296">
        <v>0</v>
      </c>
      <c r="H272" s="296"/>
      <c r="I272" s="172">
        <f t="shared" si="11"/>
        <v>0</v>
      </c>
    </row>
    <row r="273" spans="1:9">
      <c r="A273" s="297" t="s">
        <v>13</v>
      </c>
      <c r="B273" s="177"/>
      <c r="C273" s="298" t="s">
        <v>219</v>
      </c>
      <c r="D273" s="295" t="s">
        <v>53</v>
      </c>
      <c r="E273" s="299"/>
      <c r="F273" s="690"/>
      <c r="G273" s="299">
        <v>495</v>
      </c>
      <c r="H273" s="299"/>
      <c r="I273" s="172">
        <f t="shared" ref="I273:I336" si="12">G273*F273</f>
        <v>0</v>
      </c>
    </row>
    <row r="274" spans="1:9">
      <c r="A274" s="297" t="s">
        <v>14</v>
      </c>
      <c r="B274" s="177"/>
      <c r="C274" s="298" t="s">
        <v>220</v>
      </c>
      <c r="D274" s="295" t="s">
        <v>53</v>
      </c>
      <c r="E274" s="299"/>
      <c r="F274" s="690"/>
      <c r="G274" s="299">
        <v>405</v>
      </c>
      <c r="H274" s="299"/>
      <c r="I274" s="172">
        <f t="shared" si="12"/>
        <v>0</v>
      </c>
    </row>
    <row r="275" spans="1:9">
      <c r="A275" s="293"/>
      <c r="B275" s="177"/>
      <c r="C275" s="294"/>
      <c r="D275" s="295"/>
      <c r="E275" s="296"/>
      <c r="F275" s="689"/>
      <c r="G275" s="296">
        <v>0</v>
      </c>
      <c r="H275" s="296"/>
      <c r="I275" s="172">
        <f t="shared" si="12"/>
        <v>0</v>
      </c>
    </row>
    <row r="276" spans="1:9" ht="96">
      <c r="A276" s="297" t="s">
        <v>382</v>
      </c>
      <c r="B276" s="177"/>
      <c r="C276" s="300" t="s">
        <v>435</v>
      </c>
      <c r="D276" s="295"/>
      <c r="E276" s="296"/>
      <c r="F276" s="689"/>
      <c r="G276" s="296">
        <v>0</v>
      </c>
      <c r="H276" s="296"/>
      <c r="I276" s="172">
        <f t="shared" si="12"/>
        <v>0</v>
      </c>
    </row>
    <row r="277" spans="1:9">
      <c r="A277" s="297" t="s">
        <v>13</v>
      </c>
      <c r="B277" s="177"/>
      <c r="C277" s="301" t="s">
        <v>221</v>
      </c>
      <c r="D277" s="295" t="s">
        <v>53</v>
      </c>
      <c r="E277" s="296" t="s">
        <v>31</v>
      </c>
      <c r="F277" s="689">
        <v>0</v>
      </c>
      <c r="G277" s="296">
        <v>675</v>
      </c>
      <c r="H277" s="296"/>
      <c r="I277" s="172">
        <f t="shared" si="12"/>
        <v>0</v>
      </c>
    </row>
    <row r="278" spans="1:9">
      <c r="A278" s="297" t="s">
        <v>14</v>
      </c>
      <c r="B278" s="177"/>
      <c r="C278" s="301" t="s">
        <v>222</v>
      </c>
      <c r="D278" s="295" t="s">
        <v>53</v>
      </c>
      <c r="E278" s="296" t="s">
        <v>31</v>
      </c>
      <c r="F278" s="689"/>
      <c r="G278" s="296">
        <v>495</v>
      </c>
      <c r="H278" s="296"/>
      <c r="I278" s="172">
        <f t="shared" si="12"/>
        <v>0</v>
      </c>
    </row>
    <row r="279" spans="1:9">
      <c r="A279" s="293"/>
      <c r="B279" s="177"/>
      <c r="C279" s="301"/>
      <c r="D279" s="295"/>
      <c r="E279" s="296"/>
      <c r="F279" s="689"/>
      <c r="G279" s="296">
        <v>0</v>
      </c>
      <c r="H279" s="296"/>
      <c r="I279" s="172">
        <f t="shared" si="12"/>
        <v>0</v>
      </c>
    </row>
    <row r="280" spans="1:9" ht="120">
      <c r="A280" s="297" t="s">
        <v>383</v>
      </c>
      <c r="B280" s="177"/>
      <c r="C280" s="300" t="s">
        <v>436</v>
      </c>
      <c r="D280" s="295"/>
      <c r="E280" s="296"/>
      <c r="F280" s="689"/>
      <c r="G280" s="296">
        <v>0</v>
      </c>
      <c r="H280" s="296"/>
      <c r="I280" s="172">
        <f t="shared" si="12"/>
        <v>0</v>
      </c>
    </row>
    <row r="281" spans="1:9">
      <c r="A281" s="293"/>
      <c r="B281" s="177"/>
      <c r="C281" s="302" t="s">
        <v>223</v>
      </c>
      <c r="D281" s="295"/>
      <c r="E281" s="296"/>
      <c r="F281" s="689"/>
      <c r="G281" s="296">
        <v>0</v>
      </c>
      <c r="H281" s="296"/>
      <c r="I281" s="172">
        <f t="shared" si="12"/>
        <v>0</v>
      </c>
    </row>
    <row r="282" spans="1:9">
      <c r="A282" s="297" t="s">
        <v>13</v>
      </c>
      <c r="B282" s="177"/>
      <c r="C282" s="298" t="s">
        <v>224</v>
      </c>
      <c r="D282" s="295" t="s">
        <v>53</v>
      </c>
      <c r="E282" s="296"/>
      <c r="F282" s="689"/>
      <c r="G282" s="296">
        <v>1395</v>
      </c>
      <c r="H282" s="296"/>
      <c r="I282" s="172">
        <f t="shared" si="12"/>
        <v>0</v>
      </c>
    </row>
    <row r="283" spans="1:9">
      <c r="A283" s="297" t="s">
        <v>14</v>
      </c>
      <c r="B283" s="177"/>
      <c r="C283" s="298" t="s">
        <v>225</v>
      </c>
      <c r="D283" s="295" t="s">
        <v>53</v>
      </c>
      <c r="E283" s="296"/>
      <c r="F283" s="689"/>
      <c r="G283" s="296">
        <v>1215</v>
      </c>
      <c r="H283" s="296"/>
      <c r="I283" s="172">
        <f t="shared" si="12"/>
        <v>0</v>
      </c>
    </row>
    <row r="284" spans="1:9">
      <c r="A284" s="297" t="s">
        <v>15</v>
      </c>
      <c r="B284" s="177"/>
      <c r="C284" s="298" t="s">
        <v>226</v>
      </c>
      <c r="D284" s="295" t="s">
        <v>53</v>
      </c>
      <c r="E284" s="296">
        <v>3</v>
      </c>
      <c r="F284" s="689"/>
      <c r="G284" s="296">
        <v>900</v>
      </c>
      <c r="H284" s="296">
        <f>$E284*G284</f>
        <v>2700</v>
      </c>
      <c r="I284" s="172">
        <f t="shared" si="12"/>
        <v>0</v>
      </c>
    </row>
    <row r="285" spans="1:9">
      <c r="A285" s="293"/>
      <c r="B285" s="177"/>
      <c r="C285" s="301"/>
      <c r="D285" s="295"/>
      <c r="E285" s="296"/>
      <c r="F285" s="689"/>
      <c r="G285" s="296">
        <v>0</v>
      </c>
      <c r="H285" s="296"/>
      <c r="I285" s="172">
        <f t="shared" si="12"/>
        <v>0</v>
      </c>
    </row>
    <row r="286" spans="1:9" ht="156">
      <c r="A286" s="297" t="s">
        <v>384</v>
      </c>
      <c r="B286" s="177"/>
      <c r="C286" s="269" t="s">
        <v>437</v>
      </c>
      <c r="D286" s="295"/>
      <c r="E286" s="296"/>
      <c r="F286" s="689"/>
      <c r="G286" s="296">
        <v>0</v>
      </c>
      <c r="H286" s="296"/>
      <c r="I286" s="172">
        <f t="shared" si="12"/>
        <v>0</v>
      </c>
    </row>
    <row r="287" spans="1:9">
      <c r="A287" s="297" t="s">
        <v>13</v>
      </c>
      <c r="B287" s="177"/>
      <c r="C287" s="298" t="s">
        <v>227</v>
      </c>
      <c r="D287" s="295" t="s">
        <v>53</v>
      </c>
      <c r="E287" s="296"/>
      <c r="F287" s="689"/>
      <c r="G287" s="296">
        <v>765</v>
      </c>
      <c r="H287" s="296"/>
      <c r="I287" s="172">
        <f t="shared" si="12"/>
        <v>0</v>
      </c>
    </row>
    <row r="288" spans="1:9">
      <c r="A288" s="297" t="s">
        <v>14</v>
      </c>
      <c r="B288" s="177"/>
      <c r="C288" s="298" t="s">
        <v>228</v>
      </c>
      <c r="D288" s="295" t="s">
        <v>53</v>
      </c>
      <c r="E288" s="296"/>
      <c r="F288" s="689"/>
      <c r="G288" s="296">
        <v>585</v>
      </c>
      <c r="H288" s="296"/>
      <c r="I288" s="172">
        <f t="shared" si="12"/>
        <v>0</v>
      </c>
    </row>
    <row r="289" spans="1:9">
      <c r="A289" s="297" t="s">
        <v>15</v>
      </c>
      <c r="B289" s="177"/>
      <c r="C289" s="298" t="s">
        <v>229</v>
      </c>
      <c r="D289" s="295" t="s">
        <v>53</v>
      </c>
      <c r="E289" s="296"/>
      <c r="F289" s="689"/>
      <c r="G289" s="296">
        <v>495</v>
      </c>
      <c r="H289" s="296"/>
      <c r="I289" s="172">
        <f t="shared" si="12"/>
        <v>0</v>
      </c>
    </row>
    <row r="290" spans="1:9">
      <c r="A290" s="297" t="s">
        <v>29</v>
      </c>
      <c r="B290" s="177"/>
      <c r="C290" s="298" t="s">
        <v>230</v>
      </c>
      <c r="D290" s="295" t="s">
        <v>53</v>
      </c>
      <c r="E290" s="296">
        <v>2</v>
      </c>
      <c r="F290" s="689"/>
      <c r="G290" s="296">
        <v>450</v>
      </c>
      <c r="H290" s="296">
        <f>$E290*G290</f>
        <v>900</v>
      </c>
      <c r="I290" s="172">
        <f t="shared" si="12"/>
        <v>0</v>
      </c>
    </row>
    <row r="291" spans="1:9">
      <c r="A291" s="297"/>
      <c r="B291" s="177"/>
      <c r="C291" s="301"/>
      <c r="D291" s="295"/>
      <c r="E291" s="296"/>
      <c r="F291" s="689"/>
      <c r="G291" s="296">
        <v>0</v>
      </c>
      <c r="H291" s="296"/>
      <c r="I291" s="172">
        <f t="shared" si="12"/>
        <v>0</v>
      </c>
    </row>
    <row r="292" spans="1:9">
      <c r="A292" s="303"/>
      <c r="B292" s="177"/>
      <c r="C292" s="301"/>
      <c r="D292" s="304"/>
      <c r="E292" s="305"/>
      <c r="F292" s="691"/>
      <c r="G292" s="305">
        <v>0</v>
      </c>
      <c r="H292" s="305"/>
      <c r="I292" s="172">
        <f t="shared" si="12"/>
        <v>0</v>
      </c>
    </row>
    <row r="293" spans="1:9">
      <c r="A293" s="264">
        <v>4</v>
      </c>
      <c r="B293" s="157"/>
      <c r="C293" s="265" t="s">
        <v>231</v>
      </c>
      <c r="D293" s="266"/>
      <c r="E293" s="267"/>
      <c r="F293" s="682"/>
      <c r="G293" s="267">
        <v>0</v>
      </c>
      <c r="H293" s="267"/>
      <c r="I293" s="172">
        <f t="shared" si="12"/>
        <v>0</v>
      </c>
    </row>
    <row r="294" spans="1:9" ht="36">
      <c r="A294" s="306"/>
      <c r="B294" s="177"/>
      <c r="C294" s="307" t="s">
        <v>232</v>
      </c>
      <c r="D294" s="274"/>
      <c r="E294" s="275"/>
      <c r="F294" s="684"/>
      <c r="G294" s="275">
        <v>0</v>
      </c>
      <c r="H294" s="275"/>
      <c r="I294" s="172">
        <f t="shared" si="12"/>
        <v>0</v>
      </c>
    </row>
    <row r="295" spans="1:9" ht="24">
      <c r="A295" s="306"/>
      <c r="B295" s="177"/>
      <c r="C295" s="307" t="s">
        <v>233</v>
      </c>
      <c r="D295" s="274"/>
      <c r="E295" s="275"/>
      <c r="F295" s="684"/>
      <c r="G295" s="275">
        <v>0</v>
      </c>
      <c r="H295" s="275"/>
      <c r="I295" s="172">
        <f t="shared" si="12"/>
        <v>0</v>
      </c>
    </row>
    <row r="296" spans="1:9" ht="24">
      <c r="A296" s="306"/>
      <c r="B296" s="177"/>
      <c r="C296" s="308" t="s">
        <v>234</v>
      </c>
      <c r="D296" s="274"/>
      <c r="E296" s="275"/>
      <c r="F296" s="684"/>
      <c r="G296" s="275">
        <v>0</v>
      </c>
      <c r="H296" s="275"/>
      <c r="I296" s="172">
        <f t="shared" si="12"/>
        <v>0</v>
      </c>
    </row>
    <row r="297" spans="1:9" ht="24">
      <c r="A297" s="306"/>
      <c r="B297" s="177"/>
      <c r="C297" s="308" t="s">
        <v>235</v>
      </c>
      <c r="D297" s="274"/>
      <c r="E297" s="275"/>
      <c r="F297" s="684"/>
      <c r="G297" s="275">
        <v>0</v>
      </c>
      <c r="H297" s="275"/>
      <c r="I297" s="172">
        <f t="shared" si="12"/>
        <v>0</v>
      </c>
    </row>
    <row r="298" spans="1:9">
      <c r="A298" s="306"/>
      <c r="B298" s="177"/>
      <c r="C298" s="307" t="s">
        <v>236</v>
      </c>
      <c r="D298" s="274"/>
      <c r="E298" s="275"/>
      <c r="F298" s="684"/>
      <c r="G298" s="275">
        <v>0</v>
      </c>
      <c r="H298" s="275"/>
      <c r="I298" s="172">
        <f t="shared" si="12"/>
        <v>0</v>
      </c>
    </row>
    <row r="299" spans="1:9" ht="60">
      <c r="A299" s="306">
        <v>4.0999999999999996</v>
      </c>
      <c r="B299" s="177"/>
      <c r="C299" s="82" t="s">
        <v>237</v>
      </c>
      <c r="D299" s="274"/>
      <c r="E299" s="275"/>
      <c r="F299" s="684"/>
      <c r="G299" s="275">
        <v>0</v>
      </c>
      <c r="H299" s="275"/>
      <c r="I299" s="172">
        <f t="shared" si="12"/>
        <v>0</v>
      </c>
    </row>
    <row r="300" spans="1:9">
      <c r="A300" s="306" t="s">
        <v>238</v>
      </c>
      <c r="B300" s="177"/>
      <c r="C300" s="82" t="s">
        <v>239</v>
      </c>
      <c r="D300" s="274" t="s">
        <v>53</v>
      </c>
      <c r="E300" s="275">
        <v>10</v>
      </c>
      <c r="F300" s="684"/>
      <c r="G300" s="275">
        <v>279</v>
      </c>
      <c r="H300" s="275">
        <f t="shared" ref="H300:H301" si="13">$E300*G300</f>
        <v>2790</v>
      </c>
      <c r="I300" s="172">
        <f t="shared" si="12"/>
        <v>0</v>
      </c>
    </row>
    <row r="301" spans="1:9">
      <c r="A301" s="306" t="s">
        <v>240</v>
      </c>
      <c r="B301" s="177"/>
      <c r="C301" s="82" t="s">
        <v>241</v>
      </c>
      <c r="D301" s="274" t="s">
        <v>53</v>
      </c>
      <c r="E301" s="275">
        <v>10</v>
      </c>
      <c r="F301" s="684"/>
      <c r="G301" s="275">
        <v>279</v>
      </c>
      <c r="H301" s="275">
        <f t="shared" si="13"/>
        <v>2790</v>
      </c>
      <c r="I301" s="172">
        <f t="shared" si="12"/>
        <v>0</v>
      </c>
    </row>
    <row r="302" spans="1:9" ht="60">
      <c r="A302" s="306">
        <v>4.2</v>
      </c>
      <c r="B302" s="177"/>
      <c r="C302" s="82" t="s">
        <v>438</v>
      </c>
      <c r="D302" s="274"/>
      <c r="E302" s="275"/>
      <c r="F302" s="684"/>
      <c r="G302" s="275">
        <v>0</v>
      </c>
      <c r="H302" s="275"/>
      <c r="I302" s="172">
        <f t="shared" si="12"/>
        <v>0</v>
      </c>
    </row>
    <row r="303" spans="1:9">
      <c r="A303" s="309" t="s">
        <v>242</v>
      </c>
      <c r="B303" s="177"/>
      <c r="C303" s="269" t="s">
        <v>243</v>
      </c>
      <c r="D303" s="274" t="s">
        <v>28</v>
      </c>
      <c r="E303" s="275">
        <v>5</v>
      </c>
      <c r="F303" s="684"/>
      <c r="G303" s="275">
        <v>1215</v>
      </c>
      <c r="H303" s="275">
        <f t="shared" ref="H303:H308" si="14">$E303*G303</f>
        <v>6075</v>
      </c>
      <c r="I303" s="172">
        <f t="shared" si="12"/>
        <v>0</v>
      </c>
    </row>
    <row r="304" spans="1:9">
      <c r="A304" s="309" t="s">
        <v>244</v>
      </c>
      <c r="B304" s="177"/>
      <c r="C304" s="269" t="s">
        <v>245</v>
      </c>
      <c r="D304" s="274" t="s">
        <v>28</v>
      </c>
      <c r="E304" s="275">
        <v>5</v>
      </c>
      <c r="F304" s="684">
        <f>'MB Gianis''s'!H152</f>
        <v>1</v>
      </c>
      <c r="G304" s="275">
        <v>1845</v>
      </c>
      <c r="H304" s="275">
        <f t="shared" si="14"/>
        <v>9225</v>
      </c>
      <c r="I304" s="172">
        <f t="shared" si="12"/>
        <v>1845</v>
      </c>
    </row>
    <row r="305" spans="1:9">
      <c r="A305" s="309" t="s">
        <v>246</v>
      </c>
      <c r="B305" s="177"/>
      <c r="C305" s="269" t="s">
        <v>247</v>
      </c>
      <c r="D305" s="274" t="s">
        <v>28</v>
      </c>
      <c r="E305" s="275">
        <v>2</v>
      </c>
      <c r="F305" s="684"/>
      <c r="G305" s="275">
        <v>1215</v>
      </c>
      <c r="H305" s="275">
        <f t="shared" si="14"/>
        <v>2430</v>
      </c>
      <c r="I305" s="172">
        <f t="shared" si="12"/>
        <v>0</v>
      </c>
    </row>
    <row r="306" spans="1:9">
      <c r="A306" s="309" t="s">
        <v>248</v>
      </c>
      <c r="B306" s="177"/>
      <c r="C306" s="269" t="s">
        <v>249</v>
      </c>
      <c r="D306" s="274" t="s">
        <v>28</v>
      </c>
      <c r="E306" s="275">
        <v>2</v>
      </c>
      <c r="F306" s="684">
        <f>'MB Gianis''s'!H153</f>
        <v>1</v>
      </c>
      <c r="G306" s="275">
        <v>1822.5</v>
      </c>
      <c r="H306" s="275">
        <f t="shared" si="14"/>
        <v>3645</v>
      </c>
      <c r="I306" s="172">
        <f t="shared" si="12"/>
        <v>1822.5</v>
      </c>
    </row>
    <row r="307" spans="1:9" ht="36">
      <c r="A307" s="306">
        <v>4.3</v>
      </c>
      <c r="B307" s="177"/>
      <c r="C307" s="269" t="s">
        <v>439</v>
      </c>
      <c r="D307" s="274" t="s">
        <v>28</v>
      </c>
      <c r="E307" s="275">
        <v>8</v>
      </c>
      <c r="F307" s="684">
        <f>'MB Gianis''s'!H154</f>
        <v>4</v>
      </c>
      <c r="G307" s="275">
        <v>675</v>
      </c>
      <c r="H307" s="275">
        <f t="shared" si="14"/>
        <v>5400</v>
      </c>
      <c r="I307" s="172">
        <f t="shared" si="12"/>
        <v>2700</v>
      </c>
    </row>
    <row r="308" spans="1:9" ht="36">
      <c r="A308" s="306">
        <v>4.4000000000000004</v>
      </c>
      <c r="B308" s="177"/>
      <c r="C308" s="269" t="s">
        <v>440</v>
      </c>
      <c r="D308" s="310" t="s">
        <v>28</v>
      </c>
      <c r="E308" s="311">
        <v>6</v>
      </c>
      <c r="F308" s="692"/>
      <c r="G308" s="311">
        <v>630</v>
      </c>
      <c r="H308" s="311">
        <f t="shared" si="14"/>
        <v>3780</v>
      </c>
      <c r="I308" s="172">
        <f t="shared" si="12"/>
        <v>0</v>
      </c>
    </row>
    <row r="309" spans="1:9" ht="48">
      <c r="A309" s="306">
        <v>4.5</v>
      </c>
      <c r="B309" s="177"/>
      <c r="C309" s="269" t="s">
        <v>250</v>
      </c>
      <c r="D309" s="310"/>
      <c r="E309" s="311"/>
      <c r="F309" s="692"/>
      <c r="G309" s="311">
        <v>0</v>
      </c>
      <c r="H309" s="311"/>
      <c r="I309" s="172">
        <f t="shared" si="12"/>
        <v>0</v>
      </c>
    </row>
    <row r="310" spans="1:9">
      <c r="A310" s="309" t="s">
        <v>251</v>
      </c>
      <c r="B310" s="177"/>
      <c r="C310" s="269" t="s">
        <v>252</v>
      </c>
      <c r="D310" s="310" t="s">
        <v>53</v>
      </c>
      <c r="E310" s="311">
        <v>0</v>
      </c>
      <c r="F310" s="692"/>
      <c r="G310" s="311">
        <v>108</v>
      </c>
      <c r="H310" s="311"/>
      <c r="I310" s="172">
        <f t="shared" si="12"/>
        <v>0</v>
      </c>
    </row>
    <row r="311" spans="1:9">
      <c r="A311" s="309" t="s">
        <v>253</v>
      </c>
      <c r="B311" s="177"/>
      <c r="C311" s="269" t="s">
        <v>441</v>
      </c>
      <c r="D311" s="310" t="s">
        <v>53</v>
      </c>
      <c r="E311" s="311">
        <v>0</v>
      </c>
      <c r="F311" s="692"/>
      <c r="G311" s="311">
        <v>108</v>
      </c>
      <c r="H311" s="311"/>
      <c r="I311" s="172">
        <f t="shared" si="12"/>
        <v>0</v>
      </c>
    </row>
    <row r="312" spans="1:9" ht="36">
      <c r="A312" s="306">
        <v>4.5999999999999996</v>
      </c>
      <c r="B312" s="177"/>
      <c r="C312" s="269" t="s">
        <v>442</v>
      </c>
      <c r="D312" s="310" t="s">
        <v>28</v>
      </c>
      <c r="E312" s="311">
        <v>0</v>
      </c>
      <c r="F312" s="692"/>
      <c r="G312" s="311">
        <v>765</v>
      </c>
      <c r="H312" s="311"/>
      <c r="I312" s="172">
        <f t="shared" si="12"/>
        <v>0</v>
      </c>
    </row>
    <row r="313" spans="1:9" ht="36">
      <c r="A313" s="306">
        <v>4.7</v>
      </c>
      <c r="B313" s="177"/>
      <c r="C313" s="269" t="s">
        <v>443</v>
      </c>
      <c r="D313" s="310" t="s">
        <v>28</v>
      </c>
      <c r="E313" s="296">
        <v>0</v>
      </c>
      <c r="F313" s="689"/>
      <c r="G313" s="296">
        <v>765</v>
      </c>
      <c r="H313" s="296"/>
      <c r="I313" s="172">
        <f t="shared" si="12"/>
        <v>0</v>
      </c>
    </row>
    <row r="314" spans="1:9" ht="60">
      <c r="A314" s="312">
        <v>4.8</v>
      </c>
      <c r="B314" s="177"/>
      <c r="C314" s="82" t="s">
        <v>254</v>
      </c>
      <c r="D314" s="310" t="s">
        <v>53</v>
      </c>
      <c r="E314" s="311">
        <v>90</v>
      </c>
      <c r="F314" s="692"/>
      <c r="G314" s="311">
        <v>157.5</v>
      </c>
      <c r="H314" s="311">
        <f>$E314*G314</f>
        <v>14175</v>
      </c>
      <c r="I314" s="172">
        <f t="shared" si="12"/>
        <v>0</v>
      </c>
    </row>
    <row r="315" spans="1:9" ht="60">
      <c r="A315" s="312">
        <v>4.9000000000000004</v>
      </c>
      <c r="B315" s="177"/>
      <c r="C315" s="82" t="s">
        <v>255</v>
      </c>
      <c r="D315" s="310" t="s">
        <v>53</v>
      </c>
      <c r="E315" s="311"/>
      <c r="F315" s="692"/>
      <c r="G315" s="311">
        <v>225</v>
      </c>
      <c r="H315" s="311"/>
      <c r="I315" s="172">
        <f t="shared" si="12"/>
        <v>0</v>
      </c>
    </row>
    <row r="316" spans="1:9" ht="48">
      <c r="A316" s="313">
        <v>4.0999999999999996</v>
      </c>
      <c r="B316" s="177"/>
      <c r="C316" s="82" t="s">
        <v>256</v>
      </c>
      <c r="D316" s="310"/>
      <c r="E316" s="311"/>
      <c r="F316" s="692"/>
      <c r="G316" s="311">
        <v>0</v>
      </c>
      <c r="H316" s="311"/>
      <c r="I316" s="172">
        <f t="shared" si="12"/>
        <v>0</v>
      </c>
    </row>
    <row r="317" spans="1:9">
      <c r="A317" s="310" t="s">
        <v>257</v>
      </c>
      <c r="B317" s="177"/>
      <c r="C317" s="82" t="s">
        <v>258</v>
      </c>
      <c r="D317" s="310" t="s">
        <v>53</v>
      </c>
      <c r="E317" s="311"/>
      <c r="F317" s="692"/>
      <c r="G317" s="311">
        <v>148.5</v>
      </c>
      <c r="H317" s="311"/>
      <c r="I317" s="172">
        <f t="shared" si="12"/>
        <v>0</v>
      </c>
    </row>
    <row r="318" spans="1:9">
      <c r="A318" s="310" t="s">
        <v>259</v>
      </c>
      <c r="B318" s="177"/>
      <c r="C318" s="82" t="s">
        <v>260</v>
      </c>
      <c r="D318" s="310" t="s">
        <v>53</v>
      </c>
      <c r="E318" s="311">
        <v>100</v>
      </c>
      <c r="F318" s="692">
        <f>'MB Gianis''s'!H198</f>
        <v>135</v>
      </c>
      <c r="G318" s="311">
        <v>171</v>
      </c>
      <c r="H318" s="311">
        <f>$E318*G318</f>
        <v>17100</v>
      </c>
      <c r="I318" s="172">
        <f t="shared" si="12"/>
        <v>23085</v>
      </c>
    </row>
    <row r="319" spans="1:9" ht="48">
      <c r="A319" s="313">
        <v>4.1100000000000003</v>
      </c>
      <c r="B319" s="177"/>
      <c r="C319" s="82" t="s">
        <v>261</v>
      </c>
      <c r="D319" s="310"/>
      <c r="E319" s="311"/>
      <c r="F319" s="692"/>
      <c r="G319" s="311">
        <v>0</v>
      </c>
      <c r="H319" s="311"/>
      <c r="I319" s="172">
        <f t="shared" si="12"/>
        <v>0</v>
      </c>
    </row>
    <row r="320" spans="1:9">
      <c r="A320" s="310" t="s">
        <v>262</v>
      </c>
      <c r="B320" s="177"/>
      <c r="C320" s="82" t="s">
        <v>258</v>
      </c>
      <c r="D320" s="310" t="s">
        <v>53</v>
      </c>
      <c r="E320" s="311"/>
      <c r="F320" s="692"/>
      <c r="G320" s="311">
        <v>157.5</v>
      </c>
      <c r="H320" s="311"/>
      <c r="I320" s="172">
        <f t="shared" si="12"/>
        <v>0</v>
      </c>
    </row>
    <row r="321" spans="1:9">
      <c r="A321" s="310" t="s">
        <v>263</v>
      </c>
      <c r="B321" s="177"/>
      <c r="C321" s="82" t="s">
        <v>260</v>
      </c>
      <c r="D321" s="310" t="s">
        <v>53</v>
      </c>
      <c r="E321" s="311">
        <v>15</v>
      </c>
      <c r="F321" s="692"/>
      <c r="G321" s="311">
        <v>189</v>
      </c>
      <c r="H321" s="311">
        <f>$E321*G321</f>
        <v>2835</v>
      </c>
      <c r="I321" s="172">
        <f t="shared" si="12"/>
        <v>0</v>
      </c>
    </row>
    <row r="322" spans="1:9">
      <c r="A322" s="310"/>
      <c r="B322" s="177"/>
      <c r="C322" s="82"/>
      <c r="D322" s="310"/>
      <c r="E322" s="311"/>
      <c r="F322" s="692"/>
      <c r="G322" s="311">
        <v>0</v>
      </c>
      <c r="H322" s="311"/>
      <c r="I322" s="172">
        <f t="shared" si="12"/>
        <v>0</v>
      </c>
    </row>
    <row r="323" spans="1:9" ht="24">
      <c r="A323" s="310">
        <v>4.12</v>
      </c>
      <c r="B323" s="177"/>
      <c r="C323" s="82" t="s">
        <v>264</v>
      </c>
      <c r="D323" s="310" t="s">
        <v>53</v>
      </c>
      <c r="E323" s="311">
        <v>30</v>
      </c>
      <c r="F323" s="692">
        <f>'MB Gianis''s'!H206</f>
        <v>105</v>
      </c>
      <c r="G323" s="311">
        <v>81</v>
      </c>
      <c r="H323" s="311">
        <f>$E323*G323</f>
        <v>2430</v>
      </c>
      <c r="I323" s="172">
        <f t="shared" si="12"/>
        <v>8505</v>
      </c>
    </row>
    <row r="324" spans="1:9">
      <c r="A324" s="310"/>
      <c r="B324" s="177"/>
      <c r="C324" s="82"/>
      <c r="D324" s="310"/>
      <c r="E324" s="311"/>
      <c r="F324" s="692"/>
      <c r="G324" s="311">
        <v>0</v>
      </c>
      <c r="H324" s="311"/>
      <c r="I324" s="172">
        <f t="shared" si="12"/>
        <v>0</v>
      </c>
    </row>
    <row r="325" spans="1:9">
      <c r="A325" s="264">
        <v>5</v>
      </c>
      <c r="B325" s="177"/>
      <c r="C325" s="265" t="s">
        <v>265</v>
      </c>
      <c r="D325" s="266"/>
      <c r="E325" s="267"/>
      <c r="F325" s="682"/>
      <c r="G325" s="267">
        <v>0</v>
      </c>
      <c r="H325" s="267"/>
      <c r="I325" s="172">
        <f t="shared" si="12"/>
        <v>0</v>
      </c>
    </row>
    <row r="326" spans="1:9" ht="60">
      <c r="A326" s="314">
        <v>5.0999999999999996</v>
      </c>
      <c r="B326" s="177"/>
      <c r="C326" s="315" t="s">
        <v>444</v>
      </c>
      <c r="D326" s="316"/>
      <c r="E326" s="317"/>
      <c r="F326" s="693"/>
      <c r="G326" s="317">
        <v>0</v>
      </c>
      <c r="H326" s="317"/>
      <c r="I326" s="172">
        <f t="shared" si="12"/>
        <v>0</v>
      </c>
    </row>
    <row r="327" spans="1:9">
      <c r="A327" s="318"/>
      <c r="B327" s="177"/>
      <c r="C327" s="319"/>
      <c r="D327" s="274"/>
      <c r="E327" s="275"/>
      <c r="F327" s="684"/>
      <c r="G327" s="275">
        <v>0</v>
      </c>
      <c r="H327" s="275"/>
      <c r="I327" s="172">
        <f t="shared" si="12"/>
        <v>0</v>
      </c>
    </row>
    <row r="328" spans="1:9">
      <c r="A328" s="318" t="s">
        <v>266</v>
      </c>
      <c r="B328" s="177"/>
      <c r="C328" s="319" t="s">
        <v>267</v>
      </c>
      <c r="D328" s="274" t="s">
        <v>28</v>
      </c>
      <c r="E328" s="275">
        <v>1</v>
      </c>
      <c r="F328" s="684"/>
      <c r="G328" s="275">
        <v>121.5</v>
      </c>
      <c r="H328" s="275">
        <f t="shared" ref="H328:H332" si="15">$E328*G328</f>
        <v>121.5</v>
      </c>
      <c r="I328" s="172">
        <f t="shared" si="12"/>
        <v>0</v>
      </c>
    </row>
    <row r="329" spans="1:9">
      <c r="A329" s="318" t="s">
        <v>268</v>
      </c>
      <c r="B329" s="177"/>
      <c r="C329" s="86" t="s">
        <v>269</v>
      </c>
      <c r="D329" s="274" t="s">
        <v>28</v>
      </c>
      <c r="E329" s="275">
        <v>2</v>
      </c>
      <c r="F329" s="684">
        <f>'MB Gianis''s'!H211</f>
        <v>8</v>
      </c>
      <c r="G329" s="275">
        <v>180</v>
      </c>
      <c r="H329" s="275">
        <f t="shared" si="15"/>
        <v>360</v>
      </c>
      <c r="I329" s="172">
        <f t="shared" si="12"/>
        <v>1440</v>
      </c>
    </row>
    <row r="330" spans="1:9">
      <c r="A330" s="318" t="s">
        <v>270</v>
      </c>
      <c r="B330" s="177"/>
      <c r="C330" s="86" t="s">
        <v>271</v>
      </c>
      <c r="D330" s="274" t="s">
        <v>28</v>
      </c>
      <c r="E330" s="275">
        <v>8</v>
      </c>
      <c r="F330" s="684">
        <f>'MB Gianis''s'!H214</f>
        <v>8</v>
      </c>
      <c r="G330" s="275">
        <v>279</v>
      </c>
      <c r="H330" s="275">
        <f t="shared" si="15"/>
        <v>2232</v>
      </c>
      <c r="I330" s="172">
        <f t="shared" si="12"/>
        <v>2232</v>
      </c>
    </row>
    <row r="331" spans="1:9" ht="24">
      <c r="A331" s="318" t="s">
        <v>272</v>
      </c>
      <c r="B331" s="177"/>
      <c r="C331" s="268" t="s">
        <v>432</v>
      </c>
      <c r="D331" s="274" t="s">
        <v>28</v>
      </c>
      <c r="E331" s="275">
        <v>1</v>
      </c>
      <c r="F331" s="684"/>
      <c r="G331" s="275">
        <v>450</v>
      </c>
      <c r="H331" s="275">
        <f t="shared" si="15"/>
        <v>450</v>
      </c>
      <c r="I331" s="172">
        <f t="shared" si="12"/>
        <v>0</v>
      </c>
    </row>
    <row r="332" spans="1:9">
      <c r="A332" s="318" t="s">
        <v>273</v>
      </c>
      <c r="B332" s="177"/>
      <c r="C332" s="86" t="s">
        <v>274</v>
      </c>
      <c r="D332" s="274" t="s">
        <v>28</v>
      </c>
      <c r="E332" s="275">
        <v>3</v>
      </c>
      <c r="F332" s="684"/>
      <c r="G332" s="275">
        <v>1260</v>
      </c>
      <c r="H332" s="275">
        <f t="shared" si="15"/>
        <v>3780</v>
      </c>
      <c r="I332" s="172">
        <f t="shared" si="12"/>
        <v>0</v>
      </c>
    </row>
    <row r="333" spans="1:9">
      <c r="A333" s="318" t="s">
        <v>273</v>
      </c>
      <c r="B333" s="177"/>
      <c r="C333" s="86" t="s">
        <v>275</v>
      </c>
      <c r="D333" s="274" t="s">
        <v>28</v>
      </c>
      <c r="E333" s="275">
        <v>0</v>
      </c>
      <c r="F333" s="684"/>
      <c r="G333" s="275">
        <v>5130</v>
      </c>
      <c r="H333" s="275"/>
      <c r="I333" s="172">
        <f t="shared" si="12"/>
        <v>0</v>
      </c>
    </row>
    <row r="334" spans="1:9">
      <c r="A334" s="318" t="s">
        <v>276</v>
      </c>
      <c r="B334" s="177"/>
      <c r="C334" s="86" t="s">
        <v>277</v>
      </c>
      <c r="D334" s="274" t="s">
        <v>28</v>
      </c>
      <c r="E334" s="275">
        <v>6</v>
      </c>
      <c r="F334" s="684"/>
      <c r="G334" s="275">
        <v>1755</v>
      </c>
      <c r="H334" s="275">
        <f t="shared" ref="H334:H336" si="16">$E334*G334</f>
        <v>10530</v>
      </c>
      <c r="I334" s="172">
        <f t="shared" si="12"/>
        <v>0</v>
      </c>
    </row>
    <row r="335" spans="1:9">
      <c r="A335" s="318" t="s">
        <v>278</v>
      </c>
      <c r="B335" s="177"/>
      <c r="C335" s="320" t="s">
        <v>279</v>
      </c>
      <c r="D335" s="274" t="s">
        <v>28</v>
      </c>
      <c r="E335" s="275">
        <v>2</v>
      </c>
      <c r="F335" s="684">
        <f>'MB Gianis''s'!H215</f>
        <v>1</v>
      </c>
      <c r="G335" s="275">
        <v>2385</v>
      </c>
      <c r="H335" s="275">
        <f t="shared" si="16"/>
        <v>4770</v>
      </c>
      <c r="I335" s="172">
        <f t="shared" si="12"/>
        <v>2385</v>
      </c>
    </row>
    <row r="336" spans="1:9">
      <c r="A336" s="318" t="s">
        <v>280</v>
      </c>
      <c r="B336" s="177"/>
      <c r="C336" s="320" t="s">
        <v>281</v>
      </c>
      <c r="D336" s="274" t="s">
        <v>28</v>
      </c>
      <c r="E336" s="275">
        <v>1</v>
      </c>
      <c r="F336" s="684">
        <f>'MB Gianis''s'!H216</f>
        <v>1</v>
      </c>
      <c r="G336" s="275">
        <v>1980</v>
      </c>
      <c r="H336" s="275">
        <f t="shared" si="16"/>
        <v>1980</v>
      </c>
      <c r="I336" s="172">
        <f t="shared" si="12"/>
        <v>1980</v>
      </c>
    </row>
    <row r="337" spans="1:9">
      <c r="A337" s="318"/>
      <c r="B337" s="177"/>
      <c r="C337" s="320"/>
      <c r="D337" s="274"/>
      <c r="E337" s="275"/>
      <c r="F337" s="684"/>
      <c r="G337" s="275">
        <v>0</v>
      </c>
      <c r="H337" s="275"/>
      <c r="I337" s="172">
        <f t="shared" ref="I337:I370" si="17">G337*F337</f>
        <v>0</v>
      </c>
    </row>
    <row r="338" spans="1:9">
      <c r="A338" s="264">
        <v>6</v>
      </c>
      <c r="B338" s="177"/>
      <c r="C338" s="265" t="s">
        <v>282</v>
      </c>
      <c r="D338" s="266"/>
      <c r="E338" s="267"/>
      <c r="F338" s="682"/>
      <c r="G338" s="267">
        <v>0</v>
      </c>
      <c r="H338" s="267"/>
      <c r="I338" s="172">
        <f t="shared" si="17"/>
        <v>0</v>
      </c>
    </row>
    <row r="339" spans="1:9" ht="48">
      <c r="A339" s="88">
        <v>6.1</v>
      </c>
      <c r="B339" s="177"/>
      <c r="C339" s="321" t="s">
        <v>445</v>
      </c>
      <c r="D339" s="266"/>
      <c r="E339" s="267"/>
      <c r="F339" s="682"/>
      <c r="G339" s="267">
        <v>0</v>
      </c>
      <c r="H339" s="267"/>
      <c r="I339" s="172">
        <f t="shared" si="17"/>
        <v>0</v>
      </c>
    </row>
    <row r="340" spans="1:9">
      <c r="A340" s="318" t="s">
        <v>283</v>
      </c>
      <c r="B340" s="177"/>
      <c r="C340" s="321" t="s">
        <v>284</v>
      </c>
      <c r="D340" s="266" t="s">
        <v>53</v>
      </c>
      <c r="E340" s="267">
        <v>0</v>
      </c>
      <c r="F340" s="682"/>
      <c r="G340" s="267">
        <v>225</v>
      </c>
      <c r="H340" s="267"/>
      <c r="I340" s="172">
        <f t="shared" si="17"/>
        <v>0</v>
      </c>
    </row>
    <row r="341" spans="1:9">
      <c r="A341" s="88">
        <v>6.2</v>
      </c>
      <c r="B341" s="177"/>
      <c r="C341" s="321" t="s">
        <v>446</v>
      </c>
      <c r="D341" s="266"/>
      <c r="E341" s="267"/>
      <c r="F341" s="682"/>
      <c r="G341" s="267">
        <v>0</v>
      </c>
      <c r="H341" s="267"/>
      <c r="I341" s="172">
        <f t="shared" si="17"/>
        <v>0</v>
      </c>
    </row>
    <row r="342" spans="1:9">
      <c r="A342" s="318" t="s">
        <v>285</v>
      </c>
      <c r="B342" s="177"/>
      <c r="C342" s="86" t="s">
        <v>286</v>
      </c>
      <c r="D342" s="266" t="s">
        <v>53</v>
      </c>
      <c r="E342" s="267">
        <v>50</v>
      </c>
      <c r="F342" s="682">
        <f>'MB Gianis''s'!H219</f>
        <v>50</v>
      </c>
      <c r="G342" s="267">
        <v>76.5</v>
      </c>
      <c r="H342" s="267">
        <f>$E342*G342</f>
        <v>3825</v>
      </c>
      <c r="I342" s="172">
        <f t="shared" si="17"/>
        <v>3825</v>
      </c>
    </row>
    <row r="343" spans="1:9">
      <c r="A343" s="318"/>
      <c r="B343" s="177"/>
      <c r="C343" s="86"/>
      <c r="D343" s="266"/>
      <c r="E343" s="267"/>
      <c r="F343" s="682"/>
      <c r="G343" s="267">
        <v>0</v>
      </c>
      <c r="H343" s="267"/>
      <c r="I343" s="172">
        <f t="shared" si="17"/>
        <v>0</v>
      </c>
    </row>
    <row r="344" spans="1:9">
      <c r="A344" s="264">
        <v>7</v>
      </c>
      <c r="B344" s="177"/>
      <c r="C344" s="87" t="s">
        <v>287</v>
      </c>
      <c r="D344" s="274"/>
      <c r="E344" s="275"/>
      <c r="F344" s="684"/>
      <c r="G344" s="275">
        <v>0</v>
      </c>
      <c r="H344" s="275"/>
      <c r="I344" s="172">
        <f t="shared" si="17"/>
        <v>0</v>
      </c>
    </row>
    <row r="345" spans="1:9" ht="36">
      <c r="A345" s="264">
        <v>7.1</v>
      </c>
      <c r="B345" s="177"/>
      <c r="C345" s="320" t="s">
        <v>288</v>
      </c>
      <c r="D345" s="274"/>
      <c r="E345" s="275"/>
      <c r="F345" s="684"/>
      <c r="G345" s="275">
        <v>0</v>
      </c>
      <c r="H345" s="275"/>
      <c r="I345" s="172">
        <f t="shared" si="17"/>
        <v>0</v>
      </c>
    </row>
    <row r="346" spans="1:9">
      <c r="A346" s="88" t="s">
        <v>289</v>
      </c>
      <c r="B346" s="177"/>
      <c r="C346" s="320" t="s">
        <v>370</v>
      </c>
      <c r="D346" s="274" t="s">
        <v>28</v>
      </c>
      <c r="E346" s="322">
        <v>0</v>
      </c>
      <c r="F346" s="694"/>
      <c r="G346" s="322">
        <v>225</v>
      </c>
      <c r="H346" s="322"/>
      <c r="I346" s="172">
        <f t="shared" si="17"/>
        <v>0</v>
      </c>
    </row>
    <row r="347" spans="1:9">
      <c r="A347" s="88" t="s">
        <v>290</v>
      </c>
      <c r="B347" s="177"/>
      <c r="C347" s="320" t="s">
        <v>371</v>
      </c>
      <c r="D347" s="274" t="s">
        <v>28</v>
      </c>
      <c r="E347" s="322">
        <v>6</v>
      </c>
      <c r="F347" s="694">
        <f>'MB Gianis''s'!H222</f>
        <v>6</v>
      </c>
      <c r="G347" s="322">
        <v>270</v>
      </c>
      <c r="H347" s="322">
        <f>$E347*G347</f>
        <v>1620</v>
      </c>
      <c r="I347" s="172">
        <f t="shared" si="17"/>
        <v>1620</v>
      </c>
    </row>
    <row r="348" spans="1:9">
      <c r="A348" s="88" t="s">
        <v>291</v>
      </c>
      <c r="B348" s="177"/>
      <c r="C348" s="320" t="s">
        <v>292</v>
      </c>
      <c r="D348" s="274" t="s">
        <v>28</v>
      </c>
      <c r="E348" s="322"/>
      <c r="F348" s="694"/>
      <c r="G348" s="322">
        <v>270</v>
      </c>
      <c r="H348" s="322"/>
      <c r="I348" s="172">
        <f t="shared" si="17"/>
        <v>0</v>
      </c>
    </row>
    <row r="349" spans="1:9">
      <c r="A349" s="88" t="s">
        <v>293</v>
      </c>
      <c r="B349" s="177"/>
      <c r="C349" s="320" t="s">
        <v>294</v>
      </c>
      <c r="D349" s="274" t="s">
        <v>28</v>
      </c>
      <c r="E349" s="322"/>
      <c r="F349" s="694"/>
      <c r="G349" s="322">
        <v>270</v>
      </c>
      <c r="H349" s="322"/>
      <c r="I349" s="172">
        <f t="shared" si="17"/>
        <v>0</v>
      </c>
    </row>
    <row r="350" spans="1:9">
      <c r="A350" s="88" t="s">
        <v>295</v>
      </c>
      <c r="B350" s="177"/>
      <c r="C350" s="320" t="s">
        <v>296</v>
      </c>
      <c r="D350" s="274" t="s">
        <v>53</v>
      </c>
      <c r="E350" s="322"/>
      <c r="F350" s="694"/>
      <c r="G350" s="322">
        <v>45</v>
      </c>
      <c r="H350" s="322"/>
      <c r="I350" s="172">
        <f t="shared" si="17"/>
        <v>0</v>
      </c>
    </row>
    <row r="351" spans="1:9">
      <c r="A351" s="88" t="s">
        <v>297</v>
      </c>
      <c r="B351" s="177"/>
      <c r="C351" s="320" t="s">
        <v>298</v>
      </c>
      <c r="D351" s="274" t="s">
        <v>28</v>
      </c>
      <c r="E351" s="322"/>
      <c r="F351" s="694"/>
      <c r="G351" s="322">
        <v>225</v>
      </c>
      <c r="H351" s="322"/>
      <c r="I351" s="172">
        <f t="shared" si="17"/>
        <v>0</v>
      </c>
    </row>
    <row r="352" spans="1:9">
      <c r="A352" s="264"/>
      <c r="B352" s="177"/>
      <c r="C352" s="320"/>
      <c r="D352" s="274"/>
      <c r="E352" s="275"/>
      <c r="F352" s="684"/>
      <c r="G352" s="275">
        <v>0</v>
      </c>
      <c r="H352" s="275"/>
      <c r="I352" s="172">
        <f t="shared" si="17"/>
        <v>0</v>
      </c>
    </row>
    <row r="353" spans="1:9">
      <c r="A353" s="323">
        <v>8</v>
      </c>
      <c r="B353" s="177"/>
      <c r="C353" s="89" t="s">
        <v>299</v>
      </c>
      <c r="D353" s="324"/>
      <c r="E353" s="296"/>
      <c r="F353" s="689"/>
      <c r="G353" s="296">
        <v>0</v>
      </c>
      <c r="H353" s="296"/>
      <c r="I353" s="172">
        <f t="shared" si="17"/>
        <v>0</v>
      </c>
    </row>
    <row r="354" spans="1:9">
      <c r="A354" s="314"/>
      <c r="B354" s="177"/>
      <c r="C354" s="325"/>
      <c r="D354" s="306"/>
      <c r="E354" s="296"/>
      <c r="F354" s="689"/>
      <c r="G354" s="296">
        <v>0</v>
      </c>
      <c r="H354" s="296"/>
      <c r="I354" s="172">
        <f t="shared" si="17"/>
        <v>0</v>
      </c>
    </row>
    <row r="355" spans="1:9" ht="36">
      <c r="A355" s="94">
        <v>8.1</v>
      </c>
      <c r="B355" s="177"/>
      <c r="C355" s="82" t="s">
        <v>300</v>
      </c>
      <c r="D355" s="306" t="s">
        <v>28</v>
      </c>
      <c r="E355" s="296">
        <v>1</v>
      </c>
      <c r="F355" s="689"/>
      <c r="G355" s="296">
        <v>900</v>
      </c>
      <c r="H355" s="296">
        <f>$E355*G355</f>
        <v>900</v>
      </c>
      <c r="I355" s="172">
        <f t="shared" si="17"/>
        <v>0</v>
      </c>
    </row>
    <row r="356" spans="1:9">
      <c r="A356" s="323"/>
      <c r="B356" s="177"/>
      <c r="C356" s="82"/>
      <c r="D356" s="306"/>
      <c r="E356" s="296"/>
      <c r="F356" s="689"/>
      <c r="G356" s="296">
        <v>0</v>
      </c>
      <c r="H356" s="296"/>
      <c r="I356" s="172">
        <f t="shared" si="17"/>
        <v>0</v>
      </c>
    </row>
    <row r="357" spans="1:9" ht="48">
      <c r="A357" s="94">
        <v>8.1999999999999993</v>
      </c>
      <c r="B357" s="177"/>
      <c r="C357" s="82" t="s">
        <v>372</v>
      </c>
      <c r="D357" s="306" t="s">
        <v>28</v>
      </c>
      <c r="E357" s="296">
        <v>1</v>
      </c>
      <c r="F357" s="689"/>
      <c r="G357" s="296">
        <v>495</v>
      </c>
      <c r="H357" s="296">
        <f>$E357*G357</f>
        <v>495</v>
      </c>
      <c r="I357" s="172">
        <f t="shared" si="17"/>
        <v>0</v>
      </c>
    </row>
    <row r="358" spans="1:9">
      <c r="A358" s="94"/>
      <c r="B358" s="177"/>
      <c r="C358" s="82"/>
      <c r="D358" s="306"/>
      <c r="E358" s="296"/>
      <c r="F358" s="689"/>
      <c r="G358" s="296">
        <v>0</v>
      </c>
      <c r="H358" s="296"/>
      <c r="I358" s="172">
        <f t="shared" si="17"/>
        <v>0</v>
      </c>
    </row>
    <row r="359" spans="1:9" ht="24">
      <c r="A359" s="94">
        <v>8.3000000000000007</v>
      </c>
      <c r="B359" s="177"/>
      <c r="C359" s="82" t="s">
        <v>447</v>
      </c>
      <c r="D359" s="272" t="s">
        <v>301</v>
      </c>
      <c r="E359" s="273"/>
      <c r="F359" s="683"/>
      <c r="G359" s="273">
        <v>0</v>
      </c>
      <c r="H359" s="273"/>
      <c r="I359" s="172">
        <f t="shared" si="17"/>
        <v>0</v>
      </c>
    </row>
    <row r="360" spans="1:9">
      <c r="A360" s="94"/>
      <c r="B360" s="177"/>
      <c r="C360" s="82"/>
      <c r="D360" s="272"/>
      <c r="E360" s="273"/>
      <c r="F360" s="683"/>
      <c r="G360" s="273">
        <v>0</v>
      </c>
      <c r="H360" s="273"/>
      <c r="I360" s="172">
        <f t="shared" si="17"/>
        <v>0</v>
      </c>
    </row>
    <row r="361" spans="1:9">
      <c r="A361" s="326">
        <v>9</v>
      </c>
      <c r="B361" s="177"/>
      <c r="C361" s="327" t="s">
        <v>393</v>
      </c>
      <c r="D361" s="326"/>
      <c r="E361" s="328"/>
      <c r="F361" s="695"/>
      <c r="G361" s="328">
        <v>0</v>
      </c>
      <c r="H361" s="328"/>
      <c r="I361" s="172">
        <f t="shared" si="17"/>
        <v>0</v>
      </c>
    </row>
    <row r="362" spans="1:9" ht="36">
      <c r="A362" s="91">
        <v>9.1</v>
      </c>
      <c r="B362" s="177"/>
      <c r="C362" s="90" t="s">
        <v>394</v>
      </c>
      <c r="D362" s="91" t="s">
        <v>47</v>
      </c>
      <c r="E362" s="329">
        <v>1</v>
      </c>
      <c r="F362" s="696"/>
      <c r="G362" s="329">
        <v>31500</v>
      </c>
      <c r="H362" s="329">
        <f t="shared" ref="H362:H363" si="18">$E362*G362</f>
        <v>31500</v>
      </c>
      <c r="I362" s="172">
        <f t="shared" si="17"/>
        <v>0</v>
      </c>
    </row>
    <row r="363" spans="1:9" ht="72">
      <c r="A363" s="91">
        <v>9.1999999999999993</v>
      </c>
      <c r="B363" s="177"/>
      <c r="C363" s="90" t="s">
        <v>448</v>
      </c>
      <c r="D363" s="91" t="s">
        <v>47</v>
      </c>
      <c r="E363" s="329">
        <v>2</v>
      </c>
      <c r="F363" s="696">
        <f>'MB Gianis''s'!H224</f>
        <v>1</v>
      </c>
      <c r="G363" s="329">
        <v>2205</v>
      </c>
      <c r="H363" s="329">
        <f t="shared" si="18"/>
        <v>4410</v>
      </c>
      <c r="I363" s="172">
        <f t="shared" si="17"/>
        <v>2205</v>
      </c>
    </row>
    <row r="364" spans="1:9" ht="72">
      <c r="A364" s="91">
        <v>9.3000000000000007</v>
      </c>
      <c r="B364" s="177"/>
      <c r="C364" s="90" t="s">
        <v>449</v>
      </c>
      <c r="D364" s="91" t="s">
        <v>47</v>
      </c>
      <c r="E364" s="329">
        <v>0</v>
      </c>
      <c r="F364" s="696"/>
      <c r="G364" s="329">
        <v>2340</v>
      </c>
      <c r="H364" s="329"/>
      <c r="I364" s="172">
        <f t="shared" si="17"/>
        <v>0</v>
      </c>
    </row>
    <row r="365" spans="1:9" ht="48">
      <c r="A365" s="91">
        <v>9.4</v>
      </c>
      <c r="B365" s="177"/>
      <c r="C365" s="90" t="s">
        <v>395</v>
      </c>
      <c r="D365" s="91" t="s">
        <v>47</v>
      </c>
      <c r="E365" s="329">
        <v>1</v>
      </c>
      <c r="F365" s="696"/>
      <c r="G365" s="329">
        <v>1125</v>
      </c>
      <c r="H365" s="329">
        <f>$E365*G365</f>
        <v>1125</v>
      </c>
      <c r="I365" s="172">
        <f t="shared" si="17"/>
        <v>0</v>
      </c>
    </row>
    <row r="366" spans="1:9">
      <c r="A366" s="91"/>
      <c r="B366" s="177"/>
      <c r="C366" s="330"/>
      <c r="D366" s="91"/>
      <c r="E366" s="329"/>
      <c r="F366" s="696"/>
      <c r="G366" s="329">
        <v>0</v>
      </c>
      <c r="H366" s="329"/>
      <c r="I366" s="172">
        <f t="shared" si="17"/>
        <v>0</v>
      </c>
    </row>
    <row r="367" spans="1:9" ht="24">
      <c r="A367" s="91">
        <v>10</v>
      </c>
      <c r="B367" s="177"/>
      <c r="C367" s="90" t="s">
        <v>396</v>
      </c>
      <c r="D367" s="91" t="s">
        <v>397</v>
      </c>
      <c r="E367" s="329">
        <v>30</v>
      </c>
      <c r="F367" s="696">
        <f>'MB Gianis''s'!H228</f>
        <v>18.5</v>
      </c>
      <c r="G367" s="329">
        <v>121.5</v>
      </c>
      <c r="H367" s="329">
        <f>$E367*G367</f>
        <v>3645</v>
      </c>
      <c r="I367" s="172">
        <f t="shared" si="17"/>
        <v>2247.75</v>
      </c>
    </row>
    <row r="368" spans="1:9">
      <c r="A368" s="91"/>
      <c r="B368" s="177"/>
      <c r="C368" s="330"/>
      <c r="D368" s="91"/>
      <c r="E368" s="329"/>
      <c r="F368" s="696"/>
      <c r="G368" s="329">
        <v>0</v>
      </c>
      <c r="H368" s="329"/>
      <c r="I368" s="172">
        <f t="shared" si="17"/>
        <v>0</v>
      </c>
    </row>
    <row r="369" spans="1:9">
      <c r="A369" s="91">
        <v>11</v>
      </c>
      <c r="B369" s="177"/>
      <c r="C369" s="90" t="s">
        <v>398</v>
      </c>
      <c r="D369" s="91" t="s">
        <v>47</v>
      </c>
      <c r="E369" s="329">
        <v>1</v>
      </c>
      <c r="F369" s="696"/>
      <c r="G369" s="329">
        <v>180</v>
      </c>
      <c r="H369" s="329">
        <f>$E369*G369</f>
        <v>180</v>
      </c>
      <c r="I369" s="172">
        <f t="shared" si="17"/>
        <v>0</v>
      </c>
    </row>
    <row r="370" spans="1:9">
      <c r="A370" s="94"/>
      <c r="B370" s="177"/>
      <c r="C370" s="298"/>
      <c r="D370" s="298"/>
      <c r="E370" s="331"/>
      <c r="F370" s="697"/>
      <c r="G370" s="331"/>
      <c r="H370" s="331"/>
      <c r="I370" s="172">
        <f t="shared" si="17"/>
        <v>0</v>
      </c>
    </row>
    <row r="371" spans="1:9" ht="12.75">
      <c r="A371" s="332"/>
      <c r="B371" s="211"/>
      <c r="C371" s="381" t="s">
        <v>385</v>
      </c>
      <c r="D371" s="332"/>
      <c r="E371" s="333"/>
      <c r="F371" s="692"/>
      <c r="G371" s="333"/>
      <c r="H371" s="383">
        <f>SUM(H165:H369)</f>
        <v>173248.5</v>
      </c>
      <c r="I371" s="215">
        <f>SUM(I164:I370)</f>
        <v>116166</v>
      </c>
    </row>
    <row r="372" spans="1:9" ht="15">
      <c r="A372" s="310"/>
      <c r="B372" s="177"/>
      <c r="C372" s="382" t="s">
        <v>628</v>
      </c>
      <c r="D372" s="310"/>
      <c r="E372" s="311"/>
      <c r="F372" s="692"/>
      <c r="G372" s="311"/>
      <c r="H372" s="384">
        <f>H371*0.18</f>
        <v>31184.73</v>
      </c>
      <c r="I372" s="361">
        <f>I371*0.18</f>
        <v>20909.88</v>
      </c>
    </row>
    <row r="373" spans="1:9" ht="12.75">
      <c r="A373" s="310"/>
      <c r="B373" s="177"/>
      <c r="C373" s="385" t="s">
        <v>629</v>
      </c>
      <c r="D373" s="310"/>
      <c r="E373" s="311"/>
      <c r="F373" s="692"/>
      <c r="G373" s="311"/>
      <c r="H373" s="384">
        <f>SUM(H371:H372)</f>
        <v>204433.23</v>
      </c>
      <c r="I373" s="374">
        <f>SUM(I371:I372)</f>
        <v>137075.88</v>
      </c>
    </row>
    <row r="374" spans="1:9" ht="12.75">
      <c r="A374" s="310"/>
      <c r="B374" s="177"/>
      <c r="C374" s="380"/>
      <c r="D374" s="310"/>
      <c r="E374" s="311"/>
      <c r="F374" s="692"/>
      <c r="G374" s="311"/>
      <c r="H374" s="311"/>
      <c r="I374" s="374"/>
    </row>
    <row r="375" spans="1:9" ht="15.75">
      <c r="A375" s="869" t="s">
        <v>631</v>
      </c>
      <c r="B375" s="870"/>
      <c r="C375" s="870"/>
      <c r="D375" s="870"/>
      <c r="E375" s="870"/>
      <c r="F375" s="870"/>
      <c r="G375" s="870"/>
      <c r="H375" s="870"/>
      <c r="I375" s="871"/>
    </row>
    <row r="376" spans="1:9" ht="12.75">
      <c r="A376" s="310"/>
      <c r="B376" s="177"/>
      <c r="C376" s="380" t="s">
        <v>134</v>
      </c>
      <c r="D376" s="310" t="s">
        <v>26</v>
      </c>
      <c r="E376" s="692" t="s">
        <v>624</v>
      </c>
      <c r="F376" s="778" t="s">
        <v>558</v>
      </c>
      <c r="G376" s="311" t="s">
        <v>817</v>
      </c>
      <c r="H376" s="311" t="s">
        <v>625</v>
      </c>
      <c r="I376" s="374" t="s">
        <v>559</v>
      </c>
    </row>
    <row r="377" spans="1:9" ht="38.25">
      <c r="A377" s="310">
        <v>1</v>
      </c>
      <c r="B377" s="177"/>
      <c r="C377" s="93" t="s">
        <v>302</v>
      </c>
      <c r="D377" s="386" t="s">
        <v>465</v>
      </c>
      <c r="E377" s="305"/>
      <c r="F377" s="691">
        <v>49</v>
      </c>
      <c r="G377" s="305">
        <v>65</v>
      </c>
      <c r="H377" s="305"/>
      <c r="I377" s="387">
        <f>F377*G377</f>
        <v>3185</v>
      </c>
    </row>
    <row r="378" spans="1:9" ht="12.75">
      <c r="A378" s="310"/>
      <c r="B378" s="177"/>
      <c r="C378" s="380"/>
      <c r="D378" s="386"/>
      <c r="E378" s="305"/>
      <c r="F378" s="691"/>
      <c r="G378" s="305"/>
      <c r="H378" s="305"/>
      <c r="I378" s="387"/>
    </row>
    <row r="379" spans="1:9" ht="96">
      <c r="A379" s="310">
        <v>2</v>
      </c>
      <c r="B379" s="177"/>
      <c r="C379" s="300" t="s">
        <v>435</v>
      </c>
      <c r="D379" s="386"/>
      <c r="E379" s="305"/>
      <c r="F379" s="691"/>
      <c r="G379" s="305"/>
      <c r="H379" s="305"/>
      <c r="I379" s="387"/>
    </row>
    <row r="380" spans="1:9" ht="12.75">
      <c r="A380" s="310" t="s">
        <v>13</v>
      </c>
      <c r="B380" s="177"/>
      <c r="C380" s="301" t="s">
        <v>821</v>
      </c>
      <c r="D380" s="386" t="s">
        <v>466</v>
      </c>
      <c r="E380" s="305"/>
      <c r="F380" s="809">
        <f>'MB Gianis''s'!H239</f>
        <v>9.5</v>
      </c>
      <c r="G380" s="305">
        <v>850</v>
      </c>
      <c r="H380" s="305"/>
      <c r="I380" s="387">
        <f>G380*F380</f>
        <v>8075</v>
      </c>
    </row>
    <row r="381" spans="1:9" ht="12.75">
      <c r="A381" s="310"/>
      <c r="B381" s="177"/>
      <c r="C381" s="380"/>
      <c r="D381" s="310"/>
      <c r="E381" s="311"/>
      <c r="F381" s="692"/>
      <c r="G381" s="311"/>
      <c r="H381" s="311"/>
      <c r="I381" s="374"/>
    </row>
    <row r="382" spans="1:9" ht="15">
      <c r="A382" s="310">
        <v>3</v>
      </c>
      <c r="B382" s="177"/>
      <c r="C382" s="60" t="s">
        <v>823</v>
      </c>
      <c r="D382" s="310"/>
      <c r="E382" s="311"/>
      <c r="F382" s="692"/>
      <c r="G382" s="311"/>
      <c r="H382" s="311"/>
      <c r="I382" s="374"/>
    </row>
    <row r="383" spans="1:9" ht="15">
      <c r="A383" s="310"/>
      <c r="B383" s="177"/>
      <c r="C383" s="124" t="s">
        <v>824</v>
      </c>
      <c r="D383" s="310" t="s">
        <v>466</v>
      </c>
      <c r="E383" s="311"/>
      <c r="F383" s="810">
        <f>'MB Gianis''s'!H242</f>
        <v>3.5</v>
      </c>
      <c r="G383" s="311">
        <v>70</v>
      </c>
      <c r="H383" s="311"/>
      <c r="I383" s="374">
        <f>G383*F383</f>
        <v>245</v>
      </c>
    </row>
    <row r="384" spans="1:9" ht="15">
      <c r="A384" s="816"/>
      <c r="B384" s="817"/>
      <c r="C384" s="593" t="s">
        <v>843</v>
      </c>
      <c r="D384" s="816"/>
      <c r="E384" s="818"/>
      <c r="F384" s="819"/>
      <c r="G384" s="818"/>
      <c r="H384" s="818"/>
      <c r="I384" s="363">
        <f>SUM(I377:I383)</f>
        <v>11505</v>
      </c>
    </row>
    <row r="385" spans="1:9" ht="12.75">
      <c r="A385" s="334"/>
      <c r="C385" s="335"/>
      <c r="D385" s="334"/>
      <c r="E385" s="336"/>
      <c r="F385" s="698"/>
      <c r="G385" s="336"/>
      <c r="H385" s="336"/>
      <c r="I385" s="379"/>
    </row>
    <row r="386" spans="1:9" ht="12.75">
      <c r="A386" s="334"/>
      <c r="C386" s="335"/>
      <c r="D386" s="334"/>
      <c r="E386" s="336"/>
      <c r="F386" s="698"/>
      <c r="G386" s="336"/>
      <c r="H386" s="336"/>
      <c r="I386" s="379"/>
    </row>
    <row r="387" spans="1:9" ht="12.75">
      <c r="A387" s="334"/>
      <c r="C387" s="335"/>
      <c r="D387" s="334"/>
      <c r="E387" s="336"/>
      <c r="F387" s="698"/>
      <c r="G387" s="336"/>
      <c r="H387" s="336"/>
      <c r="I387" s="379"/>
    </row>
    <row r="388" spans="1:9" ht="12.75">
      <c r="A388" s="334"/>
      <c r="C388" s="335"/>
      <c r="D388" s="334"/>
      <c r="E388" s="336"/>
      <c r="F388" s="698"/>
      <c r="G388" s="336"/>
      <c r="H388" s="336"/>
      <c r="I388" s="379"/>
    </row>
    <row r="389" spans="1:9" ht="12.75">
      <c r="A389" s="334"/>
      <c r="C389" s="335"/>
      <c r="D389" s="334"/>
      <c r="E389" s="336"/>
      <c r="F389" s="698"/>
      <c r="G389" s="336"/>
      <c r="H389" s="336"/>
      <c r="I389" s="379"/>
    </row>
    <row r="390" spans="1:9" ht="12.75">
      <c r="A390" s="334"/>
      <c r="C390" s="335"/>
      <c r="D390" s="334"/>
      <c r="E390" s="336"/>
      <c r="F390" s="698"/>
      <c r="G390" s="336"/>
      <c r="H390" s="336"/>
      <c r="I390" s="379"/>
    </row>
    <row r="391" spans="1:9" ht="12.75">
      <c r="A391" s="334"/>
      <c r="C391" s="335"/>
      <c r="D391" s="334"/>
      <c r="E391" s="336"/>
      <c r="F391" s="698"/>
      <c r="G391" s="336"/>
      <c r="H391" s="336"/>
      <c r="I391" s="379"/>
    </row>
    <row r="392" spans="1:9" ht="12.75">
      <c r="A392" s="334"/>
      <c r="C392" s="335"/>
      <c r="D392" s="334"/>
      <c r="E392" s="336"/>
      <c r="F392" s="698"/>
      <c r="G392" s="336"/>
      <c r="H392" s="336"/>
      <c r="I392" s="379"/>
    </row>
    <row r="393" spans="1:9" ht="12.75">
      <c r="A393" s="334"/>
      <c r="C393" s="335"/>
      <c r="D393" s="334"/>
      <c r="E393" s="336"/>
      <c r="F393" s="698"/>
      <c r="G393" s="336"/>
      <c r="H393" s="336"/>
      <c r="I393" s="379"/>
    </row>
    <row r="394" spans="1:9" ht="12.75">
      <c r="A394" s="334"/>
      <c r="C394" s="335"/>
      <c r="D394" s="334"/>
      <c r="E394" s="336"/>
      <c r="F394" s="698"/>
      <c r="G394" s="336"/>
      <c r="H394" s="336"/>
      <c r="I394" s="379"/>
    </row>
    <row r="395" spans="1:9" ht="12.75">
      <c r="A395" s="334"/>
      <c r="C395" s="335"/>
      <c r="D395" s="334"/>
      <c r="E395" s="336"/>
      <c r="F395" s="698"/>
      <c r="G395" s="336"/>
      <c r="H395" s="336"/>
      <c r="I395" s="379"/>
    </row>
    <row r="396" spans="1:9" ht="12.75">
      <c r="A396" s="334"/>
      <c r="C396" s="335"/>
      <c r="D396" s="334"/>
      <c r="E396" s="336"/>
      <c r="F396" s="698"/>
      <c r="G396" s="336"/>
      <c r="H396" s="336"/>
      <c r="I396" s="379"/>
    </row>
    <row r="397" spans="1:9" ht="12.75">
      <c r="A397" s="334"/>
      <c r="C397" s="335"/>
      <c r="D397" s="334"/>
      <c r="E397" s="336"/>
      <c r="F397" s="698"/>
      <c r="G397" s="336"/>
      <c r="H397" s="336"/>
      <c r="I397" s="379"/>
    </row>
    <row r="398" spans="1:9" ht="12.75">
      <c r="A398" s="334"/>
      <c r="C398" s="335"/>
      <c r="D398" s="334"/>
      <c r="E398" s="336"/>
      <c r="F398" s="698"/>
      <c r="G398" s="336"/>
      <c r="H398" s="336"/>
      <c r="I398" s="379"/>
    </row>
    <row r="399" spans="1:9" ht="12.75">
      <c r="A399" s="334"/>
      <c r="C399" s="335"/>
      <c r="D399" s="334"/>
      <c r="E399" s="336"/>
      <c r="F399" s="698"/>
      <c r="G399" s="336"/>
      <c r="H399" s="336"/>
      <c r="I399" s="379"/>
    </row>
    <row r="400" spans="1:9" ht="12.75">
      <c r="A400" s="334"/>
      <c r="C400" s="335"/>
      <c r="D400" s="334"/>
      <c r="E400" s="336"/>
      <c r="F400" s="698"/>
      <c r="G400" s="336"/>
      <c r="H400" s="336"/>
      <c r="I400" s="379"/>
    </row>
    <row r="401" spans="1:9" ht="12.75">
      <c r="A401" s="334"/>
      <c r="C401" s="335"/>
      <c r="D401" s="334"/>
      <c r="E401" s="336"/>
      <c r="F401" s="698"/>
      <c r="G401" s="336"/>
      <c r="H401" s="336"/>
      <c r="I401" s="379"/>
    </row>
    <row r="402" spans="1:9" ht="12.75">
      <c r="A402" s="334"/>
      <c r="C402" s="335"/>
      <c r="D402" s="334"/>
      <c r="E402" s="336"/>
      <c r="F402" s="698"/>
      <c r="G402" s="336"/>
      <c r="H402" s="336"/>
      <c r="I402" s="379"/>
    </row>
    <row r="403" spans="1:9" ht="12.75">
      <c r="A403" s="334"/>
      <c r="C403" s="335"/>
      <c r="D403" s="334"/>
      <c r="E403" s="336"/>
      <c r="F403" s="698"/>
      <c r="G403" s="336"/>
      <c r="H403" s="336"/>
      <c r="I403" s="379"/>
    </row>
    <row r="404" spans="1:9" ht="12.75">
      <c r="A404" s="334"/>
      <c r="C404" s="335"/>
      <c r="D404" s="334"/>
      <c r="E404" s="336"/>
      <c r="F404" s="698"/>
      <c r="G404" s="336"/>
      <c r="H404" s="336"/>
      <c r="I404" s="379"/>
    </row>
    <row r="405" spans="1:9" ht="12.75">
      <c r="A405" s="334"/>
      <c r="C405" s="335"/>
      <c r="D405" s="334"/>
      <c r="E405" s="336"/>
      <c r="F405" s="698"/>
      <c r="G405" s="336"/>
      <c r="H405" s="336"/>
      <c r="I405" s="379"/>
    </row>
    <row r="406" spans="1:9" ht="12.75">
      <c r="A406" s="334"/>
      <c r="C406" s="335"/>
      <c r="D406" s="334"/>
      <c r="E406" s="336"/>
      <c r="F406" s="698"/>
      <c r="G406" s="336"/>
      <c r="H406" s="336"/>
      <c r="I406" s="379"/>
    </row>
    <row r="407" spans="1:9" ht="12.75">
      <c r="A407" s="334"/>
      <c r="C407" s="335"/>
      <c r="D407" s="334"/>
      <c r="E407" s="336"/>
      <c r="F407" s="698"/>
      <c r="G407" s="336"/>
      <c r="H407" s="336"/>
      <c r="I407" s="379"/>
    </row>
    <row r="408" spans="1:9" ht="12.75">
      <c r="A408" s="334"/>
      <c r="C408" s="335"/>
      <c r="D408" s="334"/>
      <c r="E408" s="336"/>
      <c r="F408" s="698"/>
      <c r="G408" s="336"/>
      <c r="H408" s="336"/>
      <c r="I408" s="379"/>
    </row>
    <row r="409" spans="1:9" ht="12.75">
      <c r="A409" s="334"/>
      <c r="C409" s="335"/>
      <c r="D409" s="334"/>
      <c r="E409" s="336"/>
      <c r="F409" s="698"/>
      <c r="G409" s="336"/>
      <c r="H409" s="336"/>
      <c r="I409" s="379"/>
    </row>
    <row r="410" spans="1:9" ht="12.75">
      <c r="A410" s="334"/>
      <c r="C410" s="335"/>
      <c r="D410" s="334"/>
      <c r="E410" s="336"/>
      <c r="F410" s="698"/>
      <c r="G410" s="336"/>
      <c r="H410" s="336"/>
      <c r="I410" s="379"/>
    </row>
    <row r="411" spans="1:9" ht="12.75">
      <c r="A411" s="334"/>
      <c r="C411" s="335"/>
      <c r="D411" s="334"/>
      <c r="E411" s="336"/>
      <c r="F411" s="698"/>
      <c r="G411" s="336"/>
      <c r="H411" s="336"/>
      <c r="I411" s="379"/>
    </row>
    <row r="412" spans="1:9" ht="12.75">
      <c r="A412" s="334"/>
      <c r="C412" s="335"/>
      <c r="D412" s="334"/>
      <c r="E412" s="336"/>
      <c r="F412" s="698"/>
      <c r="G412" s="336"/>
      <c r="H412" s="336"/>
      <c r="I412" s="379"/>
    </row>
    <row r="413" spans="1:9" ht="12.75">
      <c r="A413" s="334"/>
      <c r="C413" s="335"/>
      <c r="D413" s="334"/>
      <c r="E413" s="336"/>
      <c r="F413" s="698"/>
      <c r="G413" s="336"/>
      <c r="H413" s="336"/>
      <c r="I413" s="379"/>
    </row>
    <row r="414" spans="1:9" ht="12.75">
      <c r="A414" s="334"/>
      <c r="C414" s="335"/>
      <c r="D414" s="334"/>
      <c r="E414" s="336"/>
      <c r="F414" s="698"/>
      <c r="G414" s="336"/>
      <c r="H414" s="336"/>
      <c r="I414" s="379"/>
    </row>
    <row r="415" spans="1:9" ht="12.75">
      <c r="A415" s="334"/>
      <c r="C415" s="335"/>
      <c r="D415" s="334"/>
      <c r="E415" s="336"/>
      <c r="F415" s="698"/>
      <c r="G415" s="336"/>
      <c r="H415" s="336"/>
      <c r="I415" s="379"/>
    </row>
    <row r="416" spans="1:9" ht="12.75">
      <c r="A416" s="334"/>
      <c r="C416" s="335"/>
      <c r="D416" s="334"/>
      <c r="E416" s="336"/>
      <c r="F416" s="698"/>
      <c r="G416" s="336"/>
      <c r="H416" s="336"/>
      <c r="I416" s="379"/>
    </row>
    <row r="417" spans="1:9" ht="12.75">
      <c r="A417" s="334"/>
      <c r="C417" s="335"/>
      <c r="D417" s="334"/>
      <c r="E417" s="336"/>
      <c r="F417" s="698"/>
      <c r="G417" s="336"/>
      <c r="H417" s="336"/>
      <c r="I417" s="379"/>
    </row>
    <row r="418" spans="1:9" ht="12.75">
      <c r="A418" s="334"/>
      <c r="C418" s="335"/>
      <c r="D418" s="334"/>
      <c r="E418" s="336"/>
      <c r="F418" s="698"/>
      <c r="G418" s="336"/>
      <c r="H418" s="336"/>
      <c r="I418" s="379"/>
    </row>
    <row r="419" spans="1:9" ht="12.75">
      <c r="A419" s="334"/>
      <c r="C419" s="335"/>
      <c r="D419" s="334"/>
      <c r="E419" s="336"/>
      <c r="F419" s="698"/>
      <c r="G419" s="336"/>
      <c r="H419" s="336"/>
      <c r="I419" s="379"/>
    </row>
    <row r="420" spans="1:9">
      <c r="A420" s="334"/>
      <c r="C420" s="335"/>
      <c r="D420" s="334"/>
      <c r="E420" s="336"/>
      <c r="F420" s="698"/>
      <c r="G420" s="336"/>
      <c r="H420" s="336"/>
    </row>
    <row r="421" spans="1:9">
      <c r="A421" s="337"/>
      <c r="B421" s="338"/>
      <c r="C421" s="339"/>
      <c r="D421" s="340"/>
      <c r="E421" s="341"/>
      <c r="F421" s="699"/>
      <c r="G421" s="341"/>
      <c r="H421" s="341"/>
    </row>
    <row r="422" spans="1:9">
      <c r="A422" s="342"/>
      <c r="B422" s="338"/>
      <c r="C422" s="343"/>
      <c r="D422" s="344"/>
      <c r="E422" s="345"/>
      <c r="F422" s="700"/>
      <c r="G422" s="345"/>
      <c r="H422" s="345"/>
    </row>
    <row r="423" spans="1:9">
      <c r="A423" s="346"/>
      <c r="B423" s="338"/>
      <c r="C423" s="347"/>
      <c r="D423" s="348"/>
      <c r="E423" s="345"/>
      <c r="F423" s="700"/>
      <c r="G423" s="345"/>
      <c r="H423" s="345"/>
    </row>
    <row r="424" spans="1:9">
      <c r="A424" s="346"/>
      <c r="B424" s="338"/>
      <c r="C424" s="347"/>
      <c r="D424" s="344"/>
      <c r="E424" s="345"/>
      <c r="F424" s="700"/>
      <c r="G424" s="345"/>
      <c r="H424" s="345"/>
    </row>
    <row r="425" spans="1:9">
      <c r="A425" s="346"/>
      <c r="B425" s="338"/>
      <c r="C425" s="347"/>
      <c r="D425" s="348"/>
      <c r="E425" s="345"/>
      <c r="F425" s="700"/>
      <c r="G425" s="345"/>
      <c r="H425" s="345"/>
    </row>
    <row r="426" spans="1:9">
      <c r="A426" s="346"/>
      <c r="B426" s="338"/>
      <c r="C426" s="347"/>
      <c r="D426" s="344"/>
      <c r="E426" s="345"/>
      <c r="F426" s="700"/>
      <c r="G426" s="345"/>
      <c r="H426" s="345"/>
    </row>
    <row r="427" spans="1:9">
      <c r="A427" s="346"/>
      <c r="B427" s="338"/>
      <c r="C427" s="347"/>
      <c r="D427" s="344"/>
      <c r="E427" s="345"/>
      <c r="F427" s="700"/>
      <c r="G427" s="345"/>
      <c r="H427" s="345"/>
    </row>
    <row r="428" spans="1:9">
      <c r="A428" s="346"/>
      <c r="B428" s="338"/>
      <c r="C428" s="347"/>
      <c r="D428" s="344"/>
      <c r="E428" s="345"/>
      <c r="F428" s="700"/>
      <c r="G428" s="345"/>
      <c r="H428" s="345"/>
    </row>
    <row r="429" spans="1:9">
      <c r="A429" s="346"/>
      <c r="B429" s="338"/>
      <c r="C429" s="349"/>
      <c r="D429" s="349"/>
      <c r="E429" s="350"/>
      <c r="F429" s="701"/>
      <c r="G429" s="350"/>
      <c r="H429" s="350"/>
    </row>
    <row r="430" spans="1:9">
      <c r="A430" s="351"/>
      <c r="B430" s="338"/>
      <c r="C430" s="352"/>
      <c r="D430" s="351"/>
      <c r="E430" s="353"/>
      <c r="F430" s="702"/>
      <c r="G430" s="353"/>
      <c r="H430" s="353"/>
    </row>
    <row r="431" spans="1:9">
      <c r="A431" s="337"/>
      <c r="B431" s="338"/>
      <c r="C431" s="339"/>
      <c r="D431" s="340"/>
      <c r="E431" s="341"/>
      <c r="F431" s="699"/>
      <c r="G431" s="341"/>
      <c r="H431" s="341"/>
    </row>
    <row r="432" spans="1:9">
      <c r="A432" s="342"/>
      <c r="B432" s="338"/>
      <c r="C432" s="354"/>
      <c r="D432" s="344"/>
      <c r="E432" s="345"/>
      <c r="F432" s="700"/>
      <c r="G432" s="345"/>
      <c r="H432" s="345"/>
    </row>
    <row r="433" spans="1:8">
      <c r="A433" s="346"/>
      <c r="B433" s="338"/>
      <c r="C433" s="355"/>
      <c r="D433" s="348"/>
      <c r="E433" s="345"/>
      <c r="F433" s="700"/>
      <c r="G433" s="345"/>
      <c r="H433" s="345"/>
    </row>
    <row r="434" spans="1:8">
      <c r="A434" s="346"/>
      <c r="B434" s="338"/>
      <c r="C434" s="354"/>
      <c r="D434" s="344"/>
      <c r="E434" s="345"/>
      <c r="F434" s="700"/>
      <c r="G434" s="345"/>
      <c r="H434" s="345"/>
    </row>
    <row r="435" spans="1:8">
      <c r="A435" s="346"/>
      <c r="B435" s="338"/>
      <c r="C435" s="354"/>
      <c r="D435" s="348"/>
      <c r="E435" s="345"/>
      <c r="F435" s="700"/>
      <c r="G435" s="345"/>
      <c r="H435" s="345"/>
    </row>
    <row r="436" spans="1:8">
      <c r="A436" s="346"/>
      <c r="B436" s="338"/>
      <c r="C436" s="354"/>
      <c r="D436" s="344"/>
      <c r="E436" s="345"/>
      <c r="F436" s="700"/>
      <c r="G436" s="345"/>
      <c r="H436" s="345"/>
    </row>
    <row r="437" spans="1:8">
      <c r="A437" s="346"/>
      <c r="B437" s="338"/>
      <c r="C437" s="354"/>
      <c r="D437" s="349"/>
      <c r="E437" s="350"/>
      <c r="F437" s="701"/>
      <c r="G437" s="350"/>
      <c r="H437" s="350"/>
    </row>
    <row r="438" spans="1:8">
      <c r="A438" s="351"/>
      <c r="B438" s="338"/>
      <c r="C438" s="354"/>
      <c r="D438" s="351"/>
      <c r="E438" s="353"/>
      <c r="F438" s="702"/>
      <c r="G438" s="353"/>
      <c r="H438" s="353"/>
    </row>
    <row r="439" spans="1:8">
      <c r="A439" s="356"/>
      <c r="B439" s="338"/>
      <c r="C439" s="354"/>
      <c r="D439" s="356"/>
      <c r="E439" s="357"/>
      <c r="F439" s="703"/>
      <c r="G439" s="357"/>
      <c r="H439" s="357"/>
    </row>
    <row r="440" spans="1:8">
      <c r="A440" s="356"/>
      <c r="B440" s="338"/>
      <c r="C440" s="354"/>
      <c r="D440" s="356"/>
      <c r="E440" s="357"/>
      <c r="F440" s="703"/>
      <c r="G440" s="357"/>
      <c r="H440" s="357"/>
    </row>
    <row r="441" spans="1:8">
      <c r="A441" s="356"/>
      <c r="B441" s="338"/>
      <c r="C441" s="354"/>
      <c r="D441" s="356"/>
      <c r="E441" s="357"/>
      <c r="F441" s="703"/>
      <c r="G441" s="357"/>
      <c r="H441" s="357"/>
    </row>
    <row r="442" spans="1:8">
      <c r="A442" s="356"/>
      <c r="B442" s="338"/>
      <c r="C442" s="354"/>
      <c r="D442" s="356"/>
      <c r="E442" s="357"/>
      <c r="F442" s="703"/>
      <c r="G442" s="357"/>
      <c r="H442" s="357"/>
    </row>
    <row r="443" spans="1:8">
      <c r="A443" s="351"/>
      <c r="B443" s="338"/>
      <c r="C443" s="352"/>
      <c r="D443" s="351"/>
      <c r="E443" s="353"/>
      <c r="F443" s="702"/>
      <c r="G443" s="353"/>
      <c r="H443" s="353"/>
    </row>
    <row r="444" spans="1:8">
      <c r="A444" s="334"/>
      <c r="C444" s="335"/>
      <c r="D444" s="334"/>
      <c r="E444" s="336"/>
      <c r="F444" s="698"/>
      <c r="G444" s="336"/>
      <c r="H444" s="336"/>
    </row>
  </sheetData>
  <protectedRanges>
    <protectedRange sqref="C11" name="Range1_11"/>
    <protectedRange sqref="G1" name="Range1_1"/>
  </protectedRanges>
  <autoFilter ref="A3:H444" xr:uid="{00000000-0009-0000-0000-000005000000}"/>
  <mergeCells count="4">
    <mergeCell ref="A1:H1"/>
    <mergeCell ref="A375:I375"/>
    <mergeCell ref="A157:I157"/>
    <mergeCell ref="A64:I64"/>
  </mergeCells>
  <hyperlinks>
    <hyperlink ref="C62" r:id="rId1" xr:uid="{00000000-0004-0000-0500-000000000000}"/>
    <hyperlink ref="C154" r:id="rId2" xr:uid="{00000000-0004-0000-0500-000001000000}"/>
    <hyperlink ref="C372" r:id="rId3" xr:uid="{00000000-0004-0000-0500-000002000000}"/>
  </hyperlinks>
  <pageMargins left="0.70866141732283461" right="0.70866141732283461" top="0.74803149606299213" bottom="0.74803149606299213" header="0.31496062992125984" footer="0.31496062992125984"/>
  <pageSetup scale="69" fitToHeight="0" orientation="landscape" r:id="rId4"/>
  <ignoredErrors>
    <ignoredError sqref="H208 F208 H212" unlockedFormula="1"/>
  </ignoredError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2"/>
  <sheetViews>
    <sheetView topLeftCell="A45" workbookViewId="0">
      <selection activeCell="B146" sqref="B146"/>
    </sheetView>
  </sheetViews>
  <sheetFormatPr defaultRowHeight="15"/>
  <cols>
    <col min="1" max="1" width="7.28515625" style="149" customWidth="1"/>
    <col min="2" max="2" width="58.5703125" customWidth="1"/>
    <col min="4" max="4" width="11.140625" customWidth="1"/>
    <col min="5" max="5" width="11.5703125" style="150" customWidth="1"/>
    <col min="6" max="7" width="8.7109375" style="150"/>
  </cols>
  <sheetData>
    <row r="1" spans="1:8">
      <c r="A1" s="844" t="s">
        <v>454</v>
      </c>
      <c r="B1" s="844"/>
      <c r="C1" s="844"/>
      <c r="D1" s="844"/>
      <c r="E1" s="844"/>
      <c r="F1" s="844"/>
      <c r="G1" s="844"/>
      <c r="H1" s="844"/>
    </row>
    <row r="2" spans="1:8">
      <c r="A2" s="844" t="s">
        <v>455</v>
      </c>
      <c r="B2" s="844"/>
      <c r="C2" s="844"/>
      <c r="D2" s="844"/>
      <c r="E2" s="844"/>
      <c r="F2" s="844"/>
      <c r="G2" s="844"/>
      <c r="H2" s="844"/>
    </row>
    <row r="3" spans="1:8">
      <c r="A3" s="859" t="s">
        <v>560</v>
      </c>
      <c r="B3" s="860"/>
      <c r="C3" s="860"/>
      <c r="D3" s="860"/>
      <c r="E3" s="860"/>
      <c r="F3" s="860"/>
      <c r="G3" s="860"/>
      <c r="H3" s="881"/>
    </row>
    <row r="4" spans="1:8" ht="15.75" thickBot="1">
      <c r="A4" s="861" t="s">
        <v>456</v>
      </c>
      <c r="B4" s="861"/>
      <c r="C4" s="861"/>
      <c r="D4" s="861"/>
      <c r="E4" s="861"/>
      <c r="F4" s="861"/>
      <c r="G4" s="861"/>
      <c r="H4" s="861"/>
    </row>
    <row r="5" spans="1:8">
      <c r="A5" s="102" t="s">
        <v>457</v>
      </c>
      <c r="B5" s="103" t="s">
        <v>458</v>
      </c>
      <c r="C5" s="104" t="s">
        <v>3</v>
      </c>
      <c r="D5" s="104" t="s">
        <v>47</v>
      </c>
      <c r="E5" s="105" t="s">
        <v>459</v>
      </c>
      <c r="F5" s="104" t="s">
        <v>24</v>
      </c>
      <c r="G5" s="104" t="s">
        <v>460</v>
      </c>
      <c r="H5" s="106" t="s">
        <v>461</v>
      </c>
    </row>
    <row r="6" spans="1:8">
      <c r="A6" s="58">
        <v>1</v>
      </c>
      <c r="B6" s="59" t="s">
        <v>405</v>
      </c>
      <c r="C6" s="60" t="s">
        <v>462</v>
      </c>
      <c r="D6" s="61">
        <v>1</v>
      </c>
      <c r="E6" s="61"/>
      <c r="F6" s="61"/>
      <c r="G6" s="61"/>
      <c r="H6" s="83">
        <f>ROUND(PRODUCT(D6:G6),2)</f>
        <v>1</v>
      </c>
    </row>
    <row r="7" spans="1:8">
      <c r="A7" s="58"/>
      <c r="B7" s="59"/>
      <c r="C7" s="60"/>
      <c r="D7" s="61"/>
      <c r="E7" s="61"/>
      <c r="F7" s="61"/>
      <c r="G7" s="61"/>
      <c r="H7" s="60"/>
    </row>
    <row r="8" spans="1:8">
      <c r="A8" s="58">
        <v>3</v>
      </c>
      <c r="B8" s="59" t="s">
        <v>354</v>
      </c>
      <c r="C8" s="60" t="s">
        <v>463</v>
      </c>
      <c r="D8" s="61">
        <v>1</v>
      </c>
      <c r="E8" s="61">
        <v>0.6</v>
      </c>
      <c r="F8" s="61"/>
      <c r="G8" s="61">
        <v>0.95</v>
      </c>
      <c r="H8" s="62">
        <f>ROUND(PRODUCT(D8:G8),2)</f>
        <v>0.56999999999999995</v>
      </c>
    </row>
    <row r="9" spans="1:8">
      <c r="A9" s="58"/>
      <c r="B9" s="60"/>
      <c r="C9" s="60" t="s">
        <v>463</v>
      </c>
      <c r="D9" s="61">
        <v>1</v>
      </c>
      <c r="E9" s="61">
        <v>0.73</v>
      </c>
      <c r="F9" s="61"/>
      <c r="G9" s="61">
        <v>2.4500000000000002</v>
      </c>
      <c r="H9" s="62">
        <f>ROUND(PRODUCT(D9:G9),2)</f>
        <v>1.79</v>
      </c>
    </row>
    <row r="10" spans="1:8">
      <c r="A10" s="58"/>
      <c r="B10" s="60"/>
      <c r="C10" s="60" t="s">
        <v>463</v>
      </c>
      <c r="D10" s="59"/>
      <c r="E10" s="59"/>
      <c r="F10" s="107"/>
      <c r="G10" s="108" t="s">
        <v>464</v>
      </c>
      <c r="H10" s="62">
        <f>SUM(H8:H9)</f>
        <v>2.36</v>
      </c>
    </row>
    <row r="11" spans="1:8">
      <c r="A11" s="58"/>
      <c r="B11" s="60"/>
      <c r="C11" s="59" t="s">
        <v>561</v>
      </c>
      <c r="D11" s="59"/>
      <c r="E11" s="59"/>
      <c r="F11" s="107"/>
      <c r="G11" s="108"/>
      <c r="H11" s="71">
        <f>H10*10.764</f>
        <v>25.403039999999997</v>
      </c>
    </row>
    <row r="12" spans="1:8">
      <c r="A12" s="58"/>
      <c r="B12" s="60"/>
      <c r="C12" s="109"/>
      <c r="D12" s="110"/>
      <c r="E12" s="110"/>
      <c r="F12" s="110"/>
      <c r="G12" s="111"/>
      <c r="H12" s="59"/>
    </row>
    <row r="13" spans="1:8">
      <c r="A13" s="58">
        <v>4</v>
      </c>
      <c r="B13" s="59" t="s">
        <v>16</v>
      </c>
      <c r="C13" s="60" t="s">
        <v>463</v>
      </c>
      <c r="D13" s="61">
        <v>2</v>
      </c>
      <c r="E13" s="61">
        <v>0.6</v>
      </c>
      <c r="F13" s="61"/>
      <c r="G13" s="61">
        <v>0.95</v>
      </c>
      <c r="H13" s="62">
        <f t="shared" ref="H13:H18" si="0">ROUND(PRODUCT(D13:G13),2)</f>
        <v>1.1399999999999999</v>
      </c>
    </row>
    <row r="14" spans="1:8">
      <c r="A14" s="58"/>
      <c r="B14" s="60"/>
      <c r="C14" s="60" t="s">
        <v>463</v>
      </c>
      <c r="D14" s="61">
        <v>1</v>
      </c>
      <c r="E14" s="61">
        <v>0.73</v>
      </c>
      <c r="F14" s="61"/>
      <c r="G14" s="61">
        <v>2.4</v>
      </c>
      <c r="H14" s="62">
        <f t="shared" si="0"/>
        <v>1.75</v>
      </c>
    </row>
    <row r="15" spans="1:8">
      <c r="A15" s="58"/>
      <c r="B15" s="60"/>
      <c r="C15" s="60" t="s">
        <v>463</v>
      </c>
      <c r="D15" s="61">
        <v>1</v>
      </c>
      <c r="E15" s="61">
        <v>0.3</v>
      </c>
      <c r="F15" s="61"/>
      <c r="G15" s="61">
        <v>8.3000000000000007</v>
      </c>
      <c r="H15" s="62">
        <f>G15*E15*D15</f>
        <v>2.4900000000000002</v>
      </c>
    </row>
    <row r="16" spans="1:8">
      <c r="A16" s="58"/>
      <c r="B16" s="60"/>
      <c r="C16" s="60" t="s">
        <v>463</v>
      </c>
      <c r="D16" s="61">
        <v>1</v>
      </c>
      <c r="E16" s="61">
        <v>1</v>
      </c>
      <c r="F16" s="61"/>
      <c r="G16" s="61">
        <v>0.95</v>
      </c>
      <c r="H16" s="62">
        <f t="shared" si="0"/>
        <v>0.95</v>
      </c>
    </row>
    <row r="17" spans="1:8">
      <c r="A17" s="58"/>
      <c r="B17" s="60"/>
      <c r="C17" s="60" t="s">
        <v>463</v>
      </c>
      <c r="D17" s="61">
        <v>1</v>
      </c>
      <c r="E17" s="61">
        <v>1.8</v>
      </c>
      <c r="F17" s="61"/>
      <c r="G17" s="61">
        <v>1.2</v>
      </c>
      <c r="H17" s="62">
        <f t="shared" si="0"/>
        <v>2.16</v>
      </c>
    </row>
    <row r="18" spans="1:8">
      <c r="A18" s="58"/>
      <c r="B18" s="60"/>
      <c r="C18" s="159" t="s">
        <v>463</v>
      </c>
      <c r="D18" s="61">
        <v>1</v>
      </c>
      <c r="E18" s="61">
        <v>1</v>
      </c>
      <c r="F18" s="158"/>
      <c r="G18" s="117">
        <v>0.5</v>
      </c>
      <c r="H18" s="160">
        <f t="shared" si="0"/>
        <v>0.5</v>
      </c>
    </row>
    <row r="19" spans="1:8">
      <c r="A19" s="58"/>
      <c r="B19" s="60"/>
      <c r="C19" s="159" t="s">
        <v>463</v>
      </c>
      <c r="D19" s="61">
        <v>1</v>
      </c>
      <c r="E19" s="61">
        <v>1.5</v>
      </c>
      <c r="F19" s="158"/>
      <c r="G19" s="117">
        <v>1.25</v>
      </c>
      <c r="H19" s="160">
        <f>G19*E19*D19</f>
        <v>1.875</v>
      </c>
    </row>
    <row r="20" spans="1:8">
      <c r="A20" s="58"/>
      <c r="B20" s="60"/>
      <c r="C20" s="58" t="s">
        <v>463</v>
      </c>
      <c r="D20" s="58"/>
      <c r="E20" s="58"/>
      <c r="F20" s="58"/>
      <c r="G20" s="58" t="s">
        <v>464</v>
      </c>
      <c r="H20" s="161">
        <f>SUM(H13:H19)</f>
        <v>10.865</v>
      </c>
    </row>
    <row r="21" spans="1:8">
      <c r="A21" s="58"/>
      <c r="B21" s="60"/>
      <c r="C21" s="58" t="s">
        <v>626</v>
      </c>
      <c r="D21" s="58"/>
      <c r="E21" s="58"/>
      <c r="F21" s="58"/>
      <c r="G21" s="58"/>
      <c r="H21" s="71">
        <f>H20*10.76</f>
        <v>116.9074</v>
      </c>
    </row>
    <row r="22" spans="1:8">
      <c r="A22" s="58"/>
      <c r="B22" s="60"/>
      <c r="C22" s="58"/>
      <c r="D22" s="58"/>
      <c r="E22" s="58"/>
      <c r="F22" s="58"/>
      <c r="G22" s="58"/>
      <c r="H22" s="59"/>
    </row>
    <row r="23" spans="1:8">
      <c r="A23" s="58">
        <v>6</v>
      </c>
      <c r="B23" s="59" t="s">
        <v>17</v>
      </c>
      <c r="C23" s="60" t="s">
        <v>463</v>
      </c>
      <c r="D23" s="61">
        <v>1</v>
      </c>
      <c r="E23" s="61">
        <v>2.12</v>
      </c>
      <c r="F23" s="61">
        <v>3.84</v>
      </c>
      <c r="G23" s="61"/>
      <c r="H23" s="62">
        <f t="shared" ref="H23" si="1">ROUND(PRODUCT(D23:G23),2)</f>
        <v>8.14</v>
      </c>
    </row>
    <row r="24" spans="1:8">
      <c r="A24" s="58"/>
      <c r="B24" s="59"/>
      <c r="C24" s="60" t="s">
        <v>463</v>
      </c>
      <c r="D24" s="59"/>
      <c r="E24" s="59"/>
      <c r="F24" s="107"/>
      <c r="G24" s="108" t="s">
        <v>464</v>
      </c>
      <c r="H24" s="62">
        <f>SUM(H23)</f>
        <v>8.14</v>
      </c>
    </row>
    <row r="25" spans="1:8">
      <c r="A25" s="58"/>
      <c r="B25" s="60"/>
      <c r="C25" s="59" t="s">
        <v>561</v>
      </c>
      <c r="D25" s="59"/>
      <c r="E25" s="59"/>
      <c r="F25" s="107"/>
      <c r="G25" s="108"/>
      <c r="H25" s="71">
        <f>H24*10.764</f>
        <v>87.618960000000001</v>
      </c>
    </row>
    <row r="26" spans="1:8">
      <c r="A26" s="58"/>
      <c r="B26" s="60"/>
      <c r="C26" s="59"/>
      <c r="D26" s="59"/>
      <c r="E26" s="59"/>
      <c r="F26" s="107"/>
      <c r="G26" s="108"/>
      <c r="H26" s="59"/>
    </row>
    <row r="27" spans="1:8">
      <c r="A27" s="58">
        <v>9</v>
      </c>
      <c r="B27" s="59" t="s">
        <v>7</v>
      </c>
      <c r="C27" s="60" t="s">
        <v>465</v>
      </c>
      <c r="D27" s="61"/>
      <c r="E27" s="61">
        <f>3.84+2.12+2.12+3.39</f>
        <v>11.47</v>
      </c>
      <c r="F27" s="61"/>
      <c r="G27" s="61"/>
      <c r="H27" s="62">
        <f t="shared" ref="H27" si="2">ROUND(PRODUCT(D27:G27),2)</f>
        <v>11.47</v>
      </c>
    </row>
    <row r="28" spans="1:8">
      <c r="A28" s="58"/>
      <c r="B28" s="59"/>
      <c r="C28" s="60" t="s">
        <v>465</v>
      </c>
      <c r="D28" s="59"/>
      <c r="E28" s="59"/>
      <c r="F28" s="107"/>
      <c r="G28" s="108" t="s">
        <v>464</v>
      </c>
      <c r="H28" s="62">
        <f>SUM(H27)</f>
        <v>11.47</v>
      </c>
    </row>
    <row r="29" spans="1:8">
      <c r="A29" s="58"/>
      <c r="B29" s="59"/>
      <c r="C29" s="59" t="s">
        <v>562</v>
      </c>
      <c r="D29" s="59"/>
      <c r="E29" s="59"/>
      <c r="F29" s="107"/>
      <c r="G29" s="108"/>
      <c r="H29" s="71">
        <f>H28*3.28</f>
        <v>37.621600000000001</v>
      </c>
    </row>
    <row r="30" spans="1:8">
      <c r="A30" s="58"/>
      <c r="B30" s="59"/>
      <c r="C30" s="59"/>
      <c r="D30" s="59"/>
      <c r="E30" s="59"/>
      <c r="F30" s="107"/>
      <c r="G30" s="108"/>
      <c r="H30" s="114"/>
    </row>
    <row r="31" spans="1:8">
      <c r="A31" s="58">
        <v>15</v>
      </c>
      <c r="B31" s="71" t="s">
        <v>730</v>
      </c>
      <c r="C31" s="77" t="s">
        <v>697</v>
      </c>
      <c r="D31" s="659"/>
      <c r="E31" s="137">
        <v>17.079999999999998</v>
      </c>
      <c r="F31" s="137"/>
      <c r="G31" s="137"/>
      <c r="H31" s="77">
        <f>E31</f>
        <v>17.079999999999998</v>
      </c>
    </row>
    <row r="32" spans="1:8">
      <c r="A32" s="58"/>
      <c r="B32" s="59"/>
      <c r="C32" s="59"/>
      <c r="D32" s="59"/>
      <c r="E32" s="59"/>
      <c r="F32" s="107"/>
      <c r="G32" s="108"/>
      <c r="H32" s="114"/>
    </row>
    <row r="33" spans="1:8">
      <c r="A33" s="58">
        <v>16</v>
      </c>
      <c r="B33" s="71" t="s">
        <v>698</v>
      </c>
      <c r="C33" s="77" t="s">
        <v>699</v>
      </c>
      <c r="D33" s="137"/>
      <c r="E33" s="137">
        <v>14.62</v>
      </c>
      <c r="F33" s="137"/>
      <c r="G33" s="137">
        <v>3.01</v>
      </c>
      <c r="H33" s="77">
        <f>E33*G33</f>
        <v>44.006199999999993</v>
      </c>
    </row>
    <row r="34" spans="1:8">
      <c r="A34" s="58"/>
      <c r="B34" s="59"/>
      <c r="C34" s="59"/>
      <c r="D34" s="59"/>
      <c r="E34" s="59"/>
      <c r="F34" s="107"/>
      <c r="G34" s="108"/>
      <c r="H34" s="114"/>
    </row>
    <row r="35" spans="1:8">
      <c r="A35" s="58">
        <v>19</v>
      </c>
      <c r="B35" s="59" t="s">
        <v>65</v>
      </c>
      <c r="C35" s="60" t="s">
        <v>463</v>
      </c>
      <c r="D35" s="61">
        <v>1</v>
      </c>
      <c r="E35" s="61">
        <v>2.12</v>
      </c>
      <c r="F35" s="61">
        <v>3.84</v>
      </c>
      <c r="G35" s="61"/>
      <c r="H35" s="62">
        <f t="shared" ref="H35" si="3">ROUND(PRODUCT(D35:G35),2)</f>
        <v>8.14</v>
      </c>
    </row>
    <row r="36" spans="1:8">
      <c r="A36" s="58"/>
      <c r="B36" s="60"/>
      <c r="C36" s="60" t="s">
        <v>463</v>
      </c>
      <c r="D36" s="59"/>
      <c r="E36" s="59"/>
      <c r="F36" s="107"/>
      <c r="G36" s="108" t="s">
        <v>464</v>
      </c>
      <c r="H36" s="62">
        <f>SUM(H35)</f>
        <v>8.14</v>
      </c>
    </row>
    <row r="37" spans="1:8">
      <c r="A37" s="58"/>
      <c r="B37" s="60"/>
      <c r="C37" s="59" t="s">
        <v>561</v>
      </c>
      <c r="D37" s="59"/>
      <c r="E37" s="59"/>
      <c r="F37" s="107"/>
      <c r="G37" s="108"/>
      <c r="H37" s="71">
        <f>H36*10.764</f>
        <v>87.618960000000001</v>
      </c>
    </row>
    <row r="38" spans="1:8">
      <c r="A38" s="58"/>
      <c r="B38" s="60"/>
      <c r="C38" s="60"/>
      <c r="D38" s="61"/>
      <c r="E38" s="61"/>
      <c r="F38" s="61"/>
      <c r="G38" s="61"/>
      <c r="H38" s="60"/>
    </row>
    <row r="39" spans="1:8">
      <c r="A39" s="58">
        <v>20</v>
      </c>
      <c r="B39" s="112" t="s">
        <v>467</v>
      </c>
      <c r="C39" s="60" t="s">
        <v>463</v>
      </c>
      <c r="D39" s="61">
        <v>2</v>
      </c>
      <c r="E39" s="61">
        <v>2.25</v>
      </c>
      <c r="F39" s="61"/>
      <c r="G39" s="61">
        <v>1.1000000000000001</v>
      </c>
      <c r="H39" s="62">
        <f t="shared" ref="H39:H41" si="4">ROUND(PRODUCT(D39:G39),2)</f>
        <v>4.95</v>
      </c>
    </row>
    <row r="40" spans="1:8">
      <c r="A40" s="58"/>
      <c r="B40" s="60"/>
      <c r="C40" s="60" t="s">
        <v>463</v>
      </c>
      <c r="D40" s="61">
        <v>1</v>
      </c>
      <c r="E40" s="61">
        <v>3.84</v>
      </c>
      <c r="F40" s="61"/>
      <c r="G40" s="61">
        <v>1.1000000000000001</v>
      </c>
      <c r="H40" s="62">
        <f t="shared" si="4"/>
        <v>4.22</v>
      </c>
    </row>
    <row r="41" spans="1:8">
      <c r="A41" s="58"/>
      <c r="B41" s="60"/>
      <c r="C41" s="60" t="s">
        <v>463</v>
      </c>
      <c r="D41" s="61">
        <v>1</v>
      </c>
      <c r="E41" s="61">
        <v>3.39</v>
      </c>
      <c r="F41" s="61"/>
      <c r="G41" s="61">
        <v>0.9</v>
      </c>
      <c r="H41" s="62">
        <f t="shared" si="4"/>
        <v>3.05</v>
      </c>
    </row>
    <row r="42" spans="1:8">
      <c r="A42" s="58"/>
      <c r="B42" s="60"/>
      <c r="C42" s="60" t="s">
        <v>463</v>
      </c>
      <c r="D42" s="59"/>
      <c r="E42" s="59"/>
      <c r="F42" s="107"/>
      <c r="G42" s="108" t="s">
        <v>464</v>
      </c>
      <c r="H42" s="62">
        <f>SUM(H39:H41)</f>
        <v>12.219999999999999</v>
      </c>
    </row>
    <row r="43" spans="1:8">
      <c r="A43" s="58"/>
      <c r="B43" s="60"/>
      <c r="C43" s="59" t="s">
        <v>561</v>
      </c>
      <c r="D43" s="59"/>
      <c r="E43" s="59"/>
      <c r="F43" s="107"/>
      <c r="G43" s="108"/>
      <c r="H43" s="71">
        <f>H42*10.764</f>
        <v>131.53607999999997</v>
      </c>
    </row>
    <row r="44" spans="1:8">
      <c r="A44" s="58"/>
      <c r="B44" s="60"/>
      <c r="C44" s="109"/>
      <c r="D44" s="110"/>
      <c r="E44" s="110"/>
      <c r="F44" s="110"/>
      <c r="G44" s="110"/>
      <c r="H44" s="59"/>
    </row>
    <row r="45" spans="1:8">
      <c r="A45" s="58">
        <v>22</v>
      </c>
      <c r="B45" s="59" t="s">
        <v>63</v>
      </c>
      <c r="C45" s="60" t="s">
        <v>463</v>
      </c>
      <c r="D45" s="61">
        <v>1</v>
      </c>
      <c r="E45" s="61">
        <v>3.84</v>
      </c>
      <c r="F45" s="61">
        <v>2.25</v>
      </c>
      <c r="G45" s="61"/>
      <c r="H45" s="59">
        <f>F45*E45*D45</f>
        <v>8.64</v>
      </c>
    </row>
    <row r="46" spans="1:8">
      <c r="A46" s="58"/>
      <c r="B46" s="60"/>
      <c r="C46" s="60" t="s">
        <v>463</v>
      </c>
      <c r="D46" s="59"/>
      <c r="E46" s="59"/>
      <c r="F46" s="107"/>
      <c r="G46" s="108" t="s">
        <v>464</v>
      </c>
      <c r="H46" s="62">
        <f>SUM(H45)</f>
        <v>8.64</v>
      </c>
    </row>
    <row r="47" spans="1:8">
      <c r="A47" s="58"/>
      <c r="B47" s="60"/>
      <c r="C47" s="59" t="s">
        <v>561</v>
      </c>
      <c r="D47" s="59"/>
      <c r="E47" s="59"/>
      <c r="F47" s="107"/>
      <c r="G47" s="108"/>
      <c r="H47" s="71">
        <f>H46*10.764</f>
        <v>93.000960000000006</v>
      </c>
    </row>
    <row r="48" spans="1:8">
      <c r="A48" s="58"/>
      <c r="B48" s="60"/>
      <c r="C48" s="60"/>
      <c r="D48" s="61"/>
      <c r="E48" s="61"/>
      <c r="F48" s="61"/>
      <c r="G48" s="61"/>
      <c r="H48" s="60"/>
    </row>
    <row r="49" spans="1:8">
      <c r="A49" s="58">
        <v>23</v>
      </c>
      <c r="B49" s="59" t="s">
        <v>71</v>
      </c>
      <c r="C49" s="60" t="s">
        <v>28</v>
      </c>
      <c r="D49" s="61">
        <v>1</v>
      </c>
      <c r="E49" s="61"/>
      <c r="F49" s="61"/>
      <c r="G49" s="61"/>
      <c r="H49" s="77">
        <f>D49</f>
        <v>1</v>
      </c>
    </row>
    <row r="50" spans="1:8">
      <c r="A50" s="58"/>
      <c r="B50" s="60"/>
      <c r="C50" s="60"/>
      <c r="D50" s="61"/>
      <c r="E50" s="61"/>
      <c r="F50" s="61"/>
      <c r="G50" s="61"/>
      <c r="H50" s="60"/>
    </row>
    <row r="51" spans="1:8">
      <c r="A51" s="58"/>
      <c r="B51" s="60"/>
      <c r="C51" s="60"/>
      <c r="D51" s="61"/>
      <c r="E51" s="61"/>
      <c r="F51" s="61"/>
      <c r="G51" s="61"/>
      <c r="H51" s="60"/>
    </row>
    <row r="52" spans="1:8">
      <c r="A52" s="58">
        <v>24</v>
      </c>
      <c r="B52" s="113" t="s">
        <v>78</v>
      </c>
      <c r="C52" s="60" t="s">
        <v>47</v>
      </c>
      <c r="D52" s="61">
        <v>1</v>
      </c>
      <c r="E52" s="61"/>
      <c r="F52" s="61"/>
      <c r="G52" s="61"/>
      <c r="H52" s="77">
        <f>D52</f>
        <v>1</v>
      </c>
    </row>
    <row r="53" spans="1:8">
      <c r="A53" s="58"/>
      <c r="B53" s="60"/>
      <c r="C53" s="60"/>
      <c r="D53" s="61"/>
      <c r="E53" s="61"/>
      <c r="F53" s="61"/>
      <c r="G53" s="61"/>
      <c r="H53" s="60"/>
    </row>
    <row r="54" spans="1:8">
      <c r="A54" s="58">
        <v>26</v>
      </c>
      <c r="B54" s="59" t="s">
        <v>470</v>
      </c>
      <c r="C54" s="60" t="s">
        <v>463</v>
      </c>
      <c r="D54" s="61">
        <v>5</v>
      </c>
      <c r="E54" s="61">
        <v>0.3</v>
      </c>
      <c r="F54" s="61">
        <v>0.3</v>
      </c>
      <c r="G54" s="61"/>
      <c r="H54" s="62">
        <f t="shared" ref="H54:H56" si="5">ROUND(PRODUCT(D54:G54),2)</f>
        <v>0.45</v>
      </c>
    </row>
    <row r="55" spans="1:8">
      <c r="A55" s="58"/>
      <c r="B55" s="60"/>
      <c r="C55" s="60" t="s">
        <v>463</v>
      </c>
      <c r="D55" s="61">
        <v>4</v>
      </c>
      <c r="E55" s="61">
        <v>0.45</v>
      </c>
      <c r="F55" s="61">
        <v>0.4</v>
      </c>
      <c r="G55" s="61"/>
      <c r="H55" s="62">
        <f t="shared" si="5"/>
        <v>0.72</v>
      </c>
    </row>
    <row r="56" spans="1:8">
      <c r="A56" s="58"/>
      <c r="B56" s="60"/>
      <c r="C56" s="60" t="s">
        <v>463</v>
      </c>
      <c r="D56" s="61">
        <v>1</v>
      </c>
      <c r="E56" s="61">
        <v>0.45</v>
      </c>
      <c r="F56" s="61">
        <v>0.45</v>
      </c>
      <c r="G56" s="61"/>
      <c r="H56" s="62">
        <f t="shared" si="5"/>
        <v>0.2</v>
      </c>
    </row>
    <row r="57" spans="1:8">
      <c r="A57" s="58"/>
      <c r="B57" s="60"/>
      <c r="C57" s="60" t="s">
        <v>463</v>
      </c>
      <c r="D57" s="59"/>
      <c r="E57" s="59"/>
      <c r="F57" s="107"/>
      <c r="G57" s="108" t="s">
        <v>464</v>
      </c>
      <c r="H57" s="62">
        <f>SUM(H54:H56)</f>
        <v>1.3699999999999999</v>
      </c>
    </row>
    <row r="58" spans="1:8">
      <c r="A58" s="58"/>
      <c r="B58" s="60"/>
      <c r="C58" s="59" t="s">
        <v>561</v>
      </c>
      <c r="D58" s="59"/>
      <c r="E58" s="59"/>
      <c r="F58" s="107"/>
      <c r="G58" s="108"/>
      <c r="H58" s="71">
        <f>H57*10.764</f>
        <v>14.746679999999998</v>
      </c>
    </row>
    <row r="59" spans="1:8">
      <c r="A59" s="58"/>
      <c r="B59" s="60"/>
      <c r="C59" s="59"/>
      <c r="D59" s="59"/>
      <c r="E59" s="59"/>
      <c r="F59" s="107"/>
      <c r="G59" s="108"/>
      <c r="H59" s="59"/>
    </row>
    <row r="60" spans="1:8">
      <c r="A60" s="58">
        <v>27</v>
      </c>
      <c r="B60" s="59" t="s">
        <v>563</v>
      </c>
      <c r="C60" s="60" t="s">
        <v>28</v>
      </c>
      <c r="D60" s="61">
        <v>1</v>
      </c>
      <c r="E60" s="61"/>
      <c r="F60" s="61"/>
      <c r="G60" s="61"/>
      <c r="H60" s="62">
        <f t="shared" ref="H60" si="6">ROUND(PRODUCT(D60:G60),2)</f>
        <v>1</v>
      </c>
    </row>
    <row r="61" spans="1:8">
      <c r="A61" s="58"/>
      <c r="B61" s="60"/>
      <c r="C61" s="114"/>
      <c r="D61" s="114"/>
      <c r="E61" s="114"/>
      <c r="F61" s="114"/>
      <c r="G61" s="108" t="s">
        <v>464</v>
      </c>
      <c r="H61" s="71">
        <f>SUM(H60:H60)</f>
        <v>1</v>
      </c>
    </row>
    <row r="62" spans="1:8">
      <c r="A62" s="705"/>
      <c r="B62" s="706" t="s">
        <v>702</v>
      </c>
      <c r="C62" s="707"/>
      <c r="D62" s="708"/>
      <c r="E62" s="708"/>
      <c r="F62" s="708"/>
      <c r="G62" s="708"/>
      <c r="H62" s="462"/>
    </row>
    <row r="63" spans="1:8" ht="30">
      <c r="A63" s="708">
        <v>1</v>
      </c>
      <c r="B63" s="710" t="s">
        <v>703</v>
      </c>
      <c r="C63" s="707"/>
      <c r="D63" s="708"/>
      <c r="E63" s="708"/>
      <c r="F63" s="708"/>
      <c r="G63" s="708"/>
      <c r="H63" s="462"/>
    </row>
    <row r="64" spans="1:8">
      <c r="A64" s="708"/>
      <c r="B64" s="707" t="s">
        <v>724</v>
      </c>
      <c r="C64" s="77" t="s">
        <v>705</v>
      </c>
      <c r="D64" s="137"/>
      <c r="E64" s="137"/>
      <c r="F64" s="77">
        <f>(4.46*2+0.92*2+1.4*3)*3.28</f>
        <v>49.068799999999996</v>
      </c>
      <c r="G64" s="137"/>
      <c r="H64" s="83">
        <f>F64</f>
        <v>49.068799999999996</v>
      </c>
    </row>
    <row r="65" spans="1:8">
      <c r="A65" s="708"/>
      <c r="B65" s="707"/>
      <c r="C65" s="707"/>
      <c r="D65" s="708"/>
      <c r="E65" s="708"/>
      <c r="F65" s="708"/>
      <c r="G65" s="708"/>
      <c r="H65" s="462"/>
    </row>
    <row r="66" spans="1:8" ht="30">
      <c r="A66" s="709">
        <v>2</v>
      </c>
      <c r="B66" s="710" t="s">
        <v>725</v>
      </c>
      <c r="C66" s="707"/>
      <c r="D66" s="708"/>
      <c r="E66" s="708"/>
      <c r="F66" s="708"/>
      <c r="G66" s="708"/>
      <c r="H66" s="462"/>
    </row>
    <row r="67" spans="1:8">
      <c r="A67" s="709"/>
      <c r="B67" s="710"/>
      <c r="C67" s="707"/>
      <c r="D67" s="708">
        <v>1</v>
      </c>
      <c r="E67" s="708">
        <v>5.9039999999999999</v>
      </c>
      <c r="F67" s="708">
        <v>0.98</v>
      </c>
      <c r="G67" s="708"/>
      <c r="H67" s="462">
        <f>F67*E67*D67</f>
        <v>5.78592</v>
      </c>
    </row>
    <row r="68" spans="1:8">
      <c r="A68" s="709"/>
      <c r="B68" s="710"/>
      <c r="C68" s="707"/>
      <c r="D68" s="708">
        <v>1</v>
      </c>
      <c r="E68" s="708">
        <v>5.9039999999999999</v>
      </c>
      <c r="F68" s="708">
        <v>0.78720000000000001</v>
      </c>
      <c r="G68" s="708"/>
      <c r="H68" s="462">
        <f t="shared" ref="H68:H69" si="7">F68*E68*D68</f>
        <v>4.6476287999999997</v>
      </c>
    </row>
    <row r="69" spans="1:8">
      <c r="A69" s="709"/>
      <c r="B69" s="710"/>
      <c r="C69" s="707"/>
      <c r="D69" s="708">
        <v>3</v>
      </c>
      <c r="E69" s="708">
        <v>0.78720000000000001</v>
      </c>
      <c r="F69" s="708">
        <v>0.95120000000000005</v>
      </c>
      <c r="G69" s="708"/>
      <c r="H69" s="462">
        <f t="shared" si="7"/>
        <v>2.2463539199999998</v>
      </c>
    </row>
    <row r="70" spans="1:8">
      <c r="A70" s="709"/>
      <c r="B70" s="710"/>
      <c r="C70" s="77" t="s">
        <v>626</v>
      </c>
      <c r="D70" s="137"/>
      <c r="E70" s="137"/>
      <c r="F70" s="137"/>
      <c r="G70" s="137"/>
      <c r="H70" s="83">
        <f>SUM(H67:H69)</f>
        <v>12.679902720000001</v>
      </c>
    </row>
    <row r="71" spans="1:8">
      <c r="A71" s="708"/>
      <c r="B71" s="707"/>
      <c r="C71" s="707"/>
      <c r="D71" s="708"/>
      <c r="E71" s="708"/>
      <c r="F71" s="708"/>
      <c r="G71" s="708"/>
      <c r="H71" s="462"/>
    </row>
    <row r="72" spans="1:8">
      <c r="A72" s="708">
        <v>3</v>
      </c>
      <c r="B72" s="707" t="s">
        <v>707</v>
      </c>
      <c r="C72" s="77" t="s">
        <v>28</v>
      </c>
      <c r="D72" s="137">
        <v>2</v>
      </c>
      <c r="E72" s="137"/>
      <c r="F72" s="137"/>
      <c r="G72" s="137"/>
      <c r="H72" s="83">
        <f>D72</f>
        <v>2</v>
      </c>
    </row>
    <row r="73" spans="1:8">
      <c r="A73" s="708"/>
      <c r="B73" s="707"/>
      <c r="C73" s="707"/>
      <c r="D73" s="708"/>
      <c r="E73" s="708"/>
      <c r="F73" s="708"/>
      <c r="G73" s="708"/>
      <c r="H73" s="462"/>
    </row>
    <row r="74" spans="1:8">
      <c r="A74" s="708">
        <v>4</v>
      </c>
      <c r="B74" s="707" t="s">
        <v>715</v>
      </c>
      <c r="C74" s="707"/>
      <c r="D74" s="708"/>
      <c r="E74" s="708"/>
      <c r="F74" s="708"/>
      <c r="G74" s="708"/>
      <c r="H74" s="462"/>
    </row>
    <row r="75" spans="1:8">
      <c r="A75" s="708"/>
      <c r="B75" s="707" t="s">
        <v>716</v>
      </c>
      <c r="C75" s="707"/>
      <c r="D75" s="708">
        <v>1</v>
      </c>
      <c r="E75" s="708">
        <v>2.12</v>
      </c>
      <c r="F75" s="708">
        <v>3.84</v>
      </c>
      <c r="G75" s="708"/>
      <c r="H75" s="462">
        <f t="shared" ref="H75" si="8">ROUND(PRODUCT(D75:G75),2)</f>
        <v>8.14</v>
      </c>
    </row>
    <row r="76" spans="1:8">
      <c r="A76" s="708"/>
      <c r="B76" s="707" t="s">
        <v>717</v>
      </c>
      <c r="C76" s="707"/>
      <c r="D76" s="708">
        <v>1</v>
      </c>
      <c r="E76" s="708">
        <f>3.8*3.28</f>
        <v>12.463999999999999</v>
      </c>
      <c r="F76" s="708">
        <v>0.38</v>
      </c>
      <c r="G76" s="708"/>
      <c r="H76" s="462">
        <f>F76*E76</f>
        <v>4.7363199999999992</v>
      </c>
    </row>
    <row r="77" spans="1:8">
      <c r="A77" s="708"/>
      <c r="B77" s="707"/>
      <c r="C77" s="71" t="s">
        <v>626</v>
      </c>
      <c r="D77" s="658"/>
      <c r="E77" s="658"/>
      <c r="F77" s="658"/>
      <c r="G77" s="658"/>
      <c r="H77" s="463">
        <f>SUM(H75:H76)</f>
        <v>12.87632</v>
      </c>
    </row>
    <row r="78" spans="1:8">
      <c r="A78" s="708"/>
      <c r="B78" s="707"/>
      <c r="C78" s="712"/>
      <c r="D78" s="713"/>
      <c r="E78" s="713"/>
      <c r="F78" s="713"/>
      <c r="G78" s="713"/>
      <c r="H78" s="714"/>
    </row>
    <row r="79" spans="1:8" ht="30">
      <c r="A79" s="708">
        <v>5</v>
      </c>
      <c r="B79" s="710" t="s">
        <v>718</v>
      </c>
      <c r="C79" s="77" t="s">
        <v>28</v>
      </c>
      <c r="D79" s="137">
        <v>2</v>
      </c>
      <c r="E79" s="137"/>
      <c r="F79" s="137"/>
      <c r="G79" s="137"/>
      <c r="H79" s="83">
        <f>D79</f>
        <v>2</v>
      </c>
    </row>
    <row r="80" spans="1:8">
      <c r="A80" s="708"/>
      <c r="B80" s="707"/>
      <c r="C80" s="706"/>
      <c r="D80" s="705"/>
      <c r="E80" s="705"/>
      <c r="F80" s="705"/>
      <c r="G80" s="705"/>
      <c r="H80" s="711"/>
    </row>
    <row r="81" spans="1:8">
      <c r="A81" s="708">
        <v>6</v>
      </c>
      <c r="B81" s="707" t="s">
        <v>731</v>
      </c>
      <c r="C81" s="77" t="s">
        <v>28</v>
      </c>
      <c r="D81" s="137">
        <v>1</v>
      </c>
      <c r="E81" s="137"/>
      <c r="F81" s="137"/>
      <c r="G81" s="137"/>
      <c r="H81" s="83">
        <f>D81</f>
        <v>1</v>
      </c>
    </row>
    <row r="82" spans="1:8">
      <c r="A82" s="708"/>
      <c r="B82" s="707"/>
      <c r="C82" s="707"/>
      <c r="D82" s="708"/>
      <c r="E82" s="708"/>
      <c r="F82" s="708"/>
      <c r="G82" s="708"/>
      <c r="H82" s="462"/>
    </row>
    <row r="83" spans="1:8" ht="30">
      <c r="A83" s="708">
        <v>7</v>
      </c>
      <c r="B83" s="710" t="s">
        <v>726</v>
      </c>
      <c r="C83" s="77" t="s">
        <v>626</v>
      </c>
      <c r="D83" s="137">
        <v>1</v>
      </c>
      <c r="E83" s="137">
        <f>2.11*3.28</f>
        <v>6.920799999999999</v>
      </c>
      <c r="F83" s="137">
        <f>0.41*3.28</f>
        <v>1.3447999999999998</v>
      </c>
      <c r="G83" s="137"/>
      <c r="H83" s="83">
        <f>F83*E83</f>
        <v>9.3070918399999965</v>
      </c>
    </row>
    <row r="84" spans="1:8">
      <c r="A84" s="708"/>
      <c r="B84" s="707"/>
      <c r="C84" s="707"/>
      <c r="D84" s="708"/>
      <c r="E84" s="708"/>
      <c r="F84" s="708"/>
      <c r="G84" s="708"/>
      <c r="H84" s="462"/>
    </row>
    <row r="85" spans="1:8" ht="30">
      <c r="A85" s="708">
        <v>8</v>
      </c>
      <c r="B85" s="710" t="s">
        <v>727</v>
      </c>
      <c r="C85" s="77" t="s">
        <v>705</v>
      </c>
      <c r="D85" s="137"/>
      <c r="E85" s="137">
        <f>13.38*3.28</f>
        <v>43.886400000000002</v>
      </c>
      <c r="F85" s="137"/>
      <c r="G85" s="137"/>
      <c r="H85" s="83">
        <f>E85</f>
        <v>43.886400000000002</v>
      </c>
    </row>
    <row r="86" spans="1:8">
      <c r="A86" s="708"/>
      <c r="B86" s="710"/>
      <c r="C86" s="716"/>
      <c r="D86" s="717"/>
      <c r="E86" s="717"/>
      <c r="F86" s="717"/>
      <c r="G86" s="717"/>
      <c r="H86" s="462"/>
    </row>
    <row r="87" spans="1:8" ht="30">
      <c r="A87" s="708">
        <v>9</v>
      </c>
      <c r="B87" s="710" t="s">
        <v>728</v>
      </c>
      <c r="C87" s="77" t="s">
        <v>705</v>
      </c>
      <c r="D87" s="137"/>
      <c r="E87" s="137">
        <f>8.34*3.28</f>
        <v>27.355199999999996</v>
      </c>
      <c r="F87" s="137"/>
      <c r="G87" s="137"/>
      <c r="H87" s="83">
        <f>E87</f>
        <v>27.355199999999996</v>
      </c>
    </row>
    <row r="88" spans="1:8">
      <c r="A88" s="708"/>
      <c r="B88" s="707"/>
      <c r="C88" s="716"/>
      <c r="D88" s="717"/>
      <c r="E88" s="717"/>
      <c r="F88" s="717"/>
      <c r="G88" s="717"/>
      <c r="H88" s="462"/>
    </row>
    <row r="89" spans="1:8" ht="45">
      <c r="A89" s="708">
        <v>10</v>
      </c>
      <c r="B89" s="710" t="s">
        <v>729</v>
      </c>
      <c r="C89" s="77" t="s">
        <v>28</v>
      </c>
      <c r="D89" s="137">
        <v>1</v>
      </c>
      <c r="E89" s="137"/>
      <c r="F89" s="137"/>
      <c r="G89" s="137"/>
      <c r="H89" s="83">
        <f>D89</f>
        <v>1</v>
      </c>
    </row>
    <row r="90" spans="1:8">
      <c r="A90" s="705"/>
      <c r="B90" s="707"/>
      <c r="C90" s="706"/>
      <c r="D90" s="706"/>
      <c r="E90" s="706"/>
      <c r="F90" s="706"/>
      <c r="G90" s="706"/>
      <c r="H90" s="706"/>
    </row>
    <row r="91" spans="1:8">
      <c r="A91" s="708">
        <v>11</v>
      </c>
      <c r="B91" s="707" t="s">
        <v>732</v>
      </c>
      <c r="C91" s="707" t="s">
        <v>626</v>
      </c>
      <c r="D91" s="707">
        <v>1</v>
      </c>
      <c r="E91" s="707">
        <f>3.84*3.28</f>
        <v>12.595199999999998</v>
      </c>
      <c r="F91" s="707">
        <f>1.24*3.28</f>
        <v>4.0671999999999997</v>
      </c>
      <c r="G91" s="707"/>
      <c r="H91" s="707">
        <f>F91*E91*D91</f>
        <v>51.227197439999991</v>
      </c>
    </row>
    <row r="92" spans="1:8">
      <c r="A92" s="705"/>
      <c r="B92" s="707"/>
      <c r="C92" s="707"/>
      <c r="D92" s="707">
        <v>2</v>
      </c>
      <c r="E92" s="707">
        <f>2.25*3.28</f>
        <v>7.38</v>
      </c>
      <c r="F92" s="707">
        <f>1.24*3.28</f>
        <v>4.0671999999999997</v>
      </c>
      <c r="G92" s="707"/>
      <c r="H92" s="707">
        <f>F92*E92*D92</f>
        <v>60.031871999999993</v>
      </c>
    </row>
    <row r="93" spans="1:8">
      <c r="A93" s="705"/>
      <c r="B93" s="707"/>
      <c r="C93" s="77" t="s">
        <v>626</v>
      </c>
      <c r="D93" s="77"/>
      <c r="E93" s="77"/>
      <c r="F93" s="77"/>
      <c r="G93" s="77"/>
      <c r="H93" s="77">
        <f>SUM(H91:H92)</f>
        <v>111.25906943999999</v>
      </c>
    </row>
    <row r="94" spans="1:8">
      <c r="A94" s="705"/>
      <c r="B94" s="707"/>
      <c r="C94" s="707"/>
      <c r="D94" s="707"/>
      <c r="E94" s="707"/>
      <c r="F94" s="707"/>
      <c r="G94" s="707"/>
      <c r="H94" s="707"/>
    </row>
    <row r="95" spans="1:8">
      <c r="A95" s="708">
        <v>12</v>
      </c>
      <c r="B95" s="721" t="s">
        <v>786</v>
      </c>
      <c r="C95" s="707"/>
      <c r="D95" s="707"/>
      <c r="E95" s="707">
        <v>10.988</v>
      </c>
      <c r="F95" s="707">
        <v>2.0992000000000002</v>
      </c>
      <c r="G95" s="707"/>
      <c r="H95" s="707">
        <f>F95*E95</f>
        <v>23.066009600000001</v>
      </c>
    </row>
    <row r="96" spans="1:8">
      <c r="A96" s="705"/>
      <c r="B96" s="707" t="s">
        <v>787</v>
      </c>
      <c r="C96" s="706"/>
      <c r="D96" s="706"/>
      <c r="E96" s="707">
        <v>6.1</v>
      </c>
      <c r="F96" s="707">
        <v>3.0503999999999998</v>
      </c>
      <c r="G96" s="707"/>
      <c r="H96" s="707">
        <f>F96*E96</f>
        <v>18.607439999999997</v>
      </c>
    </row>
    <row r="97" spans="1:8">
      <c r="A97" s="705"/>
      <c r="B97" s="707"/>
      <c r="C97" s="77" t="s">
        <v>626</v>
      </c>
      <c r="D97" s="77"/>
      <c r="E97" s="77"/>
      <c r="F97" s="77"/>
      <c r="G97" s="77"/>
      <c r="H97" s="77">
        <f>SUM(H95:H96)</f>
        <v>41.673449599999998</v>
      </c>
    </row>
    <row r="98" spans="1:8">
      <c r="A98" s="58" t="s">
        <v>27</v>
      </c>
      <c r="B98" s="59" t="s">
        <v>473</v>
      </c>
      <c r="C98" s="882"/>
      <c r="D98" s="883"/>
      <c r="E98" s="883"/>
      <c r="F98" s="883"/>
      <c r="G98" s="883"/>
      <c r="H98" s="60"/>
    </row>
    <row r="99" spans="1:8">
      <c r="A99" s="58">
        <v>1.2</v>
      </c>
      <c r="B99" s="67" t="s">
        <v>474</v>
      </c>
      <c r="C99" s="60" t="s">
        <v>466</v>
      </c>
      <c r="D99" s="61">
        <v>1</v>
      </c>
      <c r="E99" s="61">
        <f>0.3+0.2+0.5+1.3</f>
        <v>2.2999999999999998</v>
      </c>
      <c r="F99" s="61"/>
      <c r="G99" s="61"/>
      <c r="H99" s="60">
        <f>E99</f>
        <v>2.2999999999999998</v>
      </c>
    </row>
    <row r="100" spans="1:8">
      <c r="A100" s="58"/>
      <c r="B100" s="60"/>
      <c r="C100" s="114"/>
      <c r="D100" s="114"/>
      <c r="E100" s="114"/>
      <c r="F100" s="114"/>
      <c r="G100" s="108" t="s">
        <v>464</v>
      </c>
      <c r="H100" s="71">
        <f>SUM(H99:H99)</f>
        <v>2.2999999999999998</v>
      </c>
    </row>
    <row r="101" spans="1:8">
      <c r="A101" s="58"/>
      <c r="B101" s="60"/>
      <c r="C101" s="60"/>
      <c r="D101" s="61"/>
      <c r="E101" s="61"/>
      <c r="F101" s="61"/>
      <c r="G101" s="61"/>
      <c r="H101" s="60"/>
    </row>
    <row r="102" spans="1:8">
      <c r="A102" s="58">
        <v>8</v>
      </c>
      <c r="B102" s="59" t="s">
        <v>477</v>
      </c>
      <c r="C102" s="60" t="s">
        <v>28</v>
      </c>
      <c r="D102" s="61">
        <v>1</v>
      </c>
      <c r="E102" s="61"/>
      <c r="F102" s="61"/>
      <c r="G102" s="61"/>
      <c r="H102" s="60">
        <f>D102</f>
        <v>1</v>
      </c>
    </row>
    <row r="103" spans="1:8">
      <c r="A103" s="58"/>
      <c r="B103" s="60"/>
      <c r="C103" s="114"/>
      <c r="D103" s="114"/>
      <c r="E103" s="114"/>
      <c r="F103" s="114"/>
      <c r="G103" s="108" t="s">
        <v>464</v>
      </c>
      <c r="H103" s="77">
        <f>SUM(H102:H102)</f>
        <v>1</v>
      </c>
    </row>
    <row r="104" spans="1:8">
      <c r="A104" s="58" t="s">
        <v>24</v>
      </c>
      <c r="B104" s="59" t="s">
        <v>115</v>
      </c>
      <c r="C104" s="60"/>
      <c r="D104" s="61"/>
      <c r="E104" s="61"/>
      <c r="F104" s="61"/>
      <c r="G104" s="61"/>
      <c r="H104" s="60"/>
    </row>
    <row r="105" spans="1:8">
      <c r="A105" s="58">
        <v>1.3</v>
      </c>
      <c r="B105" s="60" t="s">
        <v>479</v>
      </c>
      <c r="C105" s="60" t="s">
        <v>466</v>
      </c>
      <c r="D105" s="61"/>
      <c r="E105" s="61">
        <f>1+1.5</f>
        <v>2.5</v>
      </c>
      <c r="F105" s="61"/>
      <c r="G105" s="61"/>
      <c r="H105" s="60">
        <f>E105</f>
        <v>2.5</v>
      </c>
    </row>
    <row r="106" spans="1:8">
      <c r="A106" s="58"/>
      <c r="B106" s="60"/>
      <c r="C106" s="60"/>
      <c r="D106" s="61"/>
      <c r="E106" s="61"/>
      <c r="F106" s="61"/>
      <c r="G106" s="61"/>
      <c r="H106" s="60"/>
    </row>
    <row r="107" spans="1:8">
      <c r="A107" s="58" t="s">
        <v>480</v>
      </c>
      <c r="B107" s="59" t="s">
        <v>481</v>
      </c>
      <c r="C107" s="60" t="s">
        <v>51</v>
      </c>
      <c r="D107" s="61">
        <v>1</v>
      </c>
      <c r="E107" s="61"/>
      <c r="F107" s="61"/>
      <c r="G107" s="61"/>
      <c r="H107" s="60">
        <f>D107</f>
        <v>1</v>
      </c>
    </row>
    <row r="108" spans="1:8">
      <c r="A108" s="58">
        <v>2.4</v>
      </c>
      <c r="B108" s="67" t="s">
        <v>369</v>
      </c>
      <c r="C108" s="60" t="s">
        <v>51</v>
      </c>
      <c r="D108" s="61">
        <v>1</v>
      </c>
      <c r="E108" s="61"/>
      <c r="F108" s="61"/>
      <c r="G108" s="61"/>
      <c r="H108" s="60">
        <f>D108</f>
        <v>1</v>
      </c>
    </row>
    <row r="109" spans="1:8">
      <c r="A109" s="58"/>
      <c r="B109" s="60"/>
      <c r="C109" s="60"/>
      <c r="D109" s="61"/>
      <c r="E109" s="61"/>
      <c r="F109" s="61"/>
      <c r="G109" s="61"/>
      <c r="H109" s="60"/>
    </row>
    <row r="110" spans="1:8">
      <c r="A110" s="58" t="s">
        <v>46</v>
      </c>
      <c r="B110" s="59" t="s">
        <v>105</v>
      </c>
      <c r="C110" s="60"/>
      <c r="D110" s="61"/>
      <c r="E110" s="61"/>
      <c r="F110" s="61"/>
      <c r="G110" s="61"/>
      <c r="H110" s="60"/>
    </row>
    <row r="111" spans="1:8">
      <c r="A111" s="58">
        <v>1.1000000000000001</v>
      </c>
      <c r="B111" s="67" t="s">
        <v>365</v>
      </c>
      <c r="C111" s="60" t="s">
        <v>28</v>
      </c>
      <c r="D111" s="61">
        <v>1</v>
      </c>
      <c r="E111" s="61"/>
      <c r="F111" s="61"/>
      <c r="G111" s="61"/>
      <c r="H111" s="60">
        <f>D111</f>
        <v>1</v>
      </c>
    </row>
    <row r="112" spans="1:8" ht="36">
      <c r="A112" s="58"/>
      <c r="B112" s="14" t="s">
        <v>426</v>
      </c>
      <c r="C112" s="60" t="s">
        <v>28</v>
      </c>
      <c r="D112" s="61">
        <v>1</v>
      </c>
      <c r="E112" s="61"/>
      <c r="F112" s="61"/>
      <c r="G112" s="61"/>
      <c r="H112" s="60">
        <f>D112</f>
        <v>1</v>
      </c>
    </row>
    <row r="113" spans="1:8">
      <c r="A113" s="58"/>
      <c r="B113" s="60"/>
      <c r="C113" s="60"/>
      <c r="D113" s="61"/>
      <c r="E113" s="61"/>
      <c r="F113" s="61"/>
      <c r="G113" s="61"/>
      <c r="H113" s="60"/>
    </row>
    <row r="114" spans="1:8">
      <c r="A114" s="58" t="s">
        <v>45</v>
      </c>
      <c r="B114" s="60" t="s">
        <v>482</v>
      </c>
      <c r="C114" s="60"/>
      <c r="D114" s="61"/>
      <c r="E114" s="61"/>
      <c r="F114" s="61"/>
      <c r="G114" s="61"/>
      <c r="H114" s="60"/>
    </row>
    <row r="115" spans="1:8">
      <c r="A115" s="58">
        <v>1</v>
      </c>
      <c r="B115" s="67" t="s">
        <v>483</v>
      </c>
      <c r="C115" s="60" t="s">
        <v>28</v>
      </c>
      <c r="D115" s="61">
        <v>1</v>
      </c>
      <c r="E115" s="61"/>
      <c r="F115" s="61"/>
      <c r="G115" s="61"/>
      <c r="H115" s="60">
        <f>D115</f>
        <v>1</v>
      </c>
    </row>
    <row r="116" spans="1:8">
      <c r="A116" s="58">
        <v>2</v>
      </c>
      <c r="B116" s="67" t="s">
        <v>484</v>
      </c>
      <c r="C116" s="60" t="s">
        <v>28</v>
      </c>
      <c r="D116" s="61">
        <v>1</v>
      </c>
      <c r="E116" s="61"/>
      <c r="F116" s="61"/>
      <c r="G116" s="61"/>
      <c r="H116" s="60">
        <f>D116</f>
        <v>1</v>
      </c>
    </row>
    <row r="117" spans="1:8">
      <c r="A117" s="58" t="s">
        <v>49</v>
      </c>
      <c r="B117" s="67" t="s">
        <v>400</v>
      </c>
      <c r="C117" s="60"/>
      <c r="D117" s="61"/>
      <c r="E117" s="61"/>
      <c r="F117" s="61"/>
      <c r="G117" s="61"/>
      <c r="H117" s="60"/>
    </row>
    <row r="118" spans="1:8">
      <c r="A118" s="58">
        <v>1</v>
      </c>
      <c r="B118" s="67"/>
      <c r="C118" s="60" t="s">
        <v>28</v>
      </c>
      <c r="D118" s="61">
        <v>1</v>
      </c>
      <c r="E118" s="61"/>
      <c r="F118" s="61"/>
      <c r="G118" s="61"/>
      <c r="H118" s="60">
        <f>D118</f>
        <v>1</v>
      </c>
    </row>
    <row r="119" spans="1:8">
      <c r="A119" s="58">
        <v>2</v>
      </c>
      <c r="B119" s="23" t="s">
        <v>403</v>
      </c>
      <c r="C119" s="60" t="s">
        <v>28</v>
      </c>
      <c r="D119" s="61">
        <v>1</v>
      </c>
      <c r="E119" s="61"/>
      <c r="F119" s="61"/>
      <c r="G119" s="61"/>
      <c r="H119" s="60">
        <f>D119</f>
        <v>1</v>
      </c>
    </row>
    <row r="120" spans="1:8">
      <c r="A120" s="376" t="s">
        <v>564</v>
      </c>
      <c r="B120" s="149"/>
      <c r="C120" s="149"/>
      <c r="D120" s="149"/>
      <c r="E120" s="149"/>
      <c r="F120" s="149"/>
      <c r="G120" s="149"/>
      <c r="H120" s="377"/>
    </row>
    <row r="121" spans="1:8">
      <c r="A121" s="878" t="s">
        <v>564</v>
      </c>
      <c r="B121" s="879"/>
      <c r="C121" s="879"/>
      <c r="D121" s="879"/>
      <c r="E121" s="879"/>
      <c r="F121" s="879"/>
      <c r="G121" s="879"/>
      <c r="H121" s="880"/>
    </row>
    <row r="122" spans="1:8">
      <c r="A122" s="58">
        <v>1.1000000000000001</v>
      </c>
      <c r="B122" s="67" t="s">
        <v>365</v>
      </c>
      <c r="C122" s="60" t="s">
        <v>28</v>
      </c>
      <c r="D122" s="61">
        <v>1</v>
      </c>
      <c r="E122" s="61"/>
      <c r="F122" s="61"/>
      <c r="G122" s="61"/>
      <c r="H122" s="60">
        <f>D122</f>
        <v>1</v>
      </c>
    </row>
    <row r="123" spans="1:8" ht="36">
      <c r="A123" s="58"/>
      <c r="B123" s="14" t="s">
        <v>426</v>
      </c>
      <c r="C123" s="60" t="s">
        <v>28</v>
      </c>
      <c r="D123" s="61">
        <v>1</v>
      </c>
      <c r="E123" s="61"/>
      <c r="F123" s="61"/>
      <c r="G123" s="61"/>
      <c r="H123" s="60">
        <f>D123</f>
        <v>1</v>
      </c>
    </row>
    <row r="124" spans="1:8">
      <c r="A124" s="58" t="s">
        <v>49</v>
      </c>
      <c r="B124" s="59" t="s">
        <v>189</v>
      </c>
      <c r="C124" s="60"/>
      <c r="D124" s="61"/>
      <c r="E124" s="61"/>
      <c r="F124" s="61"/>
      <c r="G124" s="61"/>
      <c r="H124" s="60"/>
    </row>
    <row r="125" spans="1:8">
      <c r="A125" s="58"/>
      <c r="B125" s="60"/>
      <c r="C125" s="60"/>
      <c r="D125" s="61"/>
      <c r="E125" s="61"/>
      <c r="F125" s="61"/>
      <c r="G125" s="61"/>
      <c r="H125" s="60"/>
    </row>
    <row r="126" spans="1:8">
      <c r="A126" s="58">
        <v>2.2000000000000002</v>
      </c>
      <c r="B126" s="59" t="s">
        <v>171</v>
      </c>
      <c r="C126" s="60"/>
      <c r="D126" s="61"/>
      <c r="E126" s="61"/>
      <c r="F126" s="61"/>
      <c r="G126" s="61"/>
      <c r="H126" s="60"/>
    </row>
    <row r="127" spans="1:8" ht="15.75" thickBot="1">
      <c r="A127" s="58" t="s">
        <v>172</v>
      </c>
      <c r="B127" s="60" t="s">
        <v>173</v>
      </c>
      <c r="C127" s="60" t="s">
        <v>28</v>
      </c>
      <c r="D127" s="61">
        <v>1</v>
      </c>
      <c r="E127" s="61"/>
      <c r="F127" s="115"/>
      <c r="G127" s="115"/>
      <c r="H127" s="116">
        <f t="shared" ref="H127" si="9">ROUND(PRODUCT(D127:G127),2)</f>
        <v>1</v>
      </c>
    </row>
    <row r="128" spans="1:8" ht="15.75" thickBot="1">
      <c r="A128" s="58"/>
      <c r="B128" s="67" t="s">
        <v>174</v>
      </c>
      <c r="C128" s="60"/>
      <c r="D128" s="61"/>
      <c r="E128" s="117"/>
      <c r="F128" s="884" t="s">
        <v>464</v>
      </c>
      <c r="G128" s="885"/>
      <c r="H128" s="118">
        <f>SUM(H127)</f>
        <v>1</v>
      </c>
    </row>
    <row r="129" spans="1:8">
      <c r="A129" s="58"/>
      <c r="B129" s="67" t="s">
        <v>175</v>
      </c>
      <c r="C129" s="60"/>
      <c r="D129" s="61"/>
      <c r="E129" s="61"/>
      <c r="F129" s="119"/>
      <c r="G129" s="119"/>
      <c r="H129" s="120"/>
    </row>
    <row r="130" spans="1:8">
      <c r="A130" s="58"/>
      <c r="B130" s="60"/>
      <c r="C130" s="60"/>
      <c r="D130" s="61"/>
      <c r="E130" s="61"/>
      <c r="F130" s="61"/>
      <c r="G130" s="61"/>
      <c r="H130" s="60"/>
    </row>
    <row r="131" spans="1:8" ht="15.75" thickBot="1">
      <c r="A131" s="58" t="s">
        <v>182</v>
      </c>
      <c r="B131" s="59" t="s">
        <v>183</v>
      </c>
      <c r="C131" s="60" t="s">
        <v>28</v>
      </c>
      <c r="D131" s="58">
        <v>1</v>
      </c>
      <c r="E131" s="61"/>
      <c r="F131" s="115"/>
      <c r="G131" s="115"/>
      <c r="H131" s="116">
        <f t="shared" ref="H131" si="10">ROUND(PRODUCT(D131:G131),2)</f>
        <v>1</v>
      </c>
    </row>
    <row r="132" spans="1:8" ht="15.75" thickBot="1">
      <c r="A132" s="58"/>
      <c r="B132" s="67" t="s">
        <v>184</v>
      </c>
      <c r="C132" s="60"/>
      <c r="D132" s="61"/>
      <c r="E132" s="117"/>
      <c r="F132" s="884" t="s">
        <v>464</v>
      </c>
      <c r="G132" s="885"/>
      <c r="H132" s="118">
        <f>SUM(H131)</f>
        <v>1</v>
      </c>
    </row>
    <row r="133" spans="1:8">
      <c r="A133" s="58"/>
      <c r="B133" s="67" t="s">
        <v>185</v>
      </c>
      <c r="C133" s="60"/>
      <c r="D133" s="61"/>
      <c r="E133" s="61"/>
      <c r="F133" s="119"/>
      <c r="G133" s="119"/>
      <c r="H133" s="120"/>
    </row>
    <row r="134" spans="1:8">
      <c r="A134" s="58"/>
      <c r="B134" s="60"/>
      <c r="C134" s="60"/>
      <c r="D134" s="61"/>
      <c r="E134" s="61"/>
      <c r="F134" s="61"/>
      <c r="G134" s="61"/>
      <c r="H134" s="60"/>
    </row>
    <row r="135" spans="1:8">
      <c r="A135" s="58">
        <v>3</v>
      </c>
      <c r="B135" s="59" t="s">
        <v>190</v>
      </c>
      <c r="C135" s="60"/>
      <c r="D135" s="61"/>
      <c r="E135" s="61"/>
      <c r="F135" s="61"/>
      <c r="G135" s="61"/>
      <c r="H135" s="60"/>
    </row>
    <row r="136" spans="1:8">
      <c r="A136" s="58">
        <v>3.1</v>
      </c>
      <c r="B136" s="59" t="s">
        <v>191</v>
      </c>
      <c r="C136" s="60"/>
      <c r="D136" s="61"/>
      <c r="E136" s="61"/>
      <c r="F136" s="61"/>
      <c r="G136" s="61"/>
      <c r="H136" s="60"/>
    </row>
    <row r="137" spans="1:8">
      <c r="A137" s="58" t="s">
        <v>378</v>
      </c>
      <c r="B137" s="59" t="s">
        <v>565</v>
      </c>
      <c r="C137" s="60"/>
      <c r="D137" s="61"/>
      <c r="E137" s="61"/>
      <c r="F137" s="61"/>
      <c r="G137" s="61"/>
      <c r="H137" s="60">
        <f t="shared" ref="H137:H143" si="11">F137*E137*D137</f>
        <v>0</v>
      </c>
    </row>
    <row r="138" spans="1:8">
      <c r="A138" s="58" t="s">
        <v>15</v>
      </c>
      <c r="B138" s="67" t="s">
        <v>195</v>
      </c>
      <c r="C138" s="60" t="s">
        <v>53</v>
      </c>
      <c r="D138" s="61"/>
      <c r="E138" s="61"/>
      <c r="F138" s="61"/>
      <c r="G138" s="61"/>
      <c r="H138" s="60">
        <f t="shared" si="11"/>
        <v>0</v>
      </c>
    </row>
    <row r="139" spans="1:8">
      <c r="A139" s="58"/>
      <c r="B139" s="60" t="s">
        <v>566</v>
      </c>
      <c r="C139" s="60" t="s">
        <v>53</v>
      </c>
      <c r="D139" s="60">
        <v>1</v>
      </c>
      <c r="E139" s="60">
        <f>4+2+2+5+2+4+10+5+9.5+3+2.5</f>
        <v>49</v>
      </c>
      <c r="F139" s="60"/>
      <c r="G139" s="60"/>
      <c r="H139" s="77">
        <f>D139*E139</f>
        <v>49</v>
      </c>
    </row>
    <row r="140" spans="1:8">
      <c r="A140" s="58" t="s">
        <v>379</v>
      </c>
      <c r="B140" s="59" t="s">
        <v>206</v>
      </c>
      <c r="C140" s="60"/>
      <c r="D140" s="61"/>
      <c r="E140" s="61"/>
      <c r="F140" s="61"/>
      <c r="G140" s="61"/>
      <c r="H140" s="60">
        <f t="shared" si="11"/>
        <v>0</v>
      </c>
    </row>
    <row r="141" spans="1:8">
      <c r="A141" s="58" t="s">
        <v>15</v>
      </c>
      <c r="B141" s="67" t="s">
        <v>204</v>
      </c>
      <c r="C141" s="60" t="s">
        <v>463</v>
      </c>
      <c r="D141" s="61"/>
      <c r="E141" s="61"/>
      <c r="F141" s="61"/>
      <c r="G141" s="61"/>
      <c r="H141" s="60">
        <f t="shared" si="11"/>
        <v>0</v>
      </c>
    </row>
    <row r="142" spans="1:8">
      <c r="A142" s="58"/>
      <c r="B142" s="60" t="s">
        <v>567</v>
      </c>
      <c r="C142" s="60" t="s">
        <v>465</v>
      </c>
      <c r="D142" s="61"/>
      <c r="E142" s="60">
        <f>1+2+3.5+14</f>
        <v>20.5</v>
      </c>
      <c r="F142" s="60"/>
      <c r="G142" s="60"/>
      <c r="H142" s="71">
        <f>E142</f>
        <v>20.5</v>
      </c>
    </row>
    <row r="143" spans="1:8">
      <c r="A143" s="58" t="s">
        <v>29</v>
      </c>
      <c r="B143" s="67" t="s">
        <v>207</v>
      </c>
      <c r="C143" s="60" t="s">
        <v>463</v>
      </c>
      <c r="D143" s="61"/>
      <c r="E143" s="61"/>
      <c r="F143" s="61"/>
      <c r="G143" s="61"/>
      <c r="H143" s="60">
        <f t="shared" si="11"/>
        <v>0</v>
      </c>
    </row>
    <row r="144" spans="1:8">
      <c r="A144" s="58"/>
      <c r="B144" s="60" t="s">
        <v>568</v>
      </c>
      <c r="C144" s="60"/>
      <c r="D144" s="60">
        <v>1</v>
      </c>
      <c r="E144" s="60">
        <f>1+2.5+3</f>
        <v>6.5</v>
      </c>
      <c r="F144" s="60"/>
      <c r="G144" s="60"/>
      <c r="H144" s="60">
        <f>D144*E144</f>
        <v>6.5</v>
      </c>
    </row>
    <row r="145" spans="1:8">
      <c r="A145" s="58"/>
      <c r="B145" s="60" t="s">
        <v>569</v>
      </c>
      <c r="C145" s="60"/>
      <c r="D145" s="60">
        <v>1</v>
      </c>
      <c r="E145" s="60">
        <f>2+2</f>
        <v>4</v>
      </c>
      <c r="F145" s="60"/>
      <c r="G145" s="60"/>
      <c r="H145" s="60">
        <f>D145*E145</f>
        <v>4</v>
      </c>
    </row>
    <row r="146" spans="1:8">
      <c r="A146" s="58"/>
      <c r="B146" s="60" t="s">
        <v>570</v>
      </c>
      <c r="C146" s="60"/>
      <c r="D146" s="60">
        <v>1</v>
      </c>
      <c r="E146" s="60">
        <v>45</v>
      </c>
      <c r="F146" s="60"/>
      <c r="G146" s="60"/>
      <c r="H146" s="60">
        <f>D146*E146</f>
        <v>45</v>
      </c>
    </row>
    <row r="147" spans="1:8">
      <c r="A147" s="58"/>
      <c r="B147" s="67"/>
      <c r="C147" s="60"/>
      <c r="D147" s="61"/>
      <c r="E147" s="61"/>
      <c r="F147" s="886" t="s">
        <v>464</v>
      </c>
      <c r="G147" s="887"/>
      <c r="H147" s="77">
        <f>SUM(H144:H146)</f>
        <v>55.5</v>
      </c>
    </row>
    <row r="148" spans="1:8">
      <c r="A148" s="58" t="s">
        <v>382</v>
      </c>
      <c r="B148" s="68" t="s">
        <v>492</v>
      </c>
      <c r="C148" s="60"/>
      <c r="D148" s="61"/>
      <c r="E148" s="61"/>
      <c r="F148" s="61"/>
      <c r="G148" s="61"/>
      <c r="H148" s="60"/>
    </row>
    <row r="149" spans="1:8">
      <c r="A149" s="58" t="s">
        <v>13</v>
      </c>
      <c r="B149" s="79" t="s">
        <v>493</v>
      </c>
      <c r="C149" s="60" t="s">
        <v>53</v>
      </c>
      <c r="D149" s="61"/>
      <c r="E149" s="61"/>
      <c r="F149" s="61"/>
      <c r="G149" s="61"/>
      <c r="H149" s="60">
        <f>D149*E149</f>
        <v>0</v>
      </c>
    </row>
    <row r="150" spans="1:8">
      <c r="A150" s="58"/>
      <c r="B150" s="60" t="s">
        <v>571</v>
      </c>
      <c r="C150" s="60" t="s">
        <v>53</v>
      </c>
      <c r="D150" s="60">
        <v>1</v>
      </c>
      <c r="E150" s="60">
        <v>9.5</v>
      </c>
      <c r="F150" s="60"/>
      <c r="G150" s="60"/>
      <c r="H150" s="77">
        <f>D150*E150</f>
        <v>9.5</v>
      </c>
    </row>
    <row r="151" spans="1:8">
      <c r="A151" s="58">
        <v>4</v>
      </c>
      <c r="B151" s="59" t="s">
        <v>495</v>
      </c>
      <c r="C151" s="60"/>
      <c r="D151" s="61"/>
      <c r="E151" s="61"/>
      <c r="F151" s="61"/>
      <c r="G151" s="61"/>
      <c r="H151" s="60">
        <f t="shared" ref="H151:H207" si="12">F151*E151*D151</f>
        <v>0</v>
      </c>
    </row>
    <row r="152" spans="1:8">
      <c r="A152" s="58" t="s">
        <v>244</v>
      </c>
      <c r="B152" s="79" t="s">
        <v>245</v>
      </c>
      <c r="C152" s="60" t="s">
        <v>28</v>
      </c>
      <c r="D152" s="61">
        <v>1</v>
      </c>
      <c r="E152" s="61"/>
      <c r="F152" s="61"/>
      <c r="G152" s="61"/>
      <c r="H152" s="77">
        <f>D152</f>
        <v>1</v>
      </c>
    </row>
    <row r="153" spans="1:8">
      <c r="A153" s="58" t="s">
        <v>248</v>
      </c>
      <c r="B153" s="79" t="s">
        <v>249</v>
      </c>
      <c r="C153" s="60" t="s">
        <v>28</v>
      </c>
      <c r="D153" s="61">
        <v>1</v>
      </c>
      <c r="E153" s="61"/>
      <c r="F153" s="61"/>
      <c r="G153" s="61"/>
      <c r="H153" s="77">
        <f>D153</f>
        <v>1</v>
      </c>
    </row>
    <row r="154" spans="1:8" ht="36.75">
      <c r="A154" s="58">
        <v>4.3</v>
      </c>
      <c r="B154" s="80" t="s">
        <v>496</v>
      </c>
      <c r="C154" s="60" t="s">
        <v>28</v>
      </c>
      <c r="D154" s="61">
        <v>4</v>
      </c>
      <c r="E154" s="61"/>
      <c r="F154" s="61"/>
      <c r="G154" s="61"/>
      <c r="H154" s="77">
        <f>D154</f>
        <v>4</v>
      </c>
    </row>
    <row r="155" spans="1:8" ht="48">
      <c r="A155" s="58">
        <v>4.0999999999999996</v>
      </c>
      <c r="B155" s="26" t="s">
        <v>256</v>
      </c>
      <c r="C155" s="60" t="s">
        <v>53</v>
      </c>
      <c r="D155" s="61"/>
      <c r="E155" s="61"/>
      <c r="F155" s="61"/>
      <c r="G155" s="61"/>
      <c r="H155" s="60"/>
    </row>
    <row r="156" spans="1:8">
      <c r="A156" s="58" t="s">
        <v>238</v>
      </c>
      <c r="B156" s="82" t="s">
        <v>239</v>
      </c>
      <c r="C156" s="60"/>
      <c r="D156" s="61"/>
      <c r="E156" s="61"/>
      <c r="F156" s="61"/>
      <c r="G156" s="61"/>
      <c r="H156" s="60"/>
    </row>
    <row r="157" spans="1:8">
      <c r="A157" s="58"/>
      <c r="B157" s="121" t="s">
        <v>607</v>
      </c>
      <c r="C157" s="91" t="s">
        <v>397</v>
      </c>
      <c r="D157" s="60">
        <v>1</v>
      </c>
      <c r="E157" s="125">
        <f>1+1.3+0.5+0.5+1.5+0.5</f>
        <v>5.3</v>
      </c>
      <c r="F157" s="125"/>
      <c r="G157" s="114"/>
      <c r="H157" s="132">
        <f>1+1.3+0.5+0.5+1.5+0.5</f>
        <v>5.3</v>
      </c>
    </row>
    <row r="158" spans="1:8">
      <c r="A158" s="58"/>
      <c r="B158" s="121" t="s">
        <v>608</v>
      </c>
      <c r="C158" s="91" t="s">
        <v>397</v>
      </c>
      <c r="D158" s="60">
        <v>1</v>
      </c>
      <c r="E158" s="125">
        <f>1+1.3+0.5+0.5+1.5+0.5+0.5</f>
        <v>5.8</v>
      </c>
      <c r="F158" s="125"/>
      <c r="G158" s="114"/>
      <c r="H158" s="132">
        <f>1+1.3+0.5+0.5+1.5+0.5+0.5</f>
        <v>5.8</v>
      </c>
    </row>
    <row r="159" spans="1:8">
      <c r="A159" s="58"/>
      <c r="B159" s="121" t="s">
        <v>609</v>
      </c>
      <c r="C159" s="91" t="s">
        <v>397</v>
      </c>
      <c r="D159" s="60">
        <v>1</v>
      </c>
      <c r="E159" s="125">
        <f>1+1.3+0.5+1.6+1.5+0.5</f>
        <v>6.4</v>
      </c>
      <c r="F159" s="125"/>
      <c r="G159" s="114"/>
      <c r="H159" s="132">
        <f>1+1.3+0.5+1.6+1.5+0.5</f>
        <v>6.4</v>
      </c>
    </row>
    <row r="160" spans="1:8">
      <c r="A160" s="58"/>
      <c r="B160" s="121" t="s">
        <v>610</v>
      </c>
      <c r="C160" s="91" t="s">
        <v>397</v>
      </c>
      <c r="D160" s="60">
        <v>1</v>
      </c>
      <c r="E160" s="125">
        <f>1+1.3+0.5+1.6+1.5+0.5+0.5</f>
        <v>6.9</v>
      </c>
      <c r="F160" s="125"/>
      <c r="G160" s="114"/>
      <c r="H160" s="132">
        <f>1+1.3+0.5+1.6+1.5+0.5+0.5</f>
        <v>6.9</v>
      </c>
    </row>
    <row r="161" spans="1:8">
      <c r="A161" s="58"/>
      <c r="B161" s="121" t="s">
        <v>611</v>
      </c>
      <c r="C161" s="91" t="s">
        <v>397</v>
      </c>
      <c r="D161" s="60">
        <v>1</v>
      </c>
      <c r="E161" s="125">
        <f>1+1.3+0.5+3+1.5+0.5</f>
        <v>7.8</v>
      </c>
      <c r="F161" s="125"/>
      <c r="G161" s="114"/>
      <c r="H161" s="132">
        <f>1+1.3+0.5+3+1.5+0.5</f>
        <v>7.8</v>
      </c>
    </row>
    <row r="162" spans="1:8">
      <c r="A162" s="58"/>
      <c r="B162" s="121" t="s">
        <v>612</v>
      </c>
      <c r="C162" s="91" t="s">
        <v>397</v>
      </c>
      <c r="D162" s="60">
        <v>1</v>
      </c>
      <c r="E162" s="125">
        <f>1+1.3+0.5+3+1.5+0.5+0.5</f>
        <v>8.3000000000000007</v>
      </c>
      <c r="F162" s="125"/>
      <c r="G162" s="114"/>
      <c r="H162" s="132">
        <f>1+1.3+0.5+3+1.5+0.5+0.5</f>
        <v>8.3000000000000007</v>
      </c>
    </row>
    <row r="163" spans="1:8">
      <c r="A163" s="58"/>
      <c r="B163" s="121" t="s">
        <v>613</v>
      </c>
      <c r="C163" s="91" t="s">
        <v>397</v>
      </c>
      <c r="D163" s="60">
        <v>1</v>
      </c>
      <c r="E163" s="125">
        <f>1+1.3+0.5+3.9+1.3+0.5+0.5</f>
        <v>9</v>
      </c>
      <c r="F163" s="125"/>
      <c r="G163" s="114"/>
      <c r="H163" s="132">
        <f>1+1.3+0.5+3.9+1.3+0.5+0.5</f>
        <v>9</v>
      </c>
    </row>
    <row r="164" spans="1:8">
      <c r="A164" s="58"/>
      <c r="B164" s="121" t="s">
        <v>614</v>
      </c>
      <c r="C164" s="91" t="s">
        <v>397</v>
      </c>
      <c r="D164" s="60">
        <v>1</v>
      </c>
      <c r="E164" s="125">
        <f>1+1.3+0.5+3.9+1.3+0.5</f>
        <v>8.5</v>
      </c>
      <c r="F164" s="125"/>
      <c r="G164" s="114"/>
      <c r="H164" s="132">
        <f>1+1.3+0.5+3.9+1.3+0.5</f>
        <v>8.5</v>
      </c>
    </row>
    <row r="165" spans="1:8">
      <c r="A165" s="58"/>
      <c r="B165" s="121" t="s">
        <v>615</v>
      </c>
      <c r="C165" s="91" t="s">
        <v>397</v>
      </c>
      <c r="D165" s="60">
        <v>1</v>
      </c>
      <c r="E165" s="125">
        <f>1+2.1+2+0.5</f>
        <v>5.6</v>
      </c>
      <c r="F165" s="125"/>
      <c r="G165" s="114"/>
      <c r="H165" s="132">
        <f>1+2.1+2+0.5</f>
        <v>5.6</v>
      </c>
    </row>
    <row r="166" spans="1:8">
      <c r="A166" s="58"/>
      <c r="B166" s="121" t="s">
        <v>616</v>
      </c>
      <c r="C166" s="91" t="s">
        <v>397</v>
      </c>
      <c r="D166" s="60">
        <v>1</v>
      </c>
      <c r="E166" s="125">
        <f>1+1.5+1+2+0.5+1.5+0.5</f>
        <v>8</v>
      </c>
      <c r="F166" s="125"/>
      <c r="G166" s="114"/>
      <c r="H166" s="132">
        <f>1+1.5+1+2+0.5+1.5+0.5</f>
        <v>8</v>
      </c>
    </row>
    <row r="167" spans="1:8">
      <c r="A167" s="58"/>
      <c r="B167" s="121" t="s">
        <v>617</v>
      </c>
      <c r="C167" s="91" t="s">
        <v>397</v>
      </c>
      <c r="D167" s="60">
        <v>1</v>
      </c>
      <c r="E167" s="125">
        <f>1+1.3+1.5+1+0.5</f>
        <v>5.3</v>
      </c>
      <c r="F167" s="125"/>
      <c r="G167" s="114"/>
      <c r="H167" s="132">
        <f>1+1.3+1.5+1+0.5</f>
        <v>5.3</v>
      </c>
    </row>
    <row r="168" spans="1:8">
      <c r="A168" s="58"/>
      <c r="B168" s="121"/>
      <c r="C168" s="122"/>
      <c r="D168" s="125"/>
      <c r="E168" s="125"/>
      <c r="F168" s="125"/>
      <c r="G168" s="71" t="s">
        <v>522</v>
      </c>
      <c r="H168" s="145">
        <f>SUM(H157:H167)</f>
        <v>76.899999999999991</v>
      </c>
    </row>
    <row r="169" spans="1:8">
      <c r="A169" s="58" t="s">
        <v>240</v>
      </c>
      <c r="B169" s="82" t="s">
        <v>241</v>
      </c>
      <c r="C169" s="60"/>
      <c r="D169" s="61"/>
      <c r="E169" s="61"/>
      <c r="F169" s="61"/>
      <c r="G169" s="61"/>
      <c r="H169" s="60"/>
    </row>
    <row r="170" spans="1:8">
      <c r="A170" s="58"/>
      <c r="B170" s="121" t="s">
        <v>618</v>
      </c>
      <c r="C170" s="91" t="s">
        <v>397</v>
      </c>
      <c r="D170" s="60">
        <v>1</v>
      </c>
      <c r="E170" s="125">
        <f>1+1.3+1+4+2.2+2.5+1+0.5</f>
        <v>13.5</v>
      </c>
      <c r="F170" s="125"/>
      <c r="G170" s="114"/>
      <c r="H170" s="132">
        <f>1+1.3+1+4+2.2+2.5+1+0.5</f>
        <v>13.5</v>
      </c>
    </row>
    <row r="171" spans="1:8">
      <c r="A171" s="58"/>
      <c r="B171" s="121" t="s">
        <v>619</v>
      </c>
      <c r="C171" s="91" t="s">
        <v>397</v>
      </c>
      <c r="D171" s="60">
        <v>1</v>
      </c>
      <c r="E171" s="125">
        <f>1+1.3+1+2.9+0.5+2</f>
        <v>8.6999999999999993</v>
      </c>
      <c r="F171" s="125"/>
      <c r="G171" s="114"/>
      <c r="H171" s="132">
        <f>1+1.3+1+2.9+0.5+2</f>
        <v>8.6999999999999993</v>
      </c>
    </row>
    <row r="172" spans="1:8">
      <c r="A172" s="58"/>
      <c r="B172" s="121" t="s">
        <v>620</v>
      </c>
      <c r="C172" s="91" t="s">
        <v>397</v>
      </c>
      <c r="D172" s="60">
        <v>1</v>
      </c>
      <c r="E172" s="125">
        <f>1+1.2+1+4+2.5</f>
        <v>9.6999999999999993</v>
      </c>
      <c r="F172" s="125"/>
      <c r="G172" s="114"/>
      <c r="H172" s="132">
        <f>1+1.2+1+4+2.5</f>
        <v>9.6999999999999993</v>
      </c>
    </row>
    <row r="173" spans="1:8">
      <c r="A173" s="58"/>
      <c r="B173" s="121"/>
      <c r="C173" s="122"/>
      <c r="D173" s="125"/>
      <c r="E173" s="125"/>
      <c r="F173" s="125"/>
      <c r="G173" s="71" t="s">
        <v>522</v>
      </c>
      <c r="H173" s="71">
        <f>SUM(H170:H172)</f>
        <v>31.9</v>
      </c>
    </row>
    <row r="174" spans="1:8">
      <c r="A174" s="58"/>
      <c r="B174" s="26"/>
      <c r="C174" s="60"/>
      <c r="D174" s="61"/>
      <c r="E174" s="61"/>
      <c r="F174" s="61"/>
      <c r="G174" s="61"/>
      <c r="H174" s="60"/>
    </row>
    <row r="175" spans="1:8">
      <c r="A175" s="58" t="s">
        <v>259</v>
      </c>
      <c r="B175" s="26" t="s">
        <v>260</v>
      </c>
      <c r="C175" s="60" t="s">
        <v>53</v>
      </c>
      <c r="D175" s="61"/>
      <c r="E175" s="61"/>
      <c r="F175" s="61"/>
      <c r="G175" s="61"/>
      <c r="H175" s="60"/>
    </row>
    <row r="176" spans="1:8">
      <c r="A176" s="58"/>
      <c r="B176" s="121" t="s">
        <v>572</v>
      </c>
      <c r="C176" s="122" t="s">
        <v>465</v>
      </c>
      <c r="D176" s="123">
        <v>1</v>
      </c>
      <c r="E176" s="123">
        <f>1.3+0.5+0.5+1.5</f>
        <v>3.8</v>
      </c>
      <c r="F176" s="123"/>
      <c r="G176" s="123"/>
      <c r="H176" s="124">
        <f>D176*E176</f>
        <v>3.8</v>
      </c>
    </row>
    <row r="177" spans="1:8">
      <c r="A177" s="58"/>
      <c r="B177" s="121" t="s">
        <v>573</v>
      </c>
      <c r="C177" s="122" t="s">
        <v>465</v>
      </c>
      <c r="D177" s="123">
        <v>1</v>
      </c>
      <c r="E177" s="125">
        <v>0.5</v>
      </c>
      <c r="F177" s="126"/>
      <c r="G177" s="127"/>
      <c r="H177" s="124">
        <f t="shared" ref="H177:H197" si="13">D177*E177</f>
        <v>0.5</v>
      </c>
    </row>
    <row r="178" spans="1:8">
      <c r="A178" s="58"/>
      <c r="B178" s="121" t="s">
        <v>574</v>
      </c>
      <c r="C178" s="122" t="s">
        <v>465</v>
      </c>
      <c r="D178" s="123">
        <v>1</v>
      </c>
      <c r="E178" s="125">
        <f>1.3+0.5+1.6+1.5</f>
        <v>4.9000000000000004</v>
      </c>
      <c r="F178" s="126"/>
      <c r="G178" s="127"/>
      <c r="H178" s="124">
        <f t="shared" si="13"/>
        <v>4.9000000000000004</v>
      </c>
    </row>
    <row r="179" spans="1:8">
      <c r="A179" s="58"/>
      <c r="B179" s="121" t="s">
        <v>575</v>
      </c>
      <c r="C179" s="122" t="s">
        <v>465</v>
      </c>
      <c r="D179" s="123">
        <v>1</v>
      </c>
      <c r="E179" s="125">
        <f>0.5</f>
        <v>0.5</v>
      </c>
      <c r="F179" s="126"/>
      <c r="G179" s="127"/>
      <c r="H179" s="124">
        <f t="shared" si="13"/>
        <v>0.5</v>
      </c>
    </row>
    <row r="180" spans="1:8">
      <c r="A180" s="58"/>
      <c r="B180" s="121" t="s">
        <v>576</v>
      </c>
      <c r="C180" s="122" t="s">
        <v>465</v>
      </c>
      <c r="D180" s="123">
        <v>1</v>
      </c>
      <c r="E180" s="125">
        <f>1.3+0.5+3+1.5</f>
        <v>6.3</v>
      </c>
      <c r="F180" s="126"/>
      <c r="G180" s="127"/>
      <c r="H180" s="124">
        <f t="shared" si="13"/>
        <v>6.3</v>
      </c>
    </row>
    <row r="181" spans="1:8">
      <c r="A181" s="58"/>
      <c r="B181" s="121" t="s">
        <v>577</v>
      </c>
      <c r="C181" s="122" t="s">
        <v>465</v>
      </c>
      <c r="D181" s="123">
        <v>1</v>
      </c>
      <c r="E181" s="125">
        <f>0.5</f>
        <v>0.5</v>
      </c>
      <c r="F181" s="126"/>
      <c r="G181" s="127"/>
      <c r="H181" s="124">
        <f t="shared" si="13"/>
        <v>0.5</v>
      </c>
    </row>
    <row r="182" spans="1:8">
      <c r="A182" s="58"/>
      <c r="B182" s="121" t="s">
        <v>578</v>
      </c>
      <c r="C182" s="122" t="s">
        <v>465</v>
      </c>
      <c r="D182" s="123">
        <v>1</v>
      </c>
      <c r="E182" s="125">
        <f>1.3+0.5+3.9+1.3+0.5</f>
        <v>7.5</v>
      </c>
      <c r="F182" s="126"/>
      <c r="G182" s="127"/>
      <c r="H182" s="124">
        <f t="shared" si="13"/>
        <v>7.5</v>
      </c>
    </row>
    <row r="183" spans="1:8">
      <c r="A183" s="58"/>
      <c r="B183" s="121" t="s">
        <v>579</v>
      </c>
      <c r="C183" s="122" t="s">
        <v>465</v>
      </c>
      <c r="D183" s="123">
        <v>1</v>
      </c>
      <c r="E183" s="125">
        <f>1+2.1+2</f>
        <v>5.0999999999999996</v>
      </c>
      <c r="F183" s="126"/>
      <c r="G183" s="127"/>
      <c r="H183" s="124">
        <f t="shared" si="13"/>
        <v>5.0999999999999996</v>
      </c>
    </row>
    <row r="184" spans="1:8">
      <c r="A184" s="58"/>
      <c r="B184" s="121" t="s">
        <v>580</v>
      </c>
      <c r="C184" s="122" t="s">
        <v>465</v>
      </c>
      <c r="D184" s="123">
        <v>1</v>
      </c>
      <c r="E184" s="125">
        <f>1.5+1+2+0.5+1.5</f>
        <v>6.5</v>
      </c>
      <c r="F184" s="126"/>
      <c r="G184" s="127"/>
      <c r="H184" s="124">
        <f t="shared" si="13"/>
        <v>6.5</v>
      </c>
    </row>
    <row r="185" spans="1:8">
      <c r="A185" s="58"/>
      <c r="B185" s="121" t="s">
        <v>581</v>
      </c>
      <c r="C185" s="122" t="s">
        <v>465</v>
      </c>
      <c r="D185" s="123">
        <v>1</v>
      </c>
      <c r="E185" s="125">
        <f>1.3+1+4+2.2+2.5+1</f>
        <v>12</v>
      </c>
      <c r="F185" s="126"/>
      <c r="G185" s="127"/>
      <c r="H185" s="124">
        <f t="shared" si="13"/>
        <v>12</v>
      </c>
    </row>
    <row r="186" spans="1:8">
      <c r="A186" s="58"/>
      <c r="B186" s="121" t="s">
        <v>582</v>
      </c>
      <c r="C186" s="122" t="s">
        <v>465</v>
      </c>
      <c r="D186" s="123">
        <v>1</v>
      </c>
      <c r="E186" s="125">
        <f>1.3+1+4+2</f>
        <v>8.3000000000000007</v>
      </c>
      <c r="F186" s="126"/>
      <c r="G186" s="127"/>
      <c r="H186" s="124">
        <f t="shared" si="13"/>
        <v>8.3000000000000007</v>
      </c>
    </row>
    <row r="187" spans="1:8">
      <c r="A187" s="58"/>
      <c r="B187" s="121" t="s">
        <v>583</v>
      </c>
      <c r="C187" s="122" t="s">
        <v>465</v>
      </c>
      <c r="D187" s="123">
        <v>1</v>
      </c>
      <c r="E187" s="125">
        <f>1.3+1+4+2</f>
        <v>8.3000000000000007</v>
      </c>
      <c r="F187" s="126"/>
      <c r="G187" s="127"/>
      <c r="H187" s="124">
        <f t="shared" si="13"/>
        <v>8.3000000000000007</v>
      </c>
    </row>
    <row r="188" spans="1:8">
      <c r="A188" s="58"/>
      <c r="B188" s="121" t="s">
        <v>584</v>
      </c>
      <c r="C188" s="122" t="s">
        <v>465</v>
      </c>
      <c r="D188" s="114"/>
      <c r="E188" s="125"/>
      <c r="F188" s="126"/>
      <c r="G188" s="127"/>
      <c r="H188" s="124">
        <f t="shared" si="13"/>
        <v>0</v>
      </c>
    </row>
    <row r="189" spans="1:8">
      <c r="A189" s="58"/>
      <c r="B189" s="121" t="s">
        <v>585</v>
      </c>
      <c r="C189" s="122" t="s">
        <v>465</v>
      </c>
      <c r="D189" s="123">
        <v>1</v>
      </c>
      <c r="E189" s="125">
        <f>1.5+2+14</f>
        <v>17.5</v>
      </c>
      <c r="F189" s="126"/>
      <c r="G189" s="127"/>
      <c r="H189" s="124">
        <f t="shared" si="13"/>
        <v>17.5</v>
      </c>
    </row>
    <row r="190" spans="1:8">
      <c r="A190" s="58"/>
      <c r="B190" s="121" t="s">
        <v>586</v>
      </c>
      <c r="C190" s="122" t="s">
        <v>465</v>
      </c>
      <c r="D190" s="123">
        <v>1</v>
      </c>
      <c r="E190" s="125">
        <f>3+0.5+1+14</f>
        <v>18.5</v>
      </c>
      <c r="F190" s="126"/>
      <c r="G190" s="127"/>
      <c r="H190" s="124">
        <f t="shared" si="13"/>
        <v>18.5</v>
      </c>
    </row>
    <row r="191" spans="1:8">
      <c r="A191" s="58"/>
      <c r="B191" s="121" t="s">
        <v>587</v>
      </c>
      <c r="C191" s="122" t="s">
        <v>465</v>
      </c>
      <c r="D191" s="114"/>
      <c r="E191" s="125"/>
      <c r="F191" s="126"/>
      <c r="G191" s="127"/>
      <c r="H191" s="124">
        <f t="shared" si="13"/>
        <v>0</v>
      </c>
    </row>
    <row r="192" spans="1:8">
      <c r="A192" s="58"/>
      <c r="B192" s="121" t="s">
        <v>588</v>
      </c>
      <c r="C192" s="122" t="s">
        <v>465</v>
      </c>
      <c r="D192" s="123">
        <v>1</v>
      </c>
      <c r="E192" s="125">
        <f>2+1</f>
        <v>3</v>
      </c>
      <c r="F192" s="126"/>
      <c r="G192" s="127"/>
      <c r="H192" s="124">
        <f t="shared" si="13"/>
        <v>3</v>
      </c>
    </row>
    <row r="193" spans="1:8">
      <c r="A193" s="58"/>
      <c r="B193" s="121" t="s">
        <v>589</v>
      </c>
      <c r="C193" s="122" t="s">
        <v>465</v>
      </c>
      <c r="D193" s="123">
        <v>1</v>
      </c>
      <c r="E193" s="125">
        <f>2.5</f>
        <v>2.5</v>
      </c>
      <c r="F193" s="126"/>
      <c r="G193" s="127"/>
      <c r="H193" s="124">
        <f t="shared" si="13"/>
        <v>2.5</v>
      </c>
    </row>
    <row r="194" spans="1:8">
      <c r="A194" s="58"/>
      <c r="B194" s="121" t="s">
        <v>590</v>
      </c>
      <c r="C194" s="122" t="s">
        <v>465</v>
      </c>
      <c r="D194" s="123">
        <v>1</v>
      </c>
      <c r="E194" s="125">
        <v>4</v>
      </c>
      <c r="F194" s="126"/>
      <c r="G194" s="127"/>
      <c r="H194" s="124">
        <f t="shared" si="13"/>
        <v>4</v>
      </c>
    </row>
    <row r="195" spans="1:8">
      <c r="A195" s="58"/>
      <c r="B195" s="121" t="s">
        <v>591</v>
      </c>
      <c r="C195" s="122" t="s">
        <v>465</v>
      </c>
      <c r="D195" s="123">
        <v>1</v>
      </c>
      <c r="E195" s="125">
        <f>1.5+14</f>
        <v>15.5</v>
      </c>
      <c r="F195" s="126"/>
      <c r="G195" s="127"/>
      <c r="H195" s="124">
        <f t="shared" si="13"/>
        <v>15.5</v>
      </c>
    </row>
    <row r="196" spans="1:8">
      <c r="A196" s="58"/>
      <c r="B196" s="121" t="s">
        <v>592</v>
      </c>
      <c r="C196" s="122" t="s">
        <v>465</v>
      </c>
      <c r="D196" s="123">
        <v>1</v>
      </c>
      <c r="E196" s="125">
        <f>1.3+3.5</f>
        <v>4.8</v>
      </c>
      <c r="F196" s="126"/>
      <c r="G196" s="127"/>
      <c r="H196" s="124">
        <f t="shared" si="13"/>
        <v>4.8</v>
      </c>
    </row>
    <row r="197" spans="1:8">
      <c r="A197" s="58"/>
      <c r="B197" s="121" t="s">
        <v>593</v>
      </c>
      <c r="C197" s="122" t="s">
        <v>465</v>
      </c>
      <c r="D197" s="123">
        <v>1</v>
      </c>
      <c r="E197" s="125">
        <f>1.3+2+1.7</f>
        <v>5</v>
      </c>
      <c r="F197" s="126"/>
      <c r="G197" s="127"/>
      <c r="H197" s="124">
        <f t="shared" si="13"/>
        <v>5</v>
      </c>
    </row>
    <row r="198" spans="1:8">
      <c r="A198" s="58"/>
      <c r="B198" s="121"/>
      <c r="C198" s="122"/>
      <c r="D198" s="114"/>
      <c r="E198" s="125"/>
      <c r="F198" s="126"/>
      <c r="G198" s="128" t="s">
        <v>594</v>
      </c>
      <c r="H198" s="77">
        <f>SUM(H176:H197)</f>
        <v>135</v>
      </c>
    </row>
    <row r="199" spans="1:8">
      <c r="A199" s="58"/>
      <c r="B199" s="129"/>
      <c r="C199" s="60"/>
      <c r="D199" s="61"/>
      <c r="E199" s="61"/>
      <c r="F199" s="61"/>
      <c r="G199" s="61"/>
      <c r="H199" s="60"/>
    </row>
    <row r="200" spans="1:8" ht="24">
      <c r="A200" s="58">
        <v>4.12</v>
      </c>
      <c r="B200" s="26" t="s">
        <v>264</v>
      </c>
      <c r="C200" s="60" t="s">
        <v>53</v>
      </c>
      <c r="D200" s="61"/>
      <c r="E200" s="61"/>
      <c r="F200" s="61"/>
      <c r="G200" s="61"/>
      <c r="H200" s="60">
        <f t="shared" si="12"/>
        <v>0</v>
      </c>
    </row>
    <row r="201" spans="1:8">
      <c r="A201" s="130"/>
      <c r="B201" s="131" t="s">
        <v>595</v>
      </c>
      <c r="C201" s="122" t="s">
        <v>465</v>
      </c>
      <c r="D201" s="125"/>
      <c r="E201" s="125"/>
      <c r="F201" s="126"/>
      <c r="G201" s="127"/>
      <c r="H201" s="124"/>
    </row>
    <row r="202" spans="1:8">
      <c r="A202" s="130"/>
      <c r="B202" s="121" t="s">
        <v>596</v>
      </c>
      <c r="C202" s="122" t="s">
        <v>465</v>
      </c>
      <c r="D202" s="125">
        <v>1</v>
      </c>
      <c r="E202" s="125">
        <f>1+11+14+4</f>
        <v>30</v>
      </c>
      <c r="F202" s="126"/>
      <c r="G202" s="127"/>
      <c r="H202" s="132">
        <f>D202*E202</f>
        <v>30</v>
      </c>
    </row>
    <row r="203" spans="1:8">
      <c r="A203" s="130"/>
      <c r="B203" s="121" t="s">
        <v>597</v>
      </c>
      <c r="C203" s="122" t="s">
        <v>465</v>
      </c>
      <c r="D203" s="123">
        <v>1</v>
      </c>
      <c r="E203" s="123">
        <f>1+9+14+4</f>
        <v>28</v>
      </c>
      <c r="F203" s="123"/>
      <c r="G203" s="123"/>
      <c r="H203" s="132">
        <f>D203*E203</f>
        <v>28</v>
      </c>
    </row>
    <row r="204" spans="1:8">
      <c r="A204" s="130"/>
      <c r="B204" s="131" t="s">
        <v>598</v>
      </c>
      <c r="C204" s="122" t="s">
        <v>465</v>
      </c>
      <c r="D204" s="133">
        <v>1</v>
      </c>
      <c r="E204" s="123">
        <f>1+7.5+14+4</f>
        <v>26.5</v>
      </c>
      <c r="F204" s="123"/>
      <c r="G204" s="123"/>
      <c r="H204" s="132">
        <f>D204*E204</f>
        <v>26.5</v>
      </c>
    </row>
    <row r="205" spans="1:8">
      <c r="A205" s="130"/>
      <c r="B205" s="121" t="s">
        <v>599</v>
      </c>
      <c r="C205" s="122" t="s">
        <v>465</v>
      </c>
      <c r="D205" s="123">
        <v>1</v>
      </c>
      <c r="E205" s="123">
        <f>1+1.5+14+4</f>
        <v>20.5</v>
      </c>
      <c r="F205" s="134"/>
      <c r="G205" s="135"/>
      <c r="H205" s="132">
        <f>D205*E205</f>
        <v>20.5</v>
      </c>
    </row>
    <row r="206" spans="1:8">
      <c r="A206" s="130"/>
      <c r="B206" s="121"/>
      <c r="C206" s="122"/>
      <c r="D206" s="123"/>
      <c r="E206" s="123"/>
      <c r="F206" s="134"/>
      <c r="G206" s="128" t="s">
        <v>522</v>
      </c>
      <c r="H206" s="71">
        <f>SUM(H202:H205)</f>
        <v>105</v>
      </c>
    </row>
    <row r="207" spans="1:8">
      <c r="A207" s="58">
        <v>5</v>
      </c>
      <c r="B207" s="59" t="s">
        <v>265</v>
      </c>
      <c r="C207" s="60"/>
      <c r="D207" s="61"/>
      <c r="E207" s="61"/>
      <c r="F207" s="61"/>
      <c r="G207" s="61"/>
      <c r="H207" s="60">
        <f t="shared" si="12"/>
        <v>0</v>
      </c>
    </row>
    <row r="208" spans="1:8">
      <c r="A208" s="58" t="s">
        <v>268</v>
      </c>
      <c r="B208" s="136" t="s">
        <v>269</v>
      </c>
      <c r="C208" s="60" t="s">
        <v>28</v>
      </c>
      <c r="D208" s="61"/>
      <c r="E208" s="61"/>
      <c r="F208" s="61"/>
      <c r="G208" s="61"/>
      <c r="H208" s="60">
        <f>D208</f>
        <v>0</v>
      </c>
    </row>
    <row r="209" spans="1:8">
      <c r="A209" s="58"/>
      <c r="B209" s="121" t="s">
        <v>600</v>
      </c>
      <c r="C209" s="122" t="s">
        <v>47</v>
      </c>
      <c r="D209" s="125">
        <v>5</v>
      </c>
      <c r="E209" s="61">
        <v>1</v>
      </c>
      <c r="F209" s="61"/>
      <c r="G209" s="61"/>
      <c r="H209" s="60">
        <f>D209*E209</f>
        <v>5</v>
      </c>
    </row>
    <row r="210" spans="1:8">
      <c r="A210" s="58"/>
      <c r="B210" s="121" t="s">
        <v>601</v>
      </c>
      <c r="C210" s="122" t="s">
        <v>47</v>
      </c>
      <c r="D210" s="125" t="s">
        <v>627</v>
      </c>
      <c r="E210" s="61">
        <v>1</v>
      </c>
      <c r="F210" s="61"/>
      <c r="G210" s="61"/>
      <c r="H210" s="60">
        <v>3</v>
      </c>
    </row>
    <row r="211" spans="1:8">
      <c r="A211" s="58"/>
      <c r="B211" s="136"/>
      <c r="C211" s="60"/>
      <c r="D211" s="61"/>
      <c r="E211" s="61"/>
      <c r="F211" s="61"/>
      <c r="G211" s="137" t="s">
        <v>602</v>
      </c>
      <c r="H211" s="77">
        <f>SUM(H209:H210)</f>
        <v>8</v>
      </c>
    </row>
    <row r="212" spans="1:8">
      <c r="A212" s="58" t="s">
        <v>270</v>
      </c>
      <c r="B212" s="136" t="s">
        <v>271</v>
      </c>
      <c r="C212" s="60" t="s">
        <v>28</v>
      </c>
      <c r="D212" s="61"/>
      <c r="E212" s="61"/>
      <c r="F212" s="61"/>
      <c r="G212" s="61"/>
      <c r="H212" s="60"/>
    </row>
    <row r="213" spans="1:8">
      <c r="A213" s="58"/>
      <c r="B213" s="121" t="s">
        <v>603</v>
      </c>
      <c r="C213" s="122" t="s">
        <v>47</v>
      </c>
      <c r="D213" s="125">
        <v>8</v>
      </c>
      <c r="E213" s="61">
        <v>1</v>
      </c>
      <c r="F213" s="61"/>
      <c r="G213" s="61"/>
      <c r="H213" s="60">
        <f>D213*E213</f>
        <v>8</v>
      </c>
    </row>
    <row r="214" spans="1:8">
      <c r="A214" s="58"/>
      <c r="B214" s="136"/>
      <c r="C214" s="60"/>
      <c r="D214" s="61"/>
      <c r="E214" s="61"/>
      <c r="F214" s="61"/>
      <c r="G214" s="137" t="s">
        <v>602</v>
      </c>
      <c r="H214" s="77">
        <f>SUM(H212:H213)</f>
        <v>8</v>
      </c>
    </row>
    <row r="215" spans="1:8" ht="15.75" customHeight="1">
      <c r="A215" s="58" t="s">
        <v>278</v>
      </c>
      <c r="B215" s="138" t="s">
        <v>279</v>
      </c>
      <c r="C215" s="60" t="s">
        <v>28</v>
      </c>
      <c r="D215" s="61">
        <v>1</v>
      </c>
      <c r="E215" s="61"/>
      <c r="F215" s="61"/>
      <c r="G215" s="61"/>
      <c r="H215" s="139">
        <f>D215</f>
        <v>1</v>
      </c>
    </row>
    <row r="216" spans="1:8">
      <c r="A216" s="58" t="s">
        <v>280</v>
      </c>
      <c r="B216" s="138" t="s">
        <v>281</v>
      </c>
      <c r="C216" s="60" t="s">
        <v>28</v>
      </c>
      <c r="D216" s="61">
        <v>1</v>
      </c>
      <c r="E216" s="61"/>
      <c r="F216" s="61"/>
      <c r="G216" s="61"/>
      <c r="H216" s="139">
        <f>D216</f>
        <v>1</v>
      </c>
    </row>
    <row r="217" spans="1:8">
      <c r="A217" s="58"/>
      <c r="B217" s="60"/>
      <c r="C217" s="60"/>
      <c r="D217" s="61"/>
      <c r="E217" s="61"/>
      <c r="F217" s="61"/>
      <c r="G217" s="61"/>
      <c r="H217" s="60">
        <f t="shared" ref="H217:H218" si="14">F217*E217*D217</f>
        <v>0</v>
      </c>
    </row>
    <row r="218" spans="1:8">
      <c r="A218" s="58">
        <v>6</v>
      </c>
      <c r="B218" s="59" t="s">
        <v>282</v>
      </c>
      <c r="C218" s="60"/>
      <c r="D218" s="61"/>
      <c r="E218" s="61"/>
      <c r="F218" s="61"/>
      <c r="G218" s="61"/>
      <c r="H218" s="60">
        <f t="shared" si="14"/>
        <v>0</v>
      </c>
    </row>
    <row r="219" spans="1:8">
      <c r="A219" s="58" t="s">
        <v>285</v>
      </c>
      <c r="B219" s="24" t="s">
        <v>286</v>
      </c>
      <c r="C219" s="60" t="s">
        <v>53</v>
      </c>
      <c r="D219" s="61">
        <v>1</v>
      </c>
      <c r="E219" s="61">
        <v>50</v>
      </c>
      <c r="F219" s="61"/>
      <c r="G219" s="61"/>
      <c r="H219" s="139">
        <f>D219*E219</f>
        <v>50</v>
      </c>
    </row>
    <row r="220" spans="1:8">
      <c r="A220" s="58"/>
      <c r="B220" s="60"/>
      <c r="C220" s="60"/>
      <c r="D220" s="61"/>
      <c r="E220" s="61"/>
      <c r="F220" s="61"/>
      <c r="G220" s="61"/>
      <c r="H220" s="60">
        <f>F220*E220*D220</f>
        <v>0</v>
      </c>
    </row>
    <row r="221" spans="1:8">
      <c r="A221" s="58">
        <v>7</v>
      </c>
      <c r="B221" s="87" t="s">
        <v>287</v>
      </c>
      <c r="C221" s="60"/>
      <c r="D221" s="60"/>
      <c r="E221" s="61"/>
      <c r="F221" s="61"/>
      <c r="G221" s="61"/>
      <c r="H221" s="60"/>
    </row>
    <row r="222" spans="1:8">
      <c r="A222" s="88" t="s">
        <v>290</v>
      </c>
      <c r="B222" s="138" t="s">
        <v>371</v>
      </c>
      <c r="C222" s="60" t="s">
        <v>28</v>
      </c>
      <c r="D222" s="61">
        <v>6</v>
      </c>
      <c r="E222" s="61"/>
      <c r="F222" s="61"/>
      <c r="G222" s="61"/>
      <c r="H222" s="77">
        <f>D222</f>
        <v>6</v>
      </c>
    </row>
    <row r="223" spans="1:8">
      <c r="A223" s="30">
        <v>9</v>
      </c>
      <c r="B223" s="31" t="s">
        <v>393</v>
      </c>
      <c r="C223" s="30"/>
      <c r="D223" s="60"/>
      <c r="E223" s="61"/>
      <c r="F223" s="61"/>
      <c r="G223" s="61"/>
      <c r="H223" s="60"/>
    </row>
    <row r="224" spans="1:8" ht="84">
      <c r="A224" s="32">
        <v>9.1999999999999993</v>
      </c>
      <c r="B224" s="33" t="s">
        <v>448</v>
      </c>
      <c r="C224" s="32" t="s">
        <v>47</v>
      </c>
      <c r="D224" s="60">
        <v>1</v>
      </c>
      <c r="E224" s="61"/>
      <c r="F224" s="61"/>
      <c r="G224" s="61"/>
      <c r="H224" s="77">
        <f>D224</f>
        <v>1</v>
      </c>
    </row>
    <row r="225" spans="1:8" ht="24">
      <c r="A225" s="32">
        <v>10</v>
      </c>
      <c r="B225" s="33" t="s">
        <v>396</v>
      </c>
      <c r="C225" s="32" t="s">
        <v>397</v>
      </c>
      <c r="D225" s="60"/>
      <c r="E225" s="61"/>
      <c r="F225" s="61"/>
      <c r="G225" s="61"/>
      <c r="H225" s="60"/>
    </row>
    <row r="226" spans="1:8">
      <c r="A226" s="32"/>
      <c r="B226" s="60" t="s">
        <v>604</v>
      </c>
      <c r="C226" s="32" t="s">
        <v>397</v>
      </c>
      <c r="D226" s="60">
        <v>1</v>
      </c>
      <c r="E226" s="60">
        <f>0.5+6+2+2</f>
        <v>10.5</v>
      </c>
      <c r="F226" s="60"/>
      <c r="G226" s="60"/>
      <c r="H226" s="60">
        <f>D226*E226</f>
        <v>10.5</v>
      </c>
    </row>
    <row r="227" spans="1:8">
      <c r="A227" s="32"/>
      <c r="B227" s="60" t="s">
        <v>605</v>
      </c>
      <c r="C227" s="32" t="s">
        <v>397</v>
      </c>
      <c r="D227" s="60">
        <v>1</v>
      </c>
      <c r="E227" s="60">
        <f>6+2</f>
        <v>8</v>
      </c>
      <c r="F227" s="60"/>
      <c r="G227" s="60"/>
      <c r="H227" s="60">
        <f>D227*E227</f>
        <v>8</v>
      </c>
    </row>
    <row r="228" spans="1:8">
      <c r="A228" s="29"/>
      <c r="B228" s="60"/>
      <c r="C228" s="60"/>
      <c r="D228" s="60"/>
      <c r="E228" s="61"/>
      <c r="F228" s="882" t="s">
        <v>464</v>
      </c>
      <c r="G228" s="888"/>
      <c r="H228" s="59">
        <f>SUM(H226:H227)</f>
        <v>18.5</v>
      </c>
    </row>
    <row r="229" spans="1:8">
      <c r="A229" s="140"/>
      <c r="C229" s="141"/>
      <c r="D229" s="141"/>
      <c r="E229" s="115"/>
      <c r="F229" s="142"/>
      <c r="G229" s="143"/>
      <c r="H229" s="144"/>
    </row>
    <row r="230" spans="1:8">
      <c r="A230" s="889" t="s">
        <v>606</v>
      </c>
      <c r="B230" s="889"/>
      <c r="C230" s="889"/>
      <c r="D230" s="889"/>
      <c r="E230" s="889"/>
      <c r="F230" s="889"/>
      <c r="G230" s="889"/>
      <c r="H230" s="889"/>
    </row>
    <row r="231" spans="1:8">
      <c r="A231" s="889"/>
      <c r="B231" s="889"/>
      <c r="C231" s="889"/>
      <c r="D231" s="889"/>
      <c r="E231" s="889"/>
      <c r="F231" s="889"/>
      <c r="G231" s="889"/>
      <c r="H231" s="889"/>
    </row>
    <row r="232" spans="1:8">
      <c r="A232" s="94"/>
      <c r="B232" s="60"/>
      <c r="C232" s="60"/>
      <c r="D232" s="60"/>
      <c r="E232" s="61"/>
      <c r="F232" s="58"/>
      <c r="G232" s="58"/>
      <c r="H232" s="59"/>
    </row>
    <row r="233" spans="1:8" ht="38.25">
      <c r="A233" s="94">
        <v>1</v>
      </c>
      <c r="B233" s="93" t="s">
        <v>302</v>
      </c>
      <c r="C233" s="60"/>
      <c r="D233" s="60"/>
      <c r="E233" s="61"/>
      <c r="F233" s="58"/>
      <c r="G233" s="58"/>
      <c r="H233" s="59"/>
    </row>
    <row r="234" spans="1:8">
      <c r="A234" s="94"/>
      <c r="B234" s="60" t="s">
        <v>621</v>
      </c>
      <c r="C234" s="91" t="s">
        <v>397</v>
      </c>
      <c r="D234" s="60">
        <v>1</v>
      </c>
      <c r="E234" s="60">
        <f>1.5+2.5+14+5</f>
        <v>23</v>
      </c>
      <c r="F234" s="60"/>
      <c r="G234" s="60"/>
      <c r="H234" s="60">
        <f>D234*E234</f>
        <v>23</v>
      </c>
    </row>
    <row r="235" spans="1:8">
      <c r="A235" s="94"/>
      <c r="B235" s="60" t="s">
        <v>622</v>
      </c>
      <c r="C235" s="91" t="s">
        <v>397</v>
      </c>
      <c r="D235" s="60">
        <v>1</v>
      </c>
      <c r="E235" s="60">
        <f>2+3+0.5+1+14+5</f>
        <v>25.5</v>
      </c>
      <c r="F235" s="60"/>
      <c r="G235" s="60"/>
      <c r="H235" s="60">
        <f>D235*E235</f>
        <v>25.5</v>
      </c>
    </row>
    <row r="236" spans="1:8">
      <c r="A236" s="94"/>
      <c r="B236" s="60"/>
      <c r="C236" s="60"/>
      <c r="D236" s="61"/>
      <c r="E236" s="60"/>
      <c r="F236" s="60"/>
      <c r="G236" s="71" t="s">
        <v>522</v>
      </c>
      <c r="H236" s="77">
        <f>SUM(H234:H235)</f>
        <v>48.5</v>
      </c>
    </row>
    <row r="237" spans="1:8">
      <c r="A237" s="94"/>
      <c r="B237" s="60"/>
      <c r="C237" s="60"/>
      <c r="D237" s="60"/>
      <c r="E237" s="61"/>
      <c r="F237" s="58"/>
      <c r="G237" s="58"/>
      <c r="H237" s="59"/>
    </row>
    <row r="238" spans="1:8" ht="108">
      <c r="A238" s="807">
        <v>2</v>
      </c>
      <c r="B238" s="300" t="s">
        <v>435</v>
      </c>
      <c r="C238" s="386"/>
      <c r="D238" s="60"/>
      <c r="E238" s="61"/>
      <c r="F238" s="61"/>
      <c r="G238" s="61"/>
      <c r="H238" s="60"/>
    </row>
    <row r="239" spans="1:8">
      <c r="A239" s="58" t="s">
        <v>13</v>
      </c>
      <c r="B239" s="301" t="s">
        <v>822</v>
      </c>
      <c r="C239" s="806" t="s">
        <v>466</v>
      </c>
      <c r="D239" s="77"/>
      <c r="E239" s="137">
        <v>9.5</v>
      </c>
      <c r="F239" s="137"/>
      <c r="G239" s="137"/>
      <c r="H239" s="77">
        <f>E239</f>
        <v>9.5</v>
      </c>
    </row>
    <row r="240" spans="1:8">
      <c r="A240" s="58"/>
      <c r="B240" s="60"/>
      <c r="C240" s="60"/>
      <c r="D240" s="60"/>
      <c r="E240" s="61"/>
      <c r="F240" s="61"/>
      <c r="G240" s="61"/>
      <c r="H240" s="60"/>
    </row>
    <row r="241" spans="1:8">
      <c r="A241" s="58">
        <v>3</v>
      </c>
      <c r="B241" s="60" t="s">
        <v>823</v>
      </c>
      <c r="C241" s="60"/>
      <c r="D241" s="60"/>
      <c r="E241" s="61"/>
      <c r="F241" s="61"/>
      <c r="G241" s="61"/>
      <c r="H241" s="60"/>
    </row>
    <row r="242" spans="1:8">
      <c r="A242" s="58"/>
      <c r="B242" s="60" t="s">
        <v>824</v>
      </c>
      <c r="C242" s="77" t="s">
        <v>466</v>
      </c>
      <c r="D242" s="77"/>
      <c r="E242" s="77">
        <f>(1+2.5)</f>
        <v>3.5</v>
      </c>
      <c r="F242" s="137"/>
      <c r="G242" s="137"/>
      <c r="H242" s="77">
        <f>E242</f>
        <v>3.5</v>
      </c>
    </row>
  </sheetData>
  <mergeCells count="11">
    <mergeCell ref="F128:G128"/>
    <mergeCell ref="F132:G132"/>
    <mergeCell ref="F147:G147"/>
    <mergeCell ref="F228:G228"/>
    <mergeCell ref="A230:H231"/>
    <mergeCell ref="A121:H121"/>
    <mergeCell ref="A1:H1"/>
    <mergeCell ref="A2:H2"/>
    <mergeCell ref="A3:H3"/>
    <mergeCell ref="A4:H4"/>
    <mergeCell ref="C98:G98"/>
  </mergeCells>
  <pageMargins left="0.7" right="0.7" top="0.75" bottom="0.75" header="0.3" footer="0.3"/>
  <ignoredErrors>
    <ignoredError sqref="H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2"/>
  <sheetViews>
    <sheetView topLeftCell="A24" zoomScale="82" zoomScaleNormal="82" workbookViewId="0">
      <selection activeCell="K36" sqref="K36"/>
    </sheetView>
  </sheetViews>
  <sheetFormatPr defaultRowHeight="15"/>
  <cols>
    <col min="4" max="4" width="28" bestFit="1" customWidth="1"/>
    <col min="5" max="5" width="53.85546875" customWidth="1"/>
    <col min="6" max="6" width="8.7109375" style="804"/>
    <col min="9" max="9" width="11.85546875" customWidth="1"/>
  </cols>
  <sheetData>
    <row r="1" spans="1:9" ht="24.95" customHeight="1" thickBot="1">
      <c r="A1" s="890" t="s">
        <v>804</v>
      </c>
      <c r="B1" s="891"/>
      <c r="C1" s="891"/>
      <c r="D1" s="891"/>
      <c r="E1" s="891"/>
      <c r="F1" s="891"/>
      <c r="G1" s="891"/>
      <c r="H1" s="891"/>
      <c r="I1" s="892"/>
    </row>
    <row r="2" spans="1:9" ht="30">
      <c r="A2" s="790"/>
      <c r="B2" s="791" t="s">
        <v>733</v>
      </c>
      <c r="C2" s="792" t="s">
        <v>688</v>
      </c>
      <c r="D2" s="793" t="s">
        <v>797</v>
      </c>
      <c r="E2" s="794" t="s">
        <v>134</v>
      </c>
      <c r="F2" s="795" t="s">
        <v>26</v>
      </c>
      <c r="G2" s="796" t="s">
        <v>133</v>
      </c>
      <c r="H2" s="796" t="s">
        <v>623</v>
      </c>
      <c r="I2" s="796" t="s">
        <v>800</v>
      </c>
    </row>
    <row r="3" spans="1:9">
      <c r="A3" s="797"/>
      <c r="B3" s="797"/>
      <c r="C3" s="797">
        <v>1</v>
      </c>
      <c r="D3" s="798" t="s">
        <v>735</v>
      </c>
      <c r="E3" s="60" t="s">
        <v>801</v>
      </c>
      <c r="F3" s="799" t="s">
        <v>626</v>
      </c>
      <c r="G3" s="61">
        <f>'MB Common Area'!K6</f>
        <v>10.263513599999998</v>
      </c>
      <c r="H3" s="60">
        <v>1350</v>
      </c>
      <c r="I3" s="60">
        <f>G3*H3</f>
        <v>13855.743359999997</v>
      </c>
    </row>
    <row r="4" spans="1:9">
      <c r="A4" s="797"/>
      <c r="B4" s="797"/>
      <c r="C4" s="797"/>
      <c r="D4" s="798"/>
      <c r="E4" s="60"/>
      <c r="F4" s="799"/>
      <c r="G4" s="61"/>
      <c r="H4" s="60"/>
      <c r="I4" s="60"/>
    </row>
    <row r="5" spans="1:9" ht="90">
      <c r="A5" s="797"/>
      <c r="B5" s="797"/>
      <c r="C5" s="797">
        <v>2</v>
      </c>
      <c r="D5" s="798" t="s">
        <v>737</v>
      </c>
      <c r="E5" s="800" t="s">
        <v>738</v>
      </c>
      <c r="F5" s="799" t="s">
        <v>626</v>
      </c>
      <c r="G5" s="61">
        <f>'MB Common Area'!K9</f>
        <v>14.685216</v>
      </c>
      <c r="H5" s="60">
        <v>3500</v>
      </c>
      <c r="I5" s="60">
        <f>G5*H5</f>
        <v>51398.256000000001</v>
      </c>
    </row>
    <row r="6" spans="1:9">
      <c r="A6" s="797"/>
      <c r="B6" s="797"/>
      <c r="C6" s="797"/>
      <c r="D6" s="798"/>
      <c r="E6" s="60"/>
      <c r="F6" s="799"/>
      <c r="G6" s="61"/>
      <c r="H6" s="60"/>
      <c r="I6" s="60"/>
    </row>
    <row r="7" spans="1:9">
      <c r="A7" s="797"/>
      <c r="B7" s="797"/>
      <c r="C7" s="797">
        <v>3</v>
      </c>
      <c r="D7" s="798" t="s">
        <v>739</v>
      </c>
      <c r="E7" s="60" t="s">
        <v>740</v>
      </c>
      <c r="F7" s="799" t="s">
        <v>28</v>
      </c>
      <c r="G7" s="61">
        <f>'MB Common Area'!K11</f>
        <v>2</v>
      </c>
      <c r="H7" s="60">
        <v>4000</v>
      </c>
      <c r="I7" s="60">
        <f>G7*H7</f>
        <v>8000</v>
      </c>
    </row>
    <row r="8" spans="1:9">
      <c r="A8" s="797"/>
      <c r="B8" s="797"/>
      <c r="C8" s="797"/>
      <c r="D8" s="798"/>
      <c r="E8" s="60"/>
      <c r="F8" s="799"/>
      <c r="G8" s="61"/>
      <c r="H8" s="60"/>
      <c r="I8" s="60"/>
    </row>
    <row r="9" spans="1:9" ht="30">
      <c r="A9" s="797"/>
      <c r="B9" s="797"/>
      <c r="C9" s="797">
        <v>4</v>
      </c>
      <c r="D9" s="798" t="s">
        <v>741</v>
      </c>
      <c r="E9" s="800" t="s">
        <v>742</v>
      </c>
      <c r="F9" s="801" t="s">
        <v>626</v>
      </c>
      <c r="G9" s="390">
        <f>'MB Common Area'!K17</f>
        <v>219</v>
      </c>
      <c r="H9" s="805">
        <v>250</v>
      </c>
      <c r="I9" s="60">
        <f>G9*H9</f>
        <v>54750</v>
      </c>
    </row>
    <row r="10" spans="1:9">
      <c r="A10" s="797"/>
      <c r="B10" s="797"/>
      <c r="C10" s="797"/>
      <c r="D10" s="798"/>
      <c r="E10" s="60"/>
      <c r="F10" s="81"/>
      <c r="G10" s="58"/>
      <c r="H10" s="60"/>
      <c r="I10" s="60"/>
    </row>
    <row r="11" spans="1:9">
      <c r="A11" s="797"/>
      <c r="B11" s="797"/>
      <c r="C11" s="797">
        <v>5</v>
      </c>
      <c r="D11" s="798" t="s">
        <v>746</v>
      </c>
      <c r="E11" s="60" t="s">
        <v>747</v>
      </c>
      <c r="F11" s="799" t="s">
        <v>802</v>
      </c>
      <c r="G11" s="61">
        <f>'MB Common Area'!K42</f>
        <v>330.61481599999996</v>
      </c>
      <c r="H11" s="60">
        <v>140</v>
      </c>
      <c r="I11" s="60">
        <f>G11*H11</f>
        <v>46286.074239999994</v>
      </c>
    </row>
    <row r="12" spans="1:9">
      <c r="A12" s="797"/>
      <c r="B12" s="797"/>
      <c r="C12" s="797"/>
      <c r="D12" s="798"/>
      <c r="E12" s="60"/>
      <c r="F12" s="799"/>
      <c r="G12" s="61"/>
      <c r="H12" s="60"/>
      <c r="I12" s="60"/>
    </row>
    <row r="13" spans="1:9">
      <c r="A13" s="797"/>
      <c r="B13" s="797"/>
      <c r="C13" s="797">
        <v>6</v>
      </c>
      <c r="D13" s="798" t="s">
        <v>756</v>
      </c>
      <c r="E13" s="60" t="s">
        <v>757</v>
      </c>
      <c r="F13" s="799" t="s">
        <v>803</v>
      </c>
      <c r="G13" s="61">
        <f>'MB Common Area'!K47</f>
        <v>29.918679999999995</v>
      </c>
      <c r="H13" s="60">
        <v>165</v>
      </c>
      <c r="I13" s="60">
        <f>G13*H13</f>
        <v>4936.5821999999989</v>
      </c>
    </row>
    <row r="14" spans="1:9">
      <c r="A14" s="797"/>
      <c r="B14" s="797"/>
      <c r="C14" s="797"/>
      <c r="D14" s="798"/>
      <c r="E14" s="60"/>
      <c r="F14" s="799"/>
      <c r="G14" s="61"/>
      <c r="H14" s="60"/>
      <c r="I14" s="60"/>
    </row>
    <row r="15" spans="1:9">
      <c r="A15" s="797"/>
      <c r="B15" s="797"/>
      <c r="C15" s="797">
        <v>7</v>
      </c>
      <c r="D15" s="798" t="s">
        <v>761</v>
      </c>
      <c r="E15" s="60" t="s">
        <v>762</v>
      </c>
      <c r="F15" s="799" t="s">
        <v>88</v>
      </c>
      <c r="G15" s="61">
        <f>'MB Common Area'!K54</f>
        <v>105.86104</v>
      </c>
      <c r="H15" s="60">
        <v>35</v>
      </c>
      <c r="I15" s="60">
        <f>G15*H15</f>
        <v>3705.1364000000003</v>
      </c>
    </row>
    <row r="16" spans="1:9">
      <c r="A16" s="797"/>
      <c r="B16" s="797"/>
      <c r="C16" s="797"/>
      <c r="D16" s="798"/>
      <c r="E16" s="60"/>
      <c r="F16" s="799"/>
      <c r="G16" s="61"/>
      <c r="H16" s="60"/>
      <c r="I16" s="60"/>
    </row>
    <row r="17" spans="1:9" ht="30">
      <c r="A17" s="797"/>
      <c r="B17" s="802" t="s">
        <v>50</v>
      </c>
      <c r="C17" s="797">
        <v>8</v>
      </c>
      <c r="D17" s="798" t="s">
        <v>766</v>
      </c>
      <c r="E17" s="60"/>
      <c r="F17" s="799"/>
      <c r="G17" s="61"/>
      <c r="H17" s="60"/>
      <c r="I17" s="60"/>
    </row>
    <row r="18" spans="1:9">
      <c r="A18" s="797"/>
      <c r="B18" s="797"/>
      <c r="C18" s="797"/>
      <c r="D18" s="798"/>
      <c r="E18" s="60" t="s">
        <v>767</v>
      </c>
      <c r="F18" s="81" t="s">
        <v>466</v>
      </c>
      <c r="G18" s="58">
        <f>'MB Common Area'!K57</f>
        <v>3.5</v>
      </c>
      <c r="H18" s="60">
        <v>315</v>
      </c>
      <c r="I18" s="60">
        <f>G18*H18</f>
        <v>1102.5</v>
      </c>
    </row>
    <row r="19" spans="1:9">
      <c r="A19" s="797"/>
      <c r="B19" s="797"/>
      <c r="C19" s="797"/>
      <c r="D19" s="798"/>
      <c r="E19" s="60" t="s">
        <v>768</v>
      </c>
      <c r="F19" s="799" t="s">
        <v>466</v>
      </c>
      <c r="G19" s="61">
        <f>'MB Common Area'!K60</f>
        <v>26</v>
      </c>
      <c r="H19" s="60">
        <v>270</v>
      </c>
      <c r="I19" s="60">
        <f>G19*H19</f>
        <v>7020</v>
      </c>
    </row>
    <row r="20" spans="1:9">
      <c r="A20" s="797"/>
      <c r="B20" s="797"/>
      <c r="C20" s="797"/>
      <c r="D20" s="798"/>
      <c r="E20" s="60"/>
      <c r="F20" s="799"/>
      <c r="G20" s="61"/>
      <c r="H20" s="60"/>
      <c r="I20" s="60"/>
    </row>
    <row r="21" spans="1:9">
      <c r="A21" s="797"/>
      <c r="B21" s="797"/>
      <c r="C21" s="797"/>
      <c r="D21" s="798" t="s">
        <v>770</v>
      </c>
      <c r="E21" s="60" t="s">
        <v>771</v>
      </c>
      <c r="F21" s="799" t="s">
        <v>28</v>
      </c>
      <c r="G21" s="61">
        <f>'MB Common Area'!K62</f>
        <v>3</v>
      </c>
      <c r="H21" s="60">
        <v>1150</v>
      </c>
      <c r="I21" s="60">
        <f>G21*H21</f>
        <v>3450</v>
      </c>
    </row>
    <row r="22" spans="1:9">
      <c r="A22" s="797"/>
      <c r="B22" s="797"/>
      <c r="C22" s="797"/>
      <c r="D22" s="798"/>
      <c r="E22" s="60"/>
      <c r="F22" s="799"/>
      <c r="G22" s="61"/>
      <c r="H22" s="60"/>
      <c r="I22" s="60"/>
    </row>
    <row r="23" spans="1:9">
      <c r="A23" s="797"/>
      <c r="B23" s="802" t="s">
        <v>772</v>
      </c>
      <c r="C23" s="797">
        <v>9</v>
      </c>
      <c r="D23" s="798" t="s">
        <v>773</v>
      </c>
      <c r="E23" s="60" t="s">
        <v>830</v>
      </c>
      <c r="F23" s="81" t="s">
        <v>466</v>
      </c>
      <c r="G23" s="59">
        <f>'MB Common Area'!K67</f>
        <v>94.5</v>
      </c>
      <c r="H23" s="60">
        <v>171</v>
      </c>
      <c r="I23" s="60">
        <f>G23*H23</f>
        <v>16159.5</v>
      </c>
    </row>
    <row r="24" spans="1:9">
      <c r="A24" s="797"/>
      <c r="B24" s="797"/>
      <c r="C24" s="797"/>
      <c r="D24" s="798"/>
      <c r="E24" s="60"/>
      <c r="F24" s="799"/>
      <c r="G24" s="61"/>
      <c r="H24" s="60"/>
      <c r="I24" s="60"/>
    </row>
    <row r="25" spans="1:9" s="811" customFormat="1">
      <c r="A25" s="195"/>
      <c r="B25" s="195"/>
      <c r="C25" s="195"/>
      <c r="D25" s="200"/>
      <c r="E25" s="124" t="s">
        <v>831</v>
      </c>
      <c r="F25" s="808" t="s">
        <v>466</v>
      </c>
      <c r="G25" s="123">
        <f>'MB Common Area'!K69</f>
        <v>45</v>
      </c>
      <c r="H25" s="124">
        <v>270</v>
      </c>
      <c r="I25" s="124">
        <f>H25*G25</f>
        <v>12150</v>
      </c>
    </row>
    <row r="26" spans="1:9">
      <c r="A26" s="797"/>
      <c r="B26" s="797"/>
      <c r="C26" s="797"/>
      <c r="D26" s="798"/>
      <c r="E26" s="60"/>
      <c r="F26" s="799"/>
      <c r="G26" s="61"/>
      <c r="H26" s="60"/>
      <c r="I26" s="60"/>
    </row>
    <row r="27" spans="1:9">
      <c r="A27" s="797"/>
      <c r="B27" s="797"/>
      <c r="C27" s="797"/>
      <c r="D27" s="798"/>
      <c r="E27" s="60" t="s">
        <v>776</v>
      </c>
      <c r="F27" s="799" t="s">
        <v>466</v>
      </c>
      <c r="G27" s="61">
        <f>'MB Common Area'!K72</f>
        <v>40</v>
      </c>
      <c r="H27" s="60">
        <v>315</v>
      </c>
      <c r="I27" s="60">
        <f>G27*H27</f>
        <v>12600</v>
      </c>
    </row>
    <row r="28" spans="1:9">
      <c r="A28" s="797"/>
      <c r="B28" s="797"/>
      <c r="C28" s="797"/>
      <c r="D28" s="798"/>
      <c r="E28" s="60"/>
      <c r="F28" s="799"/>
      <c r="G28" s="61"/>
      <c r="H28" s="60"/>
      <c r="I28" s="60"/>
    </row>
    <row r="29" spans="1:9">
      <c r="A29" s="797"/>
      <c r="B29" s="797"/>
      <c r="C29" s="797">
        <v>10</v>
      </c>
      <c r="D29" s="798" t="s">
        <v>778</v>
      </c>
      <c r="E29" s="60" t="s">
        <v>779</v>
      </c>
      <c r="F29" s="799" t="s">
        <v>466</v>
      </c>
      <c r="G29" s="61">
        <f>'MB Common Area'!K77</f>
        <v>54</v>
      </c>
      <c r="H29" s="60">
        <v>65</v>
      </c>
      <c r="I29" s="60">
        <f>G29*H29</f>
        <v>3510</v>
      </c>
    </row>
    <row r="30" spans="1:9">
      <c r="A30" s="797"/>
      <c r="B30" s="797"/>
      <c r="C30" s="797"/>
      <c r="D30" s="798"/>
      <c r="E30" s="60"/>
      <c r="F30" s="81"/>
      <c r="G30" s="58"/>
      <c r="H30" s="60"/>
      <c r="I30" s="60"/>
    </row>
    <row r="31" spans="1:9">
      <c r="A31" s="797"/>
      <c r="B31" s="797"/>
      <c r="C31" s="797">
        <v>11</v>
      </c>
      <c r="D31" s="798" t="s">
        <v>780</v>
      </c>
      <c r="E31" s="60" t="s">
        <v>781</v>
      </c>
      <c r="F31" s="81" t="s">
        <v>28</v>
      </c>
      <c r="G31" s="61">
        <f>'MB Common Area'!K79</f>
        <v>1</v>
      </c>
      <c r="H31" s="60">
        <v>23500</v>
      </c>
      <c r="I31" s="60">
        <f>G31*H31</f>
        <v>23500</v>
      </c>
    </row>
    <row r="32" spans="1:9">
      <c r="A32" s="797"/>
      <c r="B32" s="797"/>
      <c r="C32" s="797"/>
      <c r="D32" s="798"/>
      <c r="E32" s="60"/>
      <c r="F32" s="799"/>
      <c r="G32" s="61"/>
      <c r="H32" s="60"/>
      <c r="I32" s="60"/>
    </row>
    <row r="33" spans="1:9">
      <c r="A33" s="797"/>
      <c r="B33" s="797"/>
      <c r="C33" s="797">
        <v>12</v>
      </c>
      <c r="D33" s="798" t="s">
        <v>782</v>
      </c>
      <c r="E33" s="60" t="s">
        <v>783</v>
      </c>
      <c r="F33" s="81" t="s">
        <v>28</v>
      </c>
      <c r="G33" s="61">
        <f>'MB Common Area'!K81</f>
        <v>8</v>
      </c>
      <c r="H33" s="60">
        <v>4500</v>
      </c>
      <c r="I33" s="60">
        <f>G33*H33</f>
        <v>36000</v>
      </c>
    </row>
    <row r="34" spans="1:9">
      <c r="A34" s="797"/>
      <c r="B34" s="797"/>
      <c r="C34" s="797"/>
      <c r="D34" s="798"/>
      <c r="E34" s="60"/>
      <c r="F34" s="799"/>
      <c r="G34" s="60"/>
      <c r="H34" s="60"/>
      <c r="I34" s="60"/>
    </row>
    <row r="35" spans="1:9">
      <c r="A35" s="60"/>
      <c r="B35" s="60"/>
      <c r="C35" s="803">
        <v>13</v>
      </c>
      <c r="D35" s="61" t="s">
        <v>788</v>
      </c>
      <c r="E35" s="60" t="s">
        <v>841</v>
      </c>
      <c r="F35" s="799" t="s">
        <v>626</v>
      </c>
      <c r="G35" s="60">
        <f>'MB Common Area'!K87</f>
        <v>141.36967935999996</v>
      </c>
      <c r="H35" s="60">
        <v>90</v>
      </c>
      <c r="I35" s="60">
        <f>G35*H35</f>
        <v>12723.271142399997</v>
      </c>
    </row>
    <row r="36" spans="1:9">
      <c r="A36" s="60"/>
      <c r="B36" s="60"/>
      <c r="C36" s="60"/>
      <c r="D36" s="60"/>
      <c r="E36" s="60"/>
      <c r="F36" s="799"/>
      <c r="G36" s="60"/>
      <c r="H36" s="60"/>
      <c r="I36" s="60"/>
    </row>
    <row r="37" spans="1:9">
      <c r="A37" s="60"/>
      <c r="B37" s="60"/>
      <c r="C37" s="803">
        <v>14</v>
      </c>
      <c r="D37" s="61" t="s">
        <v>794</v>
      </c>
      <c r="E37" s="60" t="s">
        <v>795</v>
      </c>
      <c r="F37" s="799" t="s">
        <v>796</v>
      </c>
      <c r="G37" s="60">
        <f>'MB Common Area'!K89</f>
        <v>8</v>
      </c>
      <c r="H37" s="60">
        <v>1000</v>
      </c>
      <c r="I37" s="60">
        <f>G37*H37</f>
        <v>8000</v>
      </c>
    </row>
    <row r="38" spans="1:9">
      <c r="A38" s="124"/>
      <c r="B38" s="124"/>
      <c r="C38" s="124"/>
      <c r="D38" s="124"/>
      <c r="E38" s="124"/>
      <c r="F38" s="808"/>
      <c r="G38" s="124"/>
      <c r="H38" s="124"/>
      <c r="I38" s="124"/>
    </row>
    <row r="39" spans="1:9" s="811" customFormat="1">
      <c r="A39" s="124"/>
      <c r="B39" s="124"/>
      <c r="C39" s="123">
        <v>15</v>
      </c>
      <c r="D39" s="123" t="s">
        <v>826</v>
      </c>
      <c r="E39" s="124" t="s">
        <v>827</v>
      </c>
      <c r="F39" s="808" t="s">
        <v>466</v>
      </c>
      <c r="G39" s="124">
        <f>'MB Common Area'!K94</f>
        <v>30</v>
      </c>
      <c r="H39" s="124">
        <v>800</v>
      </c>
      <c r="I39" s="124">
        <f>H39*G39</f>
        <v>24000</v>
      </c>
    </row>
    <row r="40" spans="1:9">
      <c r="A40" s="60"/>
      <c r="B40" s="60"/>
      <c r="C40" s="60"/>
      <c r="D40" s="60"/>
      <c r="E40" s="60"/>
      <c r="F40" s="799"/>
      <c r="G40" s="60"/>
      <c r="H40" s="60"/>
      <c r="I40" s="60"/>
    </row>
    <row r="41" spans="1:9" s="811" customFormat="1">
      <c r="A41" s="124"/>
      <c r="B41" s="124"/>
      <c r="C41" s="812">
        <v>16</v>
      </c>
      <c r="D41" s="124" t="s">
        <v>832</v>
      </c>
      <c r="E41" s="124" t="s">
        <v>833</v>
      </c>
      <c r="F41" s="808" t="s">
        <v>28</v>
      </c>
      <c r="G41" s="124">
        <f>'MB Common Area'!K104</f>
        <v>27</v>
      </c>
      <c r="H41" s="124">
        <v>1500</v>
      </c>
      <c r="I41" s="124">
        <f>H41*G41</f>
        <v>40500</v>
      </c>
    </row>
    <row r="42" spans="1:9" ht="15.75">
      <c r="A42" s="60"/>
      <c r="B42" s="60"/>
      <c r="C42" s="60"/>
      <c r="D42" s="60"/>
      <c r="E42" s="813" t="s">
        <v>842</v>
      </c>
      <c r="F42" s="814"/>
      <c r="G42" s="815"/>
      <c r="H42" s="815"/>
      <c r="I42" s="815">
        <f>SUM(I3:I41)</f>
        <v>383647.06334240001</v>
      </c>
    </row>
  </sheetData>
  <mergeCells count="1">
    <mergeCell ref="A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4"/>
  <sheetViews>
    <sheetView zoomScale="83" zoomScaleNormal="83" workbookViewId="0">
      <selection activeCell="O8" sqref="O8"/>
    </sheetView>
  </sheetViews>
  <sheetFormatPr defaultRowHeight="15"/>
  <cols>
    <col min="4" max="4" width="26.85546875" customWidth="1"/>
    <col min="5" max="5" width="56.5703125" customWidth="1"/>
  </cols>
  <sheetData>
    <row r="1" spans="1:11" ht="20.100000000000001" customHeight="1">
      <c r="A1" s="866" t="s">
        <v>806</v>
      </c>
      <c r="B1" s="866"/>
      <c r="C1" s="866"/>
      <c r="D1" s="866"/>
      <c r="E1" s="866"/>
      <c r="F1" s="866"/>
      <c r="G1" s="866"/>
      <c r="H1" s="866"/>
      <c r="I1" s="866"/>
      <c r="J1" s="866"/>
      <c r="K1" s="866"/>
    </row>
    <row r="2" spans="1:11" ht="30">
      <c r="A2" s="718"/>
      <c r="B2" s="719" t="s">
        <v>733</v>
      </c>
      <c r="C2" s="730" t="s">
        <v>688</v>
      </c>
      <c r="D2" s="720" t="s">
        <v>797</v>
      </c>
      <c r="E2" s="731" t="s">
        <v>134</v>
      </c>
      <c r="F2" s="730" t="s">
        <v>26</v>
      </c>
      <c r="G2" s="732" t="s">
        <v>28</v>
      </c>
      <c r="H2" s="732" t="s">
        <v>798</v>
      </c>
      <c r="I2" s="732" t="s">
        <v>799</v>
      </c>
      <c r="J2" s="733"/>
      <c r="K2" s="732" t="s">
        <v>133</v>
      </c>
    </row>
    <row r="3" spans="1:11">
      <c r="A3" s="718"/>
      <c r="B3" s="718"/>
      <c r="C3" s="718">
        <v>1</v>
      </c>
      <c r="D3" s="722" t="s">
        <v>735</v>
      </c>
      <c r="E3" s="707" t="s">
        <v>736</v>
      </c>
      <c r="F3" s="707"/>
      <c r="G3" s="708"/>
      <c r="H3" s="707">
        <f>1.86*3.28</f>
        <v>6.1007999999999996</v>
      </c>
      <c r="I3" s="707">
        <f>0.18*3.28</f>
        <v>0.59039999999999992</v>
      </c>
      <c r="J3" s="707"/>
      <c r="K3" s="707">
        <f t="shared" ref="K3:K5" si="0">I3*H3</f>
        <v>3.6019123199999994</v>
      </c>
    </row>
    <row r="4" spans="1:11">
      <c r="A4" s="718"/>
      <c r="B4" s="718"/>
      <c r="C4" s="718"/>
      <c r="D4" s="722"/>
      <c r="E4" s="707" t="s">
        <v>734</v>
      </c>
      <c r="F4" s="707"/>
      <c r="G4" s="708"/>
      <c r="H4" s="707">
        <f>2.73*3.28</f>
        <v>8.9543999999999997</v>
      </c>
      <c r="I4" s="707">
        <f>0.18*3.28</f>
        <v>0.59039999999999992</v>
      </c>
      <c r="J4" s="707"/>
      <c r="K4" s="707">
        <f t="shared" si="0"/>
        <v>5.286677759999999</v>
      </c>
    </row>
    <row r="5" spans="1:11">
      <c r="A5" s="718"/>
      <c r="B5" s="718"/>
      <c r="C5" s="718"/>
      <c r="D5" s="722"/>
      <c r="E5" s="707"/>
      <c r="F5" s="707"/>
      <c r="G5" s="708"/>
      <c r="H5" s="707">
        <f>0.71*3.28</f>
        <v>2.3287999999999998</v>
      </c>
      <c r="I5" s="707">
        <f>0.18*3.28</f>
        <v>0.59039999999999992</v>
      </c>
      <c r="J5" s="707"/>
      <c r="K5" s="707">
        <f t="shared" si="0"/>
        <v>1.3749235199999996</v>
      </c>
    </row>
    <row r="6" spans="1:11">
      <c r="A6" s="718"/>
      <c r="B6" s="718"/>
      <c r="C6" s="718"/>
      <c r="D6" s="722"/>
      <c r="E6" s="707"/>
      <c r="F6" s="71" t="s">
        <v>88</v>
      </c>
      <c r="G6" s="658"/>
      <c r="H6" s="71"/>
      <c r="I6" s="71"/>
      <c r="J6" s="71"/>
      <c r="K6" s="71">
        <f>SUM(K3:K5)</f>
        <v>10.263513599999998</v>
      </c>
    </row>
    <row r="7" spans="1:11">
      <c r="A7" s="718"/>
      <c r="B7" s="718"/>
      <c r="C7" s="718"/>
      <c r="D7" s="722"/>
      <c r="E7" s="707"/>
      <c r="F7" s="707"/>
      <c r="G7" s="708"/>
      <c r="H7" s="707"/>
      <c r="I7" s="707"/>
      <c r="J7" s="707"/>
      <c r="K7" s="707"/>
    </row>
    <row r="8" spans="1:11" ht="75">
      <c r="A8" s="718"/>
      <c r="B8" s="718"/>
      <c r="C8" s="718">
        <v>2</v>
      </c>
      <c r="D8" s="722" t="s">
        <v>737</v>
      </c>
      <c r="E8" s="710" t="s">
        <v>738</v>
      </c>
      <c r="F8" s="707" t="s">
        <v>88</v>
      </c>
      <c r="G8" s="708">
        <v>2</v>
      </c>
      <c r="H8" s="707">
        <f>0.65*3.28</f>
        <v>2.1320000000000001</v>
      </c>
      <c r="I8" s="707">
        <f>1.05*3.28</f>
        <v>3.444</v>
      </c>
      <c r="J8" s="707"/>
      <c r="K8" s="707">
        <f>I8*H8*G8</f>
        <v>14.685216</v>
      </c>
    </row>
    <row r="9" spans="1:11">
      <c r="A9" s="718"/>
      <c r="B9" s="718"/>
      <c r="C9" s="718"/>
      <c r="D9" s="722"/>
      <c r="E9" s="707"/>
      <c r="F9" s="71" t="s">
        <v>88</v>
      </c>
      <c r="G9" s="658"/>
      <c r="H9" s="71"/>
      <c r="I9" s="71"/>
      <c r="J9" s="71"/>
      <c r="K9" s="71">
        <f>SUM(K8)</f>
        <v>14.685216</v>
      </c>
    </row>
    <row r="10" spans="1:11">
      <c r="A10" s="718"/>
      <c r="B10" s="718"/>
      <c r="C10" s="718"/>
      <c r="D10" s="722"/>
      <c r="E10" s="707"/>
      <c r="F10" s="707"/>
      <c r="G10" s="708"/>
      <c r="H10" s="707"/>
      <c r="I10" s="707"/>
      <c r="J10" s="707"/>
      <c r="K10" s="707"/>
    </row>
    <row r="11" spans="1:11">
      <c r="A11" s="718"/>
      <c r="B11" s="718"/>
      <c r="C11" s="718">
        <v>3</v>
      </c>
      <c r="D11" s="722" t="s">
        <v>739</v>
      </c>
      <c r="E11" s="707" t="s">
        <v>740</v>
      </c>
      <c r="F11" s="71" t="s">
        <v>28</v>
      </c>
      <c r="G11" s="137">
        <v>2</v>
      </c>
      <c r="H11" s="71"/>
      <c r="I11" s="71"/>
      <c r="J11" s="71"/>
      <c r="K11" s="71">
        <f>G11</f>
        <v>2</v>
      </c>
    </row>
    <row r="12" spans="1:11">
      <c r="A12" s="718"/>
      <c r="B12" s="718"/>
      <c r="C12" s="718"/>
      <c r="D12" s="722"/>
      <c r="E12" s="707"/>
      <c r="F12" s="707"/>
      <c r="G12" s="708"/>
      <c r="H12" s="707"/>
      <c r="I12" s="707"/>
      <c r="J12" s="707"/>
      <c r="K12" s="707"/>
    </row>
    <row r="13" spans="1:11" ht="30">
      <c r="A13" s="718"/>
      <c r="B13" s="718"/>
      <c r="C13" s="718">
        <v>4</v>
      </c>
      <c r="D13" s="722" t="s">
        <v>741</v>
      </c>
      <c r="E13" s="710" t="s">
        <v>742</v>
      </c>
      <c r="F13" s="707"/>
      <c r="G13" s="708"/>
      <c r="H13" s="707"/>
      <c r="I13" s="707"/>
      <c r="J13" s="707"/>
      <c r="K13" s="707"/>
    </row>
    <row r="14" spans="1:11">
      <c r="A14" s="718"/>
      <c r="B14" s="718"/>
      <c r="C14" s="718"/>
      <c r="D14" s="722"/>
      <c r="E14" s="707" t="s">
        <v>743</v>
      </c>
      <c r="F14" s="707"/>
      <c r="G14" s="708">
        <v>2</v>
      </c>
      <c r="H14" s="707">
        <v>6.75</v>
      </c>
      <c r="I14" s="707">
        <v>7</v>
      </c>
      <c r="J14" s="707"/>
      <c r="K14" s="707">
        <f>I14*H14*G14</f>
        <v>94.5</v>
      </c>
    </row>
    <row r="15" spans="1:11">
      <c r="A15" s="718"/>
      <c r="B15" s="718"/>
      <c r="C15" s="718"/>
      <c r="D15" s="722"/>
      <c r="E15" s="707" t="s">
        <v>744</v>
      </c>
      <c r="F15" s="707"/>
      <c r="G15" s="708">
        <v>2</v>
      </c>
      <c r="H15" s="707">
        <v>6</v>
      </c>
      <c r="I15" s="707">
        <v>7</v>
      </c>
      <c r="J15" s="707"/>
      <c r="K15" s="707">
        <f t="shared" ref="K15:K16" si="1">I15*H15*G15</f>
        <v>84</v>
      </c>
    </row>
    <row r="16" spans="1:11">
      <c r="A16" s="718"/>
      <c r="B16" s="718"/>
      <c r="C16" s="718"/>
      <c r="D16" s="722"/>
      <c r="E16" s="707" t="s">
        <v>745</v>
      </c>
      <c r="F16" s="707"/>
      <c r="G16" s="708">
        <v>1</v>
      </c>
      <c r="H16" s="707">
        <v>6</v>
      </c>
      <c r="I16" s="707">
        <v>6.75</v>
      </c>
      <c r="J16" s="707"/>
      <c r="K16" s="707">
        <f t="shared" si="1"/>
        <v>40.5</v>
      </c>
    </row>
    <row r="17" spans="1:11">
      <c r="A17" s="718"/>
      <c r="B17" s="718"/>
      <c r="C17" s="718"/>
      <c r="D17" s="722"/>
      <c r="E17" s="707"/>
      <c r="F17" s="71" t="s">
        <v>88</v>
      </c>
      <c r="G17" s="658"/>
      <c r="H17" s="71"/>
      <c r="I17" s="71"/>
      <c r="J17" s="71"/>
      <c r="K17" s="71">
        <f>SUM(K14:K16)</f>
        <v>219</v>
      </c>
    </row>
    <row r="18" spans="1:11">
      <c r="A18" s="718"/>
      <c r="B18" s="718"/>
      <c r="C18" s="718"/>
      <c r="D18" s="722"/>
      <c r="E18" s="707"/>
      <c r="F18" s="706"/>
      <c r="G18" s="705"/>
      <c r="H18" s="706"/>
      <c r="I18" s="706"/>
      <c r="J18" s="706"/>
      <c r="K18" s="706"/>
    </row>
    <row r="19" spans="1:11">
      <c r="A19" s="718"/>
      <c r="B19" s="718"/>
      <c r="C19" s="718">
        <v>5</v>
      </c>
      <c r="D19" s="722" t="s">
        <v>746</v>
      </c>
      <c r="E19" s="707" t="s">
        <v>747</v>
      </c>
      <c r="F19" s="707"/>
      <c r="G19" s="708"/>
      <c r="H19" s="707"/>
      <c r="I19" s="707"/>
      <c r="J19" s="707"/>
      <c r="K19" s="707"/>
    </row>
    <row r="20" spans="1:11">
      <c r="A20" s="718"/>
      <c r="B20" s="718"/>
      <c r="C20" s="718"/>
      <c r="D20" s="722"/>
      <c r="E20" s="707" t="s">
        <v>748</v>
      </c>
      <c r="F20" s="707"/>
      <c r="G20" s="708">
        <v>2</v>
      </c>
      <c r="H20" s="707"/>
      <c r="I20" s="707">
        <f>5.9*3.28</f>
        <v>19.352</v>
      </c>
      <c r="J20" s="707"/>
      <c r="K20" s="707">
        <f>I20*G20</f>
        <v>38.704000000000001</v>
      </c>
    </row>
    <row r="21" spans="1:11">
      <c r="A21" s="718"/>
      <c r="B21" s="718"/>
      <c r="C21" s="718"/>
      <c r="D21" s="722"/>
      <c r="E21" s="707"/>
      <c r="F21" s="707"/>
      <c r="G21" s="708">
        <v>2</v>
      </c>
      <c r="H21" s="707"/>
      <c r="I21" s="707">
        <f>0.85*3.28</f>
        <v>2.7879999999999998</v>
      </c>
      <c r="J21" s="707"/>
      <c r="K21" s="707">
        <f t="shared" ref="K21:K28" si="2">I21*G21</f>
        <v>5.5759999999999996</v>
      </c>
    </row>
    <row r="22" spans="1:11">
      <c r="A22" s="718"/>
      <c r="B22" s="718"/>
      <c r="C22" s="718"/>
      <c r="D22" s="722"/>
      <c r="E22" s="707"/>
      <c r="F22" s="707"/>
      <c r="G22" s="708">
        <v>2</v>
      </c>
      <c r="H22" s="707"/>
      <c r="I22" s="707">
        <f>1*3.28</f>
        <v>3.28</v>
      </c>
      <c r="J22" s="707"/>
      <c r="K22" s="707">
        <f t="shared" si="2"/>
        <v>6.56</v>
      </c>
    </row>
    <row r="23" spans="1:11">
      <c r="A23" s="718"/>
      <c r="B23" s="718"/>
      <c r="C23" s="718"/>
      <c r="D23" s="722"/>
      <c r="E23" s="707"/>
      <c r="F23" s="707"/>
      <c r="G23" s="708">
        <v>2</v>
      </c>
      <c r="H23" s="707"/>
      <c r="I23" s="707">
        <f>0.85*3.28</f>
        <v>2.7879999999999998</v>
      </c>
      <c r="J23" s="707"/>
      <c r="K23" s="707">
        <f t="shared" si="2"/>
        <v>5.5759999999999996</v>
      </c>
    </row>
    <row r="24" spans="1:11">
      <c r="A24" s="718"/>
      <c r="B24" s="718"/>
      <c r="C24" s="718"/>
      <c r="D24" s="722"/>
      <c r="E24" s="707"/>
      <c r="F24" s="707"/>
      <c r="G24" s="708">
        <v>2</v>
      </c>
      <c r="H24" s="707"/>
      <c r="I24" s="707">
        <f>1.2*3.28</f>
        <v>3.9359999999999995</v>
      </c>
      <c r="J24" s="707"/>
      <c r="K24" s="707">
        <f t="shared" si="2"/>
        <v>7.871999999999999</v>
      </c>
    </row>
    <row r="25" spans="1:11">
      <c r="A25" s="718"/>
      <c r="B25" s="718"/>
      <c r="C25" s="718"/>
      <c r="D25" s="722"/>
      <c r="E25" s="707"/>
      <c r="F25" s="707"/>
      <c r="G25" s="708">
        <v>2</v>
      </c>
      <c r="H25" s="707"/>
      <c r="I25" s="707">
        <f>1.4*3.28</f>
        <v>4.5919999999999996</v>
      </c>
      <c r="J25" s="707"/>
      <c r="K25" s="707">
        <f t="shared" si="2"/>
        <v>9.1839999999999993</v>
      </c>
    </row>
    <row r="26" spans="1:11">
      <c r="A26" s="718"/>
      <c r="B26" s="718"/>
      <c r="C26" s="718"/>
      <c r="D26" s="722"/>
      <c r="E26" s="707" t="s">
        <v>749</v>
      </c>
      <c r="F26" s="707"/>
      <c r="G26" s="708">
        <v>12</v>
      </c>
      <c r="H26" s="707"/>
      <c r="I26" s="707">
        <f>0.8*3.28</f>
        <v>2.6240000000000001</v>
      </c>
      <c r="J26" s="707"/>
      <c r="K26" s="707">
        <f t="shared" si="2"/>
        <v>31.488</v>
      </c>
    </row>
    <row r="27" spans="1:11">
      <c r="A27" s="718"/>
      <c r="B27" s="718"/>
      <c r="C27" s="718"/>
      <c r="D27" s="722"/>
      <c r="E27" s="707"/>
      <c r="F27" s="707"/>
      <c r="G27" s="708">
        <v>4</v>
      </c>
      <c r="H27" s="707"/>
      <c r="I27" s="707">
        <f>1.1*3.28</f>
        <v>3.6080000000000001</v>
      </c>
      <c r="J27" s="707"/>
      <c r="K27" s="707">
        <f t="shared" si="2"/>
        <v>14.432</v>
      </c>
    </row>
    <row r="28" spans="1:11">
      <c r="A28" s="718"/>
      <c r="B28" s="718"/>
      <c r="C28" s="718"/>
      <c r="D28" s="722"/>
      <c r="E28" s="707"/>
      <c r="F28" s="707"/>
      <c r="G28" s="708">
        <v>4</v>
      </c>
      <c r="H28" s="707"/>
      <c r="I28" s="707">
        <f>0.37*3.28</f>
        <v>1.2136</v>
      </c>
      <c r="J28" s="707"/>
      <c r="K28" s="707">
        <f t="shared" si="2"/>
        <v>4.8544</v>
      </c>
    </row>
    <row r="29" spans="1:11">
      <c r="A29" s="718"/>
      <c r="B29" s="718"/>
      <c r="C29" s="718"/>
      <c r="D29" s="722"/>
      <c r="E29" s="707"/>
      <c r="F29" s="71" t="s">
        <v>705</v>
      </c>
      <c r="G29" s="658"/>
      <c r="H29" s="71"/>
      <c r="I29" s="71"/>
      <c r="J29" s="71"/>
      <c r="K29" s="71">
        <f>SUM(K20:K28)</f>
        <v>124.24639999999999</v>
      </c>
    </row>
    <row r="30" spans="1:11">
      <c r="A30" s="718"/>
      <c r="B30" s="718"/>
      <c r="C30" s="718"/>
      <c r="D30" s="722"/>
      <c r="E30" s="707"/>
      <c r="F30" s="723" t="s">
        <v>750</v>
      </c>
      <c r="G30" s="724"/>
      <c r="H30" s="723"/>
      <c r="I30" s="723"/>
      <c r="J30" s="723"/>
      <c r="K30" s="723">
        <f>K29*1.69</f>
        <v>209.97641599999997</v>
      </c>
    </row>
    <row r="31" spans="1:11">
      <c r="A31" s="718"/>
      <c r="B31" s="718"/>
      <c r="C31" s="718"/>
      <c r="D31" s="722"/>
      <c r="E31" s="707"/>
      <c r="F31" s="706"/>
      <c r="G31" s="705"/>
      <c r="H31" s="706"/>
      <c r="I31" s="706"/>
      <c r="J31" s="706"/>
      <c r="K31" s="706"/>
    </row>
    <row r="32" spans="1:11">
      <c r="A32" s="718"/>
      <c r="B32" s="718"/>
      <c r="C32" s="718"/>
      <c r="D32" s="722"/>
      <c r="E32" s="707" t="s">
        <v>751</v>
      </c>
      <c r="F32" s="706"/>
      <c r="G32" s="705"/>
      <c r="H32" s="706"/>
      <c r="I32" s="706"/>
      <c r="J32" s="706"/>
      <c r="K32" s="706"/>
    </row>
    <row r="33" spans="1:11">
      <c r="A33" s="718"/>
      <c r="B33" s="718"/>
      <c r="C33" s="718"/>
      <c r="D33" s="722"/>
      <c r="E33" s="707" t="s">
        <v>752</v>
      </c>
      <c r="F33" s="71" t="s">
        <v>705</v>
      </c>
      <c r="G33" s="137">
        <v>6</v>
      </c>
      <c r="H33" s="77"/>
      <c r="I33" s="77">
        <f>1.5*3.28</f>
        <v>4.92</v>
      </c>
      <c r="J33" s="71"/>
      <c r="K33" s="71">
        <f>I33*G33</f>
        <v>29.52</v>
      </c>
    </row>
    <row r="34" spans="1:11">
      <c r="A34" s="718"/>
      <c r="B34" s="718"/>
      <c r="C34" s="718"/>
      <c r="D34" s="722"/>
      <c r="E34" s="707"/>
      <c r="F34" s="723" t="s">
        <v>750</v>
      </c>
      <c r="G34" s="725"/>
      <c r="H34" s="726"/>
      <c r="I34" s="726"/>
      <c r="J34" s="726"/>
      <c r="K34" s="723">
        <f>K33*1.06</f>
        <v>31.2912</v>
      </c>
    </row>
    <row r="35" spans="1:11">
      <c r="A35" s="718"/>
      <c r="B35" s="718"/>
      <c r="C35" s="718"/>
      <c r="D35" s="722"/>
      <c r="E35" s="707" t="s">
        <v>785</v>
      </c>
      <c r="F35" s="707"/>
      <c r="G35" s="708"/>
      <c r="H35" s="707"/>
      <c r="I35" s="707"/>
      <c r="J35" s="707"/>
      <c r="K35" s="707"/>
    </row>
    <row r="36" spans="1:11">
      <c r="A36" s="718"/>
      <c r="B36" s="718"/>
      <c r="C36" s="718"/>
      <c r="D36" s="722"/>
      <c r="E36" s="707" t="s">
        <v>753</v>
      </c>
      <c r="F36" s="707"/>
      <c r="G36" s="708">
        <v>60</v>
      </c>
      <c r="H36" s="707"/>
      <c r="I36" s="707">
        <f>0.85*3.28</f>
        <v>2.7879999999999998</v>
      </c>
      <c r="J36" s="707"/>
      <c r="K36" s="707">
        <f>I36*G36</f>
        <v>167.28</v>
      </c>
    </row>
    <row r="37" spans="1:11">
      <c r="A37" s="718"/>
      <c r="B37" s="718"/>
      <c r="C37" s="718"/>
      <c r="D37" s="722"/>
      <c r="E37" s="707"/>
      <c r="F37" s="707"/>
      <c r="G37" s="708">
        <v>10</v>
      </c>
      <c r="H37" s="707"/>
      <c r="I37" s="707">
        <f>0.85*3.28</f>
        <v>2.7879999999999998</v>
      </c>
      <c r="J37" s="707"/>
      <c r="K37" s="707">
        <f t="shared" ref="K37:K38" si="3">I37*G37</f>
        <v>27.88</v>
      </c>
    </row>
    <row r="38" spans="1:11">
      <c r="A38" s="718"/>
      <c r="B38" s="718"/>
      <c r="C38" s="718"/>
      <c r="D38" s="722"/>
      <c r="E38" s="707"/>
      <c r="F38" s="707"/>
      <c r="G38" s="708">
        <v>10</v>
      </c>
      <c r="H38" s="707"/>
      <c r="I38" s="707">
        <f>1*3.28</f>
        <v>3.28</v>
      </c>
      <c r="J38" s="707"/>
      <c r="K38" s="707">
        <f t="shared" si="3"/>
        <v>32.799999999999997</v>
      </c>
    </row>
    <row r="39" spans="1:11">
      <c r="A39" s="718"/>
      <c r="B39" s="718"/>
      <c r="C39" s="718"/>
      <c r="D39" s="722"/>
      <c r="E39" s="707" t="s">
        <v>754</v>
      </c>
      <c r="F39" s="707"/>
      <c r="G39" s="708">
        <v>40</v>
      </c>
      <c r="H39" s="707"/>
      <c r="I39" s="707">
        <f>1.1*3.28</f>
        <v>3.6080000000000001</v>
      </c>
      <c r="J39" s="707"/>
      <c r="K39" s="707">
        <f>I39*G39</f>
        <v>144.32</v>
      </c>
    </row>
    <row r="40" spans="1:11">
      <c r="A40" s="718"/>
      <c r="B40" s="718"/>
      <c r="C40" s="718"/>
      <c r="D40" s="722"/>
      <c r="E40" s="707"/>
      <c r="F40" s="71" t="s">
        <v>705</v>
      </c>
      <c r="G40" s="658"/>
      <c r="H40" s="71"/>
      <c r="I40" s="71"/>
      <c r="J40" s="71"/>
      <c r="K40" s="71">
        <f>SUM(K36:K39)</f>
        <v>372.28</v>
      </c>
    </row>
    <row r="41" spans="1:11">
      <c r="A41" s="718"/>
      <c r="B41" s="718"/>
      <c r="C41" s="718"/>
      <c r="D41" s="722"/>
      <c r="E41" s="707"/>
      <c r="F41" s="723" t="s">
        <v>750</v>
      </c>
      <c r="G41" s="724"/>
      <c r="H41" s="723"/>
      <c r="I41" s="723"/>
      <c r="J41" s="723"/>
      <c r="K41" s="723">
        <f>K40*0.24</f>
        <v>89.347199999999987</v>
      </c>
    </row>
    <row r="42" spans="1:11">
      <c r="A42" s="718"/>
      <c r="B42" s="718"/>
      <c r="C42" s="718"/>
      <c r="D42" s="722"/>
      <c r="E42" s="707"/>
      <c r="F42" s="727" t="s">
        <v>755</v>
      </c>
      <c r="G42" s="728"/>
      <c r="H42" s="727"/>
      <c r="I42" s="727"/>
      <c r="J42" s="727"/>
      <c r="K42" s="727">
        <f>K41+K34+K30</f>
        <v>330.61481599999996</v>
      </c>
    </row>
    <row r="43" spans="1:11">
      <c r="A43" s="718"/>
      <c r="B43" s="718"/>
      <c r="C43" s="718"/>
      <c r="D43" s="722"/>
      <c r="E43" s="707"/>
      <c r="F43" s="707"/>
      <c r="G43" s="708"/>
      <c r="H43" s="707"/>
      <c r="I43" s="707"/>
      <c r="J43" s="707"/>
      <c r="K43" s="707"/>
    </row>
    <row r="44" spans="1:11">
      <c r="A44" s="718"/>
      <c r="B44" s="718"/>
      <c r="C44" s="718">
        <v>6</v>
      </c>
      <c r="D44" s="722" t="s">
        <v>756</v>
      </c>
      <c r="E44" s="707" t="s">
        <v>757</v>
      </c>
      <c r="F44" s="707"/>
      <c r="G44" s="708"/>
      <c r="H44" s="707">
        <v>8</v>
      </c>
      <c r="I44" s="707">
        <v>8</v>
      </c>
      <c r="J44" s="707">
        <v>0.25</v>
      </c>
      <c r="K44" s="707">
        <f>J44*I44*H44</f>
        <v>16</v>
      </c>
    </row>
    <row r="45" spans="1:11">
      <c r="A45" s="718"/>
      <c r="B45" s="718"/>
      <c r="C45" s="718"/>
      <c r="D45" s="722"/>
      <c r="E45" s="707" t="s">
        <v>758</v>
      </c>
      <c r="F45" s="707"/>
      <c r="G45" s="708"/>
      <c r="H45" s="707">
        <f>2.9*3.28</f>
        <v>9.5119999999999987</v>
      </c>
      <c r="I45" s="707">
        <f>0.75*3.28</f>
        <v>2.46</v>
      </c>
      <c r="J45" s="707">
        <v>0.25</v>
      </c>
      <c r="K45" s="707">
        <f>J45*I45*H45</f>
        <v>5.8498799999999989</v>
      </c>
    </row>
    <row r="46" spans="1:11">
      <c r="A46" s="718"/>
      <c r="B46" s="718"/>
      <c r="C46" s="718"/>
      <c r="D46" s="722"/>
      <c r="E46" s="707" t="s">
        <v>759</v>
      </c>
      <c r="F46" s="707"/>
      <c r="G46" s="708"/>
      <c r="H46" s="707">
        <f>10*3.28</f>
        <v>32.799999999999997</v>
      </c>
      <c r="I46" s="707">
        <f>0.3*3.28</f>
        <v>0.98399999999999987</v>
      </c>
      <c r="J46" s="707">
        <v>0.25</v>
      </c>
      <c r="K46" s="707">
        <f>J46*I46*H46</f>
        <v>8.0687999999999978</v>
      </c>
    </row>
    <row r="47" spans="1:11">
      <c r="A47" s="718"/>
      <c r="B47" s="718"/>
      <c r="C47" s="718"/>
      <c r="D47" s="722"/>
      <c r="E47" s="707"/>
      <c r="F47" s="71" t="s">
        <v>760</v>
      </c>
      <c r="G47" s="658"/>
      <c r="H47" s="71"/>
      <c r="I47" s="71"/>
      <c r="J47" s="71"/>
      <c r="K47" s="71">
        <f>SUM(K44:K46)</f>
        <v>29.918679999999995</v>
      </c>
    </row>
    <row r="48" spans="1:11">
      <c r="A48" s="718"/>
      <c r="B48" s="718"/>
      <c r="C48" s="718"/>
      <c r="D48" s="722"/>
      <c r="E48" s="707"/>
      <c r="F48" s="707"/>
      <c r="G48" s="708"/>
      <c r="H48" s="707"/>
      <c r="I48" s="707"/>
      <c r="J48" s="707"/>
      <c r="K48" s="707"/>
    </row>
    <row r="49" spans="1:11">
      <c r="A49" s="718"/>
      <c r="B49" s="718"/>
      <c r="C49" s="718">
        <v>7</v>
      </c>
      <c r="D49" s="722" t="s">
        <v>761</v>
      </c>
      <c r="E49" s="707" t="s">
        <v>762</v>
      </c>
      <c r="F49" s="707" t="s">
        <v>88</v>
      </c>
      <c r="G49" s="708"/>
      <c r="H49" s="707">
        <v>8</v>
      </c>
      <c r="I49" s="707">
        <v>8</v>
      </c>
      <c r="J49" s="707"/>
      <c r="K49" s="707">
        <f>I49*H49</f>
        <v>64</v>
      </c>
    </row>
    <row r="50" spans="1:11">
      <c r="A50" s="718"/>
      <c r="B50" s="718"/>
      <c r="C50" s="718"/>
      <c r="D50" s="722"/>
      <c r="E50" s="707" t="s">
        <v>763</v>
      </c>
      <c r="F50" s="707"/>
      <c r="G50" s="708">
        <v>4</v>
      </c>
      <c r="H50" s="707">
        <v>8</v>
      </c>
      <c r="I50" s="707">
        <v>0.33</v>
      </c>
      <c r="J50" s="707"/>
      <c r="K50" s="707">
        <f>I50*H50*G50</f>
        <v>10.56</v>
      </c>
    </row>
    <row r="51" spans="1:11">
      <c r="A51" s="718"/>
      <c r="B51" s="718"/>
      <c r="C51" s="718"/>
      <c r="D51" s="722"/>
      <c r="E51" s="707" t="s">
        <v>764</v>
      </c>
      <c r="F51" s="707"/>
      <c r="G51" s="708">
        <v>2</v>
      </c>
      <c r="H51" s="707">
        <f>2.9*3.28</f>
        <v>9.5119999999999987</v>
      </c>
      <c r="I51" s="707">
        <v>0.33</v>
      </c>
      <c r="J51" s="707"/>
      <c r="K51" s="707">
        <f>I51*H51*G51</f>
        <v>6.2779199999999991</v>
      </c>
    </row>
    <row r="52" spans="1:11">
      <c r="A52" s="718"/>
      <c r="B52" s="718"/>
      <c r="C52" s="718"/>
      <c r="D52" s="722"/>
      <c r="E52" s="707"/>
      <c r="F52" s="707"/>
      <c r="G52" s="708">
        <v>2</v>
      </c>
      <c r="H52" s="707">
        <f>0.75*3.28</f>
        <v>2.46</v>
      </c>
      <c r="I52" s="707">
        <v>0.33</v>
      </c>
      <c r="J52" s="707"/>
      <c r="K52" s="707">
        <f>I52*H52*G52</f>
        <v>1.6236000000000002</v>
      </c>
    </row>
    <row r="53" spans="1:11">
      <c r="A53" s="718"/>
      <c r="B53" s="718"/>
      <c r="C53" s="718"/>
      <c r="D53" s="722"/>
      <c r="E53" s="707" t="s">
        <v>765</v>
      </c>
      <c r="F53" s="707"/>
      <c r="G53" s="708">
        <v>1</v>
      </c>
      <c r="H53" s="707">
        <v>9.5120000000000005</v>
      </c>
      <c r="I53" s="707">
        <v>2.46</v>
      </c>
      <c r="J53" s="707"/>
      <c r="K53" s="707">
        <f>I53*H53*G53</f>
        <v>23.399520000000003</v>
      </c>
    </row>
    <row r="54" spans="1:11">
      <c r="A54" s="718"/>
      <c r="B54" s="718"/>
      <c r="C54" s="718"/>
      <c r="D54" s="722"/>
      <c r="E54" s="707"/>
      <c r="F54" s="71" t="s">
        <v>88</v>
      </c>
      <c r="G54" s="658"/>
      <c r="H54" s="71"/>
      <c r="I54" s="71"/>
      <c r="J54" s="71"/>
      <c r="K54" s="71">
        <f>SUM(K49:K53)</f>
        <v>105.86104</v>
      </c>
    </row>
    <row r="55" spans="1:11">
      <c r="A55" s="718"/>
      <c r="B55" s="718"/>
      <c r="C55" s="718"/>
      <c r="D55" s="722"/>
      <c r="E55" s="707"/>
      <c r="F55" s="707"/>
      <c r="G55" s="708"/>
      <c r="H55" s="707"/>
      <c r="I55" s="707"/>
      <c r="J55" s="707"/>
      <c r="K55" s="707"/>
    </row>
    <row r="56" spans="1:11" ht="30">
      <c r="A56" s="718"/>
      <c r="B56" s="719" t="s">
        <v>50</v>
      </c>
      <c r="C56" s="718">
        <v>8</v>
      </c>
      <c r="D56" s="722" t="s">
        <v>766</v>
      </c>
      <c r="E56" s="707"/>
      <c r="F56" s="707"/>
      <c r="G56" s="708"/>
      <c r="H56" s="707"/>
      <c r="I56" s="707"/>
      <c r="J56" s="707"/>
      <c r="K56" s="707"/>
    </row>
    <row r="57" spans="1:11">
      <c r="A57" s="718"/>
      <c r="B57" s="718"/>
      <c r="C57" s="718"/>
      <c r="D57" s="722"/>
      <c r="E57" s="707" t="s">
        <v>767</v>
      </c>
      <c r="F57" s="71" t="s">
        <v>466</v>
      </c>
      <c r="G57" s="658"/>
      <c r="H57" s="71"/>
      <c r="I57" s="77">
        <v>3.5</v>
      </c>
      <c r="J57" s="71"/>
      <c r="K57" s="71">
        <f>I57</f>
        <v>3.5</v>
      </c>
    </row>
    <row r="58" spans="1:11">
      <c r="A58" s="718"/>
      <c r="B58" s="718"/>
      <c r="C58" s="718"/>
      <c r="D58" s="722"/>
      <c r="E58" s="707" t="s">
        <v>768</v>
      </c>
      <c r="F58" s="707"/>
      <c r="G58" s="708"/>
      <c r="H58" s="707"/>
      <c r="I58" s="707">
        <v>4</v>
      </c>
      <c r="J58" s="707"/>
      <c r="K58" s="707">
        <f>I58</f>
        <v>4</v>
      </c>
    </row>
    <row r="59" spans="1:11">
      <c r="A59" s="718"/>
      <c r="B59" s="718"/>
      <c r="C59" s="718"/>
      <c r="D59" s="722"/>
      <c r="E59" s="707" t="s">
        <v>769</v>
      </c>
      <c r="F59" s="707"/>
      <c r="G59" s="708"/>
      <c r="H59" s="707"/>
      <c r="I59" s="707">
        <v>22</v>
      </c>
      <c r="J59" s="707"/>
      <c r="K59" s="707">
        <f>I59</f>
        <v>22</v>
      </c>
    </row>
    <row r="60" spans="1:11">
      <c r="A60" s="718"/>
      <c r="B60" s="718"/>
      <c r="C60" s="718"/>
      <c r="D60" s="722"/>
      <c r="E60" s="707"/>
      <c r="F60" s="71" t="s">
        <v>466</v>
      </c>
      <c r="G60" s="658"/>
      <c r="H60" s="71"/>
      <c r="I60" s="71"/>
      <c r="J60" s="71"/>
      <c r="K60" s="71">
        <f>SUM(K58:K59)</f>
        <v>26</v>
      </c>
    </row>
    <row r="61" spans="1:11">
      <c r="A61" s="718"/>
      <c r="B61" s="718"/>
      <c r="C61" s="718"/>
      <c r="D61" s="722"/>
      <c r="E61" s="707"/>
      <c r="F61" s="707"/>
      <c r="G61" s="708"/>
      <c r="H61" s="707"/>
      <c r="I61" s="707"/>
      <c r="J61" s="707"/>
      <c r="K61" s="707"/>
    </row>
    <row r="62" spans="1:11">
      <c r="A62" s="718"/>
      <c r="B62" s="718"/>
      <c r="C62" s="718"/>
      <c r="D62" s="722" t="s">
        <v>770</v>
      </c>
      <c r="E62" s="707" t="s">
        <v>771</v>
      </c>
      <c r="F62" s="71" t="s">
        <v>28</v>
      </c>
      <c r="G62" s="137">
        <v>3</v>
      </c>
      <c r="H62" s="71"/>
      <c r="I62" s="71"/>
      <c r="J62" s="71"/>
      <c r="K62" s="71">
        <f>G62</f>
        <v>3</v>
      </c>
    </row>
    <row r="63" spans="1:11">
      <c r="A63" s="718"/>
      <c r="B63" s="718"/>
      <c r="C63" s="718"/>
      <c r="D63" s="722"/>
      <c r="E63" s="707"/>
      <c r="F63" s="707"/>
      <c r="G63" s="708"/>
      <c r="H63" s="707"/>
      <c r="I63" s="707"/>
      <c r="J63" s="707"/>
      <c r="K63" s="707"/>
    </row>
    <row r="64" spans="1:11">
      <c r="A64" s="718"/>
      <c r="B64" s="719" t="s">
        <v>772</v>
      </c>
      <c r="C64" s="718">
        <v>9</v>
      </c>
      <c r="D64" s="722" t="s">
        <v>773</v>
      </c>
      <c r="E64" s="707" t="s">
        <v>830</v>
      </c>
      <c r="F64" s="706"/>
      <c r="G64" s="706"/>
      <c r="H64" s="706"/>
      <c r="I64" s="707"/>
      <c r="J64" s="706"/>
      <c r="K64" s="707"/>
    </row>
    <row r="65" spans="1:11">
      <c r="A65" s="718"/>
      <c r="B65" s="718"/>
      <c r="C65" s="718"/>
      <c r="D65" s="722"/>
      <c r="E65" s="707" t="s">
        <v>774</v>
      </c>
      <c r="F65" s="707"/>
      <c r="G65" s="708"/>
      <c r="H65" s="707"/>
      <c r="I65" s="707">
        <v>45</v>
      </c>
      <c r="J65" s="707"/>
      <c r="K65" s="707">
        <f>I65</f>
        <v>45</v>
      </c>
    </row>
    <row r="66" spans="1:11">
      <c r="A66" s="718"/>
      <c r="B66" s="718"/>
      <c r="C66" s="718"/>
      <c r="D66" s="722"/>
      <c r="E66" s="707" t="s">
        <v>775</v>
      </c>
      <c r="F66" s="707"/>
      <c r="G66" s="708"/>
      <c r="H66" s="707"/>
      <c r="I66" s="707">
        <v>49.5</v>
      </c>
      <c r="J66" s="707"/>
      <c r="K66" s="707">
        <f>I66</f>
        <v>49.5</v>
      </c>
    </row>
    <row r="67" spans="1:11">
      <c r="A67" s="718"/>
      <c r="B67" s="718"/>
      <c r="C67" s="718"/>
      <c r="D67" s="722"/>
      <c r="E67" s="707"/>
      <c r="F67" s="71" t="s">
        <v>466</v>
      </c>
      <c r="G67" s="658"/>
      <c r="H67" s="71"/>
      <c r="I67" s="71"/>
      <c r="J67" s="71"/>
      <c r="K67" s="71">
        <f>SUM(K64:K66)</f>
        <v>94.5</v>
      </c>
    </row>
    <row r="68" spans="1:11">
      <c r="A68" s="718"/>
      <c r="B68" s="718"/>
      <c r="C68" s="718"/>
      <c r="D68" s="722"/>
      <c r="E68" s="707"/>
      <c r="F68" s="707"/>
      <c r="G68" s="708"/>
      <c r="H68" s="707"/>
      <c r="I68" s="707"/>
      <c r="J68" s="707"/>
      <c r="K68" s="707"/>
    </row>
    <row r="69" spans="1:11">
      <c r="A69" s="718"/>
      <c r="B69" s="718"/>
      <c r="C69" s="718"/>
      <c r="D69" s="722"/>
      <c r="E69" s="707" t="s">
        <v>831</v>
      </c>
      <c r="F69" s="77" t="s">
        <v>466</v>
      </c>
      <c r="G69" s="137"/>
      <c r="H69" s="77"/>
      <c r="I69" s="77">
        <v>45</v>
      </c>
      <c r="J69" s="77"/>
      <c r="K69" s="77">
        <f>I69</f>
        <v>45</v>
      </c>
    </row>
    <row r="70" spans="1:11">
      <c r="A70" s="718"/>
      <c r="B70" s="718"/>
      <c r="C70" s="718"/>
      <c r="D70" s="722"/>
      <c r="E70" s="707"/>
      <c r="F70" s="707"/>
      <c r="G70" s="708"/>
      <c r="H70" s="707"/>
      <c r="I70" s="707"/>
      <c r="J70" s="707"/>
      <c r="K70" s="707"/>
    </row>
    <row r="71" spans="1:11">
      <c r="A71" s="718"/>
      <c r="B71" s="718"/>
      <c r="C71" s="718"/>
      <c r="D71" s="722"/>
      <c r="E71" s="707" t="s">
        <v>776</v>
      </c>
      <c r="F71" s="707"/>
      <c r="G71" s="708"/>
      <c r="H71" s="707"/>
      <c r="I71" s="707"/>
      <c r="J71" s="707"/>
      <c r="K71" s="707"/>
    </row>
    <row r="72" spans="1:11">
      <c r="A72" s="718"/>
      <c r="B72" s="718"/>
      <c r="C72" s="718"/>
      <c r="D72" s="722"/>
      <c r="E72" s="707" t="s">
        <v>777</v>
      </c>
      <c r="F72" s="71" t="s">
        <v>466</v>
      </c>
      <c r="G72" s="658"/>
      <c r="H72" s="71"/>
      <c r="I72" s="77">
        <v>40</v>
      </c>
      <c r="J72" s="71"/>
      <c r="K72" s="71">
        <f>I72</f>
        <v>40</v>
      </c>
    </row>
    <row r="73" spans="1:11">
      <c r="A73" s="718"/>
      <c r="B73" s="718"/>
      <c r="C73" s="718"/>
      <c r="D73" s="722"/>
      <c r="E73" s="707"/>
      <c r="F73" s="706"/>
      <c r="G73" s="705"/>
      <c r="H73" s="706"/>
      <c r="I73" s="707"/>
      <c r="J73" s="706"/>
      <c r="K73" s="706"/>
    </row>
    <row r="74" spans="1:11">
      <c r="A74" s="718"/>
      <c r="B74" s="718"/>
      <c r="C74" s="718">
        <v>10</v>
      </c>
      <c r="D74" s="722" t="s">
        <v>778</v>
      </c>
      <c r="E74" s="707" t="s">
        <v>784</v>
      </c>
      <c r="F74" s="707"/>
      <c r="G74" s="708"/>
      <c r="H74" s="707"/>
      <c r="I74" s="707"/>
      <c r="J74" s="707"/>
      <c r="K74" s="707"/>
    </row>
    <row r="75" spans="1:11">
      <c r="A75" s="718"/>
      <c r="B75" s="718"/>
      <c r="C75" s="718"/>
      <c r="D75" s="722"/>
      <c r="E75" s="707" t="s">
        <v>634</v>
      </c>
      <c r="F75" s="707"/>
      <c r="G75" s="708"/>
      <c r="H75" s="707"/>
      <c r="I75" s="707">
        <v>25</v>
      </c>
      <c r="J75" s="707"/>
      <c r="K75" s="707">
        <f>I75</f>
        <v>25</v>
      </c>
    </row>
    <row r="76" spans="1:11">
      <c r="A76" s="718"/>
      <c r="B76" s="718"/>
      <c r="C76" s="718"/>
      <c r="D76" s="722"/>
      <c r="E76" s="707" t="s">
        <v>560</v>
      </c>
      <c r="F76" s="707"/>
      <c r="G76" s="708"/>
      <c r="H76" s="707"/>
      <c r="I76" s="707">
        <v>29</v>
      </c>
      <c r="J76" s="707"/>
      <c r="K76" s="707">
        <f>I76</f>
        <v>29</v>
      </c>
    </row>
    <row r="77" spans="1:11">
      <c r="A77" s="718"/>
      <c r="B77" s="718"/>
      <c r="C77" s="718"/>
      <c r="D77" s="722"/>
      <c r="E77" s="707"/>
      <c r="F77" s="71" t="s">
        <v>466</v>
      </c>
      <c r="G77" s="658"/>
      <c r="H77" s="71"/>
      <c r="I77" s="71"/>
      <c r="J77" s="71"/>
      <c r="K77" s="71">
        <f>SUM(K75:K76)</f>
        <v>54</v>
      </c>
    </row>
    <row r="78" spans="1:11">
      <c r="A78" s="718"/>
      <c r="B78" s="718"/>
      <c r="C78" s="718"/>
      <c r="D78" s="722"/>
      <c r="E78" s="707"/>
      <c r="F78" s="706"/>
      <c r="G78" s="705"/>
      <c r="H78" s="706"/>
      <c r="I78" s="706"/>
      <c r="J78" s="706"/>
      <c r="K78" s="706"/>
    </row>
    <row r="79" spans="1:11">
      <c r="A79" s="718"/>
      <c r="B79" s="718"/>
      <c r="C79" s="718">
        <v>11</v>
      </c>
      <c r="D79" s="722" t="s">
        <v>780</v>
      </c>
      <c r="E79" s="707" t="s">
        <v>781</v>
      </c>
      <c r="F79" s="71" t="s">
        <v>28</v>
      </c>
      <c r="G79" s="137">
        <v>1</v>
      </c>
      <c r="H79" s="71"/>
      <c r="I79" s="71"/>
      <c r="J79" s="71"/>
      <c r="K79" s="71">
        <f>G79</f>
        <v>1</v>
      </c>
    </row>
    <row r="80" spans="1:11">
      <c r="A80" s="718"/>
      <c r="B80" s="718"/>
      <c r="C80" s="718"/>
      <c r="D80" s="722"/>
      <c r="E80" s="707"/>
      <c r="F80" s="707"/>
      <c r="G80" s="708"/>
      <c r="H80" s="707"/>
      <c r="I80" s="707"/>
      <c r="J80" s="707"/>
      <c r="K80" s="707"/>
    </row>
    <row r="81" spans="1:11">
      <c r="A81" s="718"/>
      <c r="B81" s="718"/>
      <c r="C81" s="718">
        <v>12</v>
      </c>
      <c r="D81" s="722" t="s">
        <v>782</v>
      </c>
      <c r="E81" s="707" t="s">
        <v>783</v>
      </c>
      <c r="F81" s="71" t="s">
        <v>28</v>
      </c>
      <c r="G81" s="137">
        <v>8</v>
      </c>
      <c r="H81" s="71"/>
      <c r="I81" s="71"/>
      <c r="J81" s="71"/>
      <c r="K81" s="71">
        <f>G81</f>
        <v>8</v>
      </c>
    </row>
    <row r="82" spans="1:11">
      <c r="A82" s="718"/>
      <c r="B82" s="718"/>
      <c r="C82" s="718"/>
      <c r="D82" s="722"/>
      <c r="E82" s="707"/>
      <c r="F82" s="707"/>
      <c r="G82" s="707"/>
      <c r="H82" s="707"/>
      <c r="I82" s="707"/>
      <c r="J82" s="707"/>
      <c r="K82" s="707"/>
    </row>
    <row r="83" spans="1:11">
      <c r="A83" s="707"/>
      <c r="B83" s="707"/>
      <c r="C83" s="729">
        <v>13</v>
      </c>
      <c r="D83" s="708" t="s">
        <v>788</v>
      </c>
      <c r="E83" s="707" t="s">
        <v>789</v>
      </c>
      <c r="F83" s="707"/>
      <c r="G83" s="707"/>
      <c r="H83" s="707"/>
      <c r="I83" s="707"/>
      <c r="J83" s="707"/>
      <c r="K83" s="707"/>
    </row>
    <row r="84" spans="1:11">
      <c r="A84" s="707"/>
      <c r="B84" s="707"/>
      <c r="C84" s="707"/>
      <c r="D84" s="707"/>
      <c r="E84" s="707" t="s">
        <v>790</v>
      </c>
      <c r="F84" s="707"/>
      <c r="G84" s="707"/>
      <c r="H84" s="707">
        <f>0.71*3.28</f>
        <v>2.3287999999999998</v>
      </c>
      <c r="I84" s="707">
        <f>2.34*3.28</f>
        <v>7.6751999999999994</v>
      </c>
      <c r="J84" s="707"/>
      <c r="K84" s="707">
        <f>I84*H84</f>
        <v>17.874005759999996</v>
      </c>
    </row>
    <row r="85" spans="1:11">
      <c r="A85" s="707"/>
      <c r="B85" s="707"/>
      <c r="C85" s="707"/>
      <c r="D85" s="707"/>
      <c r="E85" s="707" t="s">
        <v>791</v>
      </c>
      <c r="F85" s="707"/>
      <c r="G85" s="707"/>
      <c r="H85" s="707">
        <f>1.85*3.28</f>
        <v>6.0679999999999996</v>
      </c>
      <c r="I85" s="707">
        <f>2.34*3.28</f>
        <v>7.6751999999999994</v>
      </c>
      <c r="J85" s="707"/>
      <c r="K85" s="707">
        <f t="shared" ref="K85:K86" si="4">I85*H85</f>
        <v>46.573113599999992</v>
      </c>
    </row>
    <row r="86" spans="1:11">
      <c r="A86" s="707"/>
      <c r="B86" s="707"/>
      <c r="C86" s="707"/>
      <c r="D86" s="707"/>
      <c r="E86" s="707" t="s">
        <v>792</v>
      </c>
      <c r="F86" s="707"/>
      <c r="G86" s="707"/>
      <c r="H86" s="707">
        <f>2.86*3.28</f>
        <v>9.3807999999999989</v>
      </c>
      <c r="I86" s="707">
        <f>2.5*3.28</f>
        <v>8.1999999999999993</v>
      </c>
      <c r="J86" s="707"/>
      <c r="K86" s="707">
        <f t="shared" si="4"/>
        <v>76.92255999999999</v>
      </c>
    </row>
    <row r="87" spans="1:11">
      <c r="A87" s="707"/>
      <c r="B87" s="707"/>
      <c r="C87" s="707"/>
      <c r="D87" s="707"/>
      <c r="E87" s="707"/>
      <c r="F87" s="77" t="s">
        <v>626</v>
      </c>
      <c r="G87" s="77"/>
      <c r="H87" s="77"/>
      <c r="I87" s="77"/>
      <c r="J87" s="77"/>
      <c r="K87" s="77">
        <f>SUM(K84:K86)</f>
        <v>141.36967935999996</v>
      </c>
    </row>
    <row r="88" spans="1:11">
      <c r="A88" s="707"/>
      <c r="B88" s="707"/>
      <c r="C88" s="707"/>
      <c r="D88" s="707"/>
      <c r="E88" s="707"/>
      <c r="F88" s="707"/>
      <c r="G88" s="707"/>
      <c r="H88" s="707"/>
      <c r="I88" s="707"/>
      <c r="J88" s="707"/>
      <c r="K88" s="707"/>
    </row>
    <row r="89" spans="1:11">
      <c r="A89" s="707"/>
      <c r="B89" s="707"/>
      <c r="C89" s="708">
        <v>14</v>
      </c>
      <c r="D89" s="708" t="s">
        <v>794</v>
      </c>
      <c r="E89" s="707" t="s">
        <v>795</v>
      </c>
      <c r="F89" s="77" t="s">
        <v>796</v>
      </c>
      <c r="G89" s="77">
        <v>8</v>
      </c>
      <c r="H89" s="77"/>
      <c r="I89" s="77"/>
      <c r="J89" s="77"/>
      <c r="K89" s="77">
        <f>G89</f>
        <v>8</v>
      </c>
    </row>
    <row r="90" spans="1:11">
      <c r="A90" s="707"/>
      <c r="B90" s="707"/>
      <c r="C90" s="707"/>
      <c r="D90" s="707"/>
      <c r="E90" s="707"/>
      <c r="F90" s="707"/>
      <c r="G90" s="707"/>
      <c r="H90" s="707"/>
      <c r="I90" s="707"/>
      <c r="J90" s="707"/>
      <c r="K90" s="707"/>
    </row>
    <row r="91" spans="1:11">
      <c r="A91" s="707"/>
      <c r="B91" s="707"/>
      <c r="C91" s="708">
        <v>15</v>
      </c>
      <c r="D91" s="708" t="s">
        <v>826</v>
      </c>
      <c r="E91" s="707" t="s">
        <v>827</v>
      </c>
      <c r="F91" s="707"/>
      <c r="G91" s="707"/>
      <c r="H91" s="707"/>
      <c r="I91" s="707"/>
      <c r="J91" s="707"/>
      <c r="K91" s="707"/>
    </row>
    <row r="92" spans="1:11">
      <c r="A92" s="707"/>
      <c r="B92" s="707"/>
      <c r="C92" s="707"/>
      <c r="D92" s="707"/>
      <c r="E92" s="707" t="s">
        <v>828</v>
      </c>
      <c r="F92" s="707"/>
      <c r="G92" s="707">
        <v>15</v>
      </c>
      <c r="H92" s="707"/>
      <c r="I92" s="707"/>
      <c r="J92" s="707"/>
      <c r="K92" s="707">
        <f>G92</f>
        <v>15</v>
      </c>
    </row>
    <row r="93" spans="1:11">
      <c r="A93" s="707"/>
      <c r="B93" s="707"/>
      <c r="C93" s="707"/>
      <c r="D93" s="707"/>
      <c r="E93" s="707" t="s">
        <v>829</v>
      </c>
      <c r="F93" s="707"/>
      <c r="G93" s="707">
        <v>15</v>
      </c>
      <c r="H93" s="707"/>
      <c r="I93" s="707"/>
      <c r="J93" s="707"/>
      <c r="K93" s="707">
        <f>G93</f>
        <v>15</v>
      </c>
    </row>
    <row r="94" spans="1:11">
      <c r="A94" s="707"/>
      <c r="B94" s="707"/>
      <c r="C94" s="707"/>
      <c r="D94" s="707"/>
      <c r="E94" s="707"/>
      <c r="F94" s="77" t="s">
        <v>466</v>
      </c>
      <c r="G94" s="77"/>
      <c r="H94" s="77"/>
      <c r="I94" s="77"/>
      <c r="J94" s="77"/>
      <c r="K94" s="77">
        <f>SUM(K92:K93)</f>
        <v>30</v>
      </c>
    </row>
    <row r="95" spans="1:11">
      <c r="A95" s="707"/>
      <c r="B95" s="707"/>
      <c r="C95" s="707"/>
      <c r="D95" s="707"/>
      <c r="E95" s="707"/>
      <c r="F95" s="707"/>
      <c r="G95" s="707"/>
      <c r="H95" s="707"/>
      <c r="I95" s="707"/>
      <c r="J95" s="707"/>
      <c r="K95" s="707"/>
    </row>
    <row r="96" spans="1:11">
      <c r="A96" s="707"/>
      <c r="B96" s="707"/>
      <c r="C96" s="708">
        <v>16</v>
      </c>
      <c r="D96" s="707" t="s">
        <v>832</v>
      </c>
      <c r="E96" s="707" t="s">
        <v>833</v>
      </c>
      <c r="F96" s="707"/>
      <c r="G96" s="707"/>
      <c r="H96" s="707"/>
      <c r="I96" s="707"/>
      <c r="J96" s="707"/>
      <c r="K96" s="707"/>
    </row>
    <row r="97" spans="1:11">
      <c r="A97" s="707"/>
      <c r="B97" s="707"/>
      <c r="C97" s="707"/>
      <c r="D97" s="707"/>
      <c r="E97" s="707" t="s">
        <v>834</v>
      </c>
      <c r="F97" s="707"/>
      <c r="G97" s="707">
        <v>1</v>
      </c>
      <c r="H97" s="707"/>
      <c r="I97" s="707"/>
      <c r="J97" s="707"/>
      <c r="K97" s="707">
        <f>G97</f>
        <v>1</v>
      </c>
    </row>
    <row r="98" spans="1:11">
      <c r="A98" s="707"/>
      <c r="B98" s="707"/>
      <c r="C98" s="707"/>
      <c r="D98" s="707"/>
      <c r="E98" s="707" t="s">
        <v>835</v>
      </c>
      <c r="F98" s="707"/>
      <c r="G98" s="707">
        <v>4</v>
      </c>
      <c r="H98" s="707"/>
      <c r="I98" s="707"/>
      <c r="J98" s="707"/>
      <c r="K98" s="707">
        <f t="shared" ref="K98:K103" si="5">G98</f>
        <v>4</v>
      </c>
    </row>
    <row r="99" spans="1:11">
      <c r="A99" s="707"/>
      <c r="B99" s="707"/>
      <c r="C99" s="707"/>
      <c r="D99" s="707"/>
      <c r="E99" s="707" t="s">
        <v>836</v>
      </c>
      <c r="F99" s="707"/>
      <c r="G99" s="707">
        <v>2</v>
      </c>
      <c r="H99" s="707"/>
      <c r="I99" s="707"/>
      <c r="J99" s="707"/>
      <c r="K99" s="707">
        <f t="shared" si="5"/>
        <v>2</v>
      </c>
    </row>
    <row r="100" spans="1:11">
      <c r="A100" s="707"/>
      <c r="B100" s="707"/>
      <c r="C100" s="707"/>
      <c r="D100" s="707"/>
      <c r="E100" s="707" t="s">
        <v>837</v>
      </c>
      <c r="F100" s="707"/>
      <c r="G100" s="707">
        <v>2</v>
      </c>
      <c r="H100" s="707"/>
      <c r="I100" s="707"/>
      <c r="J100" s="707"/>
      <c r="K100" s="707">
        <f t="shared" si="5"/>
        <v>2</v>
      </c>
    </row>
    <row r="101" spans="1:11">
      <c r="A101" s="707"/>
      <c r="B101" s="707"/>
      <c r="C101" s="707"/>
      <c r="D101" s="707"/>
      <c r="E101" s="707" t="s">
        <v>838</v>
      </c>
      <c r="F101" s="707"/>
      <c r="G101" s="707">
        <v>2</v>
      </c>
      <c r="H101" s="707"/>
      <c r="I101" s="707"/>
      <c r="J101" s="707"/>
      <c r="K101" s="707">
        <f t="shared" si="5"/>
        <v>2</v>
      </c>
    </row>
    <row r="102" spans="1:11">
      <c r="A102" s="707"/>
      <c r="B102" s="707"/>
      <c r="C102" s="707"/>
      <c r="D102" s="707"/>
      <c r="E102" s="707" t="s">
        <v>839</v>
      </c>
      <c r="F102" s="707"/>
      <c r="G102" s="707">
        <v>8</v>
      </c>
      <c r="H102" s="707"/>
      <c r="I102" s="707"/>
      <c r="J102" s="707"/>
      <c r="K102" s="707">
        <f t="shared" si="5"/>
        <v>8</v>
      </c>
    </row>
    <row r="103" spans="1:11">
      <c r="A103" s="707"/>
      <c r="B103" s="707"/>
      <c r="C103" s="707"/>
      <c r="D103" s="707"/>
      <c r="E103" s="707" t="s">
        <v>840</v>
      </c>
      <c r="F103" s="707"/>
      <c r="G103" s="707">
        <v>8</v>
      </c>
      <c r="H103" s="707"/>
      <c r="I103" s="707"/>
      <c r="J103" s="707"/>
      <c r="K103" s="707">
        <f t="shared" si="5"/>
        <v>8</v>
      </c>
    </row>
    <row r="104" spans="1:11">
      <c r="A104" s="707"/>
      <c r="B104" s="707"/>
      <c r="C104" s="707"/>
      <c r="D104" s="707"/>
      <c r="E104" s="707"/>
      <c r="F104" s="71" t="s">
        <v>28</v>
      </c>
      <c r="G104" s="71"/>
      <c r="H104" s="71"/>
      <c r="I104" s="71"/>
      <c r="J104" s="71"/>
      <c r="K104" s="71">
        <f>SUM(K97:K103)</f>
        <v>27</v>
      </c>
    </row>
  </sheetData>
  <mergeCells count="1">
    <mergeCell ref="A1:K1"/>
  </mergeCells>
  <phoneticPr fontId="3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1" ma:contentTypeDescription="Create a new document." ma:contentTypeScope="" ma:versionID="79acb4288e82ca4a92ff0b35605f31e7">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c8308edf98ae9e3634fb0d0ad7fd0f62"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Props1.xml><?xml version="1.0" encoding="utf-8"?>
<ds:datastoreItem xmlns:ds="http://schemas.openxmlformats.org/officeDocument/2006/customXml" ds:itemID="{5B776D85-483B-4D73-B14C-013AC6D85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5ecd3-9e46-4f88-88f4-d7ee9e4f8f55"/>
    <ds:schemaRef ds:uri="b57188eb-d1f0-4ce3-8e5d-aa1e259d1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AD8108-884A-4CAB-BAE8-A52E4D47A613}">
  <ds:schemaRefs>
    <ds:schemaRef ds:uri="http://schemas.microsoft.com/sharepoint/v3/contenttype/forms"/>
  </ds:schemaRefs>
</ds:datastoreItem>
</file>

<file path=customXml/itemProps3.xml><?xml version="1.0" encoding="utf-8"?>
<ds:datastoreItem xmlns:ds="http://schemas.openxmlformats.org/officeDocument/2006/customXml" ds:itemID="{489AAAAB-5DDD-48C4-BC98-EF08FD5E59C4}">
  <ds:schemaRefs>
    <ds:schemaRef ds:uri="84d5ecd3-9e46-4f88-88f4-d7ee9e4f8f55"/>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b57188eb-d1f0-4ce3-8e5d-aa1e259d11d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Karim's</vt:lpstr>
      <vt:lpstr>MB Karim's</vt:lpstr>
      <vt:lpstr>Noodle</vt:lpstr>
      <vt:lpstr>MB Noodles</vt:lpstr>
      <vt:lpstr>GIANIS</vt:lpstr>
      <vt:lpstr>MB Gianis's</vt:lpstr>
      <vt:lpstr> Common area</vt:lpstr>
      <vt:lpstr>MB Common 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Sunil Kumar Sharma</cp:lastModifiedBy>
  <cp:lastPrinted>2024-01-02T10:28:31Z</cp:lastPrinted>
  <dcterms:created xsi:type="dcterms:W3CDTF">2023-02-23T05:33:55Z</dcterms:created>
  <dcterms:modified xsi:type="dcterms:W3CDTF">2024-03-20T10:46:49Z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