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d.docs.live.net/0f53128316650882/Desktop/"/>
    </mc:Choice>
  </mc:AlternateContent>
  <xr:revisionPtr revIDLastSave="14" documentId="13_ncr:1_{8BCAEF0F-04FA-4155-A61C-44401C3E4790}" xr6:coauthVersionLast="47" xr6:coauthVersionMax="47" xr10:uidLastSave="{65400BA5-A7CD-4FE8-9C18-4FF9D67A4EC6}"/>
  <bookViews>
    <workbookView xWindow="-110" yWindow="-110" windowWidth="19420" windowHeight="10300" tabRatio="796" xr2:uid="{00000000-000D-0000-FFFF-FFFF00000000}"/>
  </bookViews>
  <sheets>
    <sheet name="Summary" sheetId="8" r:id="rId1"/>
    <sheet name="Civil &amp; Interior" sheetId="1" r:id="rId2"/>
    <sheet name="MB Civil &amp; Interior" sheetId="9" r:id="rId3"/>
    <sheet name="Fire Fighting" sheetId="2" r:id="rId4"/>
    <sheet name="MB Fire " sheetId="11" r:id="rId5"/>
    <sheet name="HVAC extra" sheetId="15" r:id="rId6"/>
    <sheet name="HVAC extra work " sheetId="14" r:id="rId7"/>
    <sheet name="Material Specifications" sheetId="3" state="hidden" r:id="rId8"/>
    <sheet name="Fire Make" sheetId="4" state="hidden" r:id="rId9"/>
    <sheet name="Electrical ,CCTV &amp; PA Make" sheetId="5" state="hidden" r:id="rId10"/>
    <sheet name="Toilet Specs" sheetId="7" state="hidden" r:id="rId11"/>
  </sheets>
  <externalReferences>
    <externalReference r:id="rId12"/>
  </externalReferences>
  <definedNames>
    <definedName name="_xlnm._FilterDatabase" localSheetId="1" hidden="1">'Civil &amp; Interior'!$C$3:$J$572</definedName>
    <definedName name="_xlnm._FilterDatabase" localSheetId="3" hidden="1">'Fire Fighting'!$E$3:$J$73</definedName>
    <definedName name="_xlnm.Print_Area" localSheetId="10">'Toilet Specs'!$A$1:$E$10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8" l="1"/>
  <c r="K583" i="1"/>
  <c r="K577" i="1"/>
  <c r="K578" i="1"/>
  <c r="K579" i="1"/>
  <c r="K580" i="1"/>
  <c r="K581" i="1"/>
  <c r="K582" i="1"/>
  <c r="K576" i="1"/>
  <c r="H582" i="1"/>
  <c r="K434" i="9"/>
  <c r="K430" i="9"/>
  <c r="K431" i="9"/>
  <c r="K432" i="9"/>
  <c r="K433" i="9"/>
  <c r="K429" i="9"/>
  <c r="I433" i="9"/>
  <c r="I432" i="9"/>
  <c r="I431" i="9"/>
  <c r="I430" i="9"/>
  <c r="I429" i="9"/>
  <c r="H580" i="1"/>
  <c r="H578" i="1"/>
  <c r="K425" i="9"/>
  <c r="K423" i="9"/>
  <c r="H576" i="1"/>
  <c r="I421" i="9"/>
  <c r="K421" i="9" s="1"/>
  <c r="K420" i="9"/>
  <c r="K422" i="9" s="1"/>
  <c r="K419" i="9"/>
  <c r="H361" i="9" l="1"/>
  <c r="K361" i="9" s="1"/>
  <c r="H574" i="1"/>
  <c r="K574" i="1" s="1"/>
  <c r="D6" i="8"/>
  <c r="D5" i="8"/>
  <c r="H446" i="1"/>
  <c r="D6" i="15"/>
  <c r="F6" i="15" s="1"/>
  <c r="D10" i="15"/>
  <c r="F10" i="15" s="1"/>
  <c r="F8" i="15"/>
  <c r="F4" i="15"/>
  <c r="H427" i="1"/>
  <c r="E38" i="14"/>
  <c r="E27" i="14"/>
  <c r="D17" i="14"/>
  <c r="D8" i="14"/>
  <c r="E37" i="14"/>
  <c r="F13" i="15" l="1"/>
  <c r="K75" i="2" l="1"/>
  <c r="K65" i="2"/>
  <c r="K43" i="2"/>
  <c r="K33" i="2"/>
  <c r="K26" i="2"/>
  <c r="K19" i="2"/>
  <c r="K22" i="2"/>
  <c r="K18" i="2"/>
  <c r="K5" i="2"/>
  <c r="H65" i="2"/>
  <c r="H33" i="2"/>
  <c r="H26" i="2"/>
  <c r="L20" i="11"/>
  <c r="L16" i="11"/>
  <c r="L13" i="11"/>
  <c r="I10" i="11"/>
  <c r="L10" i="11" s="1"/>
  <c r="H22" i="2" s="1"/>
  <c r="L9" i="11"/>
  <c r="H19" i="2" s="1"/>
  <c r="I8" i="11"/>
  <c r="L8" i="11" s="1"/>
  <c r="H18" i="2" s="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89" i="1"/>
  <c r="K488" i="1"/>
  <c r="K487" i="1"/>
  <c r="K486" i="1"/>
  <c r="K485" i="1"/>
  <c r="K484" i="1"/>
  <c r="K481" i="1"/>
  <c r="K480" i="1"/>
  <c r="K479" i="1"/>
  <c r="K478" i="1"/>
  <c r="K477" i="1"/>
  <c r="K476" i="1"/>
  <c r="K475" i="1"/>
  <c r="K474" i="1"/>
  <c r="K473" i="1"/>
  <c r="K472" i="1"/>
  <c r="K471" i="1"/>
  <c r="K469" i="1"/>
  <c r="K468" i="1"/>
  <c r="K467" i="1"/>
  <c r="K466" i="1"/>
  <c r="K465" i="1"/>
  <c r="K464" i="1"/>
  <c r="K463" i="1"/>
  <c r="K462" i="1"/>
  <c r="K461" i="1"/>
  <c r="K460" i="1"/>
  <c r="K459" i="1"/>
  <c r="K458" i="1"/>
  <c r="K457" i="1"/>
  <c r="K456" i="1"/>
  <c r="K455" i="1"/>
  <c r="K453" i="1"/>
  <c r="K452" i="1"/>
  <c r="K451" i="1"/>
  <c r="K450" i="1"/>
  <c r="K449" i="1"/>
  <c r="K448" i="1"/>
  <c r="K447" i="1"/>
  <c r="K446" i="1"/>
  <c r="K445" i="1"/>
  <c r="K444" i="1"/>
  <c r="K443" i="1"/>
  <c r="K442" i="1"/>
  <c r="K441" i="1"/>
  <c r="K440" i="1"/>
  <c r="K439" i="1"/>
  <c r="K438" i="1"/>
  <c r="K437" i="1"/>
  <c r="K436" i="1"/>
  <c r="K435" i="1"/>
  <c r="K433" i="1"/>
  <c r="K432" i="1"/>
  <c r="K431" i="1"/>
  <c r="K430" i="1"/>
  <c r="K429" i="1"/>
  <c r="K428" i="1"/>
  <c r="K427" i="1"/>
  <c r="K425" i="1"/>
  <c r="K424" i="1"/>
  <c r="K422" i="1"/>
  <c r="K421" i="1"/>
  <c r="K420" i="1"/>
  <c r="K419" i="1"/>
  <c r="K418" i="1"/>
  <c r="K417" i="1"/>
  <c r="K416" i="1"/>
  <c r="K415" i="1"/>
  <c r="K414" i="1"/>
  <c r="K413" i="1"/>
  <c r="K411" i="1"/>
  <c r="K410" i="1"/>
  <c r="K409" i="1"/>
  <c r="K408" i="1"/>
  <c r="K407" i="1"/>
  <c r="K406" i="1"/>
  <c r="K405" i="1"/>
  <c r="K404" i="1"/>
  <c r="K403" i="1"/>
  <c r="K402" i="1"/>
  <c r="K401" i="1"/>
  <c r="K400" i="1"/>
  <c r="K399" i="1"/>
  <c r="K398" i="1"/>
  <c r="K396" i="1"/>
  <c r="K395" i="1"/>
  <c r="K394" i="1"/>
  <c r="K393" i="1"/>
  <c r="K392" i="1"/>
  <c r="K391" i="1"/>
  <c r="K390" i="1"/>
  <c r="K389" i="1"/>
  <c r="K388" i="1"/>
  <c r="K387" i="1"/>
  <c r="K386" i="1"/>
  <c r="K385" i="1"/>
  <c r="K384" i="1"/>
  <c r="K383" i="1"/>
  <c r="K382" i="1"/>
  <c r="K381" i="1"/>
  <c r="K379" i="1"/>
  <c r="K378" i="1"/>
  <c r="K377" i="1"/>
  <c r="K376" i="1"/>
  <c r="K375" i="1"/>
  <c r="K374" i="1"/>
  <c r="K373" i="1"/>
  <c r="K372" i="1"/>
  <c r="K371" i="1"/>
  <c r="K370" i="1"/>
  <c r="K369" i="1"/>
  <c r="K368" i="1"/>
  <c r="K366" i="1"/>
  <c r="K365" i="1"/>
  <c r="K364" i="1"/>
  <c r="K363" i="1"/>
  <c r="K362" i="1"/>
  <c r="K361" i="1"/>
  <c r="K360" i="1"/>
  <c r="K359" i="1"/>
  <c r="K358" i="1"/>
  <c r="K357" i="1"/>
  <c r="K356" i="1"/>
  <c r="K355" i="1"/>
  <c r="K354" i="1"/>
  <c r="K353" i="1"/>
  <c r="K352" i="1"/>
  <c r="K351" i="1"/>
  <c r="K348" i="1"/>
  <c r="K346" i="1"/>
  <c r="K341" i="1"/>
  <c r="K306" i="1"/>
  <c r="H483" i="1"/>
  <c r="K483" i="1" s="1"/>
  <c r="H482" i="1"/>
  <c r="K482" i="1" s="1"/>
  <c r="H413" i="9"/>
  <c r="K413" i="9" s="1"/>
  <c r="H412" i="9"/>
  <c r="K412" i="9" s="1"/>
  <c r="H411" i="9"/>
  <c r="K411" i="9" s="1"/>
  <c r="H410" i="9"/>
  <c r="K410" i="9" s="1"/>
  <c r="H409" i="9"/>
  <c r="K409" i="9" s="1"/>
  <c r="H400" i="9"/>
  <c r="K400" i="9" s="1"/>
  <c r="H399" i="9"/>
  <c r="K399" i="9" s="1"/>
  <c r="H398" i="9"/>
  <c r="K398" i="9" s="1"/>
  <c r="H397" i="9"/>
  <c r="K397" i="9" s="1"/>
  <c r="H396" i="9"/>
  <c r="K396" i="9" s="1"/>
  <c r="H395" i="9"/>
  <c r="K395" i="9" s="1"/>
  <c r="H394" i="9"/>
  <c r="K394" i="9" s="1"/>
  <c r="H393" i="9"/>
  <c r="K393" i="9" s="1"/>
  <c r="H391" i="9"/>
  <c r="K391" i="9" s="1"/>
  <c r="H390" i="9"/>
  <c r="K390" i="9" s="1"/>
  <c r="H389" i="9"/>
  <c r="K389" i="9" s="1"/>
  <c r="H388" i="9"/>
  <c r="K388" i="9" s="1"/>
  <c r="H387" i="9"/>
  <c r="K387" i="9" s="1"/>
  <c r="H386" i="9"/>
  <c r="K386" i="9" s="1"/>
  <c r="K381" i="9"/>
  <c r="H454" i="1" s="1"/>
  <c r="K454" i="1" s="1"/>
  <c r="K378" i="9"/>
  <c r="H434" i="1" s="1"/>
  <c r="K434" i="1" s="1"/>
  <c r="K375" i="9"/>
  <c r="H374" i="9"/>
  <c r="K374" i="9" s="1"/>
  <c r="H373" i="9"/>
  <c r="K373" i="9" s="1"/>
  <c r="K370" i="9"/>
  <c r="H423" i="1" s="1"/>
  <c r="K423" i="1" s="1"/>
  <c r="H368" i="9"/>
  <c r="K368" i="9" s="1"/>
  <c r="H412" i="1" s="1"/>
  <c r="K412" i="1" s="1"/>
  <c r="K365" i="9"/>
  <c r="H397" i="1" s="1"/>
  <c r="K397" i="1" s="1"/>
  <c r="H360" i="9"/>
  <c r="K360" i="9" s="1"/>
  <c r="H359" i="9"/>
  <c r="K359" i="9" s="1"/>
  <c r="H358" i="9"/>
  <c r="K358" i="9" s="1"/>
  <c r="H357" i="9"/>
  <c r="K357" i="9" s="1"/>
  <c r="H356" i="9"/>
  <c r="K356" i="9" s="1"/>
  <c r="H355" i="9"/>
  <c r="K355" i="9" s="1"/>
  <c r="H354" i="9"/>
  <c r="K354" i="9" s="1"/>
  <c r="H353" i="9"/>
  <c r="K353" i="9" s="1"/>
  <c r="K352" i="9"/>
  <c r="H351" i="9"/>
  <c r="K351" i="9" s="1"/>
  <c r="H350" i="9"/>
  <c r="K350" i="9" s="1"/>
  <c r="H349" i="9"/>
  <c r="K349" i="9" s="1"/>
  <c r="H348" i="9"/>
  <c r="K348" i="9" s="1"/>
  <c r="H347" i="9"/>
  <c r="K347" i="9" s="1"/>
  <c r="H346" i="9"/>
  <c r="K346" i="9" s="1"/>
  <c r="K345" i="9"/>
  <c r="H344" i="9"/>
  <c r="K344" i="9" s="1"/>
  <c r="H343" i="9"/>
  <c r="K343" i="9" s="1"/>
  <c r="H342" i="9"/>
  <c r="K342" i="9" s="1"/>
  <c r="H341" i="9"/>
  <c r="K341" i="9" s="1"/>
  <c r="H340" i="9"/>
  <c r="K340" i="9" s="1"/>
  <c r="H339" i="9"/>
  <c r="K339" i="9" s="1"/>
  <c r="H338" i="9"/>
  <c r="K338" i="9" s="1"/>
  <c r="H337" i="9"/>
  <c r="K337" i="9" s="1"/>
  <c r="H336" i="9"/>
  <c r="K336" i="9" s="1"/>
  <c r="H335" i="9"/>
  <c r="K335" i="9" s="1"/>
  <c r="H334" i="9"/>
  <c r="K334" i="9" s="1"/>
  <c r="H333" i="9"/>
  <c r="K333" i="9" s="1"/>
  <c r="H332" i="9"/>
  <c r="K332" i="9" s="1"/>
  <c r="H331" i="9"/>
  <c r="K331" i="9" s="1"/>
  <c r="H330" i="9"/>
  <c r="K330" i="9" s="1"/>
  <c r="H329" i="9"/>
  <c r="K329" i="9" s="1"/>
  <c r="H328" i="9"/>
  <c r="K328" i="9" s="1"/>
  <c r="H327" i="9"/>
  <c r="K327" i="9" s="1"/>
  <c r="H326" i="9"/>
  <c r="K326" i="9" s="1"/>
  <c r="H325" i="9"/>
  <c r="K325" i="9" s="1"/>
  <c r="H324" i="9"/>
  <c r="K324" i="9" s="1"/>
  <c r="H323" i="9"/>
  <c r="K323" i="9" s="1"/>
  <c r="H322" i="9"/>
  <c r="K322" i="9" s="1"/>
  <c r="H321" i="9"/>
  <c r="K321" i="9" s="1"/>
  <c r="H320" i="9"/>
  <c r="K320" i="9" s="1"/>
  <c r="H319" i="9"/>
  <c r="K319" i="9" s="1"/>
  <c r="K315" i="9"/>
  <c r="K314" i="9"/>
  <c r="H311" i="9"/>
  <c r="K311" i="9" s="1"/>
  <c r="H310" i="9"/>
  <c r="K310" i="9" s="1"/>
  <c r="H309" i="9"/>
  <c r="K309" i="9" s="1"/>
  <c r="H308" i="9"/>
  <c r="K308" i="9" s="1"/>
  <c r="H307" i="9"/>
  <c r="K307" i="9" s="1"/>
  <c r="H306" i="9"/>
  <c r="K306" i="9" s="1"/>
  <c r="H305" i="9"/>
  <c r="K305" i="9" s="1"/>
  <c r="H304" i="9"/>
  <c r="K304" i="9" s="1"/>
  <c r="H303" i="9"/>
  <c r="K303" i="9" s="1"/>
  <c r="H302" i="9"/>
  <c r="K302" i="9" s="1"/>
  <c r="H301" i="9"/>
  <c r="K301" i="9" s="1"/>
  <c r="H300" i="9"/>
  <c r="K300" i="9" s="1"/>
  <c r="K299" i="9"/>
  <c r="H298" i="9"/>
  <c r="K298" i="9" s="1"/>
  <c r="H297" i="9"/>
  <c r="K297" i="9" s="1"/>
  <c r="H296" i="9"/>
  <c r="K296" i="9" s="1"/>
  <c r="H295" i="9"/>
  <c r="K295" i="9" s="1"/>
  <c r="H294" i="9"/>
  <c r="K294" i="9" s="1"/>
  <c r="H293" i="9"/>
  <c r="K293" i="9" s="1"/>
  <c r="H292" i="9"/>
  <c r="K292" i="9" s="1"/>
  <c r="H291" i="9"/>
  <c r="K291" i="9" s="1"/>
  <c r="H290" i="9"/>
  <c r="K290" i="9" s="1"/>
  <c r="H289" i="9"/>
  <c r="K289" i="9" s="1"/>
  <c r="H288" i="9"/>
  <c r="K288" i="9" s="1"/>
  <c r="H287" i="9"/>
  <c r="K287" i="9" s="1"/>
  <c r="H286" i="9"/>
  <c r="K286" i="9" s="1"/>
  <c r="H283" i="9"/>
  <c r="K283" i="9" s="1"/>
  <c r="H282" i="9"/>
  <c r="K282" i="9" s="1"/>
  <c r="H281" i="9"/>
  <c r="K281" i="9" s="1"/>
  <c r="H280" i="9"/>
  <c r="K280" i="9" s="1"/>
  <c r="H279" i="9"/>
  <c r="K279" i="9" s="1"/>
  <c r="H278" i="9"/>
  <c r="K278" i="9" s="1"/>
  <c r="H277" i="9"/>
  <c r="K277" i="9" s="1"/>
  <c r="H276" i="9"/>
  <c r="K276" i="9" s="1"/>
  <c r="H275" i="9"/>
  <c r="K275" i="9" s="1"/>
  <c r="H274" i="9"/>
  <c r="K274" i="9" s="1"/>
  <c r="H273" i="9"/>
  <c r="K273" i="9" s="1"/>
  <c r="H272" i="9"/>
  <c r="K272" i="9" s="1"/>
  <c r="K269" i="9"/>
  <c r="H347" i="1" s="1"/>
  <c r="K347" i="1" s="1"/>
  <c r="K267" i="9"/>
  <c r="H345" i="1" s="1"/>
  <c r="K345" i="1" s="1"/>
  <c r="K263" i="9"/>
  <c r="H337" i="1" s="1"/>
  <c r="K337" i="1" s="1"/>
  <c r="K261" i="9"/>
  <c r="H299" i="1" s="1"/>
  <c r="K299" i="1" s="1"/>
  <c r="K259" i="9"/>
  <c r="H246" i="1" s="1"/>
  <c r="K246" i="1" s="1"/>
  <c r="K249" i="9"/>
  <c r="K252" i="9"/>
  <c r="H237" i="1" s="1"/>
  <c r="K237" i="1" s="1"/>
  <c r="K362" i="9" l="1"/>
  <c r="H380" i="1" s="1"/>
  <c r="K380" i="1" s="1"/>
  <c r="K316" i="9"/>
  <c r="H367" i="1" s="1"/>
  <c r="K367" i="1" s="1"/>
  <c r="K376" i="9"/>
  <c r="H426" i="1" s="1"/>
  <c r="K426" i="1" s="1"/>
  <c r="K284" i="9"/>
  <c r="H349" i="1" s="1"/>
  <c r="K349" i="1" s="1"/>
  <c r="K401" i="9"/>
  <c r="H470" i="1" s="1"/>
  <c r="K470" i="1" s="1"/>
  <c r="K414" i="9"/>
  <c r="H490" i="1" s="1"/>
  <c r="K490" i="1" s="1"/>
  <c r="K312" i="9"/>
  <c r="H350" i="1" s="1"/>
  <c r="K350" i="1" s="1"/>
  <c r="K149" i="1"/>
  <c r="K116" i="1"/>
  <c r="K38" i="1"/>
  <c r="K251" i="9"/>
  <c r="H212" i="1" s="1"/>
  <c r="K212" i="1" s="1"/>
  <c r="K248" i="9"/>
  <c r="H208" i="1" s="1"/>
  <c r="K208" i="1" s="1"/>
  <c r="H246" i="9"/>
  <c r="K246" i="9" s="1"/>
  <c r="H206" i="1" s="1"/>
  <c r="K206" i="1" s="1"/>
  <c r="K242" i="9"/>
  <c r="H180" i="1" s="1"/>
  <c r="K180" i="1" s="1"/>
  <c r="H240" i="9"/>
  <c r="K240" i="9" s="1"/>
  <c r="H239" i="9"/>
  <c r="K239" i="9" s="1"/>
  <c r="H238" i="9"/>
  <c r="K238" i="9" s="1"/>
  <c r="H237" i="9"/>
  <c r="K237" i="9" s="1"/>
  <c r="H236" i="9"/>
  <c r="K236" i="9" s="1"/>
  <c r="K226" i="9"/>
  <c r="K225" i="9"/>
  <c r="K224" i="9"/>
  <c r="K221" i="9"/>
  <c r="K222" i="9" s="1"/>
  <c r="H154" i="1" s="1"/>
  <c r="K154" i="1" s="1"/>
  <c r="I148" i="9"/>
  <c r="H148" i="9"/>
  <c r="I147" i="9"/>
  <c r="H147" i="9"/>
  <c r="I146" i="9"/>
  <c r="H146" i="9"/>
  <c r="I145" i="9"/>
  <c r="H145" i="9"/>
  <c r="K227" i="9" l="1"/>
  <c r="H156" i="1" s="1"/>
  <c r="K156" i="1" s="1"/>
  <c r="K148" i="9"/>
  <c r="K147" i="9"/>
  <c r="K241" i="9"/>
  <c r="H174" i="1" s="1"/>
  <c r="K174" i="1" s="1"/>
  <c r="K145" i="9"/>
  <c r="K146" i="9"/>
  <c r="K149" i="9" l="1"/>
  <c r="H113" i="1" s="1"/>
  <c r="K113" i="1" s="1"/>
  <c r="I74" i="9" l="1"/>
  <c r="K74" i="9" s="1"/>
  <c r="I73" i="9"/>
  <c r="K73" i="9" s="1"/>
  <c r="I72" i="9"/>
  <c r="K72" i="9" s="1"/>
  <c r="I71" i="9"/>
  <c r="K71" i="9" s="1"/>
  <c r="I68" i="9"/>
  <c r="K68" i="9" s="1"/>
  <c r="K69" i="9" s="1"/>
  <c r="I64" i="9"/>
  <c r="K64" i="9" s="1"/>
  <c r="I63" i="9"/>
  <c r="K63" i="9" s="1"/>
  <c r="I62" i="9"/>
  <c r="K62" i="9" s="1"/>
  <c r="I61" i="9"/>
  <c r="K61" i="9" s="1"/>
  <c r="I60" i="9"/>
  <c r="K60" i="9" s="1"/>
  <c r="I59" i="9"/>
  <c r="K59" i="9" s="1"/>
  <c r="I58" i="9"/>
  <c r="K58" i="9" s="1"/>
  <c r="I57" i="9"/>
  <c r="K57" i="9" s="1"/>
  <c r="I56" i="9"/>
  <c r="K56" i="9" s="1"/>
  <c r="K80" i="9"/>
  <c r="K229" i="9"/>
  <c r="K230" i="9" s="1"/>
  <c r="H164" i="1" s="1"/>
  <c r="K164" i="1" s="1"/>
  <c r="K228" i="9"/>
  <c r="H158" i="1" s="1"/>
  <c r="K158" i="1" s="1"/>
  <c r="K217" i="9"/>
  <c r="K216" i="9"/>
  <c r="K213" i="9"/>
  <c r="K214" i="9" s="1"/>
  <c r="H143" i="1" s="1"/>
  <c r="K143" i="1" s="1"/>
  <c r="K209" i="9"/>
  <c r="K208" i="9"/>
  <c r="K207" i="9"/>
  <c r="K204" i="9"/>
  <c r="K203" i="9"/>
  <c r="K202" i="9"/>
  <c r="K201" i="9"/>
  <c r="K200" i="9"/>
  <c r="K199" i="9"/>
  <c r="K198" i="9"/>
  <c r="K197" i="9"/>
  <c r="K193" i="9"/>
  <c r="K192" i="9"/>
  <c r="K191" i="9"/>
  <c r="K190" i="9"/>
  <c r="K189" i="9"/>
  <c r="K188" i="9"/>
  <c r="K187" i="9"/>
  <c r="K186" i="9"/>
  <c r="K185" i="9"/>
  <c r="K184" i="9"/>
  <c r="K183" i="9"/>
  <c r="K182" i="9"/>
  <c r="K181" i="9"/>
  <c r="K180" i="9"/>
  <c r="K179" i="9"/>
  <c r="K178" i="9"/>
  <c r="K177" i="9"/>
  <c r="K176" i="9"/>
  <c r="K175" i="9"/>
  <c r="K174" i="9"/>
  <c r="K169" i="9"/>
  <c r="K168" i="9"/>
  <c r="K167" i="9"/>
  <c r="K163" i="9"/>
  <c r="K162" i="9"/>
  <c r="K161" i="9"/>
  <c r="K160" i="9"/>
  <c r="K159" i="9"/>
  <c r="K158" i="9"/>
  <c r="K157" i="9"/>
  <c r="K153" i="9"/>
  <c r="K154" i="9" s="1"/>
  <c r="H129" i="1" s="1"/>
  <c r="K129" i="1" s="1"/>
  <c r="K151" i="9"/>
  <c r="K152" i="9" s="1"/>
  <c r="H122" i="1" s="1"/>
  <c r="K122" i="1" s="1"/>
  <c r="K141" i="9"/>
  <c r="K140" i="9"/>
  <c r="K139" i="9"/>
  <c r="K138" i="9"/>
  <c r="K137" i="9"/>
  <c r="K136" i="9"/>
  <c r="K135" i="9"/>
  <c r="K134" i="9"/>
  <c r="K133" i="9"/>
  <c r="K132" i="9"/>
  <c r="K131" i="9"/>
  <c r="K130" i="9"/>
  <c r="K129" i="9"/>
  <c r="K128" i="9"/>
  <c r="K127" i="9"/>
  <c r="K126" i="9"/>
  <c r="K125" i="9"/>
  <c r="K121" i="9"/>
  <c r="K120" i="9"/>
  <c r="K119" i="9"/>
  <c r="K116" i="9"/>
  <c r="K117" i="9" s="1"/>
  <c r="H104" i="1" s="1"/>
  <c r="K104" i="1" s="1"/>
  <c r="K113" i="9"/>
  <c r="K112" i="9"/>
  <c r="K108" i="9"/>
  <c r="K107" i="9"/>
  <c r="K105" i="9"/>
  <c r="K106" i="9" s="1"/>
  <c r="H95" i="1" s="1"/>
  <c r="K95" i="1" s="1"/>
  <c r="K102" i="9"/>
  <c r="K101" i="9"/>
  <c r="K98" i="9"/>
  <c r="K99" i="9" s="1"/>
  <c r="H91" i="1" s="1"/>
  <c r="K91" i="1" s="1"/>
  <c r="H93" i="9"/>
  <c r="K93" i="9" s="1"/>
  <c r="K94" i="9" s="1"/>
  <c r="H73" i="1" s="1"/>
  <c r="K73" i="1" s="1"/>
  <c r="H90" i="9"/>
  <c r="K90" i="9" s="1"/>
  <c r="K91" i="9" s="1"/>
  <c r="H62" i="1" s="1"/>
  <c r="K62" i="1" s="1"/>
  <c r="K86" i="9"/>
  <c r="K85" i="9"/>
  <c r="K84" i="9"/>
  <c r="K83" i="9"/>
  <c r="K82" i="9"/>
  <c r="K81" i="9"/>
  <c r="K52" i="9"/>
  <c r="K53" i="9" s="1"/>
  <c r="H40" i="1" s="1"/>
  <c r="K40" i="1" s="1"/>
  <c r="K48" i="9"/>
  <c r="K47" i="9"/>
  <c r="K43" i="9"/>
  <c r="K42" i="9"/>
  <c r="K41" i="9"/>
  <c r="K40" i="9"/>
  <c r="K39" i="9"/>
  <c r="K38" i="9"/>
  <c r="K35" i="9"/>
  <c r="K34" i="9"/>
  <c r="K33" i="9"/>
  <c r="K32" i="9"/>
  <c r="K31" i="9"/>
  <c r="K30" i="9"/>
  <c r="K27" i="9"/>
  <c r="K28" i="9" s="1"/>
  <c r="H24" i="1" s="1"/>
  <c r="K24" i="1" s="1"/>
  <c r="K23" i="9"/>
  <c r="K22" i="9"/>
  <c r="K21" i="9"/>
  <c r="K20" i="9"/>
  <c r="K19" i="9"/>
  <c r="K16" i="9"/>
  <c r="H19" i="1" s="1"/>
  <c r="K19" i="1" s="1"/>
  <c r="K13" i="9"/>
  <c r="K12" i="9"/>
  <c r="K11" i="9"/>
  <c r="K10" i="9"/>
  <c r="K9" i="9"/>
  <c r="K8" i="9"/>
  <c r="K49" i="9" l="1"/>
  <c r="K50" i="9" s="1"/>
  <c r="H37" i="1" s="1"/>
  <c r="K103" i="9"/>
  <c r="K104" i="9" s="1"/>
  <c r="H93" i="1" s="1"/>
  <c r="K93" i="1" s="1"/>
  <c r="K218" i="9"/>
  <c r="K219" i="9" s="1"/>
  <c r="H147" i="1" s="1"/>
  <c r="K147" i="1" s="1"/>
  <c r="K75" i="9"/>
  <c r="K76" i="9" s="1"/>
  <c r="K65" i="9"/>
  <c r="K66" i="9" s="1"/>
  <c r="K114" i="9"/>
  <c r="K115" i="9" s="1"/>
  <c r="H97" i="1" s="1"/>
  <c r="K97" i="1" s="1"/>
  <c r="K194" i="9"/>
  <c r="K195" i="9" s="1"/>
  <c r="H137" i="1" s="1"/>
  <c r="K137" i="1" s="1"/>
  <c r="K205" i="9"/>
  <c r="K206" i="9" s="1"/>
  <c r="H138" i="1" s="1"/>
  <c r="K138" i="1" s="1"/>
  <c r="K210" i="9"/>
  <c r="K211" i="9" s="1"/>
  <c r="H139" i="1" s="1"/>
  <c r="K139" i="1" s="1"/>
  <c r="K87" i="9"/>
  <c r="K88" i="9" s="1"/>
  <c r="H55" i="1" s="1"/>
  <c r="K55" i="1" s="1"/>
  <c r="K170" i="9"/>
  <c r="K171" i="9" s="1"/>
  <c r="H136" i="1" s="1"/>
  <c r="K136" i="1" s="1"/>
  <c r="K14" i="9"/>
  <c r="K15" i="9" s="1"/>
  <c r="H7" i="1" s="1"/>
  <c r="K7" i="1" s="1"/>
  <c r="K44" i="9"/>
  <c r="K45" i="9" s="1"/>
  <c r="H34" i="1" s="1"/>
  <c r="K34" i="1" s="1"/>
  <c r="K164" i="9"/>
  <c r="K165" i="9" s="1"/>
  <c r="H133" i="1" s="1"/>
  <c r="K133" i="1" s="1"/>
  <c r="K24" i="9"/>
  <c r="K25" i="9" s="1"/>
  <c r="H22" i="1" s="1"/>
  <c r="K22" i="1" s="1"/>
  <c r="K36" i="9"/>
  <c r="K37" i="9" s="1"/>
  <c r="H31" i="1" s="1"/>
  <c r="K31" i="1" s="1"/>
  <c r="K122" i="9"/>
  <c r="K123" i="9" s="1"/>
  <c r="H107" i="1" s="1"/>
  <c r="K107" i="1" s="1"/>
  <c r="K109" i="9"/>
  <c r="K110" i="9" s="1"/>
  <c r="H96" i="1" s="1"/>
  <c r="K96" i="1" s="1"/>
  <c r="K142" i="9"/>
  <c r="K143" i="9" s="1"/>
  <c r="H66" i="1" s="1"/>
  <c r="K66" i="1" s="1"/>
  <c r="K77" i="9" l="1"/>
  <c r="H46" i="1" s="1"/>
  <c r="K46" i="1" s="1"/>
  <c r="K572" i="1" s="1"/>
  <c r="D3" i="8" s="1"/>
  <c r="D7" i="8" s="1"/>
  <c r="J17" i="1" l="1"/>
  <c r="J19" i="1"/>
  <c r="J22" i="1"/>
  <c r="J24" i="1"/>
  <c r="J31" i="1"/>
  <c r="J32" i="1"/>
  <c r="J34" i="1"/>
  <c r="J38" i="1"/>
  <c r="J40" i="1"/>
  <c r="J46" i="1"/>
  <c r="J55" i="1"/>
  <c r="J59" i="1"/>
  <c r="J62" i="1"/>
  <c r="J63" i="1"/>
  <c r="J70" i="1"/>
  <c r="J71" i="1"/>
  <c r="J73" i="1"/>
  <c r="J74" i="1"/>
  <c r="J84" i="1"/>
  <c r="J91" i="1"/>
  <c r="J92" i="1"/>
  <c r="J96" i="1"/>
  <c r="J99" i="1"/>
  <c r="J104" i="1"/>
  <c r="J106" i="1"/>
  <c r="J107" i="1"/>
  <c r="J108" i="1"/>
  <c r="J113" i="1"/>
  <c r="J116" i="1"/>
  <c r="J120" i="1"/>
  <c r="J122" i="1"/>
  <c r="J127" i="1"/>
  <c r="J130" i="1"/>
  <c r="J133" i="1"/>
  <c r="J135" i="1"/>
  <c r="J136" i="1"/>
  <c r="J137" i="1"/>
  <c r="J138" i="1"/>
  <c r="J139" i="1"/>
  <c r="J143" i="1"/>
  <c r="J147" i="1"/>
  <c r="J149" i="1"/>
  <c r="J154" i="1"/>
  <c r="J156" i="1"/>
  <c r="J158" i="1"/>
  <c r="J160" i="1"/>
  <c r="J163" i="1"/>
  <c r="J164" i="1"/>
  <c r="J165" i="1"/>
  <c r="J166" i="1"/>
  <c r="J173" i="1"/>
  <c r="J174" i="1"/>
  <c r="J175" i="1"/>
  <c r="J180" i="1"/>
  <c r="J181" i="1"/>
  <c r="J182" i="1"/>
  <c r="J202" i="1"/>
  <c r="J203" i="1"/>
  <c r="J204" i="1"/>
  <c r="J205" i="1"/>
  <c r="J206" i="1"/>
  <c r="J208" i="1"/>
  <c r="J209" i="1"/>
  <c r="J211" i="1"/>
  <c r="J212" i="1"/>
  <c r="J215" i="1"/>
  <c r="J220" i="1"/>
  <c r="J231" i="1"/>
  <c r="J232" i="1"/>
  <c r="J233" i="1"/>
  <c r="J234" i="1"/>
  <c r="J235" i="1"/>
  <c r="J237" i="1"/>
  <c r="J238" i="1"/>
  <c r="J240" i="1"/>
  <c r="J242" i="1"/>
  <c r="J246" i="1"/>
  <c r="J306" i="1"/>
  <c r="J322" i="1"/>
  <c r="J323" i="1"/>
  <c r="J325" i="1"/>
  <c r="J326" i="1"/>
  <c r="J330" i="1"/>
  <c r="J341" i="1"/>
  <c r="J342" i="1"/>
  <c r="J345" i="1"/>
  <c r="J347" i="1"/>
  <c r="J348" i="1"/>
  <c r="J349" i="1"/>
  <c r="J352" i="1"/>
  <c r="J353" i="1"/>
  <c r="J359" i="1"/>
  <c r="J360" i="1"/>
  <c r="J379" i="1"/>
  <c r="J380" i="1"/>
  <c r="J381" i="1"/>
  <c r="J382" i="1"/>
  <c r="J383" i="1"/>
  <c r="J397" i="1"/>
  <c r="J401" i="1"/>
  <c r="J402" i="1"/>
  <c r="J403" i="1"/>
  <c r="J407" i="1"/>
  <c r="J408" i="1"/>
  <c r="J411" i="1"/>
  <c r="J412" i="1"/>
  <c r="J413" i="1"/>
  <c r="J415" i="1"/>
  <c r="J416" i="1"/>
  <c r="J444" i="1"/>
  <c r="J446" i="1"/>
  <c r="J448" i="1"/>
  <c r="J449" i="1"/>
  <c r="J450" i="1"/>
  <c r="J459" i="1"/>
  <c r="J462" i="1"/>
  <c r="J463" i="1"/>
  <c r="J467" i="1"/>
  <c r="J468" i="1"/>
  <c r="J469" i="1"/>
  <c r="J470" i="1"/>
  <c r="J471" i="1"/>
  <c r="J472" i="1"/>
  <c r="J474" i="1"/>
  <c r="J475" i="1"/>
  <c r="J476" i="1"/>
  <c r="J481" i="1"/>
  <c r="J484" i="1"/>
  <c r="J486" i="1"/>
  <c r="J488" i="1"/>
  <c r="J490" i="1"/>
  <c r="J500" i="1"/>
  <c r="J501" i="1"/>
  <c r="J504" i="1"/>
  <c r="J510" i="1"/>
  <c r="J526" i="1"/>
  <c r="J531" i="1"/>
  <c r="J533" i="1"/>
  <c r="J538" i="1"/>
  <c r="J539" i="1"/>
  <c r="J540" i="1"/>
  <c r="J541" i="1"/>
  <c r="J542" i="1"/>
  <c r="J543" i="1"/>
  <c r="J544" i="1"/>
  <c r="J545" i="1"/>
  <c r="J546" i="1"/>
  <c r="J547" i="1"/>
  <c r="J548" i="1"/>
  <c r="J550" i="1"/>
  <c r="J551" i="1"/>
  <c r="J552" i="1"/>
  <c r="J554" i="1"/>
  <c r="J555" i="1"/>
  <c r="J556" i="1"/>
  <c r="J565" i="1"/>
  <c r="J567" i="1"/>
  <c r="J568" i="1"/>
  <c r="J569" i="1"/>
  <c r="J570" i="1"/>
  <c r="J571" i="1"/>
  <c r="J7" i="1" l="1"/>
  <c r="J8" i="1"/>
  <c r="J37" i="1"/>
  <c r="J45" i="1"/>
  <c r="J52" i="1"/>
  <c r="J53" i="1"/>
  <c r="J54" i="1"/>
  <c r="J57" i="1"/>
  <c r="J58" i="1"/>
  <c r="J60" i="1"/>
  <c r="J61" i="1"/>
  <c r="J64" i="1"/>
  <c r="J65" i="1"/>
  <c r="J66" i="1"/>
  <c r="J69" i="1"/>
  <c r="J79" i="1"/>
  <c r="J87" i="1"/>
  <c r="J89" i="1"/>
  <c r="J109" i="1"/>
  <c r="J125" i="1"/>
  <c r="J144" i="1"/>
  <c r="J145" i="1"/>
  <c r="J150" i="1"/>
  <c r="J157" i="1"/>
  <c r="J159" i="1"/>
  <c r="J167" i="1"/>
  <c r="J168" i="1"/>
  <c r="J176" i="1"/>
  <c r="J177" i="1"/>
  <c r="J188" i="1"/>
  <c r="J189" i="1"/>
  <c r="J190" i="1"/>
  <c r="J213" i="1"/>
  <c r="J224" i="1"/>
  <c r="J225" i="1"/>
  <c r="J226" i="1"/>
  <c r="J227" i="1"/>
  <c r="J228" i="1"/>
  <c r="J229" i="1"/>
  <c r="J230" i="1"/>
  <c r="J236" i="1"/>
  <c r="J239" i="1"/>
  <c r="J327" i="1"/>
  <c r="J346" i="1"/>
  <c r="J350" i="1"/>
  <c r="J361" i="1"/>
  <c r="J362" i="1"/>
  <c r="J365" i="1"/>
  <c r="J366" i="1"/>
  <c r="J368" i="1"/>
  <c r="J391" i="1"/>
  <c r="J392" i="1"/>
  <c r="J418" i="1"/>
  <c r="J466" i="1"/>
  <c r="J499" i="1"/>
  <c r="J509" i="1"/>
  <c r="J518" i="1"/>
  <c r="J519" i="1"/>
  <c r="J537" i="1"/>
  <c r="J549" i="1"/>
  <c r="J553" i="1"/>
  <c r="J557" i="1"/>
  <c r="J5" i="2"/>
  <c r="J18" i="2"/>
  <c r="J19" i="2"/>
  <c r="J20" i="2"/>
  <c r="J21" i="2"/>
  <c r="J22" i="2"/>
  <c r="J25" i="2"/>
  <c r="J26" i="2"/>
  <c r="J33" i="2"/>
  <c r="J43" i="2"/>
  <c r="J55" i="2"/>
  <c r="J59" i="2"/>
  <c r="J64" i="2"/>
  <c r="J69" i="2"/>
  <c r="J70" i="2"/>
  <c r="J75" i="2" l="1"/>
  <c r="C5" i="8" s="1"/>
  <c r="A86" i="5"/>
  <c r="A87" i="5" s="1"/>
  <c r="A88" i="5" s="1"/>
  <c r="A89" i="5" s="1"/>
  <c r="A90" i="5" s="1"/>
  <c r="A91" i="5" s="1"/>
  <c r="A92" i="5" s="1"/>
  <c r="A93" i="5" s="1"/>
  <c r="A94" i="5" s="1"/>
  <c r="A95" i="5" s="1"/>
  <c r="A96" i="5" s="1"/>
  <c r="J15" i="1" l="1"/>
  <c r="J572" i="1" l="1"/>
  <c r="C3" i="8" s="1"/>
  <c r="C7"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Dheeraj Yadav</author>
  </authors>
  <commentList>
    <comment ref="E107" authorId="0" shapeId="0" xr:uid="{00000000-0006-0000-0100-000001000000}">
      <text>
        <r>
          <rPr>
            <b/>
            <sz val="9"/>
            <color indexed="81"/>
            <rFont val="Tahoma"/>
            <family val="2"/>
          </rPr>
          <t>Dheeraj Yadav:</t>
        </r>
        <r>
          <rPr>
            <sz val="9"/>
            <color indexed="81"/>
            <rFont val="Tahoma"/>
            <family val="2"/>
          </rPr>
          <t xml:space="preserve">
Alu to replace with SS</t>
        </r>
      </text>
    </comment>
    <comment ref="E143" authorId="0" shapeId="0" xr:uid="{00000000-0006-0000-0100-000002000000}">
      <text>
        <r>
          <rPr>
            <b/>
            <sz val="9"/>
            <color indexed="81"/>
            <rFont val="Tahoma"/>
            <family val="2"/>
          </rPr>
          <t>Dheeraj Yadav:</t>
        </r>
        <r>
          <rPr>
            <sz val="9"/>
            <color indexed="81"/>
            <rFont val="Tahoma"/>
            <family val="2"/>
          </rPr>
          <t xml:space="preserve">
Vendors to recheck the spec</t>
        </r>
      </text>
    </comment>
    <comment ref="E209" authorId="0" shapeId="0" xr:uid="{00000000-0006-0000-0100-000003000000}">
      <text>
        <r>
          <rPr>
            <b/>
            <sz val="9"/>
            <color indexed="81"/>
            <rFont val="Tahoma"/>
            <family val="2"/>
          </rPr>
          <t>Dheeraj Yadav:</t>
        </r>
        <r>
          <rPr>
            <sz val="9"/>
            <color indexed="81"/>
            <rFont val="Tahoma"/>
            <family val="2"/>
          </rPr>
          <t xml:space="preserve">
Item missed by procurement team</t>
        </r>
      </text>
    </comment>
    <comment ref="E237" authorId="0" shapeId="0" xr:uid="{00000000-0006-0000-0100-000004000000}">
      <text>
        <r>
          <rPr>
            <b/>
            <sz val="9"/>
            <color indexed="81"/>
            <rFont val="Tahoma"/>
            <family val="2"/>
          </rPr>
          <t>Dheeraj Yadav:</t>
        </r>
        <r>
          <rPr>
            <sz val="9"/>
            <color indexed="81"/>
            <rFont val="Tahoma"/>
            <family val="2"/>
          </rPr>
          <t xml:space="preserve">
New Item added</t>
        </r>
      </text>
    </comment>
    <comment ref="E242" authorId="0" shapeId="0" xr:uid="{00000000-0006-0000-0100-000005000000}">
      <text>
        <r>
          <rPr>
            <b/>
            <sz val="9"/>
            <color indexed="81"/>
            <rFont val="Tahoma"/>
            <family val="2"/>
          </rPr>
          <t>Dheeraj Yadav:</t>
        </r>
        <r>
          <rPr>
            <sz val="9"/>
            <color indexed="81"/>
            <rFont val="Tahoma"/>
            <family val="2"/>
          </rPr>
          <t xml:space="preserve">
Spec updated</t>
        </r>
      </text>
    </comment>
    <comment ref="A396" authorId="0" shapeId="0" xr:uid="{00000000-0006-0000-0100-000006000000}">
      <text>
        <r>
          <rPr>
            <b/>
            <sz val="9"/>
            <color indexed="81"/>
            <rFont val="Tahoma"/>
            <family val="2"/>
          </rPr>
          <t>Dheeraj Yadav:</t>
        </r>
        <r>
          <rPr>
            <sz val="9"/>
            <color indexed="81"/>
            <rFont val="Tahoma"/>
            <family val="2"/>
          </rPr>
          <t xml:space="preserve">
New item added
</t>
        </r>
      </text>
    </comment>
    <comment ref="A503" authorId="0" shapeId="0" xr:uid="{00000000-0006-0000-0100-000007000000}">
      <text>
        <r>
          <rPr>
            <b/>
            <sz val="9"/>
            <color indexed="81"/>
            <rFont val="Tahoma"/>
            <family val="2"/>
          </rPr>
          <t>Dheeraj Yadav:</t>
        </r>
        <r>
          <rPr>
            <sz val="9"/>
            <color indexed="81"/>
            <rFont val="Tahoma"/>
            <family val="2"/>
          </rPr>
          <t xml:space="preserve">
New Item</t>
        </r>
      </text>
    </comment>
    <comment ref="E571" authorId="0" shapeId="0" xr:uid="{00000000-0006-0000-0100-000008000000}">
      <text>
        <r>
          <rPr>
            <b/>
            <sz val="9"/>
            <color indexed="81"/>
            <rFont val="Tahoma"/>
            <family val="2"/>
          </rPr>
          <t>Dheeraj Yadav:</t>
        </r>
        <r>
          <rPr>
            <sz val="9"/>
            <color indexed="81"/>
            <rFont val="Tahoma"/>
            <family val="2"/>
          </rPr>
          <t xml:space="preserve">
New Item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Dheeraj Yadav</author>
  </authors>
  <commentList>
    <comment ref="E119" authorId="0" shapeId="0" xr:uid="{8F29FB0F-21E1-4AF7-8E73-6E625AEE673E}">
      <text>
        <r>
          <rPr>
            <b/>
            <sz val="9"/>
            <color indexed="81"/>
            <rFont val="Tahoma"/>
            <family val="2"/>
          </rPr>
          <t>Author:</t>
        </r>
        <r>
          <rPr>
            <sz val="9"/>
            <color indexed="81"/>
            <rFont val="Tahoma"/>
            <family val="2"/>
          </rPr>
          <t xml:space="preserve">
Alu to replace with SS</t>
        </r>
      </text>
    </comment>
    <comment ref="E213" authorId="0" shapeId="0" xr:uid="{6EE1B221-21E4-449D-A627-C33D249C6809}">
      <text>
        <r>
          <rPr>
            <b/>
            <sz val="9"/>
            <color indexed="81"/>
            <rFont val="Tahoma"/>
            <family val="2"/>
          </rPr>
          <t>Author:</t>
        </r>
        <r>
          <rPr>
            <sz val="9"/>
            <color indexed="81"/>
            <rFont val="Tahoma"/>
            <family val="2"/>
          </rPr>
          <t xml:space="preserve">
Vendors to recheck the spec</t>
        </r>
      </text>
    </comment>
    <comment ref="E249" authorId="1" shapeId="0" xr:uid="{DB31FCD4-FFAD-4B5B-9D51-90C5CD9EED26}">
      <text>
        <r>
          <rPr>
            <b/>
            <sz val="9"/>
            <color indexed="81"/>
            <rFont val="Tahoma"/>
            <family val="2"/>
          </rPr>
          <t>Dheeraj Yadav:</t>
        </r>
        <r>
          <rPr>
            <sz val="9"/>
            <color indexed="81"/>
            <rFont val="Tahoma"/>
            <family val="2"/>
          </rPr>
          <t xml:space="preserve">
Item missed by procurement team</t>
        </r>
      </text>
    </comment>
    <comment ref="E252" authorId="1" shapeId="0" xr:uid="{D5D7BA27-5675-40EB-B315-8571BB0C3524}">
      <text>
        <r>
          <rPr>
            <b/>
            <sz val="9"/>
            <color indexed="81"/>
            <rFont val="Tahoma"/>
            <family val="2"/>
          </rPr>
          <t>Dheeraj Yadav:</t>
        </r>
        <r>
          <rPr>
            <sz val="9"/>
            <color indexed="81"/>
            <rFont val="Tahoma"/>
            <family val="2"/>
          </rPr>
          <t xml:space="preserve">
New Item added</t>
        </r>
      </text>
    </comment>
    <comment ref="A364" authorId="1" shapeId="0" xr:uid="{E9D448FC-2262-4A1A-9368-0DBAA71233C8}">
      <text>
        <r>
          <rPr>
            <b/>
            <sz val="9"/>
            <color indexed="81"/>
            <rFont val="Tahoma"/>
            <family val="2"/>
          </rPr>
          <t>Dheeraj Yadav:</t>
        </r>
        <r>
          <rPr>
            <sz val="9"/>
            <color indexed="81"/>
            <rFont val="Tahoma"/>
            <family val="2"/>
          </rPr>
          <t xml:space="preserve">
New item added
</t>
        </r>
      </text>
    </comment>
  </commentList>
</comments>
</file>

<file path=xl/sharedStrings.xml><?xml version="1.0" encoding="utf-8"?>
<sst xmlns="http://schemas.openxmlformats.org/spreadsheetml/2006/main" count="3015" uniqueCount="1541">
  <si>
    <t>Domino's Highway</t>
  </si>
  <si>
    <t>SL NO.</t>
  </si>
  <si>
    <t>DESCRIPTION</t>
  </si>
  <si>
    <t>Civil &amp; Interior</t>
  </si>
  <si>
    <t>Fire Fighting</t>
  </si>
  <si>
    <t>TOTAL</t>
  </si>
  <si>
    <t>CIVIL &amp; INTERIOR BOQ</t>
  </si>
  <si>
    <t>Task No.</t>
  </si>
  <si>
    <t>Sub Task No.</t>
  </si>
  <si>
    <t>Name of Item</t>
  </si>
  <si>
    <t>Description of Item</t>
  </si>
  <si>
    <t>Unit</t>
  </si>
  <si>
    <t>Quantity</t>
  </si>
  <si>
    <t>Total Rate</t>
  </si>
  <si>
    <t>Amount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</si>
  <si>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</si>
  <si>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</si>
  <si>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</si>
  <si>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</si>
  <si>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</si>
  <si>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</si>
  <si>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</si>
  <si>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</si>
  <si>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</si>
  <si>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</si>
  <si>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</si>
  <si>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</si>
  <si>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</si>
  <si>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</si>
  <si>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</si>
  <si>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</si>
  <si>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</si>
  <si>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</si>
  <si>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</si>
  <si>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</si>
  <si>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</si>
  <si>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</si>
  <si>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</si>
  <si>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</si>
  <si>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</si>
  <si>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</si>
  <si>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</si>
  <si>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Nos.</t>
  </si>
  <si>
    <t>b.2</t>
  </si>
  <si>
    <t>Making core cutting of 100 dia</t>
  </si>
  <si>
    <t>b.3</t>
  </si>
  <si>
    <t>Making core cutting of 150 dia</t>
  </si>
  <si>
    <t>b.4</t>
  </si>
  <si>
    <t>Making core cutting of 200 dia</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</si>
  <si>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</si>
  <si>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</si>
  <si>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</si>
  <si>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</si>
  <si>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</si>
  <si>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</si>
  <si>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</si>
  <si>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</si>
  <si>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</si>
  <si>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</si>
  <si>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</si>
  <si>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</si>
  <si>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Sub Total of A.2.0</t>
  </si>
  <si>
    <t>A.3.0</t>
  </si>
  <si>
    <t>Brick Wall and Plaster</t>
  </si>
  <si>
    <t>Autoclaved Aerated Concrete Block</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</si>
  <si>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</si>
  <si>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</si>
  <si>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</si>
  <si>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</si>
  <si>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</si>
  <si>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Brick Work</t>
  </si>
  <si>
    <t>115mm thick Brick Masonry</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</si>
  <si>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</si>
  <si>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</si>
  <si>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</si>
  <si>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Plaster</t>
  </si>
  <si>
    <t>c.1</t>
  </si>
  <si>
    <t>12mm to 15mm Plastering</t>
  </si>
  <si>
    <t>Plastering the Siporex / brick masonry walls with 12mm to 15mm thk. Single coat cement plaster in 1: 4 (cement : sand proportion) with chickenmesh jali wherever required, including scaffolding and curing complete as specified and as directed by Site Engineer.</t>
  </si>
  <si>
    <t>Sub Total of A.3.0</t>
  </si>
  <si>
    <t>A.4.0</t>
  </si>
  <si>
    <t>Brickbat Coba and Water proofing</t>
  </si>
  <si>
    <t>Raised Brickbat Coba (Toilets)</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</si>
  <si>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</si>
  <si>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</si>
  <si>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</si>
  <si>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</si>
  <si>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</si>
  <si>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</si>
  <si>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d</t>
  </si>
  <si>
    <t xml:space="preserve">Water proofing (Toilet &amp; Kitchen sink area)with Membrane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</si>
  <si>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</si>
  <si>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e</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</si>
  <si>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9"/>
        <rFont val="Calibri"/>
        <family val="2"/>
        <scheme val="minor"/>
      </rPr>
      <t xml:space="preserve"> </t>
    </r>
    <r>
      <rPr>
        <sz val="9"/>
        <rFont val="Calibri"/>
        <family val="2"/>
        <scheme val="minor"/>
      </rPr>
      <t>Including protection plaster
Ponding test to be carried out for minimum 48 hours. 
Approved makes : Zydex, sika</t>
    </r>
  </si>
  <si>
    <t>Sub Total of A.4.0</t>
  </si>
  <si>
    <t>A.5.0</t>
  </si>
  <si>
    <t>Rolling Shutter , Awning &amp; Mild Steel work</t>
  </si>
  <si>
    <t>Motorized Rolling Shutter for entrance</t>
  </si>
  <si>
    <r>
      <t>Providing &amp; fixing Rolling Shutter including motarized mechanism to be operated with key/switch  of min. 20 guage MS sheet, including floor locks, guide rail, first quality enamel paint (</t>
    </r>
    <r>
      <rPr>
        <sz val="9"/>
        <rFont val="Calibri"/>
        <family val="2"/>
        <scheme val="minor"/>
      </rPr>
      <t xml:space="preserve"> 1 coat of primer &amp; 2 or more coat of paint until achieved smooth finish )</t>
    </r>
    <r>
      <rPr>
        <sz val="9"/>
        <color rgb="FFFF0000"/>
        <rFont val="Calibri"/>
        <family val="2"/>
        <scheme val="minor"/>
      </rPr>
      <t>.</t>
    </r>
    <r>
      <rPr>
        <sz val="9"/>
        <color theme="1"/>
        <rFont val="Calibri"/>
        <family val="2"/>
        <scheme val="minor"/>
      </rPr>
      <t xml:space="preserve"> Rate including cost of transportation, loading, unloading, scaffolding, wastage, taxes etc. as mentioned in drawings  directed by Site Engineer.</t>
    </r>
  </si>
  <si>
    <t>Manual Rolling Shutter  with gear Box for entrance</t>
  </si>
  <si>
    <r>
      <t>Providing &amp; fixing manual Rolling Shutter including manual gear box of min. 20 guage MS sheet, including floor locks, guide rail, first quality enamel paint  (</t>
    </r>
    <r>
      <rPr>
        <sz val="9"/>
        <rFont val="Calibri"/>
        <family val="2"/>
        <scheme val="minor"/>
      </rPr>
      <t xml:space="preserve"> 1 coat of primer &amp; 2 or more coat of paint until achieved smooth finish</t>
    </r>
    <r>
      <rPr>
        <sz val="9"/>
        <color theme="1"/>
        <rFont val="Calibri"/>
        <family val="2"/>
        <scheme val="minor"/>
      </rPr>
      <t xml:space="preserve"> ). Rate including cost of transportation, loading, unloading, scaffolding, wastage, taxes etc. as mentioned in drawings  directed by Site Engineer.</t>
    </r>
  </si>
  <si>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</si>
  <si>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</si>
  <si>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</si>
  <si>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</si>
  <si>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</si>
  <si>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</si>
  <si>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</si>
  <si>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f</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</si>
  <si>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</si>
  <si>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</si>
  <si>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</si>
  <si>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</si>
  <si>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</si>
  <si>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r>
      <t xml:space="preserve">Tiles for Flooring     (General seating area)
FF 01 Kajaria -Fog Perla, cool cement, cool silver (Matt Finish) /Somany-Ethos grey </t>
    </r>
    <r>
      <rPr>
        <b/>
        <sz val="9"/>
        <rFont val="Calibri"/>
        <family val="2"/>
        <scheme val="minor"/>
      </rPr>
      <t>(Details- Refer Material Spec. sheet)</t>
    </r>
  </si>
  <si>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</si>
  <si>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r>
      <t xml:space="preserve">Tiles for Flooring  (Light) - (Booth seating)
FF 04 - Kajaria Sheesham Rosewood/ RAK AMBER OAK or Somany Strio Verano wood Teak  </t>
    </r>
    <r>
      <rPr>
        <b/>
        <sz val="9"/>
        <color theme="1"/>
        <rFont val="Calibri"/>
        <family val="2"/>
        <scheme val="minor"/>
      </rPr>
      <t>(Details- Refer Material Spec. sheet)</t>
    </r>
  </si>
  <si>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</si>
  <si>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r>
      <t xml:space="preserve">Tiles for Flooring  (Dark) - (Booth seating)
FF 05 - Kajaria Sheesham Nero /RAK CEDAR BROWN or Strio Benz wood Nero </t>
    </r>
    <r>
      <rPr>
        <b/>
        <sz val="9"/>
        <color theme="1"/>
        <rFont val="Calibri"/>
        <family val="2"/>
        <scheme val="minor"/>
      </rPr>
      <t>(Details- Refer Material Spec. sheet)</t>
    </r>
    <r>
      <rPr>
        <sz val="9"/>
        <color theme="1"/>
        <rFont val="Calibri"/>
        <family val="2"/>
        <scheme val="minor"/>
      </rPr>
      <t xml:space="preserve"> </t>
    </r>
  </si>
  <si>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</si>
  <si>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r>
      <t xml:space="preserve">Tiles for Flooring - FF02
Kajaria-Dessert grey, cool gris,cairo gris (Matt Finish) (Kitchen  &amp; BOH) or equivalent in somany </t>
    </r>
    <r>
      <rPr>
        <b/>
        <sz val="9"/>
        <color theme="1"/>
        <rFont val="Calibri"/>
        <family val="2"/>
        <scheme val="minor"/>
      </rPr>
      <t>(Details- Refer Material Spec. sheet)</t>
    </r>
  </si>
  <si>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Tile Protection (.Size - 600x600)/ option 2 RAK RETRO IVORY   RUSTIC  SIZE-600X600 mm</t>
  </si>
  <si>
    <t>d.1 (opt.)</t>
  </si>
  <si>
    <r>
      <t>Tiles for Flooring -</t>
    </r>
    <r>
      <rPr>
        <b/>
        <sz val="9"/>
        <rFont val="Calibri"/>
        <family val="2"/>
        <scheme val="minor"/>
      </rPr>
      <t>(Details-</t>
    </r>
    <r>
      <rPr>
        <sz val="9"/>
        <rFont val="Calibri"/>
        <family val="2"/>
        <scheme val="minor"/>
      </rPr>
      <t xml:space="preserve"> </t>
    </r>
    <r>
      <rPr>
        <b/>
        <sz val="9"/>
        <rFont val="Calibri"/>
        <family val="2"/>
        <scheme val="minor"/>
      </rPr>
      <t>Refer Material Spec. sheet) no.- A (2a)</t>
    </r>
    <r>
      <rPr>
        <sz val="9"/>
        <rFont val="Calibri"/>
        <family val="2"/>
        <scheme val="minor"/>
      </rPr>
      <t xml:space="preserve">,  FF02
(Kitchen  &amp; BOH) </t>
    </r>
  </si>
  <si>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Tile Protection . Size- 600x600 Matt finish  (Size - 300x600)/ option 2 RAK IRIS DARK BLUE SIZE-300X600</t>
  </si>
  <si>
    <r>
      <t xml:space="preserve">Tiles for Flooring (Toilet areas)
Johson- Quartz grey/Somany -EC sapphire matt </t>
    </r>
    <r>
      <rPr>
        <b/>
        <sz val="9"/>
        <color theme="1"/>
        <rFont val="Calibri"/>
        <family val="2"/>
        <scheme val="minor"/>
      </rPr>
      <t>(Details- Refer Material Spec. sheet)</t>
    </r>
    <r>
      <rPr>
        <sz val="9"/>
        <color theme="1"/>
        <rFont val="Calibri"/>
        <family val="2"/>
        <scheme val="minor"/>
      </rPr>
      <t xml:space="preserve"> </t>
    </r>
  </si>
  <si>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</si>
  <si>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r>
      <t xml:space="preserve">Tiles for Flooring  
FF 03 - Johnson Endura Stepping Stone - Dona Paula Plain (Outdoor Area) or Somany - Largo Stepon Verde </t>
    </r>
    <r>
      <rPr>
        <b/>
        <sz val="9"/>
        <color theme="1"/>
        <rFont val="Calibri"/>
        <family val="2"/>
        <scheme val="minor"/>
      </rPr>
      <t xml:space="preserve"> (Details- Refer Material Spec. sheet)</t>
    </r>
    <r>
      <rPr>
        <sz val="9"/>
        <color theme="1"/>
        <rFont val="Calibri"/>
        <family val="2"/>
        <scheme val="minor"/>
      </rPr>
      <t xml:space="preserve"> </t>
    </r>
  </si>
  <si>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</si>
  <si>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g</t>
  </si>
  <si>
    <t xml:space="preserve">Tread &amp; Riser in 
Johnson Endura Stepping Stone - Dona Paula Plain (Outdoor area) </t>
  </si>
  <si>
    <t xml:space="preserve">Providing and fixing Skirting in position with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Skirting FF02 - Orient-Sahara crema/Kajaria K6815 Slate (Kitchen  &amp; BOH) or equivalent in somany </t>
  </si>
  <si>
    <t>h</t>
  </si>
  <si>
    <t xml:space="preserve"> Tiles in 
Johnson Endura Stepping Stone - Dona Paula Tread (Outdoor area) or Largo Riser Verde</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</si>
  <si>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</si>
  <si>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Rft</t>
  </si>
  <si>
    <t>i</t>
  </si>
  <si>
    <r>
      <t xml:space="preserve">Skirting                                           (General seating area)
FF 01 - Kajaria - Fog Perla, cool cement, cool silver (Matt Finish) /Somany-Ethos grey. </t>
    </r>
    <r>
      <rPr>
        <b/>
        <sz val="9"/>
        <color theme="1"/>
        <rFont val="Calibri"/>
        <family val="2"/>
        <scheme val="minor"/>
      </rPr>
      <t>(Details- Refer Material Spec. sheet)</t>
    </r>
  </si>
  <si>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</si>
  <si>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j</t>
  </si>
  <si>
    <r>
      <t xml:space="preserve">Skirting                                           FF02 - Kajaria-Dessert grey, cool gris,cairo gris (Matt Finish) (Kitchen  &amp; BOH) or equivalent in somany. </t>
    </r>
    <r>
      <rPr>
        <b/>
        <sz val="9"/>
        <color theme="1"/>
        <rFont val="Calibri"/>
        <family val="2"/>
        <scheme val="minor"/>
      </rPr>
      <t>(Details- Refer Material Spec. sheet)</t>
    </r>
  </si>
  <si>
    <t>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Ceramic wall tile (Printed) With customize line work Make : -Johnson in exposed area / Ceramic wall tile white/ Satin white 300x600mm below counter or hidden area</t>
  </si>
  <si>
    <t>j.1 op 1</t>
  </si>
  <si>
    <r>
      <t xml:space="preserve">Skirting </t>
    </r>
    <r>
      <rPr>
        <b/>
        <sz val="9"/>
        <rFont val="Calibri"/>
        <family val="2"/>
        <scheme val="minor"/>
      </rPr>
      <t>-(Details- Refer Material Spec. sheet) no.- 2a,</t>
    </r>
    <r>
      <rPr>
        <sz val="9"/>
        <rFont val="Calibri"/>
        <family val="2"/>
        <scheme val="minor"/>
      </rPr>
      <t xml:space="preserve">  FF02
(Kitchen  &amp; BOH)  </t>
    </r>
  </si>
  <si>
    <t>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Ceramic wall tile white/ Satin white 300x600mm (Plain) Make : -Johnson</t>
  </si>
  <si>
    <t>k</t>
  </si>
  <si>
    <r>
      <t xml:space="preserve">Skirting                                           (Booth seating)
FF 04 - Kajaria Sheesham Rosewood or Somany Strio Verano wood Teak . </t>
    </r>
    <r>
      <rPr>
        <b/>
        <sz val="9"/>
        <color theme="1"/>
        <rFont val="Calibri"/>
        <family val="2"/>
        <scheme val="minor"/>
      </rPr>
      <t>(Details- Refer Material Spec. sheet)</t>
    </r>
  </si>
  <si>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</si>
  <si>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l</t>
  </si>
  <si>
    <r>
      <t xml:space="preserve">Wall Tile Cladding - 2 (Kitchen &amp; BOH area). </t>
    </r>
    <r>
      <rPr>
        <b/>
        <sz val="9"/>
        <color theme="1"/>
        <rFont val="Calibri"/>
        <family val="2"/>
        <scheme val="minor"/>
      </rPr>
      <t xml:space="preserve"> (Details- Refer Material Spec. sheet) no.B(3) </t>
    </r>
  </si>
  <si>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</si>
  <si>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m</t>
  </si>
  <si>
    <r>
      <t xml:space="preserve">Wall Cladding - plain Tile  (BOH &amp; Staff changing room area). </t>
    </r>
    <r>
      <rPr>
        <b/>
        <sz val="9"/>
        <color theme="1"/>
        <rFont val="Calibri"/>
        <family val="2"/>
        <scheme val="minor"/>
      </rPr>
      <t>(Details- Refer Material Spec. sheet) no.B(4)</t>
    </r>
  </si>
  <si>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</si>
  <si>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n</t>
  </si>
  <si>
    <t xml:space="preserve">Dado Tile Cladding        (Booth Seating)Sheesham Oak or Somany Strio Benz wood dune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</si>
  <si>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(Basic Rate of Tile : 15 -20 Rs) Dado Tile Cladding  - White Tile in Staff Toilet</t>
  </si>
  <si>
    <t>o</t>
  </si>
  <si>
    <t>Dado in 
Johnson Endura Stepping Stone - Dona Paula Plain (Outdoor area) or Somany Largo Riser Verde</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</si>
  <si>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</si>
  <si>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p</t>
  </si>
  <si>
    <r>
      <t>Dado Tile Cladding  - Johson- Plain grey/Somany -EC sapphire matt(Toilets).</t>
    </r>
    <r>
      <rPr>
        <b/>
        <sz val="9"/>
        <color theme="1"/>
        <rFont val="Calibri"/>
        <family val="2"/>
        <scheme val="minor"/>
      </rPr>
      <t xml:space="preserve"> (Details- Refer Material Spec. sheet) </t>
    </r>
  </si>
  <si>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</si>
  <si>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q</t>
  </si>
  <si>
    <t>Dado Tile Cladding  - White Tile in Staff Toilet or changing room</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</si>
  <si>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 Rate of Tile : 15 -20 Rs) Dado Tile Cladding  - White Tile in Staff Toilet</t>
  </si>
  <si>
    <t>r</t>
  </si>
  <si>
    <t>Granite (Jet Black) Frame</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</si>
  <si>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</si>
  <si>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RFt</t>
  </si>
  <si>
    <t>s</t>
  </si>
  <si>
    <t>Granite (Jet Black/Steel grey) Band</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</si>
  <si>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</si>
  <si>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t</t>
  </si>
  <si>
    <t>Jet Black Granite</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</si>
  <si>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</si>
  <si>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</si>
  <si>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u</t>
  </si>
  <si>
    <t xml:space="preserve">Dado Tile Cladding on Counter-
130 x 800 mm - Kajaria - Mahogany, Sheesham Nero, Sheesham Rosewood, Sheesham Oak or equivalent in Somany as mentioned above </t>
  </si>
  <si>
    <r>
      <t xml:space="preserve">Providing and fixing in position </t>
    </r>
    <r>
      <rPr>
        <sz val="9"/>
        <color rgb="FF0000FF"/>
        <rFont val="Calibri"/>
        <family val="2"/>
        <scheme val="minor"/>
      </rPr>
      <t>Glazed Vitrified Tile</t>
    </r>
    <r>
      <rPr>
        <sz val="9"/>
        <rFont val="Calibri"/>
        <family val="2"/>
        <scheme val="minor"/>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</si>
  <si>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t>Sub Total of A.6.0</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</si>
  <si>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</si>
  <si>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</si>
  <si>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</si>
  <si>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</si>
  <si>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</si>
  <si>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</si>
  <si>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</si>
  <si>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r>
      <t xml:space="preserve">Providing and Fixing in position suspended type 12 mm  Bison Board False Ceiling with required M.S frame (50x50 mm ,18 gauge with </t>
    </r>
    <r>
      <rPr>
        <sz val="9"/>
        <rFont val="Calibri"/>
        <family val="2"/>
        <scheme val="minor"/>
      </rPr>
      <t>1 coat of primer &amp; 2 or more coat of paint until achieved smooth finish as per drawing</t>
    </r>
    <r>
      <rPr>
        <sz val="9"/>
        <color theme="1"/>
        <rFont val="Calibri"/>
        <family val="2"/>
        <scheme val="minor"/>
      </rPr>
      <t xml:space="preserve">) work/ fixing arrangement of </t>
    </r>
    <r>
      <rPr>
        <b/>
        <sz val="9"/>
        <color theme="1"/>
        <rFont val="Calibri"/>
        <family val="2"/>
        <scheme val="minor"/>
      </rPr>
      <t>2'x2' c/c</t>
    </r>
    <r>
      <rPr>
        <sz val="9"/>
        <color theme="1"/>
        <rFont val="Calibri"/>
        <family val="2"/>
        <scheme val="minor"/>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</si>
  <si>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t>sqft</t>
  </si>
  <si>
    <r>
      <t xml:space="preserve">ACP Fale Ceiling. </t>
    </r>
    <r>
      <rPr>
        <b/>
        <sz val="9"/>
        <color theme="1"/>
        <rFont val="Calibri"/>
        <family val="2"/>
        <scheme val="minor"/>
      </rPr>
      <t>(Details- Refer Material Spec. sheet)</t>
    </r>
  </si>
  <si>
    <r>
      <t>Providing and Fixing in position suspended type 4mm thk ACP  False Ceiling with required M.S frame 50x50 mm ,18 Gauge</t>
    </r>
    <r>
      <rPr>
        <sz val="9"/>
        <rFont val="Calibri"/>
        <family val="2"/>
        <scheme val="minor"/>
      </rPr>
      <t xml:space="preserve"> and </t>
    </r>
    <r>
      <rPr>
        <sz val="9"/>
        <color theme="1"/>
        <rFont val="Calibri"/>
        <family val="2"/>
        <scheme val="minor"/>
      </rPr>
      <t xml:space="preserve">work/ fixing arrangement of </t>
    </r>
    <r>
      <rPr>
        <b/>
        <sz val="9"/>
        <color theme="1"/>
        <rFont val="Calibri"/>
        <family val="2"/>
        <scheme val="minor"/>
      </rPr>
      <t>2'x2' c/c</t>
    </r>
    <r>
      <rPr>
        <sz val="9"/>
        <color theme="1"/>
        <rFont val="Calibri"/>
        <family val="2"/>
        <scheme val="minor"/>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</si>
  <si>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t>Sub Total of B.1.0</t>
  </si>
  <si>
    <t>B.2.0</t>
  </si>
  <si>
    <t>Ceiling Elements</t>
  </si>
  <si>
    <t>Ceiling Suspended metal framing (Community Seating Ceiling )</t>
  </si>
  <si>
    <r>
      <t xml:space="preserve">Providing and Fixing in position Ceiling Suspended Metal Grid frame (1500 x 900 ) made out of 25x25mm m.s. hollow box pipe finished with approved shade  of </t>
    </r>
    <r>
      <rPr>
        <sz val="9"/>
        <rFont val="Calibri"/>
        <family val="2"/>
        <scheme val="minor"/>
      </rPr>
      <t xml:space="preserve">.5 micron </t>
    </r>
    <r>
      <rPr>
        <sz val="9"/>
        <color theme="1"/>
        <rFont val="Calibri"/>
        <family val="2"/>
        <scheme val="minor"/>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</si>
  <si>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t>Baffles Ceiling -Wooden  rafter with rubber wood/Ash wood (Booth seating)</t>
  </si>
  <si>
    <t>Providing and Fixing  125mmX25mm thick wood finish with natural clear polish make suspended from ceiling. Complete as specified in the drawing &amp; to the satisfaction of the Architect &amp; Site-in-charge.</t>
  </si>
  <si>
    <t>R.ft</t>
  </si>
  <si>
    <t>Sub Total of B.2.0</t>
  </si>
  <si>
    <t>B.3.0</t>
  </si>
  <si>
    <t>Wall Claddings / Wall Partitions /Claddings</t>
  </si>
  <si>
    <r>
      <t>Bison Partition -</t>
    </r>
    <r>
      <rPr>
        <b/>
        <sz val="9"/>
        <color theme="1"/>
        <rFont val="Calibri"/>
        <family val="2"/>
        <scheme val="minor"/>
      </rPr>
      <t xml:space="preserve"> P1</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</si>
  <si>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</si>
  <si>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a.(i)</t>
  </si>
  <si>
    <r>
      <rPr>
        <b/>
        <sz val="9"/>
        <rFont val="Calibri"/>
        <family val="2"/>
        <scheme val="minor"/>
      </rPr>
      <t>Framing</t>
    </r>
    <r>
      <rPr>
        <sz val="9"/>
        <rFont val="Calibri"/>
        <family val="2"/>
        <scheme val="minor"/>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</si>
  <si>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</si>
  <si>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</si>
  <si>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Ply Partition - P2</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</si>
  <si>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</si>
  <si>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r>
      <t xml:space="preserve">Bison &amp; Ply Partition - P3 - Providing and fixing in position Bison &amp; ply Partition made out of </t>
    </r>
    <r>
      <rPr>
        <b/>
        <sz val="11"/>
        <rFont val="Calibri"/>
        <family val="2"/>
        <scheme val="minor"/>
      </rPr>
      <t>12 mm thk. Bison of approved make on one side and 12 mm thk. Marine ply</t>
    </r>
    <r>
      <rPr>
        <sz val="11"/>
        <rFont val="Calibri"/>
        <family val="2"/>
        <scheme val="minor"/>
      </rPr>
      <t xml:space="preserve"> on another side with necessary aluminum /M.S sections </t>
    </r>
    <r>
      <rPr>
        <b/>
        <sz val="11"/>
        <rFont val="Calibri"/>
        <family val="2"/>
        <scheme val="minor"/>
      </rPr>
      <t>framing details  as mentioned above</t>
    </r>
    <r>
      <rPr>
        <sz val="11"/>
        <rFont val="Calibri"/>
        <family val="2"/>
        <scheme val="minor"/>
      </rPr>
      <t>.Items include making, cut-out for electrical swtich plates , swtich boxes and 4" ht skirting as per drawing and direction .Plyboard make should be GREEN, CENTURY 0R EQUIVALENT. (Surface area of single side will be consider for billing)</t>
    </r>
  </si>
  <si>
    <t xml:space="preserve">Bison Panelling - PN1
</t>
  </si>
  <si>
    <t>Providing and fixing in position Panelling made out of 12 mm thk. Bison Board of approved make on one side with necessary  aluminum/M.S sections, framing details as mentioned below - c.(i).  (Surface area of single side will be consider for billing)</t>
  </si>
  <si>
    <t>c.(i)</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</si>
  <si>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</si>
  <si>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Marine Ply</t>
  </si>
  <si>
    <t>Providing &amp; Fixing 12 mm Marine Ply on Existing Provided Surface. Rate will exclude cost of framing</t>
  </si>
  <si>
    <t>Sqft</t>
  </si>
  <si>
    <t>d.1</t>
  </si>
  <si>
    <t>Providing &amp; Fixing 19 mm Marine Ply on Existing Provided Surface. Rate will exclude cost of framing</t>
  </si>
  <si>
    <t>d.2</t>
  </si>
  <si>
    <t>Providing &amp; Fixing 19 mm marine ply to be fixed with wooden gitty and the wall undulation to be covered by cement plaster</t>
  </si>
  <si>
    <t>Bison Boxing - PN5
For Façade</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</si>
  <si>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</si>
  <si>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Prelam Panelling (Base for Vinyl pasting) - PN2
Upto 2500mm level from FFL</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</si>
  <si>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</si>
  <si>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Prelam on Existing Surface</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</si>
  <si>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</si>
  <si>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WPC board (Base for Vinyl Pasting)PN2.2</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</si>
  <si>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</si>
  <si>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Sft</t>
  </si>
  <si>
    <t>h.1</t>
  </si>
  <si>
    <t>WPC board on Existing Surface</t>
  </si>
  <si>
    <t>Providing and fixing in position Panelling made out of  8mm thk. WPC on Existing Surface. Complete as per decoration plan and as specified &amp; directed by Site Engineer. (Surface Area of the partition shall be measured for billing).Rate  will exclude cost of framing</t>
  </si>
  <si>
    <r>
      <t xml:space="preserve">Ply Panelling - </t>
    </r>
    <r>
      <rPr>
        <b/>
        <sz val="9"/>
        <color theme="1"/>
        <rFont val="Calibri"/>
        <family val="2"/>
        <scheme val="minor"/>
      </rPr>
      <t>PN3</t>
    </r>
    <r>
      <rPr>
        <sz val="9"/>
        <color theme="1"/>
        <rFont val="Calibri"/>
        <family val="2"/>
        <scheme val="minor"/>
      </rPr>
      <t xml:space="preserve">
</t>
    </r>
  </si>
  <si>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</si>
  <si>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Laminate on panelling </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</si>
  <si>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</si>
  <si>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</si>
  <si>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</si>
  <si>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Wall Corner Guard</t>
  </si>
  <si>
    <t>Providing &amp; fixing 15mmX15mm anodized Aluminium  finish corner guard in approved shade powder coat matching to tile color above skirting level upto 2500 mm.</t>
  </si>
  <si>
    <t>R. Ft</t>
  </si>
  <si>
    <t>MS Tube Wall guards for articlad</t>
  </si>
  <si>
    <t>Providing &amp; fixing 25mmX25mm ss brush finish corner guard in approved shade powder coat matching to tile color above skirting level upto 2500 mm.</t>
  </si>
  <si>
    <t>Floor Transition strip</t>
  </si>
  <si>
    <t>Providing &amp; fixing 12mm wide 'T' shape anodized Aluminium Transition strip</t>
  </si>
  <si>
    <t>o op1</t>
  </si>
  <si>
    <r>
      <t>Dado Brick / Tile Cladding - 3 (Booth seating area)-</t>
    </r>
    <r>
      <rPr>
        <u/>
        <sz val="9"/>
        <color theme="1"/>
        <rFont val="Calibri"/>
        <family val="2"/>
        <scheme val="minor"/>
      </rPr>
      <t>(ACG 795 Articlad-Aggregate Material-German Handmade)</t>
    </r>
  </si>
  <si>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</si>
  <si>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o op2</t>
  </si>
  <si>
    <r>
      <t>Dado Brick / Tile Cladding - 3 (Booth seating area)-</t>
    </r>
    <r>
      <rPr>
        <u/>
        <sz val="9"/>
        <color theme="1"/>
        <rFont val="Calibri"/>
        <family val="2"/>
        <scheme val="minor"/>
      </rPr>
      <t>(ACG 795 Articlad- Aggregate Material-German Handmade)</t>
    </r>
  </si>
  <si>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</si>
  <si>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o op3</t>
  </si>
  <si>
    <t>Dado Brick / Tile Cladding - 3 (Booth seating area)-Unistone (Zara cotswold)</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</si>
  <si>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</si>
  <si>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t>o op4</t>
  </si>
  <si>
    <r>
      <t>Dado Brick / Tile Cladding - 3 (Booth seating area)-</t>
    </r>
    <r>
      <rPr>
        <u/>
        <sz val="9"/>
        <color theme="1"/>
        <rFont val="Calibri"/>
        <family val="2"/>
        <scheme val="minor"/>
      </rPr>
      <t>MCM(Code -A Series Brick 54058)</t>
    </r>
  </si>
  <si>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</si>
  <si>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 op1</t>
  </si>
  <si>
    <r>
      <t>Dado Brick / Tile Cladding - White Brick at Entrance area-</t>
    </r>
    <r>
      <rPr>
        <u/>
        <sz val="9"/>
        <color theme="1"/>
        <rFont val="Calibri"/>
        <family val="2"/>
        <scheme val="minor"/>
      </rPr>
      <t>Articlad ACG 555 Exterior Grade-Aggregate Material-German Handmade</t>
    </r>
  </si>
  <si>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</si>
  <si>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p op2</t>
  </si>
  <si>
    <r>
      <t>Dado Brick / Tile Cladding - White Brick at Entrance area-</t>
    </r>
    <r>
      <rPr>
        <u/>
        <sz val="9"/>
        <color theme="1"/>
        <rFont val="Calibri"/>
        <family val="2"/>
        <scheme val="minor"/>
      </rPr>
      <t>MCM Clay Tile(Code -K series ,facing brick /052)</t>
    </r>
  </si>
  <si>
    <t>Providing and fixing in position Brick / Brick finish dado clay tile on brick wall surface  Complete as specified in the drawing &amp; to the satisfaction of the Architect &amp; Site-in-charge.(Cost will include Mortar Mixture Thick 12-15 mm, 1:4)</t>
  </si>
  <si>
    <t>p op3</t>
  </si>
  <si>
    <r>
      <t xml:space="preserve">Dado Brick / Tile Cladding - White Brick at Entrance area- </t>
    </r>
    <r>
      <rPr>
        <u/>
        <sz val="9"/>
        <color theme="1"/>
        <rFont val="Calibri"/>
        <family val="2"/>
        <scheme val="minor"/>
      </rPr>
      <t>Unistone (Dholpur)</t>
    </r>
  </si>
  <si>
    <t>Providing and fixing in position Brick / Brick finish dado clay tile on direcet brick wall surface  Complete as specified in the drawing &amp; to the satisfaction of the Architect &amp; Site-in-charge. (Cost will include Mortar Mixture Thick 12-15 mm, 1:4)</t>
  </si>
  <si>
    <t>Framing for articlad</t>
  </si>
  <si>
    <t xml:space="preserve">Providing and fixing 10 mm shera board with MS section of 25 mm * 25mm *1.5 mm(18 guage) as per drawings . </t>
  </si>
  <si>
    <t>sq.ft</t>
  </si>
  <si>
    <r>
      <t xml:space="preserve">Exterior Textured Paint </t>
    </r>
    <r>
      <rPr>
        <u/>
        <sz val="9"/>
        <color theme="1"/>
        <rFont val="Calibri"/>
        <family val="2"/>
        <scheme val="minor"/>
      </rPr>
      <t>(Spectrum/Equivalent  -Graniplast stone dust finish)</t>
    </r>
    <r>
      <rPr>
        <sz val="9"/>
        <color theme="1"/>
        <rFont val="Calibri"/>
        <family val="2"/>
        <scheme val="minor"/>
      </rPr>
      <t xml:space="preserve"> on facade portal- Refer material specification sheet</t>
    </r>
  </si>
  <si>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</si>
  <si>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</si>
  <si>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B.4.0</t>
  </si>
  <si>
    <t>Doors &amp; Windows</t>
  </si>
  <si>
    <t xml:space="preserve">Main Entry Glass Door with metal frame as per drawing- 6 ft wide
</t>
  </si>
  <si>
    <t>Providing and Fixing in position Main Entry Door as per details in drawings including outer MS sections  40 mm x 45 mm and  10 mm toughened glass to be sandwiched with pivot and hardware including S.S  Brush Finish Handle 1500 mm ht (square one) with inbuilt locking &amp; Floor Spring (Ozone  FS-9400  STD ) provision in the floor as mentoned in the hyper linked drawing.and M.S Frame to be finish in Armada Blue Duco Paint or colour matching to Pantone shade PMS 2965 C (Cost will include all hardwares including Floor Spring ,Handle , Brush seal etc)</t>
  </si>
  <si>
    <t xml:space="preserve">Frameless toughened glass door with patch fittings and lock </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</si>
  <si>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</si>
  <si>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</si>
  <si>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</si>
  <si>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Single Leaf Flush Door - With Vision Panel with Granite framing (SDP Entry)</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</si>
  <si>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</si>
  <si>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c.2</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</si>
  <si>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</si>
  <si>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</si>
  <si>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</si>
  <si>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</si>
  <si>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</si>
  <si>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</si>
  <si>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</si>
  <si>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</si>
  <si>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</si>
  <si>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</si>
  <si>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 xml:space="preserve">Swing Single Leaf Flush Door -D2SV without door Frame (Kitchen to BOH) </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</si>
  <si>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</si>
  <si>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Counter Swing Door</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</si>
  <si>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</si>
  <si>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</si>
  <si>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</si>
  <si>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</si>
  <si>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</si>
  <si>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</si>
  <si>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</si>
  <si>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Painting - Lustre Paint (Vertical Exposed Surfaces)</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</si>
  <si>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</si>
  <si>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r>
      <t>Painting - Textured Paint -</t>
    </r>
    <r>
      <rPr>
        <b/>
        <sz val="9"/>
        <rFont val="Calibri"/>
        <family val="2"/>
        <scheme val="minor"/>
      </rPr>
      <t>(Details- Refer Material Spec. sheet)</t>
    </r>
    <r>
      <rPr>
        <sz val="9"/>
        <rFont val="Calibri"/>
        <family val="2"/>
        <scheme val="minor"/>
      </rPr>
      <t xml:space="preserve">
(Vertical Exposed Surfaces)</t>
    </r>
  </si>
  <si>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</si>
  <si>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</si>
  <si>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</si>
  <si>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</si>
  <si>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</si>
  <si>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Duco Paint</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</si>
  <si>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</si>
  <si>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Sub Total of B.5.0</t>
  </si>
  <si>
    <t>C</t>
  </si>
  <si>
    <t>Exterior Head</t>
  </si>
  <si>
    <t>C.1.0</t>
  </si>
  <si>
    <t>Façade Work</t>
  </si>
  <si>
    <t>Shera board  Panelling-1 (Signage front)</t>
  </si>
  <si>
    <r>
      <t xml:space="preserve">Providing and fixing in position panelling made out of </t>
    </r>
    <r>
      <rPr>
        <b/>
        <sz val="11"/>
        <rFont val="Calibri"/>
        <family val="2"/>
        <scheme val="minor"/>
      </rPr>
      <t>8 mm thk. x 150 x 3000mm</t>
    </r>
    <r>
      <rPr>
        <sz val="11"/>
        <rFont val="Calibri"/>
        <family val="2"/>
        <scheme val="minor"/>
      </rPr>
      <t xml:space="preserve"> Shera board Teak planks </t>
    </r>
    <r>
      <rPr>
        <b/>
        <sz val="11"/>
        <rFont val="Calibri"/>
        <family val="2"/>
        <scheme val="minor"/>
      </rPr>
      <t>(with application of 2 coat of primer on all side of shera plank &amp; approved Duco paint-Armada blue on shera Planks)</t>
    </r>
    <r>
      <rPr>
        <sz val="11"/>
        <rFont val="Calibri"/>
        <family val="2"/>
        <scheme val="minor"/>
      </rPr>
      <t xml:space="preserve"> on </t>
    </r>
    <r>
      <rPr>
        <b/>
        <sz val="11"/>
        <rFont val="Calibri"/>
        <family val="2"/>
        <scheme val="minor"/>
      </rPr>
      <t>base of 6 mm Bison Board Boxing to be fixed on 25x25x1.5 mm framework sections &amp; Painted with anti -corrison Paint on all sides and Duco Painted aluminum / M S  Border size of 25X25x1.5 to be fixed on all around the signage.</t>
    </r>
    <r>
      <rPr>
        <sz val="11"/>
        <rFont val="Calibri"/>
        <family val="2"/>
        <scheme val="minor"/>
      </rPr>
      <t>Complete as per storefront Detail and as specified in Drawing.(Cost will include Shera board ,Frame &amp; Bison Frame)Approved make - Asain paint</t>
    </r>
  </si>
  <si>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</si>
  <si>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</si>
  <si>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</si>
  <si>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</si>
  <si>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</si>
  <si>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</si>
  <si>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</si>
  <si>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Fixed Glass with Metal Frame at entrance</t>
  </si>
  <si>
    <t>Providing and fixing in position fixed 10 mm Toughened glass partition with As/approved Duco Painted -(ARMADA BLUE) or  colour matching to Pantone shade PMS 2965 C metal frame of 40 x 45 x1.5 mm section and intermediate sections of 25 x 25 x1.5 mm from outside and 25 x 12 x1.5 mm from inside with toughened glass. Complete as per details in drawing. 
(Surface area of the partition shall be measured for billing.)</t>
  </si>
  <si>
    <t>Fixed Glass with Aluminium Frame at entrance</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</si>
  <si>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</si>
  <si>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</si>
  <si>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</si>
  <si>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</si>
  <si>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</si>
  <si>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Sub Total of C.1.0</t>
  </si>
  <si>
    <t>D</t>
  </si>
  <si>
    <t>Wood Work</t>
  </si>
  <si>
    <t>D.1.0</t>
  </si>
  <si>
    <t>Furniture /WOOD Work</t>
  </si>
  <si>
    <t>Order Counter</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</si>
  <si>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</si>
  <si>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RFT</t>
  </si>
  <si>
    <t>Order Counter with Glass Slider/Openable</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</si>
  <si>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</si>
  <si>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Make line</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</si>
  <si>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</si>
  <si>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MOP/Janitor storage</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</si>
  <si>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</si>
  <si>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 xml:space="preserve">SoftBoard </t>
  </si>
  <si>
    <t>Providing and Fixing in position softboard as specified size. complete in all respect as per detailed drawing. Panel Size : 1200 x 900</t>
  </si>
  <si>
    <t>Staff Lunch Table</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</si>
  <si>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</si>
  <si>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M S railing</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</si>
  <si>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</si>
  <si>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S S railing</t>
  </si>
  <si>
    <t xml:space="preserve">Providing and fixing in position S. S. Railing made out of  ss grade 304 hollow section for vertical sections and midrails and S.S Hollow handrail . Cost to include all hardware and fasteners etc. complete in all respect as per detailed drawing. </t>
  </si>
  <si>
    <t>Removing &amp; Re-fixing existing M.s/ S. S. Railing</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</si>
  <si>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</si>
  <si>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LS</t>
  </si>
  <si>
    <t xml:space="preserve">Mirror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</si>
  <si>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</si>
  <si>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</si>
  <si>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</si>
  <si>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</si>
  <si>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</si>
  <si>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</si>
  <si>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</si>
  <si>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</si>
  <si>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 xml:space="preserve">Corian -6 MM THK.LG HAUSYS G-109 Foldable Ledge- Take away (Samsung aspen glow - AG636/ Rehau frost white 180L)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</si>
  <si>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</si>
  <si>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rft</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</si>
  <si>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</si>
  <si>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</si>
  <si>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Sub Total of D.1.0</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</si>
  <si>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</si>
  <si>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</si>
  <si>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</si>
  <si>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</si>
  <si>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</si>
  <si>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</si>
  <si>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RMT</t>
  </si>
  <si>
    <t>20mm nominal bore for sink+ gyser+ RO+ Basin+papsi machine</t>
  </si>
  <si>
    <t>25mm nominal bore for main water supply</t>
  </si>
  <si>
    <t>32mm nominal bore</t>
  </si>
  <si>
    <t>40mm nominal bore</t>
  </si>
  <si>
    <t>Providing &amp; fixing of ISI Mark CPVC ball valves of followig dia pipes as mentioned below (Make - supreme/prince/astral or as approved)</t>
  </si>
  <si>
    <t>b.5</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</si>
  <si>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</si>
  <si>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</si>
  <si>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</si>
  <si>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</si>
  <si>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</si>
  <si>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</si>
  <si>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c.3</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</si>
  <si>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</si>
  <si>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</si>
  <si>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</si>
  <si>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</si>
  <si>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</si>
  <si>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</si>
  <si>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</si>
  <si>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f.1</t>
  </si>
  <si>
    <t>25 mm nominal bore</t>
  </si>
  <si>
    <t>f.2</t>
  </si>
  <si>
    <t>32 mm nominal bore</t>
  </si>
  <si>
    <t>f.3</t>
  </si>
  <si>
    <t>40 mm nominal bore</t>
  </si>
  <si>
    <t>Sub Total of E.1.0</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</si>
  <si>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</si>
  <si>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</si>
  <si>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</si>
  <si>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</si>
  <si>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</si>
  <si>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</si>
  <si>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</si>
  <si>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</si>
  <si>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</si>
  <si>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150 mm dia.</t>
  </si>
  <si>
    <t xml:space="preserve">Providing ,laying, testing &amp; commissioning of approved Multi floor trap / Nahani trap with Chilly trap  of required sizes, including jointing etc. complete and as directed. (GMGR/Chilly or equivalent) 
</t>
  </si>
  <si>
    <t xml:space="preserve">Providing ,laying, testing &amp; commissioning of approved Chilly trap with required sizes, including jointing etc. complete and as directed. </t>
  </si>
  <si>
    <t xml:space="preserve">Providing laying, testing &amp; commissioning of approved Clean out plugs (for the downtakes near bends). </t>
  </si>
  <si>
    <t>75 mm dia</t>
  </si>
  <si>
    <t>ii</t>
  </si>
  <si>
    <t>110 mm dia</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</si>
  <si>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</si>
  <si>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</si>
  <si>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r>
      <t>Providing and fixing of PVC water vertical type storage tanks of the approved quality, including making solid  work complete in all respects with gate valve,</t>
    </r>
    <r>
      <rPr>
        <sz val="9"/>
        <color rgb="FF0070C0"/>
        <rFont val="Calibri"/>
        <family val="2"/>
        <scheme val="minor"/>
      </rPr>
      <t xml:space="preserve"> float valve</t>
    </r>
    <r>
      <rPr>
        <sz val="9"/>
        <color theme="1"/>
        <rFont val="Calibri"/>
        <family val="2"/>
        <scheme val="minor"/>
      </rPr>
      <t xml:space="preserve"> and necessary accessiories .(Sintex or equivalent make of Capacity - 200-250 ltrs)</t>
    </r>
  </si>
  <si>
    <t>Providing and fixing of PVC water storage tanks of the approved quality, including making solid  work complete in all respects with gate valve and necessary accessiories(Sintex or equivalent make )</t>
  </si>
  <si>
    <t>Ltr</t>
  </si>
  <si>
    <t>Sub Total of E.2.0</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</si>
  <si>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</si>
  <si>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</si>
  <si>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</si>
  <si>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</si>
  <si>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</si>
  <si>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Sub Total of E.3.0</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</si>
  <si>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</si>
  <si>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</si>
  <si>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</si>
  <si>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r>
      <t>WC</t>
    </r>
    <r>
      <rPr>
        <b/>
        <sz val="9"/>
        <rFont val="Calibri"/>
        <family val="2"/>
        <scheme val="minor"/>
      </rPr>
      <t xml:space="preserve"> (Details - Refer Toilet Specs.)</t>
    </r>
  </si>
  <si>
    <t xml:space="preserve">Hindware - Enigma or equivalent- wall mounted closet with Quiet-Close seat and cover (Catalogue no. 92024, Colour - Star white) </t>
  </si>
  <si>
    <t>Cocealed Cistern with flush plate</t>
  </si>
  <si>
    <t>Hindware or equivalent- Conceale Cistern (Concealo) and Face Plate (Concealo - Shell) / Flushing cistern can be identify from Vendor according to WC.</t>
  </si>
  <si>
    <r>
      <t xml:space="preserve">Wash Basin </t>
    </r>
    <r>
      <rPr>
        <b/>
        <sz val="9"/>
        <rFont val="Calibri"/>
        <family val="2"/>
        <scheme val="minor"/>
      </rPr>
      <t>(Details - Refer Toilet Specs.)</t>
    </r>
  </si>
  <si>
    <t>Hindware Magma -1719 Artistic Basin-510X360X120 wall hung (white) or equivalent.</t>
  </si>
  <si>
    <t>Wash Basin</t>
  </si>
  <si>
    <t>Hindware table top wash basin  Fornte white 91043 or equivalent</t>
  </si>
  <si>
    <t>Toilet accessories</t>
  </si>
  <si>
    <t>Toilet paper holder with cover - Hindware - (Catalogue no. F880003) or equivalent</t>
  </si>
  <si>
    <r>
      <t xml:space="preserve">Soap Dispenser Wash Basin </t>
    </r>
    <r>
      <rPr>
        <b/>
        <sz val="9"/>
        <rFont val="Calibri"/>
        <family val="2"/>
        <scheme val="minor"/>
      </rPr>
      <t>(Details - Refer Toilet Specs.)</t>
    </r>
  </si>
  <si>
    <t>Dolphy White ABS Wall Mounted 400 ml Liquid Soap Dispenser/ Dolphy – DSDR 0065 which is manual not automatic. But the alternative specs are mentioned for Automatic.- will use current only of Dolphy/censor one will be use for flagship stores only.</t>
  </si>
  <si>
    <t>Tissue Dispenser</t>
  </si>
  <si>
    <t>Dolphy Multifold Stainless Steel Towel Paper Dispenser</t>
  </si>
  <si>
    <t>a.8</t>
  </si>
  <si>
    <t>Pillar Cock for Wash Basin</t>
  </si>
  <si>
    <t>Hindware - Quadra Pillar cock - (Catalogue no. F380001CP, Finish - Chrome) or equivalent</t>
  </si>
  <si>
    <t>a.9</t>
  </si>
  <si>
    <t>Bib cock</t>
  </si>
  <si>
    <t>Hindware -Quadra which is actually “Quadra Bib Cock 2 in 1 with wall flange” or equivalent</t>
  </si>
  <si>
    <t>a.10</t>
  </si>
  <si>
    <r>
      <t xml:space="preserve">Jet Spray (Health Faucet)  </t>
    </r>
    <r>
      <rPr>
        <b/>
        <sz val="9"/>
        <rFont val="Calibri"/>
        <family val="2"/>
        <scheme val="minor"/>
      </rPr>
      <t>(Details - Refer Toilet Specs.)</t>
    </r>
  </si>
  <si>
    <t>Hindware-Health Faucet  F 160013 CP ABS With Rubbit Cleaning System</t>
  </si>
  <si>
    <t>a.11</t>
  </si>
  <si>
    <t>Bottle Trap</t>
  </si>
  <si>
    <t>Hindware-Addons - Bottle Trap 32mm With 125mm &amp; 175mm Long Wall Connection Pipe &amp;Wall Flange (ECONOMY MODEL)</t>
  </si>
  <si>
    <t>a.12</t>
  </si>
  <si>
    <t>Sink Mixer For 3 way Sink</t>
  </si>
  <si>
    <t xml:space="preserve">Providing and fixing C.P brass wall mounted sink mixer with swinging spout including cutting and making good the walls where required. (3 way Sink ) </t>
  </si>
  <si>
    <t>a.13</t>
  </si>
  <si>
    <t>40 mm Dia Pipe</t>
  </si>
  <si>
    <t xml:space="preserve">40 mm CPVC Dia Pipe for 3 way sink for all inclusive fittings </t>
  </si>
  <si>
    <t>a.14</t>
  </si>
  <si>
    <t>C.P Brass Angle</t>
  </si>
  <si>
    <t>Providing and fixing 15mm C.P brass angle valve /Stop Cock for wash basin ,Gyser, as specified by site engineer including all accessories complete in all respect/ C.P brass wall mounted sink mixer with swinging spout (Required for 3 way Sink)- Jaquar continental series (model to be identified) / hindware Cat. No.: F860011 Concealed Body for Wall Mounted Basin Tap or equivalent</t>
  </si>
  <si>
    <t>a.15</t>
  </si>
  <si>
    <t>WPC BIN</t>
  </si>
  <si>
    <t>Providing and making  Bin made up of WPC board with laminate as per drawing detail (2'-0 x 2'-0" x 15" )</t>
  </si>
  <si>
    <t>a.16</t>
  </si>
  <si>
    <t>Kitchen Paper Holder</t>
  </si>
  <si>
    <t>SS Kitchen Paper Holder 9" (Make : Hindware chrome F840008CP or equivalent)</t>
  </si>
  <si>
    <t>a.17</t>
  </si>
  <si>
    <t>Waste Coupling</t>
  </si>
  <si>
    <t>Waste Coupling for 3Way sink and Makeline sink</t>
  </si>
  <si>
    <t>a.18</t>
  </si>
  <si>
    <t>Waste Flexible Pipe</t>
  </si>
  <si>
    <t>PVC Waste flexible Pipe of 1.0m length and 25 mm dia (make :SBD/Shineman etc)</t>
  </si>
  <si>
    <t>a.19</t>
  </si>
  <si>
    <t>Conceal Coak</t>
  </si>
  <si>
    <t>Conceal coak for makeline sink (Make Jaquar Jaguar PRS-CHR-077 or Hindware F310003ACP equivalent) / JAQUAR - ALD-083CQT Concealed Stop Cock Regular Body Suitable for 15mm Pipe Line with Spindle Extension &amp; Plastic Protection Cap (without Exposed Parts) OR equivalent</t>
  </si>
  <si>
    <t>NO.</t>
  </si>
  <si>
    <t>Sub Total of E.4.0</t>
  </si>
  <si>
    <t>F</t>
  </si>
  <si>
    <t>Electrical</t>
  </si>
  <si>
    <t>F.1.0</t>
  </si>
  <si>
    <t>VTPN DB</t>
  </si>
  <si>
    <t>16 Way VTPN DB - Kitchen Equipment+ Lighting+Power DB</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</si>
  <si>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</si>
  <si>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</si>
  <si>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</si>
  <si>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</si>
  <si>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</si>
  <si>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</si>
  <si>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</si>
  <si>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12 Way VTPN DB - Kitchen Equipment+ Lighting+Power DB</t>
  </si>
  <si>
    <t>63A , TM based MCCB of 25kA with O/L, S/C &amp; E/F Protection - 01 No</t>
  </si>
  <si>
    <t xml:space="preserve">6/32A SP MCB - 18 Nos </t>
  </si>
  <si>
    <t>6/32 Amp TP MCB- 6 Nos</t>
  </si>
  <si>
    <t>8 Way VTPN DB - Kitchen Equipment+ Lighting+Power DB</t>
  </si>
  <si>
    <t xml:space="preserve">6/32A SP MCB - 12 Nos </t>
  </si>
  <si>
    <t>6/32 Amp TP MCB- 4 Nos</t>
  </si>
  <si>
    <t>Sub Total of F.1.0</t>
  </si>
  <si>
    <t>F.2.0</t>
  </si>
  <si>
    <t>TPN DB</t>
  </si>
  <si>
    <t>12 Way TPN DB - Kitchen Equipment+ Lighting+Power DB</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</si>
  <si>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</si>
  <si>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</si>
  <si>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</si>
  <si>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</si>
  <si>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</si>
  <si>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8 Way TPN DB - Kitchen Equipment+ Lighting+Power DB</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</si>
  <si>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</si>
  <si>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</si>
  <si>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</si>
  <si>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</si>
  <si>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</si>
  <si>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 xml:space="preserve">6 way TPN DB </t>
  </si>
  <si>
    <t>Triple pole and neutral distribution board (TPNDB) with Double door surface/flush mounted of 6 way (4+ 18 Module) 4 Horizontal Rows in 4 Vertical tiers configuration   comprising of following:-</t>
  </si>
  <si>
    <t>6/32A SP MCB - 12 Nos</t>
  </si>
  <si>
    <t>Sub Total of F.2.0</t>
  </si>
  <si>
    <t>F.3.0</t>
  </si>
  <si>
    <t xml:space="preserve">SPN DB </t>
  </si>
  <si>
    <t>12 Way SPN DB - UPS DB</t>
  </si>
  <si>
    <t>12 Way SPN Double door type DB for Power comprising of following:-</t>
  </si>
  <si>
    <t>32A DP MCB  - 01 No</t>
  </si>
  <si>
    <t>16A SP MCB -05 Nos</t>
  </si>
  <si>
    <t>8 Way SPN DB - UPS DB</t>
  </si>
  <si>
    <t>8 Way SPN Double door type DB for Power comprising of following:-</t>
  </si>
  <si>
    <t>25A DP MCB  - 01 No</t>
  </si>
  <si>
    <t>16A SP MCB - 04 Nos</t>
  </si>
  <si>
    <t>10A SP MCB - 02 Nos</t>
  </si>
  <si>
    <t>6 Way SPN DB - UPS DB</t>
  </si>
  <si>
    <t>6 Way SPN Double door type DB for Power comprising of following:-</t>
  </si>
  <si>
    <t>16A DP MCB  - 01 No</t>
  </si>
  <si>
    <t>10A SP MCB - 03 Nos</t>
  </si>
  <si>
    <t>16A SP MCB - 1 No</t>
  </si>
  <si>
    <t>Sub Total of F.3.0</t>
  </si>
  <si>
    <t>F.4.0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</si>
  <si>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</si>
  <si>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</si>
  <si>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</si>
  <si>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</si>
  <si>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</si>
  <si>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</si>
  <si>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</si>
  <si>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</si>
  <si>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</si>
  <si>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</si>
  <si>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 xml:space="preserve">Supply, Installation, testing comissioning of 10 amp TPN MCB </t>
  </si>
  <si>
    <t xml:space="preserve">Supply, Installation, testing comissioning of 32 amp TPN MCB </t>
  </si>
  <si>
    <t>Supply, Installation, testing comissioning of 40  amp TPN MCB</t>
  </si>
  <si>
    <r>
      <t xml:space="preserve">Providing and fixing TPN/DP </t>
    </r>
    <r>
      <rPr>
        <sz val="9"/>
        <color rgb="FF000000"/>
        <rFont val="Calibri"/>
        <family val="2"/>
        <scheme val="minor"/>
      </rPr>
      <t>enclosure box</t>
    </r>
    <r>
      <rPr>
        <sz val="9"/>
        <color theme="1"/>
        <rFont val="Calibri"/>
        <family val="2"/>
        <scheme val="minor"/>
      </rPr>
      <t xml:space="preserve"> for indoor purpose</t>
    </r>
  </si>
  <si>
    <r>
      <t xml:space="preserve">Providing and fixing TPN/DP </t>
    </r>
    <r>
      <rPr>
        <sz val="9"/>
        <color rgb="FF000000"/>
        <rFont val="Calibri"/>
        <family val="2"/>
        <scheme val="minor"/>
      </rPr>
      <t>enclosure box</t>
    </r>
    <r>
      <rPr>
        <b/>
        <sz val="9"/>
        <color rgb="FF000000"/>
        <rFont val="Calibri"/>
        <family val="2"/>
        <scheme val="minor"/>
      </rPr>
      <t xml:space="preserve"> </t>
    </r>
    <r>
      <rPr>
        <sz val="9"/>
        <color rgb="FF000000"/>
        <rFont val="Calibri"/>
        <family val="2"/>
        <scheme val="minor"/>
      </rPr>
      <t>(Wheather Proof)</t>
    </r>
    <r>
      <rPr>
        <sz val="9"/>
        <color theme="1"/>
        <rFont val="Calibri"/>
        <family val="2"/>
        <scheme val="minor"/>
      </rPr>
      <t xml:space="preserve"> for outdoor purposes</t>
    </r>
  </si>
  <si>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</si>
  <si>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</si>
  <si>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</si>
  <si>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</si>
  <si>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</si>
  <si>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</si>
  <si>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</si>
  <si>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Light Point Wiring Specifications</t>
  </si>
  <si>
    <r>
      <t>Point wiring shall include FRLS</t>
    </r>
    <r>
      <rPr>
        <b/>
        <sz val="9"/>
        <rFont val="Calibri"/>
        <family val="2"/>
        <scheme val="minor"/>
      </rPr>
      <t xml:space="preserve"> </t>
    </r>
    <r>
      <rPr>
        <sz val="9"/>
        <rFont val="Calibri"/>
        <family val="2"/>
        <scheme val="minor"/>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9"/>
        <color rgb="FF00B0F0"/>
        <rFont val="Calibri"/>
        <family val="2"/>
        <scheme val="minor"/>
      </rPr>
      <t xml:space="preserve">1sqmm </t>
    </r>
    <r>
      <rPr>
        <sz val="9"/>
        <rFont val="Calibri"/>
        <family val="2"/>
        <scheme val="minor"/>
      </rPr>
      <t xml:space="preserve">copper stranded conductor 660/1100V  grade PVC insulated wire in "PVC  Conduit".  Individual junction/inspection boxes shall be provided for each lighting fitting for the purpose of looping from fitting to fitting. 
</t>
    </r>
    <r>
      <rPr>
        <b/>
        <sz val="9"/>
        <rFont val="Calibri"/>
        <family val="2"/>
        <scheme val="minor"/>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</si>
  <si>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t>Lighting points with PVC conduit</t>
  </si>
  <si>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9"/>
        <rFont val="Calibri"/>
        <family val="2"/>
        <scheme val="minor"/>
      </rPr>
      <t>upto 10 Mt. wire length is inclusive.</t>
    </r>
  </si>
  <si>
    <t>Primary (First) light point controlled by a 6A switch.</t>
  </si>
  <si>
    <t xml:space="preserve">Nos </t>
  </si>
  <si>
    <t>Primary (First) light point controlled by a MCB in the DB.</t>
  </si>
  <si>
    <t>d.3</t>
  </si>
  <si>
    <t>Secondary (Loop) light point looped to first point and so on.(upto 6 mtr) wire length</t>
  </si>
  <si>
    <t>d.4</t>
  </si>
  <si>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9"/>
        <rFont val="Calibri"/>
        <family val="2"/>
        <scheme val="minor"/>
      </rPr>
      <t>(If wire length increase above 10 mt mentioned in lighting circuit)</t>
    </r>
  </si>
  <si>
    <t>d.5</t>
  </si>
  <si>
    <t xml:space="preserve">Supply, Installation, Testing &amp; Commissioning of mains with 2 X 2.5 sq.mm and earth wire 2.5 sqmm FRLS PVC copper wire ,in rigid MMS PVC conduit min.20 mm dia,including all required accessories,etc as per specification. </t>
  </si>
  <si>
    <t>d.6</t>
  </si>
  <si>
    <t>Supplying &amp; erecting mains with 2x4 sq.mm and earth wire 2.5 sqmm FRLS PVC copper wire laid with conduit/trunking/inside pole/Bus bars or any other places.</t>
  </si>
  <si>
    <t>Lighting points with MS conduit</t>
  </si>
  <si>
    <r>
      <t>All switch socket wiring shall be carried out for primary point using 3x2.5 sq mm wire in "PVC  Conduit" for connection of 6amp socket. Individual junction/inspection boxes shall be provided for each Power Point for the purpose of looping with cheisling and scaffolding work if required .</t>
    </r>
    <r>
      <rPr>
        <sz val="11"/>
        <color rgb="FFFF0000"/>
        <rFont val="Calibri"/>
        <family val="2"/>
        <scheme val="minor"/>
      </rPr>
      <t>Inclusive of all G.I. Boxing and wire termination &amp; MMS conduit etc</t>
    </r>
    <r>
      <rPr>
        <sz val="11"/>
        <rFont val="Calibri"/>
        <family val="2"/>
        <scheme val="minor"/>
      </rPr>
      <t>.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t>
    </r>
    <r>
      <rPr>
        <b/>
        <sz val="11"/>
        <rFont val="Calibri"/>
        <family val="2"/>
        <scheme val="minor"/>
      </rPr>
      <t>upto 12 Mt. wire length is inclusive.</t>
    </r>
  </si>
  <si>
    <t>e.1</t>
  </si>
  <si>
    <t>First Point wiring with 6A,5pin wall socket outlet and controlled by a 6A switch</t>
  </si>
  <si>
    <t>e.2</t>
  </si>
  <si>
    <r>
      <t xml:space="preserve">Extra loop point wiring with 6A, 5 pin wall socket outlet and controlled by a 6A switch </t>
    </r>
    <r>
      <rPr>
        <sz val="11"/>
        <color rgb="FFFF0000"/>
        <rFont val="Calibri"/>
        <family val="2"/>
        <scheme val="minor"/>
      </rPr>
      <t>upto 6 mtr length</t>
    </r>
  </si>
  <si>
    <t>e.3</t>
  </si>
  <si>
    <r>
      <t xml:space="preserve">Additional 6 Amp Switch &amp; socket outlet in G.I. Box on modular cover plate adjoining and looped from the existing point. </t>
    </r>
    <r>
      <rPr>
        <b/>
        <sz val="11"/>
        <rFont val="Calibri"/>
        <family val="2"/>
        <scheme val="minor"/>
      </rPr>
      <t xml:space="preserve">(Note:-additional means switch socket in modular box and plate adjoining the existing one on the same circuit.) </t>
    </r>
    <r>
      <rPr>
        <sz val="11"/>
        <color rgb="FFFF0000"/>
        <rFont val="Calibri"/>
        <family val="2"/>
        <scheme val="minor"/>
      </rPr>
      <t>Wire will be paid in Rmt separately</t>
    </r>
  </si>
  <si>
    <t>e.4</t>
  </si>
  <si>
    <r>
      <t>Supply, Installation, Testing &amp; Commissioning of mains with 2 X 1.5 sq.mm and earth wire 1.5 sqmm FRLS PVC copper wire ,in rigid  MS conduit min.25 mm dia, for light/fan/exhaust point from DB to point including all required accessories,etc  as per specification.</t>
    </r>
    <r>
      <rPr>
        <b/>
        <sz val="9"/>
        <rFont val="Calibri"/>
        <family val="2"/>
        <scheme val="minor"/>
      </rPr>
      <t>(If wire length increase above 10 mt mentioned in lighting circuit)</t>
    </r>
  </si>
  <si>
    <t>Rmtr</t>
  </si>
  <si>
    <t>e.5</t>
  </si>
  <si>
    <t xml:space="preserve">Supply, Installation, Testing &amp; Commissioning of mains with 2 X 2.5 sq.mm and earth wire 2.5 sqmm FRLS PVC copper wire ,in rigid MS conduit min.20 mm dia,including all required accessories,etc as per specification. </t>
  </si>
  <si>
    <t>Power Point wiring</t>
  </si>
  <si>
    <r>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t>
    </r>
    <r>
      <rPr>
        <sz val="11"/>
        <color rgb="FFFF0000"/>
        <rFont val="Calibri"/>
        <family val="2"/>
        <scheme val="minor"/>
      </rPr>
      <t>Inclusive of all G.I. Boxing and wire termination &amp; MMS PVC conduit etc.</t>
    </r>
    <r>
      <rPr>
        <sz val="11"/>
        <rFont val="Calibri"/>
        <family val="2"/>
        <scheme val="minor"/>
      </rPr>
      <t xml:space="preserve">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t>
    </r>
    <r>
      <rPr>
        <b/>
        <sz val="11"/>
        <rFont val="Calibri"/>
        <family val="2"/>
        <scheme val="minor"/>
      </rPr>
      <t>upto 12 Mt. wire length is inclusive.</t>
    </r>
  </si>
  <si>
    <t>First Point wiring with 16A, 3Pin combined shuttered wall socket outlet and controlled by a 16A one way switch with indicator.</t>
  </si>
  <si>
    <r>
      <t>Extra loop point wiring with 16A, 3Pin combined shuttered wall socket outlet and controlled by a 16A one way switch with indicator.</t>
    </r>
    <r>
      <rPr>
        <sz val="11"/>
        <color rgb="FFFF0000"/>
        <rFont val="Calibri"/>
        <family val="2"/>
        <scheme val="minor"/>
      </rPr>
      <t>upto 6 mtr wiring</t>
    </r>
  </si>
  <si>
    <r>
      <t xml:space="preserve">Additional 16 Amp Switch &amp; socket outlet in G.I. Box on modular cover plate adjoining and looped from the existing point. </t>
    </r>
    <r>
      <rPr>
        <b/>
        <sz val="11"/>
        <rFont val="Calibri"/>
        <family val="2"/>
        <scheme val="minor"/>
      </rPr>
      <t xml:space="preserve">(Note:-additional means switch socket in modular box and plate adjoining the existing one on the same circuit.) . </t>
    </r>
    <r>
      <rPr>
        <sz val="11"/>
        <color rgb="FFFF0000"/>
        <rFont val="Calibri"/>
        <family val="2"/>
        <scheme val="minor"/>
      </rPr>
      <t>Wire will be paid in Rmt separately</t>
    </r>
  </si>
  <si>
    <t>f.4</t>
  </si>
  <si>
    <r>
      <t xml:space="preserve">Supply and Laying of Wiring for light/ power plug with 4X4 sq. mm FRLS PVC  insulated copper conductor single core wire in surface/recessed medium class </t>
    </r>
    <r>
      <rPr>
        <sz val="11"/>
        <color rgb="FFFF0000"/>
        <rFont val="Calibri"/>
        <family val="2"/>
        <scheme val="minor"/>
      </rPr>
      <t xml:space="preserve">MMS </t>
    </r>
    <r>
      <rPr>
        <sz val="11"/>
        <rFont val="Calibri"/>
        <family val="2"/>
        <scheme val="minor"/>
      </rPr>
      <t>PVC conduit alongwith 2 Nos. 4 sq. mm FRLS PVC insulated copper conductor single core cable for loop earthing as required.</t>
    </r>
  </si>
  <si>
    <t>f.5</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</si>
  <si>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</si>
  <si>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</si>
  <si>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g.1</t>
  </si>
  <si>
    <t>g.2</t>
  </si>
  <si>
    <t>Extra loop point wiring with 16A, 3Pin combined shuttered wall socket outlet and controlled by a 16A one way switch with indicator.upto 6 mtr wiring</t>
  </si>
  <si>
    <t>g.3</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</si>
  <si>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</si>
  <si>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g.4</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</si>
  <si>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</si>
  <si>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</si>
  <si>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</si>
  <si>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</si>
  <si>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Extra loop point wiring with 6A, 5 pin wall socket outlet and controlled by a 6A switch upto 6 mtr length</t>
  </si>
  <si>
    <t>h.3</t>
  </si>
  <si>
    <t>First Point wiring with 16A,5pin wall socket outlet and controlled by a 16A switch</t>
  </si>
  <si>
    <t>h.4</t>
  </si>
  <si>
    <t>Extra loop point wiring with 16A, 5 pin wall socket outlet and controlled by a 16A switch upto 6 mtr length</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</si>
  <si>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</si>
  <si>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i.1</t>
  </si>
  <si>
    <t>i.2</t>
  </si>
  <si>
    <t xml:space="preserve">Conduiting </t>
  </si>
  <si>
    <t>Supplying and fixing of following sizes of medium class PVC conduit along with accessories in surface/recess including cutting the wall/floor  and making good the same in case of recessed conduit as required.</t>
  </si>
  <si>
    <t>j.1</t>
  </si>
  <si>
    <t>20 mm</t>
  </si>
  <si>
    <t>j.2</t>
  </si>
  <si>
    <t>25 mm</t>
  </si>
  <si>
    <t>j.3</t>
  </si>
  <si>
    <t>32 mm</t>
  </si>
  <si>
    <t>j.4</t>
  </si>
  <si>
    <t>40 mm</t>
  </si>
  <si>
    <t>j.5</t>
  </si>
  <si>
    <t>50 mm</t>
  </si>
  <si>
    <t>Supplying and fixing of following sizes of MS conduit along with accessories in surface/recess including painting in case of surface conduit, or cutting the wall and making good the same 
in case of recessed conduit as required.</t>
  </si>
  <si>
    <t>k.1</t>
  </si>
  <si>
    <t>k.2</t>
  </si>
  <si>
    <t>k.3</t>
  </si>
  <si>
    <t>k.4</t>
  </si>
  <si>
    <t>k.5</t>
  </si>
  <si>
    <r>
      <t xml:space="preserve">Supplying &amp; erecting  </t>
    </r>
    <r>
      <rPr>
        <sz val="9"/>
        <color rgb="FFFF0000"/>
        <rFont val="Calibri"/>
        <family val="2"/>
        <scheme val="minor"/>
      </rPr>
      <t>MMS</t>
    </r>
    <r>
      <rPr>
        <sz val="9"/>
        <rFont val="Calibri"/>
        <family val="2"/>
        <scheme val="minor"/>
      </rPr>
      <t xml:space="preserve"> PVC flexible Conduit 25 mm dia.conforming to I.S. and approved make with required number of couplings, bushes, check nuts etc. </t>
    </r>
  </si>
  <si>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</si>
  <si>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</si>
  <si>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</si>
  <si>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</si>
  <si>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Providing and fixing items</t>
  </si>
  <si>
    <t>Fixing of Light Fixtures Provided by JFL</t>
  </si>
  <si>
    <t xml:space="preserve">P/F oven hood light </t>
  </si>
  <si>
    <t>no</t>
  </si>
  <si>
    <t xml:space="preserve">P/F T-5 2FT water proof light </t>
  </si>
  <si>
    <t xml:space="preserve">P/F T-5 4FT water proof light </t>
  </si>
  <si>
    <t>Supplying and erecting double pole metal clad switch with fuse
and neutral link 240V, 25A on iron / GI frame switch socket with  ISI mark approved make duly erected with  modular box , cover plate &amp; all wiring connections complete. (Single phase)</t>
  </si>
  <si>
    <t xml:space="preserve">Supplying and erecting  25A 3P+N+E-FP industrial socket with interloced switched socket &amp; mounting box ISI mark approved make duly erected with enclosure with wiring connections complete.equivalent to Legrand With interlocked switched sockets and surface mounting box IP 55 </t>
  </si>
  <si>
    <t xml:space="preserve">Supplying and erecting  32A 3P+N+E-FP industrial socket with interloced switched socket &amp; mounting box ISI mark approved make duly erected with enclosure with wiring connections complete.equivalent to Legrand With interlocked switched sockets and surface mounting box IP 55 </t>
  </si>
  <si>
    <t>Sub Total of F.4.0</t>
  </si>
  <si>
    <t>F.5.0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</si>
  <si>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</si>
  <si>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</si>
  <si>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</si>
  <si>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</si>
  <si>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</si>
  <si>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3Cx2.5 Sqmm Cu. Arm. XLPE</t>
  </si>
  <si>
    <t>3Cx4 Sqmm Cu.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</si>
  <si>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</si>
  <si>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</si>
  <si>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</si>
  <si>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</si>
  <si>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</si>
  <si>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</si>
  <si>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</si>
  <si>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</si>
  <si>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</si>
  <si>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</si>
  <si>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9"/>
        <color rgb="FF000000"/>
        <rFont val="Calibri"/>
        <family val="2"/>
        <scheme val="minor"/>
      </rPr>
      <t>double compression weatherproof glands</t>
    </r>
    <r>
      <rPr>
        <sz val="9"/>
        <color rgb="FF000000"/>
        <rFont val="Calibri"/>
        <family val="2"/>
        <scheme val="minor"/>
      </rPr>
      <t>, insulation tape, Name Plate at Both Ends and all necessary material to complete the termination.</t>
    </r>
  </si>
  <si>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</si>
  <si>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</si>
  <si>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</si>
  <si>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</si>
  <si>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</si>
  <si>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</si>
  <si>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r>
      <t>3C x 2.5mm</t>
    </r>
    <r>
      <rPr>
        <vertAlign val="superscript"/>
        <sz val="9"/>
        <color theme="1"/>
        <rFont val="Calibri"/>
        <family val="2"/>
        <scheme val="minor"/>
      </rPr>
      <t>2</t>
    </r>
    <r>
      <rPr>
        <sz val="9"/>
        <color theme="1"/>
        <rFont val="Calibri"/>
        <family val="2"/>
        <scheme val="minor"/>
      </rPr>
      <t xml:space="preserve"> 1100V grade flexible copper conductor sheathed FLRS PVC cable (P, N, IG)- IS 694/1990.</t>
    </r>
  </si>
  <si>
    <r>
      <t>3C x 4.0mm</t>
    </r>
    <r>
      <rPr>
        <vertAlign val="superscript"/>
        <sz val="9"/>
        <rFont val="Calibri"/>
        <family val="2"/>
        <scheme val="minor"/>
      </rPr>
      <t>2</t>
    </r>
    <r>
      <rPr>
        <sz val="9"/>
        <rFont val="Calibri"/>
        <family val="2"/>
        <scheme val="minor"/>
      </rPr>
      <t xml:space="preserve"> 1100V grade flexible copper conductor sheathed FLRS PVC cable (P, N, IG)- IS 694/1990.</t>
    </r>
  </si>
  <si>
    <t>Sub Total of F.5.0</t>
  </si>
  <si>
    <t>F.6.0</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</si>
  <si>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</si>
  <si>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</si>
  <si>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</si>
  <si>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</si>
  <si>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</si>
  <si>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</si>
  <si>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</si>
  <si>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</si>
  <si>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</si>
  <si>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</si>
  <si>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</si>
  <si>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</si>
  <si>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</si>
  <si>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</si>
  <si>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</si>
  <si>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</si>
  <si>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Sub Total of F 6.0</t>
  </si>
  <si>
    <t>F.7.0</t>
  </si>
  <si>
    <t>Cable Trays</t>
  </si>
  <si>
    <t>Providing &amp; erecting Hot deeped Galvanised Perforated type Cable tray manufactured from 18 swg (1.6 mm thick) GI sheet of 300 mm width &amp; 50 mm height complete with necessary coupler plates &amp; hardware  in approved manner. Including Paints</t>
  </si>
  <si>
    <t>Cable Tray -Non Perforated for Kitchen</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</si>
  <si>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</si>
  <si>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</si>
  <si>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</si>
  <si>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</si>
  <si>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</si>
  <si>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</si>
  <si>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9"/>
        <rFont val="Calibri"/>
        <family val="2"/>
        <scheme val="minor"/>
      </rPr>
      <t xml:space="preserve">1.6 mm thick) </t>
    </r>
    <r>
      <rPr>
        <sz val="9"/>
        <rFont val="Calibri"/>
        <family val="2"/>
        <scheme val="minor"/>
      </rPr>
      <t>GI sheet of 50 mm width &amp; 50 mm height complete with necessary coupler plates &amp; hardware in approved manner.Including Paint</t>
    </r>
  </si>
  <si>
    <t>Raceway</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</si>
  <si>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</si>
  <si>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</si>
  <si>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</si>
  <si>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</si>
  <si>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</si>
  <si>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Sub Total of F.7.0</t>
  </si>
  <si>
    <t>F.8.0</t>
  </si>
  <si>
    <t>Electrical Related Civil work</t>
  </si>
  <si>
    <t xml:space="preserve">Excavation/ Cheselling under floor for laying cables/ conduits in wall or floor as per requirement, complete with finishing etc </t>
  </si>
  <si>
    <t>Sq.Mtr</t>
  </si>
  <si>
    <t>Sub Total of F.8.0</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</si>
  <si>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</si>
  <si>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</si>
  <si>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</si>
  <si>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</si>
  <si>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</si>
  <si>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Sub Total of F.9.0</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</si>
  <si>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</si>
  <si>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</si>
  <si>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</si>
  <si>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</si>
  <si>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</si>
  <si>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</si>
  <si>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</si>
  <si>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</si>
  <si>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r>
      <rPr>
        <sz val="9"/>
        <color rgb="FF000000"/>
        <rFont val="Calibri"/>
        <family val="2"/>
        <scheme val="minor"/>
      </rPr>
      <t xml:space="preserve"> </t>
    </r>
    <r>
      <rPr>
        <sz val="9"/>
        <color theme="1"/>
        <rFont val="Calibri"/>
        <family val="2"/>
        <scheme val="minor"/>
      </rPr>
      <t>VGA cable Including spliter</t>
    </r>
  </si>
  <si>
    <t>Data Modular Box</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</si>
  <si>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</si>
  <si>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</si>
  <si>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</si>
  <si>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</si>
  <si>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Sub Total of F.10.0</t>
  </si>
  <si>
    <t>G</t>
  </si>
  <si>
    <t>Fire Detection and Alarm System</t>
  </si>
  <si>
    <t>G.1.0</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</si>
  <si>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</si>
  <si>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</si>
  <si>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</si>
  <si>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</si>
  <si>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</si>
  <si>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</si>
  <si>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</si>
  <si>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Supply, installation, testing &amp; commissioning of 2 zone based conventional Fire alarm control panel with standard set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</si>
  <si>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</si>
  <si>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</si>
  <si>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</si>
  <si>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</si>
  <si>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</si>
  <si>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Sub Total of G.1.0</t>
  </si>
  <si>
    <t>H</t>
  </si>
  <si>
    <t>HVAC LOW SIDE</t>
  </si>
  <si>
    <t>H.1.0</t>
  </si>
  <si>
    <t>DUCTING :  ( MAKE: ZECO/TATA/JINDAL/SAIL/ROLASTAR/NUTECH)</t>
  </si>
  <si>
    <r>
      <t>Supply, Installation, Testing and Commissioning of factory made lock-forming quality</t>
    </r>
    <r>
      <rPr>
        <b/>
        <sz val="9"/>
        <rFont val="Calibri"/>
        <family val="2"/>
        <scheme val="minor"/>
      </rPr>
      <t xml:space="preserve"> flat oval spiral ducting</t>
    </r>
    <r>
      <rPr>
        <sz val="9"/>
        <rFont val="Calibri"/>
        <family val="2"/>
        <scheme val="minor"/>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</si>
  <si>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t>24 gauge galvanized sheet(Thickness - 0.6 mm) - Up to 750 mm</t>
  </si>
  <si>
    <t>Sq.mtr</t>
  </si>
  <si>
    <t>22 gauge galvanised sheet(Thickness - 0.8 mm) - Up to 1500 mm</t>
  </si>
  <si>
    <r>
      <t xml:space="preserve">Supply, Installation, Testing and Commissioning of Site Fabricated </t>
    </r>
    <r>
      <rPr>
        <b/>
        <sz val="9"/>
        <rFont val="Calibri"/>
        <family val="2"/>
        <scheme val="minor"/>
      </rPr>
      <t xml:space="preserve">rectangular GI ducting </t>
    </r>
    <r>
      <rPr>
        <sz val="9"/>
        <rFont val="Calibri"/>
        <family val="2"/>
        <scheme val="minor"/>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9"/>
        <rFont val="Calibri"/>
        <family val="2"/>
        <scheme val="minor"/>
      </rPr>
      <t>(M.S supports / M.S Frame</t>
    </r>
    <r>
      <rPr>
        <sz val="9"/>
        <rFont val="Calibri"/>
        <family val="2"/>
        <scheme val="minor"/>
      </rPr>
      <t xml:space="preserve"> </t>
    </r>
    <r>
      <rPr>
        <b/>
        <sz val="9"/>
        <rFont val="Calibri"/>
        <family val="2"/>
        <scheme val="minor"/>
      </rPr>
      <t xml:space="preserve">For Duct travelling Vertical up to Terrace, necessary flange type opening at specific interval for duct cleaning etc. for kitchen exhaust duct )as per specifications. </t>
    </r>
    <r>
      <rPr>
        <sz val="9"/>
        <rFont val="Calibri"/>
        <family val="2"/>
        <scheme val="minor"/>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</si>
  <si>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t>22 gauge galvanized sheet - For Exhaust &amp; fresh Air Duct</t>
  </si>
  <si>
    <t>24 gauge galvanized sheet - For Exhaust &amp; fresh Air Duct</t>
  </si>
  <si>
    <t xml:space="preserve">SITC of Canvas cloth at fan mouth for  Exhaust &amp; Fresh air unit as per detail specification </t>
  </si>
  <si>
    <t>Supply &amp; Installation of Open Cell Nitrile Insulation. It shall be FM approved &amp; UL94 tested.  Thermal conductivity of Insulation should be 0.034W/mk at 25deg c.</t>
  </si>
  <si>
    <t>15 mm thick - For Ducting.</t>
  </si>
  <si>
    <t>Sqmts</t>
  </si>
  <si>
    <t>Sub Total of H.1.0</t>
  </si>
  <si>
    <t>H.2.0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</si>
  <si>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</si>
  <si>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</si>
  <si>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</si>
  <si>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</si>
  <si>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</si>
  <si>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Sub Total of H.2.0</t>
  </si>
  <si>
    <t>H.3.0</t>
  </si>
  <si>
    <t>AIR DISTRIBUTION SYSTEM (MAKE: CARRIYAIR, AIRMASTER,COSMOS, RAVISTAR )</t>
  </si>
  <si>
    <r>
      <rPr>
        <b/>
        <sz val="9"/>
        <rFont val="Calibri"/>
        <family val="2"/>
        <scheme val="minor"/>
      </rPr>
      <t>Air Grille :</t>
    </r>
    <r>
      <rPr>
        <sz val="9"/>
        <rFont val="Calibri"/>
        <family val="2"/>
        <scheme val="minor"/>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</si>
  <si>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9"/>
        <rFont val="Calibri"/>
        <family val="2"/>
        <scheme val="minor"/>
      </rPr>
      <t xml:space="preserve">VCD :- </t>
    </r>
    <r>
      <rPr>
        <sz val="9"/>
        <rFont val="Calibri"/>
        <family val="2"/>
        <scheme val="minor"/>
      </rPr>
      <t xml:space="preserve">Supply, installation, testing and commissioning of 150mm wide GSS Volume Control Dampers with 18G GI casing &amp; 20G GI Blade, complete with chrome plated Spindle lubricating bush and quadrent to suit Manual operation. </t>
    </r>
  </si>
  <si>
    <r>
      <rPr>
        <b/>
        <sz val="9"/>
        <color theme="1"/>
        <rFont val="Calibri"/>
        <family val="2"/>
        <scheme val="minor"/>
      </rPr>
      <t>Collar Damper for Supply air Grill :-</t>
    </r>
    <r>
      <rPr>
        <sz val="9"/>
        <color theme="1"/>
        <rFont val="Calibri"/>
        <family val="2"/>
        <scheme val="minor"/>
      </rPr>
      <t xml:space="preserve"> Supply, Installation, Testing &amp; Commissioning of opposite balde collar with black matt finish for fresh air supply grill.</t>
    </r>
  </si>
  <si>
    <t>Sub Total of H.3.0</t>
  </si>
  <si>
    <t>H.4.0</t>
  </si>
  <si>
    <t>Exhaust Fan for Toilet supply</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</si>
  <si>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</si>
  <si>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</si>
  <si>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</si>
  <si>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</si>
  <si>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</si>
  <si>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Sub Total of H.4.0</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</si>
  <si>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</si>
  <si>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</si>
  <si>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</si>
  <si>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</si>
  <si>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</si>
  <si>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</si>
  <si>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</si>
  <si>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</si>
  <si>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</si>
  <si>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</si>
  <si>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</si>
  <si>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</si>
  <si>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</si>
  <si>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</si>
  <si>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</si>
  <si>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</si>
  <si>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</si>
  <si>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</si>
  <si>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</si>
  <si>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Sub Total of I.1.0</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</si>
  <si>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</si>
  <si>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</si>
  <si>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</si>
  <si>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</si>
  <si>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</si>
  <si>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</si>
  <si>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</si>
  <si>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</si>
  <si>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</si>
  <si>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</si>
  <si>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</si>
  <si>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</si>
  <si>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</si>
  <si>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</si>
  <si>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(Client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</si>
  <si>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</si>
  <si>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</si>
  <si>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</si>
  <si>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</si>
  <si>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</si>
  <si>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</si>
  <si>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</si>
  <si>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</si>
  <si>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</si>
  <si>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v</t>
  </si>
  <si>
    <t>Housekeeping</t>
  </si>
  <si>
    <t>RO</t>
  </si>
  <si>
    <t>w</t>
  </si>
  <si>
    <t>Installation of Fresh air and Exhaust Unit</t>
  </si>
  <si>
    <t>x</t>
  </si>
  <si>
    <t>Sanitizer Stand</t>
  </si>
  <si>
    <t>y</t>
  </si>
  <si>
    <t>Bike Fixing with providing nutbolt and labour charge</t>
  </si>
  <si>
    <t>z</t>
  </si>
  <si>
    <t>200watt Led light</t>
  </si>
  <si>
    <t>aa</t>
  </si>
  <si>
    <t>Sensor Tap</t>
  </si>
  <si>
    <t>ab</t>
  </si>
  <si>
    <t>Keyboard and Mouse</t>
  </si>
  <si>
    <t>ac</t>
  </si>
  <si>
    <t>Fixing of Light Fixtures Provided by JFL (Hood lights are in hood vendor scope)</t>
  </si>
  <si>
    <t>ad</t>
  </si>
  <si>
    <t xml:space="preserve">Fixing of  T-5 4FT water proof light </t>
  </si>
  <si>
    <t>ae</t>
  </si>
  <si>
    <t>af</t>
  </si>
  <si>
    <t>Fixing and installation of fresh air fan</t>
  </si>
  <si>
    <t>ag</t>
  </si>
  <si>
    <t>Fixing and installation of Exhaust air fan</t>
  </si>
  <si>
    <t>ah</t>
  </si>
  <si>
    <t>OGT Installation with all required plumbing fittings (CPVC) pipe of 32mm dia under three sink unit</t>
  </si>
  <si>
    <t>HOOD INSTALLTION</t>
  </si>
  <si>
    <t>Sub Total of I.2.0</t>
  </si>
  <si>
    <t xml:space="preserve">Fire Fighting System </t>
  </si>
  <si>
    <t>Qty</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</si>
  <si>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</si>
  <si>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</si>
  <si>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</si>
  <si>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set</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</si>
  <si>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</si>
  <si>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</si>
  <si>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</si>
  <si>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</si>
  <si>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</si>
  <si>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</si>
  <si>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</si>
  <si>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</si>
  <si>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</si>
  <si>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</si>
  <si>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</si>
  <si>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</si>
  <si>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</si>
  <si>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</si>
  <si>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</si>
  <si>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</si>
  <si>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</si>
  <si>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</si>
  <si>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</si>
  <si>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</si>
  <si>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</si>
  <si>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</si>
  <si>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</si>
  <si>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</si>
  <si>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</si>
  <si>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</si>
  <si>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</si>
  <si>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</si>
  <si>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</si>
  <si>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</si>
  <si>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</si>
  <si>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</si>
  <si>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</si>
  <si>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</si>
  <si>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</si>
  <si>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</si>
  <si>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</si>
  <si>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</si>
  <si>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</si>
  <si>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</si>
  <si>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</si>
  <si>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</si>
  <si>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</si>
  <si>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</si>
  <si>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</si>
  <si>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</si>
  <si>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</si>
  <si>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</si>
  <si>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</si>
  <si>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</si>
  <si>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</si>
  <si>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</si>
  <si>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</si>
  <si>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</si>
  <si>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</si>
  <si>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</si>
  <si>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</si>
  <si>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</si>
  <si>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</si>
  <si>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</si>
  <si>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</si>
  <si>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Grand Total</t>
  </si>
  <si>
    <t xml:space="preserve">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</si>
  <si>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</si>
  <si>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</si>
  <si>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</si>
  <si>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</si>
  <si>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</si>
  <si>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</si>
  <si>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</si>
  <si>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</si>
  <si>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</si>
  <si>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</si>
  <si>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</si>
  <si>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</si>
  <si>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</si>
  <si>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</si>
  <si>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</si>
  <si>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</si>
  <si>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</si>
  <si>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</si>
  <si>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</si>
  <si>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</si>
  <si>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</si>
  <si>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</si>
  <si>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</si>
  <si>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</si>
  <si>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</si>
  <si>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</si>
  <si>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</si>
  <si>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</si>
  <si>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</si>
  <si>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</si>
  <si>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</si>
  <si>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</si>
  <si>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</si>
  <si>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</si>
  <si>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</si>
  <si>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</si>
  <si>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</si>
  <si>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</si>
  <si>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</si>
  <si>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</si>
  <si>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</si>
  <si>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</si>
  <si>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</si>
  <si>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</si>
  <si>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</si>
  <si>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</si>
  <si>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</si>
  <si>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</si>
  <si>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</si>
  <si>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</si>
  <si>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</si>
  <si>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</si>
  <si>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</si>
  <si>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</si>
  <si>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</si>
  <si>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</si>
  <si>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</si>
  <si>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</si>
  <si>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</si>
  <si>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</si>
  <si>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</si>
  <si>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</si>
  <si>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</si>
  <si>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</si>
  <si>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</si>
  <si>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</si>
  <si>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</si>
  <si>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</si>
  <si>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</si>
  <si>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</si>
  <si>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</si>
  <si>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</si>
  <si>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</si>
  <si>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</si>
  <si>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</si>
  <si>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</si>
  <si>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</si>
  <si>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</si>
  <si>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</si>
  <si>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</si>
  <si>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</si>
  <si>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</si>
  <si>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</si>
  <si>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t>
  </si>
  <si>
    <t>Generic Drawing</t>
  </si>
  <si>
    <t>LAM 02</t>
  </si>
  <si>
    <t>21141 Snow White
MERINOLAM</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</si>
  <si>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</si>
  <si>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</si>
  <si>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</si>
  <si>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</si>
  <si>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</si>
  <si>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</si>
  <si>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</si>
  <si>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</si>
  <si>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</si>
  <si>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</si>
  <si>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</si>
  <si>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</si>
  <si>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</si>
  <si>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</si>
  <si>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</si>
  <si>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</si>
  <si>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</si>
  <si>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</si>
  <si>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</si>
  <si>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</si>
  <si>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</si>
  <si>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</si>
  <si>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</si>
  <si>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</si>
  <si>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</si>
  <si>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</si>
  <si>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</si>
  <si>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</si>
  <si>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</si>
  <si>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</si>
  <si>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</si>
  <si>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</si>
  <si>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</si>
  <si>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</si>
  <si>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</si>
  <si>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</si>
  <si>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</si>
  <si>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</si>
  <si>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</si>
  <si>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</si>
  <si>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</si>
  <si>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</si>
  <si>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</si>
  <si>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</si>
  <si>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</si>
  <si>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</si>
  <si>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</si>
  <si>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</si>
  <si>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</si>
  <si>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</si>
  <si>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</si>
  <si>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</si>
  <si>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</si>
  <si>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</si>
  <si>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</si>
  <si>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</si>
  <si>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</si>
  <si>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</si>
  <si>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</si>
  <si>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</si>
  <si>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</si>
  <si>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</si>
  <si>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</si>
  <si>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</si>
  <si>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</si>
  <si>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</si>
  <si>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</si>
  <si>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</si>
  <si>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</si>
  <si>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</si>
  <si>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</si>
  <si>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</si>
  <si>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</si>
  <si>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</si>
  <si>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</si>
  <si>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</si>
  <si>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</si>
  <si>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</si>
  <si>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</si>
  <si>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</si>
  <si>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</si>
  <si>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</si>
  <si>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</si>
  <si>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</si>
  <si>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</si>
  <si>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</si>
  <si>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</si>
  <si>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</si>
  <si>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</si>
  <si>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</si>
  <si>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</si>
  <si>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</si>
  <si>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</si>
  <si>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</si>
  <si>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</si>
  <si>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</si>
  <si>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</si>
  <si>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</si>
  <si>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</si>
  <si>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</si>
  <si>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</si>
  <si>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</si>
  <si>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</si>
  <si>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</si>
  <si>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</si>
  <si>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</si>
  <si>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</si>
  <si>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</si>
  <si>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</si>
  <si>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</si>
  <si>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</si>
  <si>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</si>
  <si>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</si>
  <si>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</si>
  <si>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</si>
  <si>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</si>
  <si>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</si>
  <si>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</si>
  <si>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</si>
  <si>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</si>
  <si>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</si>
  <si>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</si>
  <si>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</si>
  <si>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</si>
  <si>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</si>
  <si>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</si>
  <si>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</si>
  <si>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</si>
  <si>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</si>
  <si>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</si>
  <si>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</si>
  <si>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</si>
  <si>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</si>
  <si>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</si>
  <si>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</si>
  <si>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</si>
  <si>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</si>
  <si>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</si>
  <si>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</si>
  <si>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</si>
  <si>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</si>
  <si>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</si>
  <si>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</si>
  <si>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</si>
  <si>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</si>
  <si>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</si>
  <si>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</si>
  <si>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</si>
  <si>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</si>
  <si>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</si>
  <si>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</si>
  <si>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</si>
  <si>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</si>
  <si>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</si>
  <si>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</si>
  <si>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</si>
  <si>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</si>
  <si>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</si>
  <si>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</si>
  <si>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</si>
  <si>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</si>
  <si>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</si>
  <si>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</si>
  <si>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</si>
  <si>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</si>
  <si>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</si>
  <si>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</si>
  <si>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</si>
  <si>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</si>
  <si>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</si>
  <si>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</si>
  <si>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</si>
  <si>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</si>
  <si>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</si>
  <si>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</si>
  <si>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</si>
  <si>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</si>
  <si>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</si>
  <si>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</si>
  <si>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</si>
  <si>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</si>
  <si>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</si>
  <si>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</si>
  <si>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</si>
  <si>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</si>
  <si>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</si>
  <si>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</si>
  <si>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</si>
  <si>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</si>
  <si>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</si>
  <si>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</si>
  <si>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</si>
  <si>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</si>
  <si>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</si>
  <si>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</si>
  <si>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</si>
  <si>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</si>
  <si>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</si>
  <si>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</si>
  <si>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</si>
  <si>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</si>
  <si>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</si>
  <si>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</si>
  <si>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</si>
  <si>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</si>
  <si>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</si>
  <si>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</si>
  <si>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</si>
  <si>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</si>
  <si>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</si>
  <si>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</si>
  <si>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</si>
  <si>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</si>
  <si>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</si>
  <si>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</si>
  <si>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</si>
  <si>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</si>
  <si>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</si>
  <si>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</si>
  <si>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</si>
  <si>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</si>
  <si>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</si>
  <si>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</si>
  <si>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</si>
  <si>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</si>
  <si>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</si>
  <si>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</si>
  <si>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</si>
  <si>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</si>
  <si>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</si>
  <si>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</si>
  <si>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</si>
  <si>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</si>
  <si>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</si>
  <si>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</si>
  <si>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</si>
  <si>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</si>
  <si>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</si>
  <si>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</si>
  <si>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</si>
  <si>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</si>
  <si>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</si>
  <si>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</si>
  <si>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</si>
  <si>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</si>
  <si>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</si>
  <si>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</si>
  <si>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</si>
  <si>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</si>
  <si>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</si>
  <si>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</si>
  <si>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</si>
  <si>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</si>
  <si>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</si>
  <si>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</si>
  <si>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</si>
  <si>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</si>
  <si>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</si>
  <si>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</si>
  <si>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</si>
  <si>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</si>
  <si>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</si>
  <si>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</si>
  <si>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SITE : -  TFS KARNAL</t>
  </si>
  <si>
    <t>Dominos</t>
  </si>
  <si>
    <t xml:space="preserve">CIVIL AND  INTERIOR MEASURMENT SHEET </t>
  </si>
  <si>
    <t>L</t>
  </si>
  <si>
    <t>Total QTY</t>
  </si>
  <si>
    <t>SQM</t>
  </si>
  <si>
    <t>Total smt</t>
  </si>
  <si>
    <t>Total sft</t>
  </si>
  <si>
    <t>CUM</t>
  </si>
  <si>
    <t>Total cumt</t>
  </si>
  <si>
    <t>Total cuft</t>
  </si>
  <si>
    <t>Cum</t>
  </si>
  <si>
    <t>Sqm</t>
  </si>
  <si>
    <t>Total SQFT</t>
  </si>
  <si>
    <t>Total sqmt</t>
  </si>
  <si>
    <t>Total sqft</t>
  </si>
  <si>
    <t>Total Rft</t>
  </si>
  <si>
    <t>Rmt</t>
  </si>
  <si>
    <t>manager table</t>
  </si>
  <si>
    <t>Total rmt</t>
  </si>
  <si>
    <t>firnt side</t>
  </si>
  <si>
    <t>door less (-)</t>
  </si>
  <si>
    <t>back side</t>
  </si>
  <si>
    <t>Back side</t>
  </si>
  <si>
    <t>Wall paint (firnt area )</t>
  </si>
  <si>
    <t>Total sqm</t>
  </si>
  <si>
    <t>Drain pipe paint</t>
  </si>
  <si>
    <t>Tray &amp; Raceway paint</t>
  </si>
  <si>
    <t>Ducting paint</t>
  </si>
  <si>
    <t>Total</t>
  </si>
  <si>
    <t>MS Frame work</t>
  </si>
  <si>
    <t xml:space="preserve">Providing and fixing MS framed stand for out door AC </t>
  </si>
  <si>
    <t>50*50*4mm pipe Top frame (1.69 kg/Rft.</t>
  </si>
  <si>
    <t>Verticle</t>
  </si>
  <si>
    <t>Rft.</t>
  </si>
  <si>
    <t>40*40*6mm "L" Angle (1.06Kg/Rft.)</t>
  </si>
  <si>
    <t>Hood support verticle 1200mm + Horizontal 300mm)</t>
  </si>
  <si>
    <t>25*4mm(0.24 kg/Rft.)</t>
  </si>
  <si>
    <t>For top strips</t>
  </si>
  <si>
    <t>MS Stand packing</t>
  </si>
  <si>
    <t>Toatal KG</t>
  </si>
  <si>
    <t>Tiles for Flooring - FF02
Kajaria-Dessert grey, cool gris,cairo gris (Matt Finish) (Kitchen  &amp; BOH) or equivalent in somany (Details- Refer Material Spec. sheet)</t>
  </si>
  <si>
    <t>Skirting                                           FF02 - Kajaria-Dessert grey, cool gris,cairo gris (Matt Finish) (Kitchen  &amp; BOH) or equivalent in somany. (Details- Refer Material Spec. sheet)</t>
  </si>
  <si>
    <t>Wall Cladding - plain Tile  (BOH &amp; Staff changing room area). (Details- Refer Material Spec. sheet) no.B(4)</t>
  </si>
  <si>
    <r>
      <t>Painting - Textured Paint -</t>
    </r>
    <r>
      <rPr>
        <sz val="9"/>
        <rFont val="Calibri"/>
        <family val="2"/>
        <scheme val="minor"/>
      </rPr>
      <t>(Details- Refer Material Spec. sheet)
(Vertical Exposed Surfaces)</t>
    </r>
  </si>
  <si>
    <r>
      <t xml:space="preserve">Providing and fixing in position panelling made out of </t>
    </r>
    <r>
      <rPr>
        <sz val="9"/>
        <rFont val="Calibri"/>
        <family val="2"/>
        <scheme val="minor"/>
      </rPr>
      <t>8 mm thk. x 150 x 3000mm Shera board Teak planks (with application of 2 coat of primer on all side of shera plank &amp; approved Duco paint-Armada blue on shera Planks) on base of 6 mm Bison Board Boxing to be fixed on 25x25x1.5 mm framework sections &amp; Painted with anti -corrison Paint on all sides and Duco Painted aluminum / M S  Border size of 25X25x1.5 to be fixed on all around the signage.Complete as per storefront Detail and as specified in Drawing.(Cost will include Shera board ,Frame &amp; Bison Frame)Approved make - Asain paint</t>
    </r>
  </si>
  <si>
    <t>Domino's</t>
  </si>
  <si>
    <t>Common wall gianis</t>
  </si>
  <si>
    <t>Domino's common wall</t>
  </si>
  <si>
    <t>Sq.ft.</t>
  </si>
  <si>
    <t xml:space="preserve">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t>
  </si>
  <si>
    <t xml:space="preserve">Providing and fixing in position Makeline : Counter top finished in 6mm thick Acrylic Solid Surface LG Hausys-HI-MACS G109 Beige Island over 19 mm thick Marine Ply / WPC and Ledge having LED cove  strip as per detail drawing Complete in all respect. </t>
  </si>
  <si>
    <t xml:space="preserve">Dominos </t>
  </si>
  <si>
    <t>Extra point</t>
  </si>
  <si>
    <t>ub 900</t>
  </si>
  <si>
    <t xml:space="preserve">Boq </t>
  </si>
  <si>
    <t>Final Rates</t>
  </si>
  <si>
    <t xml:space="preserve">Quantity </t>
  </si>
  <si>
    <t>Bill</t>
  </si>
  <si>
    <t xml:space="preserve">Bill </t>
  </si>
  <si>
    <t>Brickbat Coba and Water Proofing</t>
  </si>
  <si>
    <t>A6.0</t>
  </si>
  <si>
    <t>B.3</t>
  </si>
  <si>
    <t>c.1.0</t>
  </si>
  <si>
    <t>,</t>
  </si>
  <si>
    <t>Length</t>
  </si>
  <si>
    <t>Qty.</t>
  </si>
  <si>
    <t>Pose counter to ups db- .5+2+.5+.5+2.3+1+4.5+3+1.5</t>
  </si>
  <si>
    <t>Outer sinaze to ups db- 3.5+1+5.5+1+1+7.5+1.5+2+1</t>
  </si>
  <si>
    <t>U7 to db- 3.5+1+5.5+1+1+9+1.5+2+1</t>
  </si>
  <si>
    <t>Kot point to point-1.5+4.5+1.5</t>
  </si>
  <si>
    <t>Kot to db- .5+1.5+3+9+1.5+2+1</t>
  </si>
  <si>
    <t>Display point topoint - 1.5</t>
  </si>
  <si>
    <t>Point 2</t>
  </si>
  <si>
    <t>Point 3</t>
  </si>
  <si>
    <t>U9 to db- 2.5+3+2.3+3+1+7.5+1+2+1</t>
  </si>
  <si>
    <t>S S pillar (u8)to db-3+.8+2+3+1+7.5+1+2+1</t>
  </si>
  <si>
    <t>Manager table to db (u2 to db)</t>
  </si>
  <si>
    <t>U10 to db</t>
  </si>
  <si>
    <t>Total Rmt</t>
  </si>
  <si>
    <t>Pose counter to yp5- .5+2+.5</t>
  </si>
  <si>
    <t>Yp5 to db- .5+2.3+1+4.5+3+1.5+1.6+3</t>
  </si>
  <si>
    <t>Bp5 to db-.5+1+4.5+3+1.5+1.6+3</t>
  </si>
  <si>
    <t>Yp4 to db- .5+2+.7+4.2+1.5+1.6+3</t>
  </si>
  <si>
    <t>Bp2 to db- .5+2.5+.7+4.2+1.5+1.6+3</t>
  </si>
  <si>
    <t>s s pole point b6 to bp6-2</t>
  </si>
  <si>
    <t>s s pole to db- 3+2.1+2.7+.8+7.5+1.5+1.6+3</t>
  </si>
  <si>
    <t>Geyser to db- .5+2+2+9+1.5+1.6+3</t>
  </si>
  <si>
    <t>Led bp4 to db- .5+2+1+2+9+1.5+1.6+3</t>
  </si>
  <si>
    <t>Industrial socket 1  to db- .5+3+1+2+9+1.5+1.6+3</t>
  </si>
  <si>
    <t>Industrial socket 2 to db- .5+3+1.5+1+2.7+9+1.5+1.6+3</t>
  </si>
  <si>
    <t>Bp4 to db- .5+1.5+3.5+1+1+2+9+1.5+1.6+3</t>
  </si>
  <si>
    <t>Power to db- .5+3+3.5+1+1+2+9+1.5+1.6+3</t>
  </si>
  <si>
    <t>R O plant</t>
  </si>
  <si>
    <t>Rp2 to db- .5+2+.7+4+1+1.5+1.6+3</t>
  </si>
  <si>
    <t>Yp2 to db- .5+2+.7+4+1+1.5+1.6+3</t>
  </si>
  <si>
    <t>Geyser to db (power to power)1.5</t>
  </si>
  <si>
    <t>Rp3 to Geyser- 3</t>
  </si>
  <si>
    <t>Geyser point to db- 2.5+9+1.5+1.6+3</t>
  </si>
  <si>
    <t>Aircurtain to db- 2+.7+4+1+1.6+3</t>
  </si>
  <si>
    <t>Rp1 to db- 2+.7+4+1+1.6+3</t>
  </si>
  <si>
    <t>Yp6 to db- .5+2+3</t>
  </si>
  <si>
    <t>Py1 to db- 3.5</t>
  </si>
  <si>
    <t>Bp1 to db- .5+3+3</t>
  </si>
  <si>
    <t>Py1 to db- .5+3+3</t>
  </si>
  <si>
    <t>Power point to db- 3.5+1+5.5+1+1+9+1.5+2+1</t>
  </si>
  <si>
    <t>g3</t>
  </si>
  <si>
    <t>Kitchen area</t>
  </si>
  <si>
    <t>Back area</t>
  </si>
  <si>
    <t>pose counter to db- 3+1.5+3+1+4.5+3+1.5+1.6</t>
  </si>
  <si>
    <t>p5 to db- .8+4.5+3+1.5+1.6</t>
  </si>
  <si>
    <t>Led display to ups db-1+4.5+1.1+1+3+1.5+2</t>
  </si>
  <si>
    <t>p2 to p4- 1</t>
  </si>
  <si>
    <t>p4 to db- 2.2+1+1.1+1+3+1.3+1.6</t>
  </si>
  <si>
    <t>power to db- .5+2.2+1+1.1+1+3+1.3+1.6</t>
  </si>
  <si>
    <t>power point to power point-1.5+1+4.2+1.5</t>
  </si>
  <si>
    <t>power to db- 1+.7+4+1+3+1.3+1.6</t>
  </si>
  <si>
    <t>u4 to up- 1.5+3+1</t>
  </si>
  <si>
    <t>u4 to db- 2+1.5+.7+4+1+2+1+2</t>
  </si>
  <si>
    <t>industrial point to point-2</t>
  </si>
  <si>
    <t>industrial point to db- 3.5+3+.7+4+1+3+1.3+1.6</t>
  </si>
  <si>
    <t>s s center pole to db- 2.2+2.7+.7+4+1+3+1.3+1.6</t>
  </si>
  <si>
    <t>s s pole to yp5 point- 1+2.3+3</t>
  </si>
  <si>
    <t>Rp2 to db-2+.7+4.5+1+1.3+1.6</t>
  </si>
  <si>
    <t>Geyser to db- 2+1+5+1+3+1.3+1.6</t>
  </si>
  <si>
    <t>Geyser to Rp3- 2</t>
  </si>
  <si>
    <t>Rp3 to Rp3- .5</t>
  </si>
  <si>
    <t>Aircurtain to db- 1+2.5+3+1+1+1.6</t>
  </si>
  <si>
    <t>Aircurtain to Rp1(fly ketcher)1.5</t>
  </si>
  <si>
    <t>Mcp to hooter- 1</t>
  </si>
  <si>
    <t>Hooter to ceiling- 2</t>
  </si>
  <si>
    <t>Yp6 to db- 2.5+.5+2+1.6</t>
  </si>
  <si>
    <t>U10to db- 1.2</t>
  </si>
  <si>
    <t>Manager table to db - 3</t>
  </si>
  <si>
    <t>Manager table to ups db- 3.5</t>
  </si>
  <si>
    <t>Data conduet</t>
  </si>
  <si>
    <t>Manager table to server rack- 2.5+1+9</t>
  </si>
  <si>
    <t>s s pole to server rack- 1+2.3+2.5+.7+1.5+1</t>
  </si>
  <si>
    <t>Pose counter to server rack-3+1+3+1+4.5+5.5+1</t>
  </si>
  <si>
    <t>Lcd point to point- 5</t>
  </si>
  <si>
    <t>Point to server rack- 1.5+2+1.5+1</t>
  </si>
  <si>
    <t>Display to server rack-1+.5+4.6+1</t>
  </si>
  <si>
    <t>C c t v conduet</t>
  </si>
  <si>
    <t>Camera 1 to 2- 2+4+1+1.4</t>
  </si>
  <si>
    <t>Camera 2 to junction box-2</t>
  </si>
  <si>
    <t>Camera 3 to j/box- 3</t>
  </si>
  <si>
    <t>Camera 2 j/box to camera 4 j/box- 1.5</t>
  </si>
  <si>
    <t>Camera 4 to Dbr- 5</t>
  </si>
  <si>
    <t>Camera to camera -4</t>
  </si>
  <si>
    <t>Camera to Dbr-6+.7+2</t>
  </si>
  <si>
    <t>Camera to j/box- 3</t>
  </si>
  <si>
    <t>Dominos to Panel- 4+2+2+5+2+4+10+3.2+3</t>
  </si>
  <si>
    <t>Rm</t>
  </si>
  <si>
    <t>j/box to sinage -2+2</t>
  </si>
  <si>
    <t>Dominos- 1+3+1.5+1+10+3+3</t>
  </si>
  <si>
    <t>j/box to sinage -3.5</t>
  </si>
  <si>
    <t>Cat-6 Wire</t>
  </si>
  <si>
    <t>Manager table to server rack-1+2.5+1+9+5*2</t>
  </si>
  <si>
    <t>S S pole to server rack- 1+2.3+2.5+.7+1.5+1+5*2</t>
  </si>
  <si>
    <t>Pose counter to server rack- 1+3+1+3+1+4.5+5.5+1+5*6</t>
  </si>
  <si>
    <t>Kot 1st p to server rack-1+11.5</t>
  </si>
  <si>
    <t>Kot2 point to server rack- 1+1.5+2+1.5+1+5</t>
  </si>
  <si>
    <t>Display to server rack- 1+1+.5+4.6+1*5</t>
  </si>
  <si>
    <t>CCTV WIRE</t>
  </si>
  <si>
    <t>C1 to dbr- 2+3.5+.5+7.5+4</t>
  </si>
  <si>
    <t>C2 TO dbr- 2+2+7.5+4</t>
  </si>
  <si>
    <t>C3 to dbr- 1+1.5+6.5+4</t>
  </si>
  <si>
    <t>C4 to dbr-1+1.5+5+4</t>
  </si>
  <si>
    <t>C5 to dbr- 1+1.5+2.5+3.1+2.5+1+1.5+4</t>
  </si>
  <si>
    <t>C6 to dbr- 1+3+1.5+1.5+4</t>
  </si>
  <si>
    <t>C7 to dbr- 1+2.5+.8+1+6.5+1+4</t>
  </si>
  <si>
    <t>C8 to dbr- 1+1.5+6.5+1+4</t>
  </si>
  <si>
    <t>Fire panel to Dominos sd1- 1+8+.5</t>
  </si>
  <si>
    <t>sd1 to mcp- .5+6.5+.5</t>
  </si>
  <si>
    <t>mcp to sd2 - .5+7+.5</t>
  </si>
  <si>
    <t>sd2 to sd3 -.5+7.5+1+2.5+.5</t>
  </si>
  <si>
    <t>sd3 to sd4 -.5+5+.5</t>
  </si>
  <si>
    <t>65mm dia. (5.3+5.9)</t>
  </si>
  <si>
    <t>25mm dia.(17.5+3)</t>
  </si>
  <si>
    <t>Bill Qty</t>
  </si>
  <si>
    <t>Boq Qty</t>
  </si>
  <si>
    <t>Boq Amount</t>
  </si>
  <si>
    <t>Bill Amount</t>
  </si>
  <si>
    <t>Cable Tray</t>
  </si>
  <si>
    <t>S.no.</t>
  </si>
  <si>
    <t xml:space="preserve">Description </t>
  </si>
  <si>
    <t>Ac</t>
  </si>
  <si>
    <t>Ft</t>
  </si>
  <si>
    <t>Cassette Ac</t>
  </si>
  <si>
    <t xml:space="preserve">Panel Room </t>
  </si>
  <si>
    <t>manager room</t>
  </si>
  <si>
    <t xml:space="preserve">Total </t>
  </si>
  <si>
    <t>Drain Pipe</t>
  </si>
  <si>
    <t>Back Side Ac</t>
  </si>
  <si>
    <t>Domino`s Room</t>
  </si>
  <si>
    <t xml:space="preserve">Manager Room </t>
  </si>
  <si>
    <t>Copper Measurement</t>
  </si>
  <si>
    <t>S.no</t>
  </si>
  <si>
    <t>Description</t>
  </si>
  <si>
    <t>Unit Type</t>
  </si>
  <si>
    <t xml:space="preserve">Unit </t>
  </si>
  <si>
    <t>1.8 TR Kitchen Area</t>
  </si>
  <si>
    <t>Hi Wall</t>
  </si>
  <si>
    <t xml:space="preserve">4 TR Kitchen Area </t>
  </si>
  <si>
    <t xml:space="preserve">Cassette Ac </t>
  </si>
  <si>
    <t xml:space="preserve">1.8 TR manager room </t>
  </si>
  <si>
    <t>Wire Measurement</t>
  </si>
  <si>
    <t xml:space="preserve">Less heveli side </t>
  </si>
  <si>
    <t>ft</t>
  </si>
  <si>
    <t>High Side BOQ</t>
  </si>
  <si>
    <t>S. No.</t>
  </si>
  <si>
    <t xml:space="preserve">Qty </t>
  </si>
  <si>
    <t xml:space="preserve">Rate </t>
  </si>
  <si>
    <r>
      <t xml:space="preserve">Supply of  Air-Cooled </t>
    </r>
    <r>
      <rPr>
        <b/>
        <sz val="11"/>
        <rFont val="Arial"/>
        <family val="2"/>
      </rPr>
      <t>HI-WALL MOUNTED SPLIT ACs ( HWS )</t>
    </r>
    <r>
      <rPr>
        <sz val="11"/>
        <rFont val="Arial"/>
        <family val="2"/>
      </rPr>
      <t xml:space="preserve"> complete with </t>
    </r>
    <r>
      <rPr>
        <b/>
        <sz val="11"/>
        <rFont val="Arial"/>
        <family val="2"/>
      </rPr>
      <t>cordless remote control</t>
    </r>
    <r>
      <rPr>
        <sz val="11"/>
        <rFont val="Arial"/>
        <family val="2"/>
      </rPr>
      <t>, safety feature as per the design &amp; specifications and approval / instruction  of  the consultant                 -</t>
    </r>
    <r>
      <rPr>
        <b/>
        <sz val="11"/>
        <rFont val="Arial"/>
        <family val="2"/>
      </rPr>
      <t xml:space="preserve"> 3 STAR</t>
    </r>
  </si>
  <si>
    <t>1.5 TR</t>
  </si>
  <si>
    <t xml:space="preserve"> Providing &amp; fixing of Interconnected Refrigerant piping circuit of required sizes with imported copper tubes duly insulated with NITRILE RUBBER TUBE,   complete with  supports &amp; properly clamped   as per design, specifications and approval.</t>
  </si>
  <si>
    <t xml:space="preserve">Rmt </t>
  </si>
  <si>
    <t>Supply, Fabrication &amp; fixing of wall mntd./floor standing  Condensing units stands with painting complete as per design, specifications and approval.</t>
  </si>
  <si>
    <t>Supply, installation &amp; testing of PVC Drain pipe with 6mm thik nitrile rubber insulation for Cassette &amp; Hi Wall Unit</t>
  </si>
  <si>
    <t xml:space="preserve">Ac work </t>
  </si>
  <si>
    <t xml:space="preserve">HVAC Extra </t>
  </si>
  <si>
    <t xml:space="preserve">CIvil &amp; Interior EXTRA </t>
  </si>
  <si>
    <t>Mixtur</t>
  </si>
  <si>
    <t xml:space="preserve">Providing fixing mixture </t>
  </si>
  <si>
    <t>Server room to Domino's UPS DB (1+2.5)</t>
  </si>
  <si>
    <t>Rmt.</t>
  </si>
  <si>
    <t>wire for weather proof TPN</t>
  </si>
  <si>
    <t>1c*4sqmm</t>
  </si>
  <si>
    <t xml:space="preserve">Domino's </t>
  </si>
  <si>
    <t>Domino's (35+37)</t>
  </si>
  <si>
    <t>EXTRA WORK</t>
  </si>
  <si>
    <t>Light Bulb</t>
  </si>
  <si>
    <t>Proving and fixing light bulbs for hanging decorative lights in Domino's</t>
  </si>
  <si>
    <t>Scissors and Chain</t>
  </si>
  <si>
    <t>Providing SS scissors with chain</t>
  </si>
  <si>
    <t>Cable</t>
  </si>
  <si>
    <t>AC Out Door</t>
  </si>
  <si>
    <t>AC -1 (2+3+14+4+2+4.5+4+2+3)</t>
  </si>
  <si>
    <t>AC- 2 (2+3+14+4+2+4.5+4+2+2+3)</t>
  </si>
  <si>
    <t>AC -3 (2+3+14+4+2+4.5+4+2+4+3)</t>
  </si>
  <si>
    <t>AC -4 (2+3+14+4+2+4.5+4+2+6+3)</t>
  </si>
  <si>
    <t>AC -4 (2+3+14+4+2+4.5+4+2+8+3)</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</si>
  <si>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 3c*4sqmm cu unarmoured cable</t>
  </si>
  <si>
    <t>Total of Extra Item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</si>
</sst>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 #,##0.00_ ;_ * \-#,##0.00_ ;_ * &quot;-&quot;??_ ;_ @_ "/>
    <numFmt numFmtId="165" formatCode="_ * #,##0_ ;_ * \-#,##0_ ;_ * &quot;-&quot;??_ ;_ @_ "/>
    <numFmt numFmtId="166" formatCode="0.000"/>
  </numFmts>
  <fonts count="46">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b/>
      <sz val="9"/>
      <color theme="1"/>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0000"/>
      <name val="Calibri"/>
      <family val="2"/>
      <scheme val="minor"/>
    </font>
    <font>
      <sz val="9"/>
      <color rgb="FF0000FF"/>
      <name val="Calibri"/>
      <family val="2"/>
      <scheme val="minor"/>
    </font>
    <font>
      <u/>
      <sz val="9"/>
      <color theme="1"/>
      <name val="Calibri"/>
      <family val="2"/>
      <scheme val="minor"/>
    </font>
    <font>
      <b/>
      <sz val="9"/>
      <color rgb="FF0000FF"/>
      <name val="Calibri"/>
      <family val="2"/>
      <scheme val="minor"/>
    </font>
    <font>
      <sz val="9"/>
      <color rgb="FF0070C0"/>
      <name val="Calibri"/>
      <family val="2"/>
      <scheme val="minor"/>
    </font>
    <font>
      <b/>
      <sz val="9"/>
      <color rgb="FF000000"/>
      <name val="Calibri"/>
      <family val="2"/>
      <scheme val="minor"/>
    </font>
    <font>
      <sz val="9"/>
      <color rgb="FF00B0F0"/>
      <name val="Calibri"/>
      <family val="2"/>
      <scheme val="minor"/>
    </font>
    <font>
      <b/>
      <u/>
      <sz val="9"/>
      <color rgb="FF000000"/>
      <name val="Calibri"/>
      <family val="2"/>
      <scheme val="minor"/>
    </font>
    <font>
      <vertAlign val="superscript"/>
      <sz val="9"/>
      <color theme="1"/>
      <name val="Calibri"/>
      <family val="2"/>
      <scheme val="minor"/>
    </font>
    <font>
      <vertAlign val="superscript"/>
      <sz val="9"/>
      <name val="Calibri"/>
      <family val="2"/>
      <scheme val="minor"/>
    </font>
    <font>
      <u/>
      <sz val="9"/>
      <name val="Calibri"/>
      <family val="2"/>
      <scheme val="minor"/>
    </font>
    <font>
      <sz val="11"/>
      <color rgb="FFFF0000"/>
      <name val="Calibri"/>
      <family val="2"/>
      <scheme val="minor"/>
    </font>
    <font>
      <sz val="9"/>
      <color indexed="81"/>
      <name val="Tahoma"/>
      <family val="2"/>
    </font>
    <font>
      <b/>
      <sz val="9"/>
      <color indexed="81"/>
      <name val="Tahoma"/>
      <family val="2"/>
    </font>
    <font>
      <sz val="9"/>
      <color indexed="8"/>
      <name val="Calibri"/>
      <family val="2"/>
      <scheme val="minor"/>
    </font>
    <font>
      <b/>
      <sz val="11"/>
      <name val="Arial"/>
      <family val="2"/>
    </font>
    <font>
      <b/>
      <sz val="10"/>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92D050"/>
        <bgColor indexed="64"/>
      </patternFill>
    </fill>
  </fills>
  <borders count="44">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6">
    <xf numFmtId="0" fontId="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 fillId="0" borderId="0"/>
    <xf numFmtId="0" fontId="12" fillId="0" borderId="0"/>
    <xf numFmtId="164" fontId="1" fillId="0" borderId="0" applyFont="0" applyFill="0" applyBorder="0" applyAlignment="0" applyProtection="0"/>
    <xf numFmtId="0" fontId="1" fillId="0" borderId="0"/>
    <xf numFmtId="0" fontId="13" fillId="0" borderId="0"/>
    <xf numFmtId="0" fontId="7" fillId="0" borderId="0"/>
    <xf numFmtId="0" fontId="7" fillId="0" borderId="0"/>
    <xf numFmtId="43" fontId="1" fillId="0" borderId="0" applyFont="0" applyFill="0" applyBorder="0" applyAlignment="0" applyProtection="0"/>
    <xf numFmtId="164" fontId="7" fillId="0" borderId="0" applyFont="0" applyFill="0" applyBorder="0" applyAlignment="0" applyProtection="0"/>
  </cellStyleXfs>
  <cellXfs count="320">
    <xf numFmtId="0" fontId="0" fillId="0" borderId="0" xfId="0"/>
    <xf numFmtId="0" fontId="0" fillId="0" borderId="4" xfId="0" applyBorder="1"/>
    <xf numFmtId="0" fontId="0" fillId="0" borderId="13" xfId="0" applyBorder="1"/>
    <xf numFmtId="0" fontId="2" fillId="5" borderId="10" xfId="0" applyFont="1" applyFill="1" applyBorder="1" applyAlignment="1">
      <alignment horizontal="center"/>
    </xf>
    <xf numFmtId="0" fontId="2" fillId="5" borderId="8" xfId="0" applyFont="1" applyFill="1" applyBorder="1" applyAlignment="1">
      <alignment horizontal="center"/>
    </xf>
    <xf numFmtId="0" fontId="2" fillId="5" borderId="8" xfId="0" applyFont="1" applyFill="1" applyBorder="1"/>
    <xf numFmtId="0" fontId="2" fillId="5" borderId="9" xfId="0" applyFont="1" applyFill="1" applyBorder="1" applyAlignment="1">
      <alignment horizontal="center"/>
    </xf>
    <xf numFmtId="0" fontId="2" fillId="4" borderId="17" xfId="0" applyFont="1" applyFill="1" applyBorder="1" applyAlignment="1">
      <alignment horizontal="center"/>
    </xf>
    <xf numFmtId="0" fontId="0" fillId="2" borderId="10" xfId="0" applyFill="1" applyBorder="1" applyAlignment="1">
      <alignment horizontal="center" vertic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0" borderId="0" xfId="0" applyAlignment="1">
      <alignment vertical="center"/>
    </xf>
    <xf numFmtId="0" fontId="0" fillId="2" borderId="10" xfId="0" applyFill="1" applyBorder="1" applyAlignment="1">
      <alignment horizontal="center"/>
    </xf>
    <xf numFmtId="0" fontId="0" fillId="2" borderId="8" xfId="0" applyFill="1" applyBorder="1"/>
    <xf numFmtId="0" fontId="0" fillId="2" borderId="8" xfId="0" applyFill="1" applyBorder="1" applyAlignment="1">
      <alignment horizontal="center"/>
    </xf>
    <xf numFmtId="0" fontId="0" fillId="2" borderId="9" xfId="0" applyFill="1" applyBorder="1" applyAlignment="1">
      <alignment horizontal="left"/>
    </xf>
    <xf numFmtId="0" fontId="0" fillId="2" borderId="8" xfId="0" applyFill="1" applyBorder="1" applyAlignment="1">
      <alignment horizontal="center" wrapText="1"/>
    </xf>
    <xf numFmtId="0" fontId="0" fillId="2" borderId="8" xfId="0" applyFill="1" applyBorder="1" applyAlignment="1">
      <alignment horizontal="left" vertical="top" wrapText="1"/>
    </xf>
    <xf numFmtId="0" fontId="0" fillId="2" borderId="8"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2" borderId="8" xfId="0" applyFill="1" applyBorder="1" applyAlignment="1">
      <alignment wrapText="1"/>
    </xf>
    <xf numFmtId="0" fontId="0" fillId="2" borderId="8" xfId="0" applyFill="1" applyBorder="1" applyAlignment="1">
      <alignment horizontal="left"/>
    </xf>
    <xf numFmtId="0" fontId="0" fillId="2" borderId="8" xfId="0" applyFill="1" applyBorder="1" applyAlignment="1">
      <alignment vertical="center" wrapText="1"/>
    </xf>
    <xf numFmtId="0" fontId="0" fillId="2" borderId="14" xfId="0" applyFill="1" applyBorder="1" applyAlignment="1">
      <alignment horizontal="center"/>
    </xf>
    <xf numFmtId="0" fontId="0" fillId="2" borderId="7" xfId="0" applyFill="1" applyBorder="1"/>
    <xf numFmtId="0" fontId="0" fillId="2" borderId="7" xfId="0" applyFill="1" applyBorder="1" applyAlignment="1">
      <alignment horizontal="center"/>
    </xf>
    <xf numFmtId="0" fontId="0" fillId="2" borderId="7" xfId="0" applyFill="1" applyBorder="1" applyAlignment="1">
      <alignment horizontal="left" wrapText="1"/>
    </xf>
    <xf numFmtId="0" fontId="0" fillId="2" borderId="15" xfId="0" applyFill="1" applyBorder="1" applyAlignment="1">
      <alignment horizontal="left"/>
    </xf>
    <xf numFmtId="0" fontId="0" fillId="0" borderId="8" xfId="0" applyBorder="1" applyAlignment="1">
      <alignment horizontal="center"/>
    </xf>
    <xf numFmtId="0" fontId="0" fillId="2" borderId="7" xfId="0" applyFill="1" applyBorder="1" applyAlignment="1">
      <alignment horizontal="left" vertical="center"/>
    </xf>
    <xf numFmtId="0" fontId="0" fillId="2" borderId="15" xfId="0" applyFill="1" applyBorder="1" applyAlignment="1">
      <alignment horizontal="left" vertical="center"/>
    </xf>
    <xf numFmtId="0" fontId="0" fillId="2" borderId="4" xfId="0" applyFill="1" applyBorder="1"/>
    <xf numFmtId="0" fontId="0" fillId="2" borderId="0" xfId="0" applyFill="1"/>
    <xf numFmtId="0" fontId="0" fillId="2" borderId="0" xfId="0" applyFill="1" applyAlignment="1">
      <alignment horizontal="center"/>
    </xf>
    <xf numFmtId="0" fontId="0" fillId="2" borderId="13" xfId="0" applyFill="1" applyBorder="1"/>
    <xf numFmtId="0" fontId="2" fillId="3" borderId="4" xfId="0" applyFont="1" applyFill="1" applyBorder="1" applyAlignment="1">
      <alignment horizontal="center"/>
    </xf>
    <xf numFmtId="0" fontId="2" fillId="3" borderId="0" xfId="0" applyFont="1" applyFill="1" applyAlignment="1">
      <alignment horizontal="center"/>
    </xf>
    <xf numFmtId="0" fontId="2" fillId="3" borderId="13" xfId="0" applyFont="1" applyFill="1" applyBorder="1" applyAlignment="1">
      <alignment horizontal="center"/>
    </xf>
    <xf numFmtId="0" fontId="0" fillId="0" borderId="8" xfId="0" applyBorder="1"/>
    <xf numFmtId="0" fontId="0" fillId="2" borderId="9" xfId="0" applyFill="1" applyBorder="1"/>
    <xf numFmtId="0" fontId="0" fillId="0" borderId="0" xfId="0" applyAlignment="1">
      <alignment horizontal="center"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10" xfId="0" applyFill="1" applyBorder="1"/>
    <xf numFmtId="0" fontId="6" fillId="6" borderId="16"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16" fillId="0" borderId="8" xfId="0" applyFont="1" applyBorder="1" applyAlignment="1">
      <alignment horizontal="center"/>
    </xf>
    <xf numFmtId="0" fontId="11" fillId="6" borderId="20" xfId="0" applyFont="1" applyFill="1" applyBorder="1" applyAlignment="1">
      <alignment horizontal="center" vertical="center" wrapText="1"/>
    </xf>
    <xf numFmtId="0" fontId="11" fillId="6" borderId="11" xfId="0" applyFont="1" applyFill="1" applyBorder="1" applyAlignment="1">
      <alignment vertical="center" wrapText="1"/>
    </xf>
    <xf numFmtId="0" fontId="11" fillId="6" borderId="11" xfId="0" applyFont="1" applyFill="1" applyBorder="1" applyAlignment="1">
      <alignment horizontal="center" vertical="center" wrapText="1"/>
    </xf>
    <xf numFmtId="0" fontId="9" fillId="6" borderId="11" xfId="0" applyFont="1" applyFill="1" applyBorder="1" applyAlignment="1">
      <alignment horizontal="center" vertical="center" wrapText="1"/>
    </xf>
    <xf numFmtId="0" fontId="0" fillId="0" borderId="8" xfId="0" applyBorder="1" applyAlignment="1">
      <alignment horizontal="center" vertical="center"/>
    </xf>
    <xf numFmtId="0" fontId="11" fillId="6" borderId="6" xfId="0" applyFont="1" applyFill="1" applyBorder="1" applyAlignment="1">
      <alignment horizontal="center" vertical="center" wrapText="1"/>
    </xf>
    <xf numFmtId="0" fontId="0" fillId="0" borderId="2" xfId="0" applyBorder="1"/>
    <xf numFmtId="0" fontId="0" fillId="0" borderId="3" xfId="0" applyBorder="1"/>
    <xf numFmtId="0" fontId="0" fillId="0" borderId="12" xfId="0" applyBorder="1"/>
    <xf numFmtId="0" fontId="0" fillId="2" borderId="24" xfId="0" applyFill="1" applyBorder="1"/>
    <xf numFmtId="0" fontId="0" fillId="2" borderId="25" xfId="0" applyFill="1" applyBorder="1" applyAlignment="1">
      <alignment wrapText="1"/>
    </xf>
    <xf numFmtId="0" fontId="19" fillId="0" borderId="0" xfId="0" applyFont="1" applyAlignment="1">
      <alignment vertical="top"/>
    </xf>
    <xf numFmtId="0" fontId="3" fillId="0" borderId="8" xfId="0" applyFont="1" applyBorder="1" applyAlignment="1">
      <alignment horizontal="center" vertical="center" wrapText="1"/>
    </xf>
    <xf numFmtId="0" fontId="19" fillId="0" borderId="0" xfId="0" applyFont="1" applyAlignment="1">
      <alignment horizontal="center" vertical="top"/>
    </xf>
    <xf numFmtId="0" fontId="7"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9" fillId="2" borderId="0" xfId="0" applyFont="1" applyFill="1" applyAlignment="1">
      <alignment vertical="top"/>
    </xf>
    <xf numFmtId="0" fontId="21" fillId="2" borderId="0" xfId="0" applyFont="1" applyFill="1" applyAlignment="1">
      <alignment vertical="top"/>
    </xf>
    <xf numFmtId="0" fontId="19" fillId="7" borderId="0" xfId="0" applyFont="1" applyFill="1" applyAlignment="1">
      <alignment vertical="top"/>
    </xf>
    <xf numFmtId="0" fontId="19" fillId="0" borderId="0" xfId="0" applyFont="1" applyAlignment="1">
      <alignment horizontal="justify" vertical="top"/>
    </xf>
    <xf numFmtId="0" fontId="15" fillId="0" borderId="0" xfId="5" applyFont="1"/>
    <xf numFmtId="0" fontId="2" fillId="0" borderId="8" xfId="5" applyFont="1" applyBorder="1" applyAlignment="1">
      <alignment horizontal="center" vertical="center"/>
    </xf>
    <xf numFmtId="0" fontId="2" fillId="0" borderId="8" xfId="5" applyFont="1" applyBorder="1" applyAlignment="1">
      <alignment horizontal="left" vertical="center"/>
    </xf>
    <xf numFmtId="0" fontId="1" fillId="0" borderId="8" xfId="5" applyFont="1" applyBorder="1" applyAlignment="1">
      <alignment horizontal="center" vertical="center" wrapText="1"/>
    </xf>
    <xf numFmtId="0" fontId="10" fillId="0" borderId="8" xfId="5" applyFont="1" applyBorder="1" applyAlignment="1">
      <alignment horizontal="left" vertical="center" wrapText="1"/>
    </xf>
    <xf numFmtId="0" fontId="1" fillId="0" borderId="8" xfId="5" applyFont="1" applyBorder="1" applyAlignment="1">
      <alignment horizontal="left" vertical="center" wrapText="1"/>
    </xf>
    <xf numFmtId="0" fontId="0" fillId="0" borderId="8" xfId="5" applyFont="1" applyBorder="1" applyAlignment="1">
      <alignment horizontal="left" vertical="center" wrapText="1"/>
    </xf>
    <xf numFmtId="0" fontId="1" fillId="0" borderId="8" xfId="5" applyFont="1" applyBorder="1" applyAlignment="1">
      <alignment horizontal="left" vertical="center"/>
    </xf>
    <xf numFmtId="0" fontId="1" fillId="9" borderId="8" xfId="5" applyFont="1" applyFill="1" applyBorder="1" applyAlignment="1">
      <alignment horizontal="center" vertical="center" wrapText="1"/>
    </xf>
    <xf numFmtId="0" fontId="16" fillId="9" borderId="8" xfId="5" applyFont="1" applyFill="1" applyBorder="1" applyAlignment="1">
      <alignment horizontal="left" vertical="center" wrapText="1"/>
    </xf>
    <xf numFmtId="0" fontId="10" fillId="9" borderId="8" xfId="5" applyFont="1" applyFill="1" applyBorder="1" applyAlignment="1">
      <alignment horizontal="left" vertical="center" wrapText="1"/>
    </xf>
    <xf numFmtId="0" fontId="4" fillId="0" borderId="8" xfId="5" applyFont="1" applyBorder="1" applyAlignment="1">
      <alignment horizontal="left" vertical="center" wrapText="1"/>
    </xf>
    <xf numFmtId="0" fontId="4" fillId="0" borderId="8" xfId="5"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2" fillId="0" borderId="8" xfId="0" applyFont="1" applyBorder="1" applyAlignment="1">
      <alignment wrapText="1"/>
    </xf>
    <xf numFmtId="0" fontId="2" fillId="0" borderId="10" xfId="0" applyFont="1" applyBorder="1" applyAlignment="1">
      <alignment horizontal="left" vertical="center" wrapText="1"/>
    </xf>
    <xf numFmtId="0" fontId="2" fillId="0" borderId="24" xfId="0" applyFont="1" applyBorder="1" applyAlignment="1">
      <alignment horizontal="left" vertical="center"/>
    </xf>
    <xf numFmtId="0" fontId="0" fillId="0" borderId="25" xfId="0" applyBorder="1" applyAlignment="1">
      <alignment horizontal="center"/>
    </xf>
    <xf numFmtId="0" fontId="0" fillId="0" borderId="25" xfId="0" applyBorder="1" applyAlignment="1">
      <alignment wrapText="1"/>
    </xf>
    <xf numFmtId="0" fontId="0" fillId="0" borderId="25" xfId="0" applyBorder="1"/>
    <xf numFmtId="0" fontId="0" fillId="0" borderId="0" xfId="0" applyAlignment="1">
      <alignment horizontal="left" vertical="center"/>
    </xf>
    <xf numFmtId="0" fontId="0" fillId="2" borderId="8" xfId="0" applyFill="1" applyBorder="1" applyAlignment="1">
      <alignment horizontal="left" vertical="center" wrapText="1"/>
    </xf>
    <xf numFmtId="0" fontId="23" fillId="6" borderId="6" xfId="0" applyFont="1" applyFill="1" applyBorder="1" applyAlignment="1">
      <alignment horizontal="center" vertical="center" wrapText="1"/>
    </xf>
    <xf numFmtId="0" fontId="22" fillId="2" borderId="8" xfId="0" applyFont="1" applyFill="1" applyBorder="1"/>
    <xf numFmtId="0" fontId="2" fillId="2" borderId="2" xfId="0" applyFont="1" applyFill="1" applyBorder="1" applyAlignment="1">
      <alignment horizontal="center"/>
    </xf>
    <xf numFmtId="0" fontId="2" fillId="2" borderId="3" xfId="0" applyFont="1" applyFill="1" applyBorder="1" applyAlignment="1">
      <alignment horizontal="left" wrapText="1"/>
    </xf>
    <xf numFmtId="0" fontId="2" fillId="2" borderId="12"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left" wrapText="1"/>
    </xf>
    <xf numFmtId="0" fontId="2" fillId="2" borderId="11" xfId="0" applyFont="1" applyFill="1" applyBorder="1" applyAlignment="1">
      <alignment horizontal="left" wrapText="1"/>
    </xf>
    <xf numFmtId="0" fontId="2" fillId="2" borderId="8" xfId="0" applyFont="1" applyFill="1" applyBorder="1" applyAlignment="1">
      <alignment horizontal="left" wrapText="1"/>
    </xf>
    <xf numFmtId="0" fontId="0" fillId="2" borderId="7" xfId="0" applyFill="1" applyBorder="1" applyAlignment="1">
      <alignment vertical="center"/>
    </xf>
    <xf numFmtId="0" fontId="2" fillId="2" borderId="10" xfId="0" applyFont="1" applyFill="1" applyBorder="1" applyAlignment="1">
      <alignment horizontal="center" vertical="center"/>
    </xf>
    <xf numFmtId="0" fontId="2" fillId="2" borderId="9" xfId="0" applyFont="1" applyFill="1" applyBorder="1" applyAlignment="1">
      <alignment horizontal="left" wrapText="1"/>
    </xf>
    <xf numFmtId="0" fontId="2" fillId="2" borderId="10" xfId="0" applyFont="1" applyFill="1" applyBorder="1" applyAlignment="1">
      <alignment horizontal="center"/>
    </xf>
    <xf numFmtId="0" fontId="6" fillId="6" borderId="9" xfId="0" applyFont="1" applyFill="1" applyBorder="1" applyAlignment="1">
      <alignment horizontal="center" vertical="center" wrapText="1"/>
    </xf>
    <xf numFmtId="0" fontId="17" fillId="6" borderId="9" xfId="0" applyFont="1" applyFill="1" applyBorder="1" applyAlignment="1">
      <alignment horizontal="center" vertical="top" wrapText="1"/>
    </xf>
    <xf numFmtId="0" fontId="0" fillId="0" borderId="9" xfId="0" applyBorder="1" applyAlignment="1">
      <alignment horizontal="center"/>
    </xf>
    <xf numFmtId="0" fontId="11" fillId="6" borderId="9" xfId="0" applyFont="1" applyFill="1" applyBorder="1" applyAlignment="1">
      <alignment horizontal="center" vertical="center" wrapText="1"/>
    </xf>
    <xf numFmtId="0" fontId="0" fillId="0" borderId="9" xfId="0" applyBorder="1" applyAlignment="1">
      <alignment horizontal="center" vertical="center"/>
    </xf>
    <xf numFmtId="0" fontId="25" fillId="2" borderId="0" xfId="0" applyFont="1" applyFill="1" applyAlignment="1">
      <alignment vertical="center" wrapText="1"/>
    </xf>
    <xf numFmtId="0" fontId="25" fillId="2" borderId="0" xfId="0" applyFont="1" applyFill="1" applyAlignment="1">
      <alignment horizontal="center" vertical="center" wrapText="1"/>
    </xf>
    <xf numFmtId="0" fontId="24" fillId="2" borderId="31" xfId="0" applyFont="1" applyFill="1" applyBorder="1" applyAlignment="1">
      <alignment horizontal="center" vertical="center" wrapText="1"/>
    </xf>
    <xf numFmtId="0" fontId="24" fillId="2" borderId="31" xfId="0" applyFont="1" applyFill="1" applyBorder="1" applyAlignment="1">
      <alignment horizontal="center" vertical="center" wrapText="1" shrinkToFit="1"/>
    </xf>
    <xf numFmtId="0" fontId="26" fillId="2" borderId="31" xfId="0" applyFont="1" applyFill="1" applyBorder="1" applyAlignment="1">
      <alignment horizontal="center" vertical="center" wrapText="1"/>
    </xf>
    <xf numFmtId="0" fontId="24" fillId="2" borderId="31" xfId="0" applyFont="1" applyFill="1" applyBorder="1" applyAlignment="1">
      <alignment vertical="center" wrapText="1" shrinkToFit="1"/>
    </xf>
    <xf numFmtId="0" fontId="27" fillId="2" borderId="31" xfId="0" applyFont="1" applyFill="1" applyBorder="1" applyAlignment="1">
      <alignment horizontal="center" vertical="center" wrapText="1"/>
    </xf>
    <xf numFmtId="0" fontId="25" fillId="2" borderId="31" xfId="0" applyFont="1" applyFill="1" applyBorder="1" applyAlignment="1">
      <alignment vertical="center" wrapText="1"/>
    </xf>
    <xf numFmtId="0" fontId="25" fillId="2" borderId="31" xfId="0" applyFont="1" applyFill="1" applyBorder="1" applyAlignment="1">
      <alignment horizontal="center" vertical="center" wrapText="1"/>
    </xf>
    <xf numFmtId="0" fontId="25" fillId="2" borderId="31" xfId="0" applyFont="1" applyFill="1" applyBorder="1" applyAlignment="1">
      <alignment horizontal="center" vertical="center"/>
    </xf>
    <xf numFmtId="0" fontId="25" fillId="2" borderId="31" xfId="0" applyFont="1" applyFill="1" applyBorder="1" applyAlignment="1">
      <alignment horizontal="left" vertical="center" wrapText="1" shrinkToFit="1"/>
    </xf>
    <xf numFmtId="0" fontId="25" fillId="2" borderId="31" xfId="0" applyFont="1" applyFill="1" applyBorder="1" applyAlignment="1">
      <alignment horizontal="justify" vertical="center" wrapText="1" shrinkToFit="1"/>
    </xf>
    <xf numFmtId="0" fontId="24" fillId="2" borderId="31" xfId="0" applyFont="1" applyFill="1" applyBorder="1" applyAlignment="1">
      <alignment vertical="center" wrapText="1"/>
    </xf>
    <xf numFmtId="0" fontId="25" fillId="2" borderId="31" xfId="0" applyFont="1" applyFill="1" applyBorder="1" applyAlignment="1">
      <alignment vertical="center" wrapText="1" shrinkToFit="1"/>
    </xf>
    <xf numFmtId="0" fontId="24" fillId="2" borderId="31" xfId="0" applyFont="1" applyFill="1" applyBorder="1" applyAlignment="1">
      <alignment horizontal="left" vertical="center" wrapText="1"/>
    </xf>
    <xf numFmtId="2" fontId="24" fillId="2" borderId="31" xfId="0" applyNumberFormat="1" applyFont="1" applyFill="1" applyBorder="1" applyAlignment="1">
      <alignment horizontal="center" vertical="center" wrapText="1"/>
    </xf>
    <xf numFmtId="0" fontId="27" fillId="2" borderId="31" xfId="5" applyFont="1" applyFill="1" applyBorder="1" applyAlignment="1">
      <alignment horizontal="center" vertical="center" wrapText="1"/>
    </xf>
    <xf numFmtId="0" fontId="26" fillId="2" borderId="31" xfId="5" applyFont="1" applyFill="1" applyBorder="1" applyAlignment="1">
      <alignment horizontal="center" vertical="center" wrapText="1"/>
    </xf>
    <xf numFmtId="0" fontId="32" fillId="2" borderId="0" xfId="0" applyFont="1" applyFill="1" applyAlignment="1">
      <alignment vertical="center" wrapText="1"/>
    </xf>
    <xf numFmtId="0" fontId="25" fillId="2" borderId="0" xfId="0" applyFont="1" applyFill="1" applyAlignment="1">
      <alignment vertical="center" wrapText="1" shrinkToFit="1"/>
    </xf>
    <xf numFmtId="0" fontId="28" fillId="2" borderId="31" xfId="0" applyFont="1" applyFill="1" applyBorder="1" applyAlignment="1">
      <alignment horizontal="center" vertical="center" wrapText="1"/>
    </xf>
    <xf numFmtId="0" fontId="27" fillId="2" borderId="31" xfId="13" applyFont="1" applyFill="1" applyBorder="1" applyAlignment="1">
      <alignment horizontal="justify" vertical="center" wrapText="1"/>
    </xf>
    <xf numFmtId="0" fontId="27" fillId="2" borderId="31" xfId="13" applyFont="1" applyFill="1" applyBorder="1" applyAlignment="1">
      <alignment horizontal="center" vertical="center" wrapText="1"/>
    </xf>
    <xf numFmtId="0" fontId="26" fillId="2" borderId="31" xfId="13" applyFont="1" applyFill="1" applyBorder="1" applyAlignment="1">
      <alignment horizontal="center" vertical="center" wrapText="1"/>
    </xf>
    <xf numFmtId="165" fontId="25" fillId="2" borderId="31" xfId="1" applyNumberFormat="1" applyFont="1" applyFill="1" applyBorder="1" applyAlignment="1">
      <alignment vertical="center" wrapText="1"/>
    </xf>
    <xf numFmtId="165" fontId="27" fillId="2" borderId="31" xfId="1" applyNumberFormat="1" applyFont="1" applyFill="1" applyBorder="1" applyAlignment="1">
      <alignment horizontal="center" vertical="center" wrapText="1"/>
    </xf>
    <xf numFmtId="165" fontId="24" fillId="2" borderId="31" xfId="1" applyNumberFormat="1" applyFont="1" applyFill="1" applyBorder="1" applyAlignment="1">
      <alignment horizontal="center" vertical="center" wrapText="1"/>
    </xf>
    <xf numFmtId="165" fontId="24" fillId="2" borderId="31" xfId="1" applyNumberFormat="1" applyFont="1" applyFill="1" applyBorder="1" applyAlignment="1">
      <alignment horizontal="left" vertical="center" wrapText="1"/>
    </xf>
    <xf numFmtId="165" fontId="32" fillId="2" borderId="31" xfId="1" applyNumberFormat="1" applyFont="1" applyFill="1" applyBorder="1" applyAlignment="1">
      <alignment vertical="center" wrapText="1"/>
    </xf>
    <xf numFmtId="165" fontId="24" fillId="2" borderId="31" xfId="1" applyNumberFormat="1" applyFont="1" applyFill="1" applyBorder="1" applyAlignment="1">
      <alignment vertical="center" wrapText="1"/>
    </xf>
    <xf numFmtId="165" fontId="26" fillId="2" borderId="31" xfId="1" applyNumberFormat="1" applyFont="1" applyFill="1" applyBorder="1" applyAlignment="1">
      <alignment horizontal="center" vertical="center" wrapText="1"/>
    </xf>
    <xf numFmtId="165" fontId="27" fillId="2" borderId="31" xfId="1" applyNumberFormat="1" applyFont="1" applyFill="1" applyBorder="1" applyAlignment="1">
      <alignment horizontal="center" vertical="top" wrapText="1"/>
    </xf>
    <xf numFmtId="165" fontId="27" fillId="2" borderId="31" xfId="1" applyNumberFormat="1" applyFont="1" applyFill="1" applyBorder="1" applyAlignment="1">
      <alignment vertical="center" wrapText="1"/>
    </xf>
    <xf numFmtId="165" fontId="25" fillId="2" borderId="0" xfId="1" applyNumberFormat="1" applyFont="1" applyFill="1" applyAlignment="1">
      <alignment vertical="center" wrapText="1"/>
    </xf>
    <xf numFmtId="165" fontId="27" fillId="2" borderId="0" xfId="1" applyNumberFormat="1" applyFont="1" applyFill="1" applyAlignment="1">
      <alignment horizontal="center" vertical="center" wrapText="1"/>
    </xf>
    <xf numFmtId="165" fontId="26" fillId="2" borderId="31" xfId="1" applyNumberFormat="1" applyFont="1" applyFill="1" applyBorder="1" applyAlignment="1">
      <alignment horizontal="center" vertical="center"/>
    </xf>
    <xf numFmtId="165" fontId="27" fillId="2" borderId="31" xfId="1" applyNumberFormat="1" applyFont="1" applyFill="1" applyBorder="1" applyAlignment="1">
      <alignment horizontal="center" vertical="center"/>
    </xf>
    <xf numFmtId="165" fontId="25" fillId="2" borderId="0" xfId="1" applyNumberFormat="1" applyFont="1" applyFill="1" applyAlignment="1">
      <alignment vertical="center"/>
    </xf>
    <xf numFmtId="0" fontId="25" fillId="2" borderId="0" xfId="0" applyFont="1" applyFill="1"/>
    <xf numFmtId="165" fontId="25" fillId="2" borderId="0" xfId="1" applyNumberFormat="1" applyFont="1" applyFill="1"/>
    <xf numFmtId="0" fontId="4" fillId="2" borderId="8" xfId="0" applyFont="1" applyFill="1" applyBorder="1" applyAlignment="1">
      <alignment horizontal="justify" vertical="center" wrapText="1" shrinkToFit="1"/>
    </xf>
    <xf numFmtId="0" fontId="25" fillId="10" borderId="31" xfId="0" applyFont="1" applyFill="1" applyBorder="1" applyAlignment="1">
      <alignment horizontal="justify" vertical="center" wrapText="1" shrinkToFit="1"/>
    </xf>
    <xf numFmtId="0" fontId="25" fillId="2" borderId="0" xfId="0" applyFont="1" applyFill="1" applyAlignment="1">
      <alignment horizontal="justify" vertical="center" wrapText="1" shrinkToFit="1"/>
    </xf>
    <xf numFmtId="0" fontId="25" fillId="10" borderId="31" xfId="0" applyFont="1" applyFill="1" applyBorder="1" applyAlignment="1">
      <alignment horizontal="center" vertical="center" wrapText="1"/>
    </xf>
    <xf numFmtId="165" fontId="3" fillId="2" borderId="8" xfId="1" applyNumberFormat="1" applyFont="1" applyFill="1" applyBorder="1" applyAlignment="1">
      <alignment horizontal="center" vertical="center"/>
    </xf>
    <xf numFmtId="165" fontId="25" fillId="0" borderId="31" xfId="1" applyNumberFormat="1" applyFont="1" applyBorder="1" applyAlignment="1">
      <alignment horizontal="justify" vertical="center" wrapText="1" shrinkToFit="1"/>
    </xf>
    <xf numFmtId="165" fontId="27" fillId="11" borderId="31" xfId="1" applyNumberFormat="1" applyFont="1" applyFill="1" applyBorder="1" applyAlignment="1">
      <alignment horizontal="center" vertical="center" wrapText="1"/>
    </xf>
    <xf numFmtId="0" fontId="25" fillId="2" borderId="8" xfId="0" applyFont="1" applyFill="1" applyBorder="1" applyAlignment="1">
      <alignment horizontal="center" vertical="center" wrapText="1"/>
    </xf>
    <xf numFmtId="2" fontId="43" fillId="0" borderId="8" xfId="0" applyNumberFormat="1" applyFont="1" applyBorder="1" applyAlignment="1">
      <alignment horizontal="center"/>
    </xf>
    <xf numFmtId="166" fontId="43" fillId="0" borderId="8" xfId="0" applyNumberFormat="1" applyFont="1" applyBorder="1" applyAlignment="1">
      <alignment horizontal="center"/>
    </xf>
    <xf numFmtId="2" fontId="43" fillId="0" borderId="8" xfId="0" applyNumberFormat="1" applyFont="1" applyBorder="1" applyAlignment="1">
      <alignment horizontal="right"/>
    </xf>
    <xf numFmtId="0" fontId="27" fillId="2" borderId="8" xfId="0" applyFont="1" applyFill="1" applyBorder="1" applyAlignment="1">
      <alignment horizontal="center" vertical="center" wrapText="1"/>
    </xf>
    <xf numFmtId="0" fontId="25" fillId="2" borderId="8" xfId="0" applyFont="1" applyFill="1" applyBorder="1" applyAlignment="1">
      <alignment vertical="center" wrapText="1"/>
    </xf>
    <xf numFmtId="0" fontId="25" fillId="2" borderId="8" xfId="0" applyFont="1" applyFill="1" applyBorder="1" applyAlignment="1">
      <alignment horizontal="justify" vertical="center" wrapText="1" shrinkToFit="1"/>
    </xf>
    <xf numFmtId="0" fontId="27" fillId="2" borderId="8" xfId="0" applyFont="1" applyFill="1" applyBorder="1" applyAlignment="1">
      <alignment horizontal="center" wrapText="1"/>
    </xf>
    <xf numFmtId="0" fontId="25" fillId="10" borderId="8" xfId="0" applyFont="1" applyFill="1" applyBorder="1" applyAlignment="1">
      <alignment horizontal="justify" vertical="center" wrapText="1" shrinkToFit="1"/>
    </xf>
    <xf numFmtId="0" fontId="25" fillId="0" borderId="8" xfId="0" applyFont="1" applyBorder="1"/>
    <xf numFmtId="0" fontId="25" fillId="0" borderId="0" xfId="0" applyFont="1"/>
    <xf numFmtId="0" fontId="25" fillId="0" borderId="8" xfId="0" applyFont="1" applyBorder="1" applyAlignment="1">
      <alignment horizontal="center"/>
    </xf>
    <xf numFmtId="2" fontId="25" fillId="0" borderId="8" xfId="0" applyNumberFormat="1" applyFont="1" applyBorder="1"/>
    <xf numFmtId="2" fontId="25" fillId="2" borderId="8" xfId="0" applyNumberFormat="1" applyFont="1" applyFill="1" applyBorder="1"/>
    <xf numFmtId="0" fontId="25" fillId="0" borderId="8" xfId="0" applyFont="1" applyBorder="1" applyAlignment="1">
      <alignment horizontal="center" vertical="center"/>
    </xf>
    <xf numFmtId="0" fontId="25" fillId="2" borderId="8" xfId="0" applyFont="1" applyFill="1" applyBorder="1" applyAlignment="1">
      <alignment horizontal="center"/>
    </xf>
    <xf numFmtId="0" fontId="25" fillId="10" borderId="8" xfId="0" applyFont="1" applyFill="1" applyBorder="1" applyAlignment="1">
      <alignment vertical="center"/>
    </xf>
    <xf numFmtId="0" fontId="25" fillId="2" borderId="8" xfId="0" applyFont="1" applyFill="1" applyBorder="1"/>
    <xf numFmtId="0" fontId="25" fillId="10" borderId="8" xfId="0" applyFont="1" applyFill="1" applyBorder="1"/>
    <xf numFmtId="2" fontId="25" fillId="10" borderId="8" xfId="0" applyNumberFormat="1" applyFont="1" applyFill="1" applyBorder="1"/>
    <xf numFmtId="0" fontId="25" fillId="10" borderId="8" xfId="0" applyFont="1" applyFill="1" applyBorder="1" applyAlignment="1">
      <alignment horizontal="center"/>
    </xf>
    <xf numFmtId="0" fontId="25" fillId="2" borderId="8" xfId="0" applyFont="1" applyFill="1" applyBorder="1" applyAlignment="1">
      <alignment horizontal="center" vertical="center" wrapText="1" shrinkToFit="1"/>
    </xf>
    <xf numFmtId="0" fontId="25" fillId="2" borderId="8" xfId="0" applyFont="1" applyFill="1" applyBorder="1" applyAlignment="1">
      <alignment vertical="center" wrapText="1" shrinkToFit="1"/>
    </xf>
    <xf numFmtId="0" fontId="24" fillId="0" borderId="8" xfId="0" applyFont="1" applyBorder="1"/>
    <xf numFmtId="0" fontId="24" fillId="0" borderId="8" xfId="0" applyFont="1" applyBorder="1" applyAlignment="1">
      <alignment horizontal="center"/>
    </xf>
    <xf numFmtId="2" fontId="24" fillId="0" borderId="8" xfId="0" applyNumberFormat="1" applyFont="1" applyBorder="1"/>
    <xf numFmtId="0" fontId="0" fillId="10" borderId="8" xfId="0" applyFill="1" applyBorder="1"/>
    <xf numFmtId="0" fontId="25" fillId="0" borderId="8" xfId="0" applyFont="1" applyBorder="1" applyAlignment="1">
      <alignment horizontal="left" vertical="center"/>
    </xf>
    <xf numFmtId="0" fontId="25" fillId="0" borderId="8" xfId="0" applyFont="1" applyBorder="1" applyAlignment="1">
      <alignment horizontal="justify" vertical="center" wrapText="1" shrinkToFit="1"/>
    </xf>
    <xf numFmtId="0" fontId="25" fillId="0" borderId="8" xfId="0" applyFont="1" applyBorder="1" applyAlignment="1">
      <alignment vertical="center"/>
    </xf>
    <xf numFmtId="0" fontId="2" fillId="2" borderId="8" xfId="0" applyFont="1" applyFill="1" applyBorder="1" applyAlignment="1">
      <alignment horizontal="justify" vertical="center" wrapText="1" shrinkToFit="1"/>
    </xf>
    <xf numFmtId="2" fontId="0" fillId="0" borderId="8" xfId="0" applyNumberFormat="1" applyBorder="1"/>
    <xf numFmtId="2" fontId="0" fillId="2" borderId="8" xfId="0" applyNumberFormat="1" applyFill="1" applyBorder="1" applyAlignment="1">
      <alignment horizontal="center"/>
    </xf>
    <xf numFmtId="0" fontId="25" fillId="2" borderId="8" xfId="0" applyFont="1" applyFill="1" applyBorder="1" applyAlignment="1">
      <alignment horizontal="center" vertical="center"/>
    </xf>
    <xf numFmtId="164" fontId="27" fillId="2" borderId="31" xfId="1" applyFont="1" applyFill="1" applyBorder="1" applyAlignment="1">
      <alignment horizontal="center" vertical="center" wrapText="1"/>
    </xf>
    <xf numFmtId="164" fontId="27" fillId="2" borderId="31" xfId="1" applyFont="1" applyFill="1" applyBorder="1" applyAlignment="1">
      <alignment horizontal="center" vertical="center"/>
    </xf>
    <xf numFmtId="164" fontId="27" fillId="2" borderId="0" xfId="1" applyFont="1" applyFill="1" applyBorder="1" applyAlignment="1">
      <alignment horizontal="center" vertical="center"/>
    </xf>
    <xf numFmtId="164" fontId="25" fillId="2" borderId="0" xfId="1" applyFont="1" applyFill="1" applyAlignment="1">
      <alignment vertical="center"/>
    </xf>
    <xf numFmtId="164" fontId="25" fillId="2" borderId="0" xfId="1" applyFont="1" applyFill="1" applyAlignment="1">
      <alignment vertical="center" wrapText="1"/>
    </xf>
    <xf numFmtId="165" fontId="26" fillId="2" borderId="39" xfId="1" applyNumberFormat="1" applyFont="1" applyFill="1" applyBorder="1" applyAlignment="1">
      <alignment horizontal="center" vertical="center" wrapText="1"/>
    </xf>
    <xf numFmtId="165" fontId="27" fillId="2" borderId="39" xfId="1" applyNumberFormat="1" applyFont="1" applyFill="1" applyBorder="1" applyAlignment="1">
      <alignment horizontal="center" vertical="center" wrapText="1"/>
    </xf>
    <xf numFmtId="164" fontId="26" fillId="2" borderId="37" xfId="1" applyFont="1" applyFill="1" applyBorder="1" applyAlignment="1">
      <alignment horizontal="center" vertical="center" wrapText="1"/>
    </xf>
    <xf numFmtId="164" fontId="25" fillId="2" borderId="8" xfId="1" applyFont="1" applyFill="1" applyBorder="1" applyAlignment="1">
      <alignment vertical="center" wrapText="1"/>
    </xf>
    <xf numFmtId="165" fontId="27" fillId="2" borderId="8" xfId="1" applyNumberFormat="1" applyFont="1" applyFill="1" applyBorder="1" applyAlignment="1">
      <alignment horizontal="center" vertical="center"/>
    </xf>
    <xf numFmtId="165" fontId="0" fillId="0" borderId="8" xfId="0" applyNumberFormat="1" applyBorder="1"/>
    <xf numFmtId="164" fontId="25" fillId="2" borderId="40" xfId="1" applyFont="1" applyFill="1" applyBorder="1" applyAlignment="1">
      <alignment vertical="center" wrapText="1"/>
    </xf>
    <xf numFmtId="0" fontId="2" fillId="10" borderId="8" xfId="0" applyFont="1" applyFill="1" applyBorder="1"/>
    <xf numFmtId="0" fontId="2" fillId="0" borderId="8" xfId="0" applyFont="1" applyBorder="1"/>
    <xf numFmtId="165" fontId="27" fillId="10" borderId="31" xfId="1" applyNumberFormat="1" applyFont="1" applyFill="1" applyBorder="1" applyAlignment="1">
      <alignment horizontal="center" vertical="center"/>
    </xf>
    <xf numFmtId="165" fontId="25" fillId="2" borderId="8" xfId="1" applyNumberFormat="1" applyFont="1" applyFill="1" applyBorder="1" applyAlignment="1">
      <alignment vertical="center" wrapText="1"/>
    </xf>
    <xf numFmtId="0" fontId="24" fillId="2" borderId="8"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8" fillId="2" borderId="8" xfId="0" applyFont="1" applyFill="1" applyBorder="1" applyAlignment="1">
      <alignment horizontal="center" vertical="center" wrapText="1"/>
    </xf>
    <xf numFmtId="0" fontId="24" fillId="2" borderId="8" xfId="0" applyFont="1" applyFill="1" applyBorder="1" applyAlignment="1">
      <alignment horizontal="center" vertical="center" wrapText="1" shrinkToFit="1"/>
    </xf>
    <xf numFmtId="165" fontId="24" fillId="2" borderId="8" xfId="1" applyNumberFormat="1" applyFont="1" applyFill="1" applyBorder="1" applyAlignment="1">
      <alignment horizontal="center" vertical="center" wrapText="1"/>
    </xf>
    <xf numFmtId="165" fontId="24" fillId="2" borderId="8" xfId="1" applyNumberFormat="1" applyFont="1" applyFill="1" applyBorder="1" applyAlignment="1">
      <alignment horizontal="left" vertical="center" wrapText="1"/>
    </xf>
    <xf numFmtId="0" fontId="32" fillId="2" borderId="8" xfId="0" applyFont="1" applyFill="1" applyBorder="1" applyAlignment="1">
      <alignment vertical="center" wrapText="1"/>
    </xf>
    <xf numFmtId="2" fontId="24" fillId="2" borderId="8" xfId="0" applyNumberFormat="1" applyFont="1" applyFill="1" applyBorder="1" applyAlignment="1">
      <alignment horizontal="center" vertical="center" wrapText="1"/>
    </xf>
    <xf numFmtId="0" fontId="26" fillId="2" borderId="8" xfId="5" applyFont="1" applyFill="1" applyBorder="1" applyAlignment="1">
      <alignment horizontal="center" vertical="center" wrapText="1"/>
    </xf>
    <xf numFmtId="0" fontId="27" fillId="2" borderId="8" xfId="13" applyFont="1" applyFill="1" applyBorder="1" applyAlignment="1">
      <alignment horizontal="justify" vertical="center" wrapText="1"/>
    </xf>
    <xf numFmtId="0" fontId="27" fillId="2" borderId="8" xfId="5" applyFont="1" applyFill="1" applyBorder="1" applyAlignment="1">
      <alignment horizontal="center" vertical="center" wrapText="1"/>
    </xf>
    <xf numFmtId="165" fontId="27" fillId="2" borderId="8" xfId="1" applyNumberFormat="1" applyFont="1" applyFill="1" applyBorder="1" applyAlignment="1">
      <alignment horizontal="center" vertical="center" wrapText="1"/>
    </xf>
    <xf numFmtId="165" fontId="32" fillId="2" borderId="8" xfId="1" applyNumberFormat="1" applyFont="1" applyFill="1" applyBorder="1" applyAlignment="1">
      <alignment vertical="center" wrapText="1"/>
    </xf>
    <xf numFmtId="0" fontId="24" fillId="2" borderId="8" xfId="0" applyFont="1" applyFill="1" applyBorder="1" applyAlignment="1">
      <alignment vertical="center" wrapText="1"/>
    </xf>
    <xf numFmtId="0" fontId="24" fillId="2" borderId="8" xfId="0" applyFont="1" applyFill="1" applyBorder="1" applyAlignment="1">
      <alignment vertical="center" wrapText="1" shrinkToFit="1"/>
    </xf>
    <xf numFmtId="165" fontId="27" fillId="2" borderId="8" xfId="1" applyNumberFormat="1" applyFont="1" applyFill="1" applyBorder="1" applyAlignment="1">
      <alignment horizontal="center" vertical="top" wrapText="1"/>
    </xf>
    <xf numFmtId="0" fontId="27" fillId="2" borderId="8" xfId="0" applyFont="1" applyFill="1" applyBorder="1" applyAlignment="1">
      <alignment horizontal="left" vertical="center" wrapText="1"/>
    </xf>
    <xf numFmtId="165" fontId="25" fillId="2" borderId="32" xfId="1" applyNumberFormat="1" applyFont="1" applyFill="1" applyBorder="1" applyAlignment="1">
      <alignment vertical="center" wrapText="1"/>
    </xf>
    <xf numFmtId="165" fontId="25" fillId="2" borderId="34" xfId="1" applyNumberFormat="1" applyFont="1" applyFill="1" applyBorder="1" applyAlignment="1">
      <alignment vertical="center" wrapText="1"/>
    </xf>
    <xf numFmtId="165" fontId="27" fillId="2" borderId="37" xfId="1" applyNumberFormat="1" applyFont="1" applyFill="1" applyBorder="1" applyAlignment="1">
      <alignment horizontal="center" vertical="center" wrapText="1"/>
    </xf>
    <xf numFmtId="0" fontId="27" fillId="2" borderId="0" xfId="0" applyFont="1" applyFill="1" applyAlignment="1">
      <alignment vertical="center" wrapText="1"/>
    </xf>
    <xf numFmtId="0" fontId="26" fillId="2" borderId="8" xfId="0" applyFont="1" applyFill="1" applyBorder="1" applyAlignment="1">
      <alignment vertical="center" wrapText="1"/>
    </xf>
    <xf numFmtId="0" fontId="27" fillId="2" borderId="8" xfId="0" applyFont="1" applyFill="1" applyBorder="1" applyAlignment="1">
      <alignment vertical="center" wrapText="1"/>
    </xf>
    <xf numFmtId="0" fontId="19" fillId="0" borderId="8" xfId="0" applyFont="1" applyBorder="1" applyAlignment="1">
      <alignment horizontal="left" vertical="top" wrapText="1"/>
    </xf>
    <xf numFmtId="0" fontId="2" fillId="0" borderId="8" xfId="0" applyFont="1" applyBorder="1" applyAlignment="1">
      <alignment horizontal="right"/>
    </xf>
    <xf numFmtId="0" fontId="0" fillId="0" borderId="8" xfId="0" applyBorder="1" applyAlignment="1">
      <alignment vertical="center"/>
    </xf>
    <xf numFmtId="0" fontId="0" fillId="0" borderId="41" xfId="0" applyBorder="1"/>
    <xf numFmtId="0" fontId="0" fillId="0" borderId="42" xfId="0" applyBorder="1" applyAlignment="1">
      <alignment horizontal="center"/>
    </xf>
    <xf numFmtId="0" fontId="0" fillId="0" borderId="42" xfId="0" applyBorder="1" applyAlignment="1">
      <alignment horizontal="center" vertical="center"/>
    </xf>
    <xf numFmtId="0" fontId="0" fillId="0" borderId="43" xfId="0" applyBorder="1"/>
    <xf numFmtId="165" fontId="25" fillId="2" borderId="8" xfId="1" applyNumberFormat="1" applyFont="1" applyFill="1" applyBorder="1"/>
    <xf numFmtId="165" fontId="24" fillId="2" borderId="8" xfId="1" applyNumberFormat="1" applyFont="1" applyFill="1" applyBorder="1"/>
    <xf numFmtId="164" fontId="25" fillId="2" borderId="8" xfId="1" applyFont="1" applyFill="1" applyBorder="1"/>
    <xf numFmtId="0" fontId="2" fillId="2" borderId="8" xfId="0" applyFont="1" applyFill="1" applyBorder="1"/>
    <xf numFmtId="0" fontId="2" fillId="2" borderId="8" xfId="0" applyFont="1" applyFill="1" applyBorder="1" applyAlignment="1">
      <alignment horizontal="center"/>
    </xf>
    <xf numFmtId="0" fontId="45" fillId="0" borderId="8" xfId="0" applyFont="1" applyBorder="1"/>
    <xf numFmtId="0" fontId="25" fillId="2" borderId="8" xfId="0" applyFont="1" applyFill="1" applyBorder="1" applyAlignment="1">
      <alignment horizontal="left" vertical="center"/>
    </xf>
    <xf numFmtId="0" fontId="24" fillId="2" borderId="37" xfId="0" applyFont="1" applyFill="1" applyBorder="1" applyAlignment="1">
      <alignment vertical="center" wrapText="1"/>
    </xf>
    <xf numFmtId="0" fontId="24" fillId="2" borderId="37" xfId="0" applyFont="1" applyFill="1" applyBorder="1" applyAlignment="1">
      <alignment horizontal="center" vertical="center" wrapText="1"/>
    </xf>
    <xf numFmtId="0" fontId="24" fillId="2" borderId="37" xfId="0" applyFont="1" applyFill="1" applyBorder="1" applyAlignment="1">
      <alignment vertical="center"/>
    </xf>
    <xf numFmtId="165" fontId="24" fillId="2" borderId="37" xfId="1" applyNumberFormat="1" applyFont="1" applyFill="1" applyBorder="1" applyAlignment="1">
      <alignment vertical="center"/>
    </xf>
    <xf numFmtId="164" fontId="25" fillId="2" borderId="37" xfId="1" applyFont="1" applyFill="1" applyBorder="1" applyAlignment="1">
      <alignment vertical="center"/>
    </xf>
    <xf numFmtId="165" fontId="24" fillId="2" borderId="37" xfId="1" applyNumberFormat="1" applyFont="1" applyFill="1" applyBorder="1" applyAlignment="1">
      <alignment vertical="center" wrapText="1"/>
    </xf>
    <xf numFmtId="165" fontId="24" fillId="2" borderId="32" xfId="1" applyNumberFormat="1" applyFont="1" applyFill="1" applyBorder="1" applyAlignment="1">
      <alignment vertical="center" wrapText="1"/>
    </xf>
    <xf numFmtId="164" fontId="24" fillId="2" borderId="40" xfId="1" applyFont="1" applyFill="1" applyBorder="1" applyAlignment="1">
      <alignment vertical="center" wrapText="1"/>
    </xf>
    <xf numFmtId="165" fontId="25" fillId="2" borderId="8" xfId="1" applyNumberFormat="1" applyFont="1" applyFill="1" applyBorder="1" applyAlignment="1">
      <alignment vertical="center"/>
    </xf>
    <xf numFmtId="164" fontId="25" fillId="2" borderId="8" xfId="1" applyFont="1" applyFill="1" applyBorder="1" applyAlignment="1">
      <alignment vertical="center"/>
    </xf>
    <xf numFmtId="0" fontId="25" fillId="2" borderId="8" xfId="0" applyFont="1" applyFill="1" applyBorder="1" applyAlignment="1">
      <alignment horizontal="center"/>
    </xf>
    <xf numFmtId="165" fontId="24" fillId="2" borderId="32" xfId="1" applyNumberFormat="1" applyFont="1" applyFill="1" applyBorder="1" applyAlignment="1">
      <alignment horizontal="center" vertical="center" wrapText="1"/>
    </xf>
    <xf numFmtId="165" fontId="24" fillId="2" borderId="33" xfId="1" applyNumberFormat="1" applyFont="1" applyFill="1" applyBorder="1" applyAlignment="1">
      <alignment horizontal="center" vertical="center" wrapText="1"/>
    </xf>
    <xf numFmtId="165" fontId="24" fillId="2" borderId="34" xfId="1" applyNumberFormat="1" applyFont="1" applyFill="1" applyBorder="1" applyAlignment="1">
      <alignment horizontal="center" vertical="center" wrapText="1"/>
    </xf>
    <xf numFmtId="165" fontId="24" fillId="2" borderId="35" xfId="1" applyNumberFormat="1" applyFont="1" applyFill="1" applyBorder="1" applyAlignment="1">
      <alignment horizontal="center" vertical="center" wrapText="1"/>
    </xf>
    <xf numFmtId="165" fontId="24" fillId="2" borderId="37" xfId="1" applyNumberFormat="1" applyFont="1" applyFill="1" applyBorder="1" applyAlignment="1">
      <alignment horizontal="center" vertical="center" wrapText="1"/>
    </xf>
    <xf numFmtId="165" fontId="24" fillId="2" borderId="38" xfId="1" applyNumberFormat="1" applyFont="1" applyFill="1" applyBorder="1" applyAlignment="1">
      <alignment horizontal="center" vertical="center" wrapText="1"/>
    </xf>
    <xf numFmtId="164" fontId="25" fillId="2" borderId="37" xfId="1" applyFont="1" applyFill="1" applyBorder="1" applyAlignment="1">
      <alignment horizontal="center" vertical="center" wrapText="1"/>
    </xf>
    <xf numFmtId="164" fontId="25" fillId="2" borderId="38" xfId="1" applyFont="1" applyFill="1" applyBorder="1" applyAlignment="1">
      <alignment horizontal="center" vertical="center" wrapText="1"/>
    </xf>
    <xf numFmtId="164" fontId="24" fillId="2" borderId="36" xfId="1" applyFont="1" applyFill="1" applyBorder="1" applyAlignment="1">
      <alignment horizontal="center" vertical="center" wrapText="1"/>
    </xf>
    <xf numFmtId="164" fontId="24" fillId="2" borderId="34" xfId="1" applyFont="1" applyFill="1" applyBorder="1" applyAlignment="1">
      <alignment horizontal="center" vertical="center" wrapText="1"/>
    </xf>
    <xf numFmtId="0" fontId="2" fillId="2" borderId="8" xfId="0" applyFont="1" applyFill="1" applyBorder="1" applyAlignment="1">
      <alignment horizontal="left" vertical="center" wrapText="1"/>
    </xf>
    <xf numFmtId="2" fontId="43" fillId="0" borderId="8" xfId="0" applyNumberFormat="1" applyFont="1" applyBorder="1" applyAlignment="1">
      <alignment horizontal="center"/>
    </xf>
    <xf numFmtId="0" fontId="2" fillId="0" borderId="8" xfId="0" applyFont="1" applyBorder="1" applyAlignment="1">
      <alignment horizontal="left"/>
    </xf>
    <xf numFmtId="0" fontId="24" fillId="2" borderId="31" xfId="0" applyFont="1" applyFill="1" applyBorder="1" applyAlignment="1">
      <alignment horizontal="center" vertical="center" wrapText="1"/>
    </xf>
    <xf numFmtId="165" fontId="25" fillId="2" borderId="32" xfId="1" applyNumberFormat="1" applyFont="1" applyFill="1" applyBorder="1" applyAlignment="1">
      <alignment horizontal="center" vertical="center" wrapText="1"/>
    </xf>
    <xf numFmtId="165" fontId="25" fillId="2" borderId="33" xfId="1" applyNumberFormat="1" applyFont="1" applyFill="1" applyBorder="1" applyAlignment="1">
      <alignment horizontal="center" vertical="center" wrapText="1"/>
    </xf>
    <xf numFmtId="165" fontId="25" fillId="2" borderId="34" xfId="1" applyNumberFormat="1" applyFont="1" applyFill="1" applyBorder="1" applyAlignment="1">
      <alignment horizontal="center" vertical="center" wrapText="1"/>
    </xf>
    <xf numFmtId="165" fontId="25" fillId="2" borderId="35" xfId="1" applyNumberFormat="1" applyFont="1" applyFill="1" applyBorder="1" applyAlignment="1">
      <alignment horizontal="center" vertical="center" wrapText="1"/>
    </xf>
    <xf numFmtId="0" fontId="24" fillId="2" borderId="8" xfId="0" applyFont="1" applyFill="1" applyBorder="1" applyAlignment="1">
      <alignment horizontal="center" vertical="center" wrapText="1"/>
    </xf>
    <xf numFmtId="0" fontId="2" fillId="0" borderId="8" xfId="0" applyFont="1" applyBorder="1" applyAlignment="1">
      <alignment horizontal="center"/>
    </xf>
    <xf numFmtId="0" fontId="2" fillId="0" borderId="41" xfId="0" applyFont="1" applyBorder="1" applyAlignment="1">
      <alignment horizontal="right"/>
    </xf>
    <xf numFmtId="0" fontId="2" fillId="0" borderId="42" xfId="0" applyFont="1" applyBorder="1" applyAlignment="1">
      <alignment horizontal="right"/>
    </xf>
    <xf numFmtId="0" fontId="2" fillId="0" borderId="43" xfId="0" applyFont="1" applyBorder="1" applyAlignment="1">
      <alignment horizontal="right"/>
    </xf>
    <xf numFmtId="0" fontId="0" fillId="0" borderId="8" xfId="0" applyBorder="1" applyAlignment="1">
      <alignment horizontal="center"/>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8" xfId="0" applyFont="1" applyFill="1" applyBorder="1" applyAlignment="1">
      <alignment horizontal="left"/>
    </xf>
    <xf numFmtId="0" fontId="2" fillId="4" borderId="19" xfId="0" applyFont="1" applyFill="1" applyBorder="1" applyAlignment="1">
      <alignment horizontal="left"/>
    </xf>
    <xf numFmtId="0" fontId="2" fillId="4" borderId="18" xfId="0" applyFont="1" applyFill="1" applyBorder="1" applyAlignment="1">
      <alignment horizontal="left" wrapText="1"/>
    </xf>
    <xf numFmtId="0" fontId="2" fillId="4" borderId="19" xfId="0" applyFont="1" applyFill="1" applyBorder="1" applyAlignment="1">
      <alignment horizontal="left" wrapText="1"/>
    </xf>
    <xf numFmtId="0" fontId="2" fillId="4" borderId="21"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4" fillId="4" borderId="2"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8" fillId="0" borderId="1" xfId="0" applyFont="1" applyBorder="1" applyAlignment="1">
      <alignment horizontal="center" vertical="top" wrapText="1"/>
    </xf>
    <xf numFmtId="0" fontId="18" fillId="0" borderId="29" xfId="0" applyFont="1" applyBorder="1" applyAlignment="1">
      <alignment horizontal="center" vertical="top" wrapText="1"/>
    </xf>
    <xf numFmtId="0" fontId="18" fillId="0" borderId="30" xfId="0" applyFont="1" applyBorder="1" applyAlignment="1">
      <alignment horizontal="center" vertical="top" wrapText="1"/>
    </xf>
    <xf numFmtId="0" fontId="20" fillId="0" borderId="8" xfId="0" applyFont="1" applyBorder="1" applyAlignment="1">
      <alignment horizontal="justify" vertical="center" wrapText="1"/>
    </xf>
    <xf numFmtId="0" fontId="14" fillId="8" borderId="8" xfId="5" applyFont="1" applyFill="1" applyBorder="1" applyAlignment="1">
      <alignment horizontal="center" vertical="center"/>
    </xf>
    <xf numFmtId="0" fontId="2" fillId="0" borderId="8" xfId="0" applyFont="1" applyBorder="1" applyAlignment="1">
      <alignment horizontal="center" vertical="center" wrapText="1"/>
    </xf>
    <xf numFmtId="164" fontId="24" fillId="2" borderId="8" xfId="1" applyFont="1" applyFill="1" applyBorder="1" applyAlignment="1">
      <alignment vertical="center"/>
    </xf>
    <xf numFmtId="0" fontId="2" fillId="2" borderId="8" xfId="0" applyFont="1" applyFill="1" applyBorder="1" applyAlignment="1">
      <alignment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right" vertical="center" wrapText="1"/>
    </xf>
    <xf numFmtId="165" fontId="2" fillId="2" borderId="8" xfId="1" applyNumberFormat="1" applyFont="1" applyFill="1" applyBorder="1" applyAlignment="1">
      <alignment vertical="center"/>
    </xf>
    <xf numFmtId="164" fontId="2" fillId="2" borderId="8" xfId="1" applyFont="1" applyFill="1" applyBorder="1" applyAlignment="1">
      <alignment vertical="center"/>
    </xf>
    <xf numFmtId="165" fontId="2" fillId="2" borderId="8" xfId="1" applyNumberFormat="1" applyFont="1" applyFill="1" applyBorder="1" applyAlignment="1">
      <alignment vertical="center" wrapText="1"/>
    </xf>
    <xf numFmtId="164" fontId="2" fillId="2" borderId="8" xfId="1" applyFont="1" applyFill="1" applyBorder="1" applyAlignment="1">
      <alignment vertical="center" wrapText="1"/>
    </xf>
    <xf numFmtId="0" fontId="0" fillId="2" borderId="8" xfId="0" applyFont="1" applyFill="1" applyBorder="1"/>
    <xf numFmtId="0" fontId="0" fillId="2" borderId="8" xfId="0" applyFill="1" applyBorder="1" applyAlignment="1">
      <alignment horizontal="center" vertical="center" wrapText="1"/>
    </xf>
  </cellXfs>
  <cellStyles count="16">
    <cellStyle name="Comma" xfId="1" builtinId="3"/>
    <cellStyle name="Comma 12 3" xfId="6" xr:uid="{00000000-0005-0000-0000-000001000000}"/>
    <cellStyle name="Comma 12 3 2" xfId="15" xr:uid="{00000000-0005-0000-0000-000002000000}"/>
    <cellStyle name="Comma 2" xfId="3" xr:uid="{00000000-0005-0000-0000-000003000000}"/>
    <cellStyle name="Comma 3" xfId="14" xr:uid="{00000000-0005-0000-0000-000004000000}"/>
    <cellStyle name="Comma 6" xfId="2" xr:uid="{00000000-0005-0000-0000-000005000000}"/>
    <cellStyle name="Comma 6 2" xfId="9" xr:uid="{00000000-0005-0000-0000-000006000000}"/>
    <cellStyle name="Excel Built-in Normal 2" xfId="11" xr:uid="{00000000-0005-0000-0000-000007000000}"/>
    <cellStyle name="Normal" xfId="0" builtinId="0"/>
    <cellStyle name="Normal - Style1" xfId="5" xr:uid="{00000000-0005-0000-0000-000009000000}"/>
    <cellStyle name="Normal 10 3 2 2" xfId="10" xr:uid="{00000000-0005-0000-0000-00000A000000}"/>
    <cellStyle name="Normal 2 2" xfId="12" xr:uid="{00000000-0005-0000-0000-00000B000000}"/>
    <cellStyle name="Normal 2 3" xfId="8" xr:uid="{00000000-0005-0000-0000-00000C000000}"/>
    <cellStyle name="Normal 3 3" xfId="4" xr:uid="{00000000-0005-0000-0000-00000D000000}"/>
    <cellStyle name="Normal 5" xfId="13" xr:uid="{00000000-0005-0000-0000-00000E000000}"/>
    <cellStyle name="Normal 5 2" xfId="7" xr:uid="{00000000-0005-0000-0000-00000F000000}"/>
  </cellStyles>
  <dxfs count="3">
    <dxf>
      <fill>
        <patternFill>
          <bgColor theme="8" tint="0.59996337778862885"/>
        </patternFill>
      </fill>
    </dxf>
    <dxf>
      <fill>
        <patternFill>
          <bgColor theme="8" tint="0.59996337778862885"/>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emf"/><Relationship Id="rId21" Type="http://schemas.openxmlformats.org/officeDocument/2006/relationships/image" Target="../media/image45.png"/><Relationship Id="rId7" Type="http://schemas.openxmlformats.org/officeDocument/2006/relationships/image" Target="../media/image31.emf"/><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emf"/><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emf"/><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emf"/><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emf"/><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JP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1798320</xdr:colOff>
      <xdr:row>38</xdr:row>
      <xdr:rowOff>73660</xdr:rowOff>
    </xdr:from>
    <xdr:to>
      <xdr:col>5</xdr:col>
      <xdr:colOff>2463165</xdr:colOff>
      <xdr:row>38</xdr:row>
      <xdr:rowOff>477520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2463165</xdr:colOff>
      <xdr:row>37</xdr:row>
      <xdr:rowOff>549486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593080" y="1685544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73477" y="1658620"/>
          <a:ext cx="375920" cy="37592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720" y="237236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2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658383</xdr:colOff>
      <xdr:row>33</xdr:row>
      <xdr:rowOff>45720</xdr:rowOff>
    </xdr:from>
    <xdr:to>
      <xdr:col>7</xdr:col>
      <xdr:colOff>1482887</xdr:colOff>
      <xdr:row>33</xdr:row>
      <xdr:rowOff>1013460</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44243" y="1192530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2</xdr:row>
      <xdr:rowOff>106681</xdr:rowOff>
    </xdr:from>
    <xdr:ext cx="708660" cy="673704"/>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3</xdr:row>
      <xdr:rowOff>45720</xdr:rowOff>
    </xdr:from>
    <xdr:ext cx="952500" cy="842450"/>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4</xdr:row>
      <xdr:rowOff>107361</xdr:rowOff>
    </xdr:from>
    <xdr:ext cx="922020" cy="898479"/>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5</xdr:row>
      <xdr:rowOff>53341</xdr:rowOff>
    </xdr:from>
    <xdr:ext cx="1105378" cy="937260"/>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6</xdr:row>
      <xdr:rowOff>60960</xdr:rowOff>
    </xdr:from>
    <xdr:ext cx="982980" cy="927405"/>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7</xdr:row>
      <xdr:rowOff>22861</xdr:rowOff>
    </xdr:from>
    <xdr:ext cx="1234440" cy="1005607"/>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8</xdr:row>
      <xdr:rowOff>22860</xdr:rowOff>
    </xdr:from>
    <xdr:ext cx="677813" cy="815340"/>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7</xdr:row>
      <xdr:rowOff>7620</xdr:rowOff>
    </xdr:from>
    <xdr:ext cx="1413855" cy="1097280"/>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461236</xdr:colOff>
      <xdr:row>7</xdr:row>
      <xdr:rowOff>69029</xdr:rowOff>
    </xdr:from>
    <xdr:ext cx="1461707" cy="1242059"/>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6646883" y="7455947"/>
          <a:ext cx="1461707" cy="1242059"/>
        </a:xfrm>
        <a:prstGeom prst="rect">
          <a:avLst/>
        </a:prstGeom>
      </xdr:spPr>
    </xdr:pic>
    <xdr:clientData/>
  </xdr:oneCellAnchor>
  <xdr:oneCellAnchor>
    <xdr:from>
      <xdr:col>2</xdr:col>
      <xdr:colOff>1120140</xdr:colOff>
      <xdr:row>6</xdr:row>
      <xdr:rowOff>68580</xdr:rowOff>
    </xdr:from>
    <xdr:ext cx="980875" cy="914400"/>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6</xdr:row>
      <xdr:rowOff>68580</xdr:rowOff>
    </xdr:from>
    <xdr:ext cx="1691640" cy="947798"/>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6</xdr:row>
      <xdr:rowOff>15241</xdr:rowOff>
    </xdr:from>
    <xdr:ext cx="1348740" cy="96866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2</xdr:row>
      <xdr:rowOff>15241</xdr:rowOff>
    </xdr:from>
    <xdr:ext cx="830580" cy="769806"/>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2</xdr:row>
      <xdr:rowOff>38100</xdr:rowOff>
    </xdr:from>
    <xdr:ext cx="1005839" cy="878839"/>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3</xdr:row>
      <xdr:rowOff>38689</xdr:rowOff>
    </xdr:from>
    <xdr:ext cx="746872" cy="850312"/>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3</xdr:row>
      <xdr:rowOff>15241</xdr:rowOff>
    </xdr:from>
    <xdr:ext cx="1150620" cy="809622"/>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4</xdr:row>
      <xdr:rowOff>45721</xdr:rowOff>
    </xdr:from>
    <xdr:ext cx="706089" cy="883919"/>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4</xdr:row>
      <xdr:rowOff>61584</xdr:rowOff>
    </xdr:from>
    <xdr:ext cx="595888" cy="773988"/>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5</xdr:row>
      <xdr:rowOff>190500</xdr:rowOff>
    </xdr:from>
    <xdr:ext cx="913659" cy="883920"/>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8</xdr:row>
      <xdr:rowOff>38100</xdr:rowOff>
    </xdr:from>
    <xdr:ext cx="533400" cy="747039"/>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8</xdr:row>
      <xdr:rowOff>15240</xdr:rowOff>
    </xdr:from>
    <xdr:ext cx="610028" cy="769620"/>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5</xdr:row>
      <xdr:rowOff>44824</xdr:rowOff>
    </xdr:from>
    <xdr:to>
      <xdr:col>3</xdr:col>
      <xdr:colOff>1093694</xdr:colOff>
      <xdr:row>5</xdr:row>
      <xdr:rowOff>1019082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P\Downloads\Karnal%20Haveli%20BOQ%20with%20Final%20Measurement.xlsx" TargetMode="External"/><Relationship Id="rId1" Type="http://schemas.openxmlformats.org/officeDocument/2006/relationships/externalLinkPath" Target="/Users/HP/Downloads/Karnal%20Haveli%20BOQ%20with%20Final%20Measur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s Value "/>
      <sheetName val="Low Side BOQ "/>
      <sheetName val="Hi Side BOQ "/>
      <sheetName val="Fresh Air"/>
      <sheetName val="Exhuast"/>
      <sheetName val="Exhuast Starting"/>
      <sheetName val="Dismantle Duct"/>
      <sheetName val="Cable Tray"/>
      <sheetName val="Summary"/>
      <sheetName val="Grill Or VCD"/>
    </sheetNames>
    <sheetDataSet>
      <sheetData sheetId="0"/>
      <sheetData sheetId="1"/>
      <sheetData sheetId="2"/>
      <sheetData sheetId="3"/>
      <sheetData sheetId="4"/>
      <sheetData sheetId="5"/>
      <sheetData sheetId="6"/>
      <sheetData sheetId="7">
        <row r="16">
          <cell r="D16">
            <v>70.5</v>
          </cell>
        </row>
      </sheetData>
      <sheetData sheetId="8"/>
      <sheetData sheetId="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7"/>
  <sheetViews>
    <sheetView tabSelected="1" zoomScale="120" zoomScaleNormal="120" workbookViewId="0">
      <selection activeCell="H9" sqref="H9"/>
    </sheetView>
  </sheetViews>
  <sheetFormatPr defaultColWidth="9.1796875" defaultRowHeight="12"/>
  <cols>
    <col min="1" max="1" width="9.1796875" style="158"/>
    <col min="2" max="2" width="15.90625" style="158" bestFit="1" customWidth="1"/>
    <col min="3" max="3" width="11.54296875" style="159" customWidth="1"/>
    <col min="4" max="4" width="10.1796875" style="158" bestFit="1" customWidth="1"/>
    <col min="5" max="16384" width="9.1796875" style="158"/>
  </cols>
  <sheetData>
    <row r="1" spans="1:4">
      <c r="A1" s="264" t="s">
        <v>0</v>
      </c>
      <c r="B1" s="264"/>
      <c r="C1" s="264"/>
      <c r="D1" s="184"/>
    </row>
    <row r="2" spans="1:4">
      <c r="A2" s="184" t="s">
        <v>1</v>
      </c>
      <c r="B2" s="184" t="s">
        <v>2</v>
      </c>
      <c r="C2" s="247"/>
      <c r="D2" s="184"/>
    </row>
    <row r="3" spans="1:4">
      <c r="A3" s="184">
        <v>1</v>
      </c>
      <c r="B3" s="184" t="s">
        <v>3</v>
      </c>
      <c r="C3" s="247">
        <f>'Civil &amp; Interior'!J572</f>
        <v>2154775.0620999997</v>
      </c>
      <c r="D3" s="249">
        <f>'Civil &amp; Interior'!K572</f>
        <v>1979824.9930825364</v>
      </c>
    </row>
    <row r="4" spans="1:4">
      <c r="A4" s="184"/>
      <c r="B4" s="184" t="s">
        <v>1518</v>
      </c>
      <c r="C4" s="247"/>
      <c r="D4" s="249">
        <f>'Civil &amp; Interior'!K583</f>
        <v>110987.5</v>
      </c>
    </row>
    <row r="5" spans="1:4">
      <c r="A5" s="184">
        <v>2</v>
      </c>
      <c r="B5" s="184" t="s">
        <v>4</v>
      </c>
      <c r="C5" s="247">
        <f>'Fire Fighting'!J75</f>
        <v>45300</v>
      </c>
      <c r="D5" s="249">
        <f>'Fire Fighting'!K75</f>
        <v>51795</v>
      </c>
    </row>
    <row r="6" spans="1:4">
      <c r="A6" s="184">
        <v>3</v>
      </c>
      <c r="B6" s="184" t="s">
        <v>1517</v>
      </c>
      <c r="C6" s="247"/>
      <c r="D6" s="249">
        <f>'HVAC extra'!F13</f>
        <v>190279.12</v>
      </c>
    </row>
    <row r="7" spans="1:4">
      <c r="A7" s="264" t="s">
        <v>5</v>
      </c>
      <c r="B7" s="264"/>
      <c r="C7" s="248">
        <f>SUM(C3:C5)</f>
        <v>2200075.0620999997</v>
      </c>
      <c r="D7" s="249">
        <f>SUM(D3:D6)</f>
        <v>2332886.6130825365</v>
      </c>
    </row>
  </sheetData>
  <mergeCells count="2">
    <mergeCell ref="A7:B7"/>
    <mergeCell ref="A1:C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101"/>
  <sheetViews>
    <sheetView topLeftCell="A67" workbookViewId="0">
      <selection activeCell="C79" sqref="C79"/>
    </sheetView>
  </sheetViews>
  <sheetFormatPr defaultColWidth="31.26953125" defaultRowHeight="15.5"/>
  <cols>
    <col min="1" max="1" width="14" style="73" customWidth="1"/>
    <col min="2" max="2" width="37.81640625" style="73" customWidth="1"/>
    <col min="3" max="3" width="49.7265625" style="73" customWidth="1"/>
    <col min="4" max="256" width="31.26953125" style="73"/>
    <col min="257" max="257" width="14" style="73" customWidth="1"/>
    <col min="258" max="258" width="37.81640625" style="73" customWidth="1"/>
    <col min="259" max="259" width="49.7265625" style="73" customWidth="1"/>
    <col min="260" max="512" width="31.26953125" style="73"/>
    <col min="513" max="513" width="14" style="73" customWidth="1"/>
    <col min="514" max="514" width="37.81640625" style="73" customWidth="1"/>
    <col min="515" max="515" width="49.7265625" style="73" customWidth="1"/>
    <col min="516" max="768" width="31.26953125" style="73"/>
    <col min="769" max="769" width="14" style="73" customWidth="1"/>
    <col min="770" max="770" width="37.81640625" style="73" customWidth="1"/>
    <col min="771" max="771" width="49.7265625" style="73" customWidth="1"/>
    <col min="772" max="1024" width="31.26953125" style="73"/>
    <col min="1025" max="1025" width="14" style="73" customWidth="1"/>
    <col min="1026" max="1026" width="37.81640625" style="73" customWidth="1"/>
    <col min="1027" max="1027" width="49.7265625" style="73" customWidth="1"/>
    <col min="1028" max="1280" width="31.26953125" style="73"/>
    <col min="1281" max="1281" width="14" style="73" customWidth="1"/>
    <col min="1282" max="1282" width="37.81640625" style="73" customWidth="1"/>
    <col min="1283" max="1283" width="49.7265625" style="73" customWidth="1"/>
    <col min="1284" max="1536" width="31.26953125" style="73"/>
    <col min="1537" max="1537" width="14" style="73" customWidth="1"/>
    <col min="1538" max="1538" width="37.81640625" style="73" customWidth="1"/>
    <col min="1539" max="1539" width="49.7265625" style="73" customWidth="1"/>
    <col min="1540" max="1792" width="31.26953125" style="73"/>
    <col min="1793" max="1793" width="14" style="73" customWidth="1"/>
    <col min="1794" max="1794" width="37.81640625" style="73" customWidth="1"/>
    <col min="1795" max="1795" width="49.7265625" style="73" customWidth="1"/>
    <col min="1796" max="2048" width="31.26953125" style="73"/>
    <col min="2049" max="2049" width="14" style="73" customWidth="1"/>
    <col min="2050" max="2050" width="37.81640625" style="73" customWidth="1"/>
    <col min="2051" max="2051" width="49.7265625" style="73" customWidth="1"/>
    <col min="2052" max="2304" width="31.26953125" style="73"/>
    <col min="2305" max="2305" width="14" style="73" customWidth="1"/>
    <col min="2306" max="2306" width="37.81640625" style="73" customWidth="1"/>
    <col min="2307" max="2307" width="49.7265625" style="73" customWidth="1"/>
    <col min="2308" max="2560" width="31.26953125" style="73"/>
    <col min="2561" max="2561" width="14" style="73" customWidth="1"/>
    <col min="2562" max="2562" width="37.81640625" style="73" customWidth="1"/>
    <col min="2563" max="2563" width="49.7265625" style="73" customWidth="1"/>
    <col min="2564" max="2816" width="31.26953125" style="73"/>
    <col min="2817" max="2817" width="14" style="73" customWidth="1"/>
    <col min="2818" max="2818" width="37.81640625" style="73" customWidth="1"/>
    <col min="2819" max="2819" width="49.7265625" style="73" customWidth="1"/>
    <col min="2820" max="3072" width="31.26953125" style="73"/>
    <col min="3073" max="3073" width="14" style="73" customWidth="1"/>
    <col min="3074" max="3074" width="37.81640625" style="73" customWidth="1"/>
    <col min="3075" max="3075" width="49.7265625" style="73" customWidth="1"/>
    <col min="3076" max="3328" width="31.26953125" style="73"/>
    <col min="3329" max="3329" width="14" style="73" customWidth="1"/>
    <col min="3330" max="3330" width="37.81640625" style="73" customWidth="1"/>
    <col min="3331" max="3331" width="49.7265625" style="73" customWidth="1"/>
    <col min="3332" max="3584" width="31.26953125" style="73"/>
    <col min="3585" max="3585" width="14" style="73" customWidth="1"/>
    <col min="3586" max="3586" width="37.81640625" style="73" customWidth="1"/>
    <col min="3587" max="3587" width="49.7265625" style="73" customWidth="1"/>
    <col min="3588" max="3840" width="31.26953125" style="73"/>
    <col min="3841" max="3841" width="14" style="73" customWidth="1"/>
    <col min="3842" max="3842" width="37.81640625" style="73" customWidth="1"/>
    <col min="3843" max="3843" width="49.7265625" style="73" customWidth="1"/>
    <col min="3844" max="4096" width="31.26953125" style="73"/>
    <col min="4097" max="4097" width="14" style="73" customWidth="1"/>
    <col min="4098" max="4098" width="37.81640625" style="73" customWidth="1"/>
    <col min="4099" max="4099" width="49.7265625" style="73" customWidth="1"/>
    <col min="4100" max="4352" width="31.26953125" style="73"/>
    <col min="4353" max="4353" width="14" style="73" customWidth="1"/>
    <col min="4354" max="4354" width="37.81640625" style="73" customWidth="1"/>
    <col min="4355" max="4355" width="49.7265625" style="73" customWidth="1"/>
    <col min="4356" max="4608" width="31.26953125" style="73"/>
    <col min="4609" max="4609" width="14" style="73" customWidth="1"/>
    <col min="4610" max="4610" width="37.81640625" style="73" customWidth="1"/>
    <col min="4611" max="4611" width="49.7265625" style="73" customWidth="1"/>
    <col min="4612" max="4864" width="31.26953125" style="73"/>
    <col min="4865" max="4865" width="14" style="73" customWidth="1"/>
    <col min="4866" max="4866" width="37.81640625" style="73" customWidth="1"/>
    <col min="4867" max="4867" width="49.7265625" style="73" customWidth="1"/>
    <col min="4868" max="5120" width="31.26953125" style="73"/>
    <col min="5121" max="5121" width="14" style="73" customWidth="1"/>
    <col min="5122" max="5122" width="37.81640625" style="73" customWidth="1"/>
    <col min="5123" max="5123" width="49.7265625" style="73" customWidth="1"/>
    <col min="5124" max="5376" width="31.26953125" style="73"/>
    <col min="5377" max="5377" width="14" style="73" customWidth="1"/>
    <col min="5378" max="5378" width="37.81640625" style="73" customWidth="1"/>
    <col min="5379" max="5379" width="49.7265625" style="73" customWidth="1"/>
    <col min="5380" max="5632" width="31.26953125" style="73"/>
    <col min="5633" max="5633" width="14" style="73" customWidth="1"/>
    <col min="5634" max="5634" width="37.81640625" style="73" customWidth="1"/>
    <col min="5635" max="5635" width="49.7265625" style="73" customWidth="1"/>
    <col min="5636" max="5888" width="31.26953125" style="73"/>
    <col min="5889" max="5889" width="14" style="73" customWidth="1"/>
    <col min="5890" max="5890" width="37.81640625" style="73" customWidth="1"/>
    <col min="5891" max="5891" width="49.7265625" style="73" customWidth="1"/>
    <col min="5892" max="6144" width="31.26953125" style="73"/>
    <col min="6145" max="6145" width="14" style="73" customWidth="1"/>
    <col min="6146" max="6146" width="37.81640625" style="73" customWidth="1"/>
    <col min="6147" max="6147" width="49.7265625" style="73" customWidth="1"/>
    <col min="6148" max="6400" width="31.26953125" style="73"/>
    <col min="6401" max="6401" width="14" style="73" customWidth="1"/>
    <col min="6402" max="6402" width="37.81640625" style="73" customWidth="1"/>
    <col min="6403" max="6403" width="49.7265625" style="73" customWidth="1"/>
    <col min="6404" max="6656" width="31.26953125" style="73"/>
    <col min="6657" max="6657" width="14" style="73" customWidth="1"/>
    <col min="6658" max="6658" width="37.81640625" style="73" customWidth="1"/>
    <col min="6659" max="6659" width="49.7265625" style="73" customWidth="1"/>
    <col min="6660" max="6912" width="31.26953125" style="73"/>
    <col min="6913" max="6913" width="14" style="73" customWidth="1"/>
    <col min="6914" max="6914" width="37.81640625" style="73" customWidth="1"/>
    <col min="6915" max="6915" width="49.7265625" style="73" customWidth="1"/>
    <col min="6916" max="7168" width="31.26953125" style="73"/>
    <col min="7169" max="7169" width="14" style="73" customWidth="1"/>
    <col min="7170" max="7170" width="37.81640625" style="73" customWidth="1"/>
    <col min="7171" max="7171" width="49.7265625" style="73" customWidth="1"/>
    <col min="7172" max="7424" width="31.26953125" style="73"/>
    <col min="7425" max="7425" width="14" style="73" customWidth="1"/>
    <col min="7426" max="7426" width="37.81640625" style="73" customWidth="1"/>
    <col min="7427" max="7427" width="49.7265625" style="73" customWidth="1"/>
    <col min="7428" max="7680" width="31.26953125" style="73"/>
    <col min="7681" max="7681" width="14" style="73" customWidth="1"/>
    <col min="7682" max="7682" width="37.81640625" style="73" customWidth="1"/>
    <col min="7683" max="7683" width="49.7265625" style="73" customWidth="1"/>
    <col min="7684" max="7936" width="31.26953125" style="73"/>
    <col min="7937" max="7937" width="14" style="73" customWidth="1"/>
    <col min="7938" max="7938" width="37.81640625" style="73" customWidth="1"/>
    <col min="7939" max="7939" width="49.7265625" style="73" customWidth="1"/>
    <col min="7940" max="8192" width="31.26953125" style="73"/>
    <col min="8193" max="8193" width="14" style="73" customWidth="1"/>
    <col min="8194" max="8194" width="37.81640625" style="73" customWidth="1"/>
    <col min="8195" max="8195" width="49.7265625" style="73" customWidth="1"/>
    <col min="8196" max="8448" width="31.26953125" style="73"/>
    <col min="8449" max="8449" width="14" style="73" customWidth="1"/>
    <col min="8450" max="8450" width="37.81640625" style="73" customWidth="1"/>
    <col min="8451" max="8451" width="49.7265625" style="73" customWidth="1"/>
    <col min="8452" max="8704" width="31.26953125" style="73"/>
    <col min="8705" max="8705" width="14" style="73" customWidth="1"/>
    <col min="8706" max="8706" width="37.81640625" style="73" customWidth="1"/>
    <col min="8707" max="8707" width="49.7265625" style="73" customWidth="1"/>
    <col min="8708" max="8960" width="31.26953125" style="73"/>
    <col min="8961" max="8961" width="14" style="73" customWidth="1"/>
    <col min="8962" max="8962" width="37.81640625" style="73" customWidth="1"/>
    <col min="8963" max="8963" width="49.7265625" style="73" customWidth="1"/>
    <col min="8964" max="9216" width="31.26953125" style="73"/>
    <col min="9217" max="9217" width="14" style="73" customWidth="1"/>
    <col min="9218" max="9218" width="37.81640625" style="73" customWidth="1"/>
    <col min="9219" max="9219" width="49.7265625" style="73" customWidth="1"/>
    <col min="9220" max="9472" width="31.26953125" style="73"/>
    <col min="9473" max="9473" width="14" style="73" customWidth="1"/>
    <col min="9474" max="9474" width="37.81640625" style="73" customWidth="1"/>
    <col min="9475" max="9475" width="49.7265625" style="73" customWidth="1"/>
    <col min="9476" max="9728" width="31.26953125" style="73"/>
    <col min="9729" max="9729" width="14" style="73" customWidth="1"/>
    <col min="9730" max="9730" width="37.81640625" style="73" customWidth="1"/>
    <col min="9731" max="9731" width="49.7265625" style="73" customWidth="1"/>
    <col min="9732" max="9984" width="31.26953125" style="73"/>
    <col min="9985" max="9985" width="14" style="73" customWidth="1"/>
    <col min="9986" max="9986" width="37.81640625" style="73" customWidth="1"/>
    <col min="9987" max="9987" width="49.7265625" style="73" customWidth="1"/>
    <col min="9988" max="10240" width="31.26953125" style="73"/>
    <col min="10241" max="10241" width="14" style="73" customWidth="1"/>
    <col min="10242" max="10242" width="37.81640625" style="73" customWidth="1"/>
    <col min="10243" max="10243" width="49.7265625" style="73" customWidth="1"/>
    <col min="10244" max="10496" width="31.26953125" style="73"/>
    <col min="10497" max="10497" width="14" style="73" customWidth="1"/>
    <col min="10498" max="10498" width="37.81640625" style="73" customWidth="1"/>
    <col min="10499" max="10499" width="49.7265625" style="73" customWidth="1"/>
    <col min="10500" max="10752" width="31.26953125" style="73"/>
    <col min="10753" max="10753" width="14" style="73" customWidth="1"/>
    <col min="10754" max="10754" width="37.81640625" style="73" customWidth="1"/>
    <col min="10755" max="10755" width="49.7265625" style="73" customWidth="1"/>
    <col min="10756" max="11008" width="31.26953125" style="73"/>
    <col min="11009" max="11009" width="14" style="73" customWidth="1"/>
    <col min="11010" max="11010" width="37.81640625" style="73" customWidth="1"/>
    <col min="11011" max="11011" width="49.7265625" style="73" customWidth="1"/>
    <col min="11012" max="11264" width="31.26953125" style="73"/>
    <col min="11265" max="11265" width="14" style="73" customWidth="1"/>
    <col min="11266" max="11266" width="37.81640625" style="73" customWidth="1"/>
    <col min="11267" max="11267" width="49.7265625" style="73" customWidth="1"/>
    <col min="11268" max="11520" width="31.26953125" style="73"/>
    <col min="11521" max="11521" width="14" style="73" customWidth="1"/>
    <col min="11522" max="11522" width="37.81640625" style="73" customWidth="1"/>
    <col min="11523" max="11523" width="49.7265625" style="73" customWidth="1"/>
    <col min="11524" max="11776" width="31.26953125" style="73"/>
    <col min="11777" max="11777" width="14" style="73" customWidth="1"/>
    <col min="11778" max="11778" width="37.81640625" style="73" customWidth="1"/>
    <col min="11779" max="11779" width="49.7265625" style="73" customWidth="1"/>
    <col min="11780" max="12032" width="31.26953125" style="73"/>
    <col min="12033" max="12033" width="14" style="73" customWidth="1"/>
    <col min="12034" max="12034" width="37.81640625" style="73" customWidth="1"/>
    <col min="12035" max="12035" width="49.7265625" style="73" customWidth="1"/>
    <col min="12036" max="12288" width="31.26953125" style="73"/>
    <col min="12289" max="12289" width="14" style="73" customWidth="1"/>
    <col min="12290" max="12290" width="37.81640625" style="73" customWidth="1"/>
    <col min="12291" max="12291" width="49.7265625" style="73" customWidth="1"/>
    <col min="12292" max="12544" width="31.26953125" style="73"/>
    <col min="12545" max="12545" width="14" style="73" customWidth="1"/>
    <col min="12546" max="12546" width="37.81640625" style="73" customWidth="1"/>
    <col min="12547" max="12547" width="49.7265625" style="73" customWidth="1"/>
    <col min="12548" max="12800" width="31.26953125" style="73"/>
    <col min="12801" max="12801" width="14" style="73" customWidth="1"/>
    <col min="12802" max="12802" width="37.81640625" style="73" customWidth="1"/>
    <col min="12803" max="12803" width="49.7265625" style="73" customWidth="1"/>
    <col min="12804" max="13056" width="31.26953125" style="73"/>
    <col min="13057" max="13057" width="14" style="73" customWidth="1"/>
    <col min="13058" max="13058" width="37.81640625" style="73" customWidth="1"/>
    <col min="13059" max="13059" width="49.7265625" style="73" customWidth="1"/>
    <col min="13060" max="13312" width="31.26953125" style="73"/>
    <col min="13313" max="13313" width="14" style="73" customWidth="1"/>
    <col min="13314" max="13314" width="37.81640625" style="73" customWidth="1"/>
    <col min="13315" max="13315" width="49.7265625" style="73" customWidth="1"/>
    <col min="13316" max="13568" width="31.26953125" style="73"/>
    <col min="13569" max="13569" width="14" style="73" customWidth="1"/>
    <col min="13570" max="13570" width="37.81640625" style="73" customWidth="1"/>
    <col min="13571" max="13571" width="49.7265625" style="73" customWidth="1"/>
    <col min="13572" max="13824" width="31.26953125" style="73"/>
    <col min="13825" max="13825" width="14" style="73" customWidth="1"/>
    <col min="13826" max="13826" width="37.81640625" style="73" customWidth="1"/>
    <col min="13827" max="13827" width="49.7265625" style="73" customWidth="1"/>
    <col min="13828" max="14080" width="31.26953125" style="73"/>
    <col min="14081" max="14081" width="14" style="73" customWidth="1"/>
    <col min="14082" max="14082" width="37.81640625" style="73" customWidth="1"/>
    <col min="14083" max="14083" width="49.7265625" style="73" customWidth="1"/>
    <col min="14084" max="14336" width="31.26953125" style="73"/>
    <col min="14337" max="14337" width="14" style="73" customWidth="1"/>
    <col min="14338" max="14338" width="37.81640625" style="73" customWidth="1"/>
    <col min="14339" max="14339" width="49.7265625" style="73" customWidth="1"/>
    <col min="14340" max="14592" width="31.26953125" style="73"/>
    <col min="14593" max="14593" width="14" style="73" customWidth="1"/>
    <col min="14594" max="14594" width="37.81640625" style="73" customWidth="1"/>
    <col min="14595" max="14595" width="49.7265625" style="73" customWidth="1"/>
    <col min="14596" max="14848" width="31.26953125" style="73"/>
    <col min="14849" max="14849" width="14" style="73" customWidth="1"/>
    <col min="14850" max="14850" width="37.81640625" style="73" customWidth="1"/>
    <col min="14851" max="14851" width="49.7265625" style="73" customWidth="1"/>
    <col min="14852" max="15104" width="31.26953125" style="73"/>
    <col min="15105" max="15105" width="14" style="73" customWidth="1"/>
    <col min="15106" max="15106" width="37.81640625" style="73" customWidth="1"/>
    <col min="15107" max="15107" width="49.7265625" style="73" customWidth="1"/>
    <col min="15108" max="15360" width="31.26953125" style="73"/>
    <col min="15361" max="15361" width="14" style="73" customWidth="1"/>
    <col min="15362" max="15362" width="37.81640625" style="73" customWidth="1"/>
    <col min="15363" max="15363" width="49.7265625" style="73" customWidth="1"/>
    <col min="15364" max="15616" width="31.26953125" style="73"/>
    <col min="15617" max="15617" width="14" style="73" customWidth="1"/>
    <col min="15618" max="15618" width="37.81640625" style="73" customWidth="1"/>
    <col min="15619" max="15619" width="49.7265625" style="73" customWidth="1"/>
    <col min="15620" max="15872" width="31.26953125" style="73"/>
    <col min="15873" max="15873" width="14" style="73" customWidth="1"/>
    <col min="15874" max="15874" width="37.81640625" style="73" customWidth="1"/>
    <col min="15875" max="15875" width="49.7265625" style="73" customWidth="1"/>
    <col min="15876" max="16128" width="31.26953125" style="73"/>
    <col min="16129" max="16129" width="14" style="73" customWidth="1"/>
    <col min="16130" max="16130" width="37.81640625" style="73" customWidth="1"/>
    <col min="16131" max="16131" width="49.7265625" style="73" customWidth="1"/>
    <col min="16132" max="16384" width="31.26953125" style="73"/>
  </cols>
  <sheetData>
    <row r="2" spans="1:3" ht="18.5">
      <c r="A2" s="308" t="s">
        <v>1106</v>
      </c>
      <c r="B2" s="308"/>
      <c r="C2" s="308"/>
    </row>
    <row r="3" spans="1:3">
      <c r="A3" s="74" t="s">
        <v>1107</v>
      </c>
      <c r="B3" s="75" t="s">
        <v>1108</v>
      </c>
      <c r="C3" s="75" t="s">
        <v>1055</v>
      </c>
    </row>
    <row r="4" spans="1:3">
      <c r="A4" s="76">
        <v>1</v>
      </c>
      <c r="B4" s="77" t="s">
        <v>1109</v>
      </c>
      <c r="C4" s="77" t="s">
        <v>1110</v>
      </c>
    </row>
    <row r="5" spans="1:3">
      <c r="A5" s="76">
        <v>2</v>
      </c>
      <c r="B5" s="77" t="s">
        <v>1111</v>
      </c>
      <c r="C5" s="77" t="s">
        <v>1112</v>
      </c>
    </row>
    <row r="6" spans="1:3">
      <c r="A6" s="76">
        <v>3</v>
      </c>
      <c r="B6" s="77" t="s">
        <v>1113</v>
      </c>
      <c r="C6" s="77" t="s">
        <v>1112</v>
      </c>
    </row>
    <row r="7" spans="1:3" ht="29">
      <c r="A7" s="76">
        <v>4</v>
      </c>
      <c r="B7" s="77" t="s">
        <v>1114</v>
      </c>
      <c r="C7" s="77" t="s">
        <v>1115</v>
      </c>
    </row>
    <row r="8" spans="1:3">
      <c r="A8" s="76">
        <v>5</v>
      </c>
      <c r="B8" s="77" t="s">
        <v>1116</v>
      </c>
      <c r="C8" s="77" t="s">
        <v>1117</v>
      </c>
    </row>
    <row r="9" spans="1:3" ht="43.5">
      <c r="A9" s="76">
        <v>6</v>
      </c>
      <c r="B9" s="77" t="s">
        <v>1118</v>
      </c>
      <c r="C9" s="77" t="s">
        <v>1119</v>
      </c>
    </row>
    <row r="10" spans="1:3">
      <c r="A10" s="76">
        <v>7</v>
      </c>
      <c r="B10" s="78" t="s">
        <v>1120</v>
      </c>
      <c r="C10" s="79" t="s">
        <v>1121</v>
      </c>
    </row>
    <row r="11" spans="1:3">
      <c r="A11" s="76">
        <v>8</v>
      </c>
      <c r="B11" s="77" t="s">
        <v>1122</v>
      </c>
      <c r="C11" s="78" t="s">
        <v>1123</v>
      </c>
    </row>
    <row r="12" spans="1:3" ht="29">
      <c r="A12" s="76">
        <v>9</v>
      </c>
      <c r="B12" s="77" t="s">
        <v>1124</v>
      </c>
      <c r="C12" s="79" t="s">
        <v>1123</v>
      </c>
    </row>
    <row r="13" spans="1:3">
      <c r="A13" s="76">
        <v>10</v>
      </c>
      <c r="B13" s="78" t="s">
        <v>1125</v>
      </c>
      <c r="C13" s="78" t="s">
        <v>1126</v>
      </c>
    </row>
    <row r="14" spans="1:3">
      <c r="A14" s="76">
        <v>11</v>
      </c>
      <c r="B14" s="77" t="s">
        <v>1127</v>
      </c>
      <c r="C14" s="78" t="s">
        <v>1128</v>
      </c>
    </row>
    <row r="15" spans="1:3">
      <c r="A15" s="76">
        <v>12</v>
      </c>
      <c r="B15" s="77" t="s">
        <v>1129</v>
      </c>
      <c r="C15" s="78" t="s">
        <v>1128</v>
      </c>
    </row>
    <row r="16" spans="1:3">
      <c r="A16" s="76">
        <v>13</v>
      </c>
      <c r="B16" s="77" t="s">
        <v>1130</v>
      </c>
      <c r="C16" s="77" t="s">
        <v>1131</v>
      </c>
    </row>
    <row r="17" spans="1:3">
      <c r="A17" s="76">
        <v>14</v>
      </c>
      <c r="B17" s="77" t="s">
        <v>1132</v>
      </c>
      <c r="C17" s="77" t="s">
        <v>1133</v>
      </c>
    </row>
    <row r="18" spans="1:3">
      <c r="A18" s="76">
        <v>15</v>
      </c>
      <c r="B18" s="77" t="s">
        <v>1134</v>
      </c>
      <c r="C18" s="77" t="s">
        <v>1135</v>
      </c>
    </row>
    <row r="19" spans="1:3">
      <c r="A19" s="76">
        <v>16</v>
      </c>
      <c r="B19" s="78" t="s">
        <v>1136</v>
      </c>
      <c r="C19" s="78" t="s">
        <v>1128</v>
      </c>
    </row>
    <row r="20" spans="1:3">
      <c r="A20" s="76">
        <v>17</v>
      </c>
      <c r="B20" s="78" t="s">
        <v>1137</v>
      </c>
      <c r="C20" s="78" t="s">
        <v>1128</v>
      </c>
    </row>
    <row r="21" spans="1:3" ht="29">
      <c r="A21" s="76">
        <v>18</v>
      </c>
      <c r="B21" s="77" t="s">
        <v>1138</v>
      </c>
      <c r="C21" s="77" t="s">
        <v>1139</v>
      </c>
    </row>
    <row r="22" spans="1:3">
      <c r="A22" s="76">
        <v>20</v>
      </c>
      <c r="B22" s="77" t="s">
        <v>1140</v>
      </c>
      <c r="C22" s="77" t="s">
        <v>1141</v>
      </c>
    </row>
    <row r="23" spans="1:3">
      <c r="A23" s="76">
        <v>21</v>
      </c>
      <c r="B23" s="77" t="s">
        <v>1142</v>
      </c>
      <c r="C23" s="77" t="s">
        <v>1143</v>
      </c>
    </row>
    <row r="24" spans="1:3">
      <c r="A24" s="76">
        <v>22</v>
      </c>
      <c r="B24" s="77" t="s">
        <v>1144</v>
      </c>
      <c r="C24" s="77" t="s">
        <v>1145</v>
      </c>
    </row>
    <row r="25" spans="1:3">
      <c r="A25" s="76">
        <v>23</v>
      </c>
      <c r="B25" s="78" t="s">
        <v>1146</v>
      </c>
      <c r="C25" s="79" t="s">
        <v>1147</v>
      </c>
    </row>
    <row r="26" spans="1:3">
      <c r="A26" s="76">
        <v>24</v>
      </c>
      <c r="B26" s="77" t="s">
        <v>1148</v>
      </c>
      <c r="C26" s="77" t="s">
        <v>1149</v>
      </c>
    </row>
    <row r="27" spans="1:3">
      <c r="A27" s="76">
        <v>25</v>
      </c>
      <c r="B27" s="77" t="s">
        <v>1150</v>
      </c>
      <c r="C27" s="77" t="s">
        <v>1151</v>
      </c>
    </row>
    <row r="28" spans="1:3">
      <c r="A28" s="76">
        <v>26</v>
      </c>
      <c r="B28" s="78" t="s">
        <v>1152</v>
      </c>
      <c r="C28" s="79" t="s">
        <v>1153</v>
      </c>
    </row>
    <row r="29" spans="1:3">
      <c r="A29" s="76">
        <v>27</v>
      </c>
      <c r="B29" s="78" t="s">
        <v>1154</v>
      </c>
      <c r="C29" s="78" t="s">
        <v>1155</v>
      </c>
    </row>
    <row r="30" spans="1:3">
      <c r="A30" s="76">
        <v>28</v>
      </c>
      <c r="B30" s="77" t="s">
        <v>1156</v>
      </c>
      <c r="C30" s="77" t="s">
        <v>1157</v>
      </c>
    </row>
    <row r="31" spans="1:3">
      <c r="A31" s="76">
        <v>29</v>
      </c>
      <c r="B31" s="77" t="s">
        <v>1158</v>
      </c>
      <c r="C31" s="77" t="s">
        <v>1159</v>
      </c>
    </row>
    <row r="32" spans="1:3">
      <c r="A32" s="76">
        <v>30</v>
      </c>
      <c r="B32" s="77" t="s">
        <v>1160</v>
      </c>
      <c r="C32" s="77" t="s">
        <v>1161</v>
      </c>
    </row>
    <row r="33" spans="1:3">
      <c r="A33" s="76">
        <v>31</v>
      </c>
      <c r="B33" s="78" t="s">
        <v>1162</v>
      </c>
      <c r="C33" s="77" t="s">
        <v>1157</v>
      </c>
    </row>
    <row r="34" spans="1:3" ht="29">
      <c r="A34" s="76">
        <v>32</v>
      </c>
      <c r="B34" s="77" t="s">
        <v>1163</v>
      </c>
      <c r="C34" s="77" t="s">
        <v>1164</v>
      </c>
    </row>
    <row r="35" spans="1:3">
      <c r="A35" s="76">
        <v>33</v>
      </c>
      <c r="B35" s="77" t="s">
        <v>1165</v>
      </c>
      <c r="C35" s="77" t="s">
        <v>1166</v>
      </c>
    </row>
    <row r="36" spans="1:3">
      <c r="A36" s="76">
        <v>34</v>
      </c>
      <c r="B36" s="77" t="s">
        <v>1167</v>
      </c>
      <c r="C36" s="77" t="s">
        <v>1168</v>
      </c>
    </row>
    <row r="37" spans="1:3">
      <c r="A37" s="76">
        <v>35</v>
      </c>
      <c r="B37" s="77" t="s">
        <v>1169</v>
      </c>
      <c r="C37" s="77" t="s">
        <v>1170</v>
      </c>
    </row>
    <row r="38" spans="1:3">
      <c r="A38" s="76">
        <v>36</v>
      </c>
      <c r="B38" s="77" t="s">
        <v>1171</v>
      </c>
      <c r="C38" s="77" t="s">
        <v>1172</v>
      </c>
    </row>
    <row r="39" spans="1:3" ht="29">
      <c r="A39" s="76">
        <v>37</v>
      </c>
      <c r="B39" s="77" t="s">
        <v>1173</v>
      </c>
      <c r="C39" s="77" t="s">
        <v>1174</v>
      </c>
    </row>
    <row r="40" spans="1:3">
      <c r="A40" s="76">
        <v>38</v>
      </c>
      <c r="B40" s="77" t="s">
        <v>1175</v>
      </c>
      <c r="C40" s="78" t="s">
        <v>1176</v>
      </c>
    </row>
    <row r="41" spans="1:3">
      <c r="A41" s="76">
        <v>39</v>
      </c>
      <c r="B41" s="77" t="s">
        <v>1177</v>
      </c>
      <c r="C41" s="77" t="s">
        <v>1178</v>
      </c>
    </row>
    <row r="42" spans="1:3">
      <c r="A42" s="76">
        <v>40</v>
      </c>
      <c r="B42" s="80" t="s">
        <v>1179</v>
      </c>
      <c r="C42" s="80"/>
    </row>
    <row r="43" spans="1:3">
      <c r="A43" s="76">
        <v>41</v>
      </c>
      <c r="B43" s="78" t="s">
        <v>1180</v>
      </c>
      <c r="C43" s="78"/>
    </row>
    <row r="44" spans="1:3">
      <c r="A44" s="76">
        <v>42</v>
      </c>
      <c r="B44" s="78" t="s">
        <v>1181</v>
      </c>
      <c r="C44" s="78"/>
    </row>
    <row r="45" spans="1:3">
      <c r="A45" s="76">
        <v>43</v>
      </c>
      <c r="B45" s="78" t="s">
        <v>1182</v>
      </c>
      <c r="C45" s="78"/>
    </row>
    <row r="46" spans="1:3">
      <c r="A46" s="76">
        <v>44</v>
      </c>
      <c r="B46" s="78" t="s">
        <v>1183</v>
      </c>
      <c r="C46" s="80" t="s">
        <v>1184</v>
      </c>
    </row>
    <row r="47" spans="1:3" ht="29">
      <c r="A47" s="76">
        <v>45</v>
      </c>
      <c r="B47" s="78" t="s">
        <v>1185</v>
      </c>
      <c r="C47" s="79" t="s">
        <v>1186</v>
      </c>
    </row>
    <row r="48" spans="1:3" ht="29">
      <c r="A48" s="76">
        <v>46</v>
      </c>
      <c r="B48" s="78" t="s">
        <v>1187</v>
      </c>
      <c r="C48" s="79" t="s">
        <v>1186</v>
      </c>
    </row>
    <row r="49" spans="1:3" ht="29">
      <c r="A49" s="76">
        <v>47</v>
      </c>
      <c r="B49" s="78" t="s">
        <v>1188</v>
      </c>
      <c r="C49" s="79" t="s">
        <v>1186</v>
      </c>
    </row>
    <row r="50" spans="1:3" ht="29">
      <c r="A50" s="76">
        <v>48</v>
      </c>
      <c r="B50" s="77" t="s">
        <v>1189</v>
      </c>
      <c r="C50" s="77" t="s">
        <v>1190</v>
      </c>
    </row>
    <row r="51" spans="1:3">
      <c r="A51" s="76">
        <v>49</v>
      </c>
      <c r="B51" s="77" t="s">
        <v>1191</v>
      </c>
      <c r="C51" s="77" t="s">
        <v>1192</v>
      </c>
    </row>
    <row r="52" spans="1:3">
      <c r="A52" s="76">
        <v>50</v>
      </c>
      <c r="B52" s="77" t="s">
        <v>1193</v>
      </c>
      <c r="C52" s="77" t="s">
        <v>1194</v>
      </c>
    </row>
    <row r="53" spans="1:3">
      <c r="A53" s="81"/>
      <c r="B53" s="82" t="s">
        <v>1195</v>
      </c>
      <c r="C53" s="83"/>
    </row>
    <row r="54" spans="1:3" ht="29">
      <c r="A54" s="76">
        <v>51</v>
      </c>
      <c r="B54" s="78" t="s">
        <v>1196</v>
      </c>
      <c r="C54" s="77" t="s">
        <v>1197</v>
      </c>
    </row>
    <row r="55" spans="1:3">
      <c r="A55" s="76">
        <v>52</v>
      </c>
      <c r="B55" s="77" t="s">
        <v>1198</v>
      </c>
      <c r="C55" s="78" t="s">
        <v>1199</v>
      </c>
    </row>
    <row r="56" spans="1:3" ht="29">
      <c r="A56" s="76">
        <v>53</v>
      </c>
      <c r="B56" s="78" t="s">
        <v>1200</v>
      </c>
      <c r="C56" s="77" t="s">
        <v>1201</v>
      </c>
    </row>
    <row r="57" spans="1:3">
      <c r="A57" s="76">
        <v>54</v>
      </c>
      <c r="B57" s="77" t="s">
        <v>1202</v>
      </c>
      <c r="C57" s="77" t="s">
        <v>1203</v>
      </c>
    </row>
    <row r="58" spans="1:3">
      <c r="A58" s="76">
        <v>55</v>
      </c>
      <c r="B58" s="77" t="s">
        <v>1204</v>
      </c>
      <c r="C58" s="77" t="s">
        <v>1205</v>
      </c>
    </row>
    <row r="59" spans="1:3">
      <c r="A59" s="76">
        <v>56</v>
      </c>
      <c r="B59" s="77" t="s">
        <v>1206</v>
      </c>
      <c r="C59" s="77" t="s">
        <v>1207</v>
      </c>
    </row>
    <row r="60" spans="1:3">
      <c r="A60" s="76">
        <v>57</v>
      </c>
      <c r="B60" s="77" t="s">
        <v>1208</v>
      </c>
      <c r="C60" s="77" t="s">
        <v>1209</v>
      </c>
    </row>
    <row r="61" spans="1:3">
      <c r="A61" s="76">
        <v>58</v>
      </c>
      <c r="B61" s="77" t="s">
        <v>1210</v>
      </c>
      <c r="C61" s="77" t="s">
        <v>1211</v>
      </c>
    </row>
    <row r="62" spans="1:3">
      <c r="A62" s="76">
        <v>59</v>
      </c>
      <c r="B62" s="77" t="s">
        <v>1212</v>
      </c>
      <c r="C62" s="77" t="s">
        <v>1213</v>
      </c>
    </row>
    <row r="63" spans="1:3">
      <c r="A63" s="76">
        <v>60</v>
      </c>
      <c r="B63" s="77" t="s">
        <v>1214</v>
      </c>
      <c r="C63" s="77" t="s">
        <v>1215</v>
      </c>
    </row>
    <row r="64" spans="1:3">
      <c r="A64" s="76">
        <v>61</v>
      </c>
      <c r="B64" s="77" t="s">
        <v>1216</v>
      </c>
      <c r="C64" s="77" t="s">
        <v>1217</v>
      </c>
    </row>
    <row r="65" spans="1:3">
      <c r="A65" s="76">
        <v>62</v>
      </c>
      <c r="B65" s="78" t="s">
        <v>1218</v>
      </c>
      <c r="C65" s="78" t="s">
        <v>1219</v>
      </c>
    </row>
    <row r="66" spans="1:3">
      <c r="A66" s="76">
        <v>63</v>
      </c>
      <c r="B66" s="77" t="s">
        <v>1220</v>
      </c>
      <c r="C66" s="77" t="s">
        <v>1221</v>
      </c>
    </row>
    <row r="67" spans="1:3">
      <c r="A67" s="76">
        <v>64</v>
      </c>
      <c r="B67" s="77" t="s">
        <v>1222</v>
      </c>
      <c r="C67" s="77" t="s">
        <v>1223</v>
      </c>
    </row>
    <row r="68" spans="1:3">
      <c r="A68" s="76">
        <v>65</v>
      </c>
      <c r="B68" s="77" t="s">
        <v>1224</v>
      </c>
      <c r="C68" s="77" t="s">
        <v>1225</v>
      </c>
    </row>
    <row r="69" spans="1:3">
      <c r="A69" s="76">
        <v>66</v>
      </c>
      <c r="B69" s="84" t="s">
        <v>1226</v>
      </c>
      <c r="C69" s="84" t="s">
        <v>1227</v>
      </c>
    </row>
    <row r="70" spans="1:3">
      <c r="A70" s="76">
        <v>67</v>
      </c>
      <c r="B70" s="84" t="s">
        <v>1228</v>
      </c>
      <c r="C70" s="84" t="s">
        <v>1227</v>
      </c>
    </row>
    <row r="71" spans="1:3">
      <c r="A71" s="76">
        <v>68</v>
      </c>
      <c r="B71" s="77" t="s">
        <v>1229</v>
      </c>
      <c r="C71" s="85" t="s">
        <v>1230</v>
      </c>
    </row>
    <row r="72" spans="1:3">
      <c r="A72" s="76">
        <v>69</v>
      </c>
      <c r="B72" s="77" t="s">
        <v>1196</v>
      </c>
      <c r="C72" s="77" t="s">
        <v>1231</v>
      </c>
    </row>
    <row r="73" spans="1:3">
      <c r="A73" s="76">
        <v>70</v>
      </c>
      <c r="B73" s="77" t="s">
        <v>1198</v>
      </c>
      <c r="C73" s="78" t="s">
        <v>1199</v>
      </c>
    </row>
    <row r="74" spans="1:3" ht="29">
      <c r="A74" s="76">
        <v>71</v>
      </c>
      <c r="B74" s="77" t="s">
        <v>1200</v>
      </c>
      <c r="C74" s="77" t="s">
        <v>1232</v>
      </c>
    </row>
    <row r="75" spans="1:3" ht="29">
      <c r="A75" s="76">
        <v>72</v>
      </c>
      <c r="B75" s="77" t="s">
        <v>1233</v>
      </c>
      <c r="C75" s="77" t="s">
        <v>1234</v>
      </c>
    </row>
    <row r="76" spans="1:3">
      <c r="A76" s="76">
        <v>73</v>
      </c>
      <c r="B76" s="77" t="s">
        <v>1202</v>
      </c>
      <c r="C76" s="77" t="s">
        <v>1235</v>
      </c>
    </row>
    <row r="77" spans="1:3">
      <c r="A77" s="76">
        <v>74</v>
      </c>
      <c r="B77" s="77" t="s">
        <v>1204</v>
      </c>
      <c r="C77" s="77" t="s">
        <v>1236</v>
      </c>
    </row>
    <row r="78" spans="1:3">
      <c r="A78" s="76">
        <v>75</v>
      </c>
      <c r="B78" s="77" t="s">
        <v>1210</v>
      </c>
      <c r="C78" s="77" t="s">
        <v>1211</v>
      </c>
    </row>
    <row r="79" spans="1:3">
      <c r="A79" s="76">
        <v>76</v>
      </c>
      <c r="B79" s="77" t="s">
        <v>1212</v>
      </c>
      <c r="C79" s="77" t="s">
        <v>1213</v>
      </c>
    </row>
    <row r="80" spans="1:3">
      <c r="A80" s="76">
        <v>77</v>
      </c>
      <c r="B80" s="77" t="s">
        <v>1214</v>
      </c>
      <c r="C80" s="77" t="s">
        <v>1215</v>
      </c>
    </row>
    <row r="81" spans="1:3">
      <c r="A81" s="76">
        <v>78</v>
      </c>
      <c r="B81" s="77" t="s">
        <v>1216</v>
      </c>
      <c r="C81" s="77" t="s">
        <v>1217</v>
      </c>
    </row>
    <row r="82" spans="1:3">
      <c r="A82" s="76">
        <v>79</v>
      </c>
      <c r="B82" s="77" t="s">
        <v>1222</v>
      </c>
      <c r="C82" s="77" t="s">
        <v>1223</v>
      </c>
    </row>
    <row r="83" spans="1:3">
      <c r="A83" s="76">
        <v>80</v>
      </c>
      <c r="B83" s="77" t="s">
        <v>1224</v>
      </c>
      <c r="C83" s="77" t="s">
        <v>1225</v>
      </c>
    </row>
    <row r="84" spans="1:3">
      <c r="A84" s="76">
        <v>81</v>
      </c>
      <c r="B84" s="77" t="s">
        <v>1237</v>
      </c>
      <c r="C84" s="77" t="s">
        <v>1238</v>
      </c>
    </row>
    <row r="85" spans="1:3">
      <c r="A85" s="76"/>
      <c r="B85" s="83" t="s">
        <v>1239</v>
      </c>
      <c r="C85" s="77"/>
    </row>
    <row r="86" spans="1:3">
      <c r="A86" s="76">
        <f>A84+1</f>
        <v>82</v>
      </c>
      <c r="B86" s="84" t="s">
        <v>1240</v>
      </c>
      <c r="C86" s="84" t="s">
        <v>1241</v>
      </c>
    </row>
    <row r="87" spans="1:3">
      <c r="A87" s="76">
        <f>A86+1</f>
        <v>83</v>
      </c>
      <c r="B87" s="84" t="s">
        <v>1242</v>
      </c>
      <c r="C87" s="84" t="s">
        <v>1241</v>
      </c>
    </row>
    <row r="88" spans="1:3">
      <c r="A88" s="76">
        <f>A87+1</f>
        <v>84</v>
      </c>
      <c r="B88" s="84" t="s">
        <v>1243</v>
      </c>
      <c r="C88" s="84" t="s">
        <v>1241</v>
      </c>
    </row>
    <row r="89" spans="1:3">
      <c r="A89" s="76">
        <f t="shared" ref="A89:A96" si="0">A88+1</f>
        <v>85</v>
      </c>
      <c r="B89" s="84" t="s">
        <v>1244</v>
      </c>
      <c r="C89" s="84" t="s">
        <v>1241</v>
      </c>
    </row>
    <row r="90" spans="1:3">
      <c r="A90" s="76">
        <f t="shared" si="0"/>
        <v>86</v>
      </c>
      <c r="B90" s="84" t="s">
        <v>1245</v>
      </c>
      <c r="C90" s="84" t="s">
        <v>1246</v>
      </c>
    </row>
    <row r="91" spans="1:3">
      <c r="A91" s="76">
        <f t="shared" si="0"/>
        <v>87</v>
      </c>
      <c r="B91" s="84" t="s">
        <v>1247</v>
      </c>
      <c r="C91" s="84" t="s">
        <v>1248</v>
      </c>
    </row>
    <row r="92" spans="1:3">
      <c r="A92" s="76">
        <f t="shared" si="0"/>
        <v>88</v>
      </c>
      <c r="B92" s="84" t="s">
        <v>1249</v>
      </c>
      <c r="C92" s="84" t="s">
        <v>1250</v>
      </c>
    </row>
    <row r="93" spans="1:3" ht="29">
      <c r="A93" s="76">
        <f t="shared" si="0"/>
        <v>89</v>
      </c>
      <c r="B93" s="84" t="s">
        <v>1251</v>
      </c>
      <c r="C93" s="84" t="s">
        <v>1252</v>
      </c>
    </row>
    <row r="94" spans="1:3">
      <c r="A94" s="76">
        <f t="shared" si="0"/>
        <v>90</v>
      </c>
      <c r="B94" s="84" t="s">
        <v>1253</v>
      </c>
      <c r="C94" s="84" t="s">
        <v>1254</v>
      </c>
    </row>
    <row r="95" spans="1:3">
      <c r="A95" s="76">
        <f t="shared" si="0"/>
        <v>91</v>
      </c>
      <c r="B95" s="84" t="s">
        <v>1255</v>
      </c>
      <c r="C95" s="84" t="s">
        <v>1256</v>
      </c>
    </row>
    <row r="96" spans="1:3">
      <c r="A96" s="76">
        <f t="shared" si="0"/>
        <v>92</v>
      </c>
      <c r="B96" s="84" t="s">
        <v>1257</v>
      </c>
      <c r="C96" s="84" t="s">
        <v>1227</v>
      </c>
    </row>
    <row r="97" spans="1:3">
      <c r="A97" s="81"/>
      <c r="B97" s="82" t="s">
        <v>1258</v>
      </c>
      <c r="C97" s="83"/>
    </row>
    <row r="98" spans="1:3">
      <c r="A98" s="76">
        <v>93</v>
      </c>
      <c r="B98" s="77" t="s">
        <v>1259</v>
      </c>
      <c r="C98" s="77" t="s">
        <v>1260</v>
      </c>
    </row>
    <row r="99" spans="1:3">
      <c r="A99" s="76">
        <v>94</v>
      </c>
      <c r="B99" s="77" t="s">
        <v>1261</v>
      </c>
      <c r="C99" s="77" t="s">
        <v>1262</v>
      </c>
    </row>
    <row r="100" spans="1:3" ht="29">
      <c r="A100" s="76">
        <v>95</v>
      </c>
      <c r="B100" s="78" t="s">
        <v>1185</v>
      </c>
      <c r="C100" s="78" t="s">
        <v>1263</v>
      </c>
    </row>
    <row r="101" spans="1:3" ht="29">
      <c r="A101" s="76">
        <v>96</v>
      </c>
      <c r="B101" s="78" t="s">
        <v>1187</v>
      </c>
      <c r="C101" s="78" t="s">
        <v>1264</v>
      </c>
    </row>
  </sheetData>
  <mergeCells count="1">
    <mergeCell ref="A2:C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E10"/>
  <sheetViews>
    <sheetView zoomScale="85" zoomScaleNormal="85" zoomScaleSheetLayoutView="55" workbookViewId="0">
      <selection activeCell="J4" sqref="J4"/>
    </sheetView>
  </sheetViews>
  <sheetFormatPr defaultRowHeight="14.5"/>
  <cols>
    <col min="2" max="2" width="13.81640625" style="100" bestFit="1" customWidth="1"/>
    <col min="3" max="3" width="34.54296875" style="22" customWidth="1"/>
    <col min="4" max="4" width="33" customWidth="1"/>
    <col min="5" max="5" width="37.26953125" customWidth="1"/>
  </cols>
  <sheetData>
    <row r="1" spans="2:5">
      <c r="B1" s="86"/>
      <c r="C1" s="309" t="s">
        <v>1265</v>
      </c>
      <c r="D1" s="309"/>
      <c r="E1" s="309"/>
    </row>
    <row r="2" spans="2:5" ht="21.65" customHeight="1">
      <c r="B2" s="87"/>
      <c r="C2" s="88" t="s">
        <v>1266</v>
      </c>
      <c r="D2" s="89" t="s">
        <v>1267</v>
      </c>
      <c r="E2" s="88" t="s">
        <v>1268</v>
      </c>
    </row>
    <row r="3" spans="2:5" ht="92.5" customHeight="1">
      <c r="B3" s="90" t="s">
        <v>1269</v>
      </c>
      <c r="C3" s="32" t="s">
        <v>1270</v>
      </c>
      <c r="D3" s="91" t="s">
        <v>1271</v>
      </c>
      <c r="E3" s="42" t="s">
        <v>1272</v>
      </c>
    </row>
    <row r="4" spans="2:5" ht="86.5" customHeight="1">
      <c r="B4" s="90" t="s">
        <v>1273</v>
      </c>
      <c r="C4" s="32" t="s">
        <v>1274</v>
      </c>
      <c r="D4" s="92" t="s">
        <v>1275</v>
      </c>
      <c r="E4" s="15" t="s">
        <v>1272</v>
      </c>
    </row>
    <row r="5" spans="2:5" ht="98.5" customHeight="1">
      <c r="B5" s="90" t="s">
        <v>1276</v>
      </c>
      <c r="C5" s="32" t="s">
        <v>1277</v>
      </c>
      <c r="D5" s="93" t="s">
        <v>1278</v>
      </c>
      <c r="E5" s="94" t="s">
        <v>1279</v>
      </c>
    </row>
    <row r="6" spans="2:5" ht="118.15" customHeight="1">
      <c r="B6" s="95" t="s">
        <v>1280</v>
      </c>
      <c r="C6" s="32" t="s">
        <v>1277</v>
      </c>
      <c r="D6" s="103" t="s">
        <v>1281</v>
      </c>
      <c r="E6" s="93" t="s">
        <v>1282</v>
      </c>
    </row>
    <row r="7" spans="2:5" ht="136.9" customHeight="1">
      <c r="B7" s="90" t="s">
        <v>449</v>
      </c>
      <c r="C7" s="32" t="s">
        <v>1283</v>
      </c>
      <c r="D7" s="93" t="s">
        <v>1284</v>
      </c>
      <c r="E7" s="15" t="s">
        <v>1285</v>
      </c>
    </row>
    <row r="8" spans="2:5" ht="118.9" customHeight="1">
      <c r="B8" s="90" t="s">
        <v>1286</v>
      </c>
      <c r="C8" s="32" t="s">
        <v>1287</v>
      </c>
      <c r="D8" s="93" t="s">
        <v>1288</v>
      </c>
      <c r="E8" s="42" t="s">
        <v>1289</v>
      </c>
    </row>
    <row r="9" spans="2:5" ht="76.150000000000006" customHeight="1">
      <c r="B9" s="90" t="s">
        <v>1290</v>
      </c>
      <c r="C9" s="32" t="s">
        <v>1291</v>
      </c>
      <c r="D9" s="93" t="s">
        <v>1292</v>
      </c>
      <c r="E9" s="42" t="s">
        <v>1293</v>
      </c>
    </row>
    <row r="10" spans="2:5" ht="87.65" hidden="1" customHeight="1" thickBot="1">
      <c r="B10" s="96" t="s">
        <v>1294</v>
      </c>
      <c r="C10" s="97" t="s">
        <v>1270</v>
      </c>
      <c r="D10" s="98" t="s">
        <v>1295</v>
      </c>
      <c r="E10" s="99" t="s">
        <v>1296</v>
      </c>
    </row>
  </sheetData>
  <mergeCells count="1">
    <mergeCell ref="C1:E1"/>
  </mergeCells>
  <pageMargins left="0.7" right="0.7" top="0.75" bottom="0.75" header="0.3" footer="0.3"/>
  <pageSetup scale="5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L583"/>
  <sheetViews>
    <sheetView topLeftCell="A569" zoomScale="90" zoomScaleNormal="90" workbookViewId="0">
      <selection activeCell="M572" sqref="M572"/>
    </sheetView>
  </sheetViews>
  <sheetFormatPr defaultColWidth="9.1796875" defaultRowHeight="12"/>
  <cols>
    <col min="1" max="1" width="8" style="120" customWidth="1"/>
    <col min="2" max="2" width="4.54296875" style="120" customWidth="1"/>
    <col min="3" max="3" width="8.453125" style="121" customWidth="1"/>
    <col min="4" max="4" width="26" style="121" customWidth="1"/>
    <col min="5" max="5" width="49.453125" style="120" customWidth="1"/>
    <col min="6" max="6" width="9.7265625" style="120" customWidth="1"/>
    <col min="7" max="7" width="12.81640625" style="157" customWidth="1"/>
    <col min="8" max="8" width="12.81640625" style="204" customWidth="1"/>
    <col min="9" max="9" width="11.26953125" style="153" customWidth="1"/>
    <col min="10" max="10" width="11.54296875" style="153" bestFit="1" customWidth="1"/>
    <col min="11" max="11" width="11" style="205" bestFit="1" customWidth="1"/>
    <col min="12" max="16384" width="9.1796875" style="120"/>
  </cols>
  <sheetData>
    <row r="1" spans="1:11" ht="12" customHeight="1">
      <c r="A1" s="128"/>
      <c r="B1" s="128"/>
      <c r="C1" s="128"/>
      <c r="D1" s="128"/>
      <c r="E1" s="128"/>
      <c r="F1" s="128"/>
      <c r="G1" s="269" t="s">
        <v>1352</v>
      </c>
      <c r="H1" s="271" t="s">
        <v>1355</v>
      </c>
      <c r="I1" s="265" t="s">
        <v>1353</v>
      </c>
      <c r="J1" s="266"/>
      <c r="K1" s="273" t="s">
        <v>1356</v>
      </c>
    </row>
    <row r="2" spans="1:11" ht="12" customHeight="1">
      <c r="A2" s="128" t="s">
        <v>6</v>
      </c>
      <c r="B2" s="128"/>
      <c r="C2" s="128"/>
      <c r="D2" s="128"/>
      <c r="E2" s="128"/>
      <c r="F2" s="128"/>
      <c r="G2" s="270"/>
      <c r="H2" s="272"/>
      <c r="I2" s="267"/>
      <c r="J2" s="268"/>
      <c r="K2" s="274"/>
    </row>
    <row r="3" spans="1:11" ht="24">
      <c r="A3" s="122" t="s">
        <v>7</v>
      </c>
      <c r="B3" s="122"/>
      <c r="C3" s="122" t="s">
        <v>8</v>
      </c>
      <c r="D3" s="122" t="s">
        <v>9</v>
      </c>
      <c r="E3" s="123" t="s">
        <v>10</v>
      </c>
      <c r="F3" s="124" t="s">
        <v>11</v>
      </c>
      <c r="G3" s="150" t="s">
        <v>12</v>
      </c>
      <c r="H3" s="201" t="s">
        <v>1354</v>
      </c>
      <c r="I3" s="150" t="s">
        <v>13</v>
      </c>
      <c r="J3" s="150" t="s">
        <v>14</v>
      </c>
      <c r="K3" s="208" t="s">
        <v>14</v>
      </c>
    </row>
    <row r="4" spans="1:11">
      <c r="A4" s="122" t="s">
        <v>15</v>
      </c>
      <c r="B4" s="122"/>
      <c r="C4" s="122"/>
      <c r="D4" s="122"/>
      <c r="E4" s="125" t="s">
        <v>16</v>
      </c>
      <c r="F4" s="126"/>
      <c r="G4" s="155"/>
      <c r="H4" s="202"/>
      <c r="I4" s="150"/>
      <c r="J4" s="206"/>
      <c r="K4" s="209"/>
    </row>
    <row r="5" spans="1:11">
      <c r="A5" s="127"/>
      <c r="B5" s="122" t="s">
        <v>17</v>
      </c>
      <c r="C5" s="122"/>
      <c r="D5" s="122"/>
      <c r="E5" s="125" t="s">
        <v>18</v>
      </c>
      <c r="F5" s="126"/>
      <c r="G5" s="156"/>
      <c r="H5" s="202"/>
      <c r="I5" s="145"/>
      <c r="J5" s="207"/>
      <c r="K5" s="209"/>
    </row>
    <row r="6" spans="1:11" ht="48">
      <c r="A6" s="128"/>
      <c r="B6" s="128"/>
      <c r="C6" s="122" t="s">
        <v>19</v>
      </c>
      <c r="D6" s="128" t="s">
        <v>20</v>
      </c>
      <c r="E6" s="130" t="s">
        <v>21</v>
      </c>
      <c r="F6" s="126"/>
      <c r="G6" s="156"/>
      <c r="H6" s="202"/>
      <c r="I6" s="145"/>
      <c r="J6" s="207"/>
      <c r="K6" s="209"/>
    </row>
    <row r="7" spans="1:11" ht="36">
      <c r="A7" s="128"/>
      <c r="B7" s="128"/>
      <c r="C7" s="128" t="s">
        <v>22</v>
      </c>
      <c r="D7" s="128"/>
      <c r="E7" s="131" t="s">
        <v>23</v>
      </c>
      <c r="F7" s="126" t="s">
        <v>24</v>
      </c>
      <c r="G7" s="164">
        <v>0</v>
      </c>
      <c r="H7" s="203">
        <f>'MB Civil &amp; Interior'!K15</f>
        <v>508.70664000000005</v>
      </c>
      <c r="I7" s="145">
        <v>25</v>
      </c>
      <c r="J7" s="207">
        <f>$G7*I7</f>
        <v>0</v>
      </c>
      <c r="K7" s="209">
        <f>H7*I7</f>
        <v>12717.666000000001</v>
      </c>
    </row>
    <row r="8" spans="1:11">
      <c r="A8" s="128"/>
      <c r="B8" s="128"/>
      <c r="C8" s="128" t="s">
        <v>25</v>
      </c>
      <c r="D8" s="128"/>
      <c r="E8" s="131" t="s">
        <v>26</v>
      </c>
      <c r="F8" s="126" t="s">
        <v>24</v>
      </c>
      <c r="G8" s="156">
        <v>0</v>
      </c>
      <c r="H8" s="202"/>
      <c r="I8" s="145">
        <v>25</v>
      </c>
      <c r="J8" s="207">
        <f>$G8*I8</f>
        <v>0</v>
      </c>
      <c r="K8" s="209"/>
    </row>
    <row r="9" spans="1:11">
      <c r="A9" s="128"/>
      <c r="B9" s="128"/>
      <c r="C9" s="128" t="s">
        <v>27</v>
      </c>
      <c r="D9" s="128"/>
      <c r="E9" s="131" t="s">
        <v>28</v>
      </c>
      <c r="F9" s="126" t="s">
        <v>24</v>
      </c>
      <c r="G9" s="156">
        <v>0</v>
      </c>
      <c r="H9" s="202"/>
      <c r="I9" s="145">
        <v>35</v>
      </c>
      <c r="J9" s="207"/>
      <c r="K9" s="209"/>
    </row>
    <row r="10" spans="1:11">
      <c r="A10" s="128"/>
      <c r="B10" s="128"/>
      <c r="C10" s="128" t="s">
        <v>29</v>
      </c>
      <c r="D10" s="128"/>
      <c r="E10" s="131" t="s">
        <v>30</v>
      </c>
      <c r="F10" s="126" t="s">
        <v>24</v>
      </c>
      <c r="G10" s="156">
        <v>0</v>
      </c>
      <c r="H10" s="202"/>
      <c r="I10" s="145">
        <v>40</v>
      </c>
      <c r="J10" s="207"/>
      <c r="K10" s="209"/>
    </row>
    <row r="11" spans="1:11">
      <c r="A11" s="128"/>
      <c r="B11" s="128"/>
      <c r="C11" s="128" t="s">
        <v>31</v>
      </c>
      <c r="D11" s="128"/>
      <c r="E11" s="131" t="s">
        <v>32</v>
      </c>
      <c r="F11" s="126" t="s">
        <v>24</v>
      </c>
      <c r="G11" s="156">
        <v>0</v>
      </c>
      <c r="H11" s="202"/>
      <c r="I11" s="145">
        <v>45</v>
      </c>
      <c r="J11" s="207"/>
      <c r="K11" s="209"/>
    </row>
    <row r="12" spans="1:11">
      <c r="A12" s="128"/>
      <c r="B12" s="128"/>
      <c r="C12" s="128" t="s">
        <v>33</v>
      </c>
      <c r="D12" s="128"/>
      <c r="E12" s="131" t="s">
        <v>34</v>
      </c>
      <c r="F12" s="126" t="s">
        <v>24</v>
      </c>
      <c r="G12" s="156">
        <v>0</v>
      </c>
      <c r="H12" s="202"/>
      <c r="I12" s="145">
        <v>50</v>
      </c>
      <c r="J12" s="207"/>
      <c r="K12" s="209"/>
    </row>
    <row r="13" spans="1:11" ht="24">
      <c r="A13" s="128"/>
      <c r="B13" s="128"/>
      <c r="C13" s="128" t="s">
        <v>35</v>
      </c>
      <c r="D13" s="128"/>
      <c r="E13" s="131" t="s">
        <v>36</v>
      </c>
      <c r="F13" s="126" t="s">
        <v>24</v>
      </c>
      <c r="G13" s="156">
        <v>0</v>
      </c>
      <c r="H13" s="202"/>
      <c r="I13" s="145">
        <v>70</v>
      </c>
      <c r="J13" s="207"/>
      <c r="K13" s="209"/>
    </row>
    <row r="14" spans="1:11" ht="24">
      <c r="A14" s="128"/>
      <c r="B14" s="128"/>
      <c r="C14" s="128" t="s">
        <v>37</v>
      </c>
      <c r="D14" s="128" t="s">
        <v>38</v>
      </c>
      <c r="E14" s="131" t="s">
        <v>39</v>
      </c>
      <c r="F14" s="126"/>
      <c r="G14" s="156"/>
      <c r="H14" s="202"/>
      <c r="I14" s="145"/>
      <c r="J14" s="207"/>
      <c r="K14" s="209"/>
    </row>
    <row r="15" spans="1:11">
      <c r="A15" s="128"/>
      <c r="B15" s="128"/>
      <c r="C15" s="128" t="s">
        <v>40</v>
      </c>
      <c r="D15" s="128"/>
      <c r="E15" s="131" t="s">
        <v>41</v>
      </c>
      <c r="F15" s="126" t="s">
        <v>42</v>
      </c>
      <c r="G15" s="156">
        <v>0</v>
      </c>
      <c r="H15" s="202"/>
      <c r="I15" s="145">
        <v>1950</v>
      </c>
      <c r="J15" s="207">
        <f>$G15*I15</f>
        <v>0</v>
      </c>
      <c r="K15" s="209"/>
    </row>
    <row r="16" spans="1:11">
      <c r="A16" s="128"/>
      <c r="B16" s="128"/>
      <c r="C16" s="128" t="s">
        <v>43</v>
      </c>
      <c r="D16" s="128"/>
      <c r="E16" s="131" t="s">
        <v>44</v>
      </c>
      <c r="F16" s="126" t="s">
        <v>42</v>
      </c>
      <c r="G16" s="156">
        <v>0</v>
      </c>
      <c r="H16" s="202"/>
      <c r="I16" s="145">
        <v>2500</v>
      </c>
      <c r="J16" s="207"/>
      <c r="K16" s="209"/>
    </row>
    <row r="17" spans="1:11">
      <c r="A17" s="128"/>
      <c r="B17" s="128"/>
      <c r="C17" s="128" t="s">
        <v>45</v>
      </c>
      <c r="D17" s="128"/>
      <c r="E17" s="131" t="s">
        <v>46</v>
      </c>
      <c r="F17" s="126" t="s">
        <v>42</v>
      </c>
      <c r="G17" s="156">
        <v>1</v>
      </c>
      <c r="H17" s="202"/>
      <c r="I17" s="145">
        <v>2850</v>
      </c>
      <c r="J17" s="207">
        <f>$G17*I17</f>
        <v>2850</v>
      </c>
      <c r="K17" s="209"/>
    </row>
    <row r="18" spans="1:11">
      <c r="A18" s="128"/>
      <c r="B18" s="128"/>
      <c r="C18" s="128" t="s">
        <v>47</v>
      </c>
      <c r="D18" s="128"/>
      <c r="E18" s="131" t="s">
        <v>48</v>
      </c>
      <c r="F18" s="126" t="s">
        <v>42</v>
      </c>
      <c r="G18" s="156">
        <v>0</v>
      </c>
      <c r="H18" s="202"/>
      <c r="I18" s="145">
        <v>3500</v>
      </c>
      <c r="J18" s="207"/>
      <c r="K18" s="209"/>
    </row>
    <row r="19" spans="1:11" ht="36">
      <c r="A19" s="128"/>
      <c r="B19" s="128"/>
      <c r="C19" s="128" t="s">
        <v>49</v>
      </c>
      <c r="D19" s="128" t="s">
        <v>50</v>
      </c>
      <c r="E19" s="131" t="s">
        <v>51</v>
      </c>
      <c r="F19" s="126" t="s">
        <v>42</v>
      </c>
      <c r="G19" s="156">
        <v>2</v>
      </c>
      <c r="H19" s="202">
        <f>'MB Civil &amp; Interior'!K16</f>
        <v>2</v>
      </c>
      <c r="I19" s="145">
        <v>2000</v>
      </c>
      <c r="J19" s="207">
        <f>$G19*I19</f>
        <v>4000</v>
      </c>
      <c r="K19" s="209">
        <f>H19*I19</f>
        <v>4000</v>
      </c>
    </row>
    <row r="20" spans="1:11" ht="24">
      <c r="A20" s="128" t="s">
        <v>52</v>
      </c>
      <c r="B20" s="128"/>
      <c r="C20" s="128"/>
      <c r="D20" s="128"/>
      <c r="E20" s="131"/>
      <c r="F20" s="126"/>
      <c r="G20" s="156"/>
      <c r="H20" s="202"/>
      <c r="I20" s="145"/>
      <c r="J20" s="207"/>
      <c r="K20" s="209"/>
    </row>
    <row r="21" spans="1:11">
      <c r="A21" s="128"/>
      <c r="B21" s="128" t="s">
        <v>53</v>
      </c>
      <c r="C21" s="128"/>
      <c r="D21" s="128"/>
      <c r="E21" s="131" t="s">
        <v>54</v>
      </c>
      <c r="F21" s="126"/>
      <c r="G21" s="156"/>
      <c r="H21" s="202"/>
      <c r="I21" s="145"/>
      <c r="J21" s="207"/>
      <c r="K21" s="209"/>
    </row>
    <row r="22" spans="1:11" ht="36">
      <c r="A22" s="128"/>
      <c r="B22" s="128"/>
      <c r="C22" s="128" t="s">
        <v>19</v>
      </c>
      <c r="D22" s="128" t="s">
        <v>55</v>
      </c>
      <c r="E22" s="131" t="s">
        <v>56</v>
      </c>
      <c r="F22" s="126" t="s">
        <v>57</v>
      </c>
      <c r="G22" s="156">
        <v>681</v>
      </c>
      <c r="H22" s="202">
        <f>'MB Civil &amp; Interior'!K25</f>
        <v>39.551680000000005</v>
      </c>
      <c r="I22" s="145">
        <v>175</v>
      </c>
      <c r="J22" s="207">
        <f>$G22*I22</f>
        <v>119175</v>
      </c>
      <c r="K22" s="209">
        <f>H22*I22</f>
        <v>6921.5440000000008</v>
      </c>
    </row>
    <row r="23" spans="1:11" ht="48">
      <c r="A23" s="128"/>
      <c r="B23" s="128"/>
      <c r="C23" s="128" t="s">
        <v>37</v>
      </c>
      <c r="D23" s="128" t="s">
        <v>58</v>
      </c>
      <c r="E23" s="131" t="s">
        <v>59</v>
      </c>
      <c r="F23" s="126"/>
      <c r="G23" s="156"/>
      <c r="H23" s="202"/>
      <c r="I23" s="145"/>
      <c r="J23" s="207"/>
      <c r="K23" s="209"/>
    </row>
    <row r="24" spans="1:11" ht="24">
      <c r="A24" s="128"/>
      <c r="B24" s="128"/>
      <c r="C24" s="128" t="s">
        <v>40</v>
      </c>
      <c r="D24" s="128"/>
      <c r="E24" s="131" t="s">
        <v>60</v>
      </c>
      <c r="F24" s="126" t="s">
        <v>57</v>
      </c>
      <c r="G24" s="156">
        <v>4</v>
      </c>
      <c r="H24" s="202">
        <f>'MB Civil &amp; Interior'!K28</f>
        <v>1.05942</v>
      </c>
      <c r="I24" s="145">
        <v>3300</v>
      </c>
      <c r="J24" s="207">
        <f>$G24*I24</f>
        <v>13200</v>
      </c>
      <c r="K24" s="209">
        <f>H24*I24</f>
        <v>3496.0860000000002</v>
      </c>
    </row>
    <row r="25" spans="1:11" ht="24">
      <c r="A25" s="128" t="s">
        <v>61</v>
      </c>
      <c r="B25" s="128"/>
      <c r="C25" s="128"/>
      <c r="D25" s="128"/>
      <c r="E25" s="131"/>
      <c r="F25" s="126"/>
      <c r="G25" s="156"/>
      <c r="H25" s="202"/>
      <c r="I25" s="145"/>
      <c r="J25" s="207"/>
      <c r="K25" s="209"/>
    </row>
    <row r="26" spans="1:11">
      <c r="A26" s="128"/>
      <c r="B26" s="128" t="s">
        <v>62</v>
      </c>
      <c r="C26" s="128"/>
      <c r="D26" s="128"/>
      <c r="E26" s="131" t="s">
        <v>63</v>
      </c>
      <c r="F26" s="126"/>
      <c r="G26" s="156"/>
      <c r="H26" s="202"/>
      <c r="I26" s="145"/>
      <c r="J26" s="207"/>
      <c r="K26" s="209"/>
    </row>
    <row r="27" spans="1:11">
      <c r="A27" s="128"/>
      <c r="B27" s="128"/>
      <c r="C27" s="128" t="s">
        <v>19</v>
      </c>
      <c r="D27" s="128"/>
      <c r="E27" s="131" t="s">
        <v>64</v>
      </c>
      <c r="F27" s="126"/>
      <c r="G27" s="156"/>
      <c r="H27" s="202"/>
      <c r="I27" s="145"/>
      <c r="J27" s="207"/>
      <c r="K27" s="209"/>
    </row>
    <row r="28" spans="1:11" ht="60">
      <c r="A28" s="128"/>
      <c r="B28" s="128"/>
      <c r="C28" s="128" t="s">
        <v>22</v>
      </c>
      <c r="D28" s="128" t="s">
        <v>65</v>
      </c>
      <c r="E28" s="131" t="s">
        <v>66</v>
      </c>
      <c r="F28" s="126" t="s">
        <v>67</v>
      </c>
      <c r="G28" s="156">
        <v>0</v>
      </c>
      <c r="H28" s="202"/>
      <c r="I28" s="145">
        <v>125</v>
      </c>
      <c r="J28" s="207"/>
      <c r="K28" s="209"/>
    </row>
    <row r="29" spans="1:11" ht="60">
      <c r="A29" s="128"/>
      <c r="B29" s="128"/>
      <c r="C29" s="128" t="s">
        <v>25</v>
      </c>
      <c r="D29" s="128" t="s">
        <v>68</v>
      </c>
      <c r="E29" s="131" t="s">
        <v>69</v>
      </c>
      <c r="F29" s="126" t="s">
        <v>67</v>
      </c>
      <c r="G29" s="156">
        <v>0</v>
      </c>
      <c r="H29" s="202"/>
      <c r="I29" s="145">
        <v>137</v>
      </c>
      <c r="J29" s="207"/>
      <c r="K29" s="209"/>
    </row>
    <row r="30" spans="1:11">
      <c r="A30" s="128"/>
      <c r="B30" s="128"/>
      <c r="C30" s="128" t="s">
        <v>37</v>
      </c>
      <c r="D30" s="128"/>
      <c r="E30" s="131" t="s">
        <v>70</v>
      </c>
      <c r="F30" s="126"/>
      <c r="G30" s="156"/>
      <c r="H30" s="202"/>
      <c r="I30" s="145"/>
      <c r="J30" s="207"/>
      <c r="K30" s="209"/>
    </row>
    <row r="31" spans="1:11" ht="84">
      <c r="A31" s="128"/>
      <c r="B31" s="128"/>
      <c r="C31" s="128" t="s">
        <v>40</v>
      </c>
      <c r="D31" s="128" t="s">
        <v>71</v>
      </c>
      <c r="E31" s="131" t="s">
        <v>72</v>
      </c>
      <c r="F31" s="126" t="s">
        <v>67</v>
      </c>
      <c r="G31" s="156">
        <v>650</v>
      </c>
      <c r="H31" s="202">
        <f>'MB Civil &amp; Interior'!K37</f>
        <v>620.75988000000007</v>
      </c>
      <c r="I31" s="145">
        <v>115</v>
      </c>
      <c r="J31" s="207">
        <f>$G31*I31</f>
        <v>74750</v>
      </c>
      <c r="K31" s="209">
        <f>H31*I31</f>
        <v>71387.386200000008</v>
      </c>
    </row>
    <row r="32" spans="1:11" ht="96">
      <c r="A32" s="128"/>
      <c r="B32" s="128"/>
      <c r="C32" s="128" t="s">
        <v>43</v>
      </c>
      <c r="D32" s="128" t="s">
        <v>73</v>
      </c>
      <c r="E32" s="131" t="s">
        <v>74</v>
      </c>
      <c r="F32" s="126" t="s">
        <v>57</v>
      </c>
      <c r="G32" s="156">
        <v>100</v>
      </c>
      <c r="H32" s="202"/>
      <c r="I32" s="145">
        <v>240</v>
      </c>
      <c r="J32" s="207">
        <f>$G32*I32</f>
        <v>24000</v>
      </c>
      <c r="K32" s="209"/>
    </row>
    <row r="33" spans="1:11">
      <c r="A33" s="128"/>
      <c r="B33" s="128"/>
      <c r="C33" s="128" t="s">
        <v>49</v>
      </c>
      <c r="D33" s="128"/>
      <c r="E33" s="131" t="s">
        <v>75</v>
      </c>
      <c r="F33" s="126"/>
      <c r="G33" s="156"/>
      <c r="H33" s="202"/>
      <c r="I33" s="145">
        <v>0</v>
      </c>
      <c r="J33" s="207"/>
      <c r="K33" s="209"/>
    </row>
    <row r="34" spans="1:11" ht="48">
      <c r="A34" s="128"/>
      <c r="B34" s="128"/>
      <c r="C34" s="128" t="s">
        <v>76</v>
      </c>
      <c r="D34" s="128" t="s">
        <v>77</v>
      </c>
      <c r="E34" s="131" t="s">
        <v>78</v>
      </c>
      <c r="F34" s="126" t="s">
        <v>67</v>
      </c>
      <c r="G34" s="156">
        <v>500</v>
      </c>
      <c r="H34" s="202">
        <f>'MB Civil &amp; Interior'!K45</f>
        <v>1241.41212</v>
      </c>
      <c r="I34" s="145">
        <v>40</v>
      </c>
      <c r="J34" s="207">
        <f>$G34*I34</f>
        <v>20000</v>
      </c>
      <c r="K34" s="209">
        <f>H34*I34</f>
        <v>49656.484799999998</v>
      </c>
    </row>
    <row r="35" spans="1:11" ht="24">
      <c r="A35" s="128" t="s">
        <v>79</v>
      </c>
      <c r="B35" s="128"/>
      <c r="C35" s="128"/>
      <c r="D35" s="128"/>
      <c r="E35" s="131"/>
      <c r="F35" s="126"/>
      <c r="G35" s="156"/>
      <c r="H35" s="202"/>
      <c r="I35" s="145"/>
      <c r="J35" s="207"/>
      <c r="K35" s="209"/>
    </row>
    <row r="36" spans="1:11">
      <c r="A36" s="128"/>
      <c r="B36" s="128" t="s">
        <v>80</v>
      </c>
      <c r="C36" s="128"/>
      <c r="D36" s="128"/>
      <c r="E36" s="131" t="s">
        <v>81</v>
      </c>
      <c r="F36" s="126"/>
      <c r="G36" s="156"/>
      <c r="H36" s="202"/>
      <c r="I36" s="145"/>
      <c r="J36" s="207"/>
      <c r="K36" s="209"/>
    </row>
    <row r="37" spans="1:11" ht="132">
      <c r="A37" s="128"/>
      <c r="B37" s="128"/>
      <c r="C37" s="128" t="s">
        <v>19</v>
      </c>
      <c r="D37" s="128" t="s">
        <v>82</v>
      </c>
      <c r="E37" s="131" t="s">
        <v>83</v>
      </c>
      <c r="F37" s="126" t="s">
        <v>57</v>
      </c>
      <c r="G37" s="156">
        <v>0</v>
      </c>
      <c r="H37" s="202">
        <f>'MB Civil &amp; Interior'!K50</f>
        <v>27.191780000000001</v>
      </c>
      <c r="I37" s="145">
        <v>350</v>
      </c>
      <c r="J37" s="207">
        <f>$G37*I37</f>
        <v>0</v>
      </c>
      <c r="K37" s="209"/>
    </row>
    <row r="38" spans="1:11" ht="132">
      <c r="A38" s="128"/>
      <c r="B38" s="128"/>
      <c r="C38" s="128" t="s">
        <v>37</v>
      </c>
      <c r="D38" s="128" t="s">
        <v>84</v>
      </c>
      <c r="E38" s="131" t="s">
        <v>85</v>
      </c>
      <c r="F38" s="126" t="s">
        <v>57</v>
      </c>
      <c r="G38" s="156">
        <v>86</v>
      </c>
      <c r="H38" s="202"/>
      <c r="I38" s="145">
        <v>190</v>
      </c>
      <c r="J38" s="207">
        <f>$G38*I38</f>
        <v>16340</v>
      </c>
      <c r="K38" s="209">
        <f>H38*I38</f>
        <v>0</v>
      </c>
    </row>
    <row r="39" spans="1:11" ht="72">
      <c r="A39" s="128"/>
      <c r="B39" s="128"/>
      <c r="C39" s="128" t="s">
        <v>49</v>
      </c>
      <c r="D39" s="128" t="s">
        <v>86</v>
      </c>
      <c r="E39" s="131" t="s">
        <v>87</v>
      </c>
      <c r="F39" s="126" t="s">
        <v>88</v>
      </c>
      <c r="G39" s="156">
        <v>0</v>
      </c>
      <c r="H39" s="202"/>
      <c r="I39" s="145">
        <v>75</v>
      </c>
      <c r="J39" s="207"/>
      <c r="K39" s="209"/>
    </row>
    <row r="40" spans="1:11" ht="120">
      <c r="A40" s="128"/>
      <c r="B40" s="128"/>
      <c r="C40" s="128" t="s">
        <v>89</v>
      </c>
      <c r="D40" s="128" t="s">
        <v>90</v>
      </c>
      <c r="E40" s="131" t="s">
        <v>91</v>
      </c>
      <c r="F40" s="126" t="s">
        <v>88</v>
      </c>
      <c r="G40" s="156">
        <v>366</v>
      </c>
      <c r="H40" s="202">
        <f>'MB Civil &amp; Interior'!K53</f>
        <v>9.6875999999999998</v>
      </c>
      <c r="I40" s="145">
        <v>90</v>
      </c>
      <c r="J40" s="207">
        <f>$G40*I40</f>
        <v>32940</v>
      </c>
      <c r="K40" s="209">
        <f>H40*I40</f>
        <v>871.88400000000001</v>
      </c>
    </row>
    <row r="41" spans="1:11" ht="120">
      <c r="A41" s="128"/>
      <c r="B41" s="128"/>
      <c r="C41" s="128" t="s">
        <v>92</v>
      </c>
      <c r="D41" s="128" t="s">
        <v>90</v>
      </c>
      <c r="E41" s="131" t="s">
        <v>93</v>
      </c>
      <c r="F41" s="126" t="s">
        <v>88</v>
      </c>
      <c r="G41" s="156">
        <v>0</v>
      </c>
      <c r="H41" s="202"/>
      <c r="I41" s="145">
        <v>135</v>
      </c>
      <c r="J41" s="207"/>
      <c r="K41" s="209"/>
    </row>
    <row r="42" spans="1:11" ht="24">
      <c r="A42" s="128" t="s">
        <v>94</v>
      </c>
      <c r="B42" s="128"/>
      <c r="C42" s="128"/>
      <c r="D42" s="128"/>
      <c r="E42" s="131"/>
      <c r="F42" s="126"/>
      <c r="G42" s="156"/>
      <c r="H42" s="202"/>
      <c r="I42" s="145"/>
      <c r="J42" s="207"/>
      <c r="K42" s="209"/>
    </row>
    <row r="43" spans="1:11">
      <c r="A43" s="128"/>
      <c r="B43" s="128" t="s">
        <v>95</v>
      </c>
      <c r="C43" s="128"/>
      <c r="D43" s="128"/>
      <c r="E43" s="131" t="s">
        <v>96</v>
      </c>
      <c r="F43" s="126"/>
      <c r="G43" s="156"/>
      <c r="H43" s="202"/>
      <c r="I43" s="145"/>
      <c r="J43" s="207"/>
      <c r="K43" s="209"/>
    </row>
    <row r="44" spans="1:11" ht="72">
      <c r="A44" s="128"/>
      <c r="B44" s="128"/>
      <c r="C44" s="128" t="s">
        <v>19</v>
      </c>
      <c r="D44" s="128" t="s">
        <v>97</v>
      </c>
      <c r="E44" s="131" t="s">
        <v>98</v>
      </c>
      <c r="F44" s="126" t="s">
        <v>88</v>
      </c>
      <c r="G44" s="156">
        <v>0</v>
      </c>
      <c r="H44" s="202"/>
      <c r="I44" s="145">
        <v>750</v>
      </c>
      <c r="J44" s="207"/>
      <c r="K44" s="209"/>
    </row>
    <row r="45" spans="1:11" ht="72">
      <c r="A45" s="128"/>
      <c r="B45" s="128"/>
      <c r="C45" s="128" t="s">
        <v>37</v>
      </c>
      <c r="D45" s="128" t="s">
        <v>99</v>
      </c>
      <c r="E45" s="131" t="s">
        <v>100</v>
      </c>
      <c r="F45" s="126" t="s">
        <v>88</v>
      </c>
      <c r="G45" s="156">
        <v>0</v>
      </c>
      <c r="H45" s="202"/>
      <c r="I45" s="145">
        <v>550</v>
      </c>
      <c r="J45" s="207">
        <f>$G45*I45</f>
        <v>0</v>
      </c>
      <c r="K45" s="209"/>
    </row>
    <row r="46" spans="1:11" ht="72">
      <c r="A46" s="128"/>
      <c r="B46" s="128"/>
      <c r="C46" s="128" t="s">
        <v>49</v>
      </c>
      <c r="D46" s="128" t="s">
        <v>101</v>
      </c>
      <c r="E46" s="131" t="s">
        <v>102</v>
      </c>
      <c r="F46" s="126" t="s">
        <v>103</v>
      </c>
      <c r="G46" s="156">
        <v>204</v>
      </c>
      <c r="H46" s="202">
        <f>'MB Civil &amp; Interior'!K77</f>
        <v>330.61481599999996</v>
      </c>
      <c r="I46" s="145">
        <v>140</v>
      </c>
      <c r="J46" s="207">
        <f>$G46*I46</f>
        <v>28560</v>
      </c>
      <c r="K46" s="209">
        <f>H46*I46</f>
        <v>46286.074239999994</v>
      </c>
    </row>
    <row r="47" spans="1:11" ht="24">
      <c r="A47" s="128"/>
      <c r="B47" s="128"/>
      <c r="C47" s="128" t="s">
        <v>89</v>
      </c>
      <c r="D47" s="128" t="s">
        <v>104</v>
      </c>
      <c r="E47" s="131" t="s">
        <v>105</v>
      </c>
      <c r="F47" s="126" t="s">
        <v>103</v>
      </c>
      <c r="G47" s="156">
        <v>0</v>
      </c>
      <c r="H47" s="202"/>
      <c r="I47" s="145">
        <v>145</v>
      </c>
      <c r="J47" s="207"/>
      <c r="K47" s="209"/>
    </row>
    <row r="48" spans="1:11" ht="24">
      <c r="A48" s="128"/>
      <c r="B48" s="128"/>
      <c r="C48" s="128" t="s">
        <v>92</v>
      </c>
      <c r="D48" s="128" t="s">
        <v>106</v>
      </c>
      <c r="E48" s="131" t="s">
        <v>107</v>
      </c>
      <c r="F48" s="126" t="s">
        <v>103</v>
      </c>
      <c r="G48" s="156">
        <v>0</v>
      </c>
      <c r="H48" s="202"/>
      <c r="I48" s="145">
        <v>550</v>
      </c>
      <c r="J48" s="207"/>
      <c r="K48" s="209"/>
    </row>
    <row r="49" spans="1:11" ht="60">
      <c r="A49" s="128"/>
      <c r="B49" s="128"/>
      <c r="C49" s="128" t="s">
        <v>108</v>
      </c>
      <c r="D49" s="128" t="s">
        <v>109</v>
      </c>
      <c r="E49" s="131" t="s">
        <v>110</v>
      </c>
      <c r="F49" s="126" t="s">
        <v>88</v>
      </c>
      <c r="G49" s="156">
        <v>0</v>
      </c>
      <c r="H49" s="202"/>
      <c r="I49" s="145">
        <v>15550</v>
      </c>
      <c r="J49" s="207"/>
      <c r="K49" s="209"/>
    </row>
    <row r="50" spans="1:11" ht="24">
      <c r="A50" s="128" t="s">
        <v>111</v>
      </c>
      <c r="B50" s="128"/>
      <c r="C50" s="128"/>
      <c r="D50" s="128"/>
      <c r="E50" s="131"/>
      <c r="F50" s="126"/>
      <c r="G50" s="156"/>
      <c r="H50" s="202"/>
      <c r="I50" s="145"/>
      <c r="J50" s="207"/>
      <c r="K50" s="209"/>
    </row>
    <row r="51" spans="1:11">
      <c r="A51" s="128"/>
      <c r="B51" s="128" t="s">
        <v>112</v>
      </c>
      <c r="C51" s="128"/>
      <c r="D51" s="128"/>
      <c r="E51" s="131" t="s">
        <v>113</v>
      </c>
      <c r="F51" s="126"/>
      <c r="G51" s="156"/>
      <c r="H51" s="202"/>
      <c r="I51" s="145"/>
      <c r="J51" s="207"/>
      <c r="K51" s="209"/>
    </row>
    <row r="52" spans="1:11" ht="120">
      <c r="A52" s="128"/>
      <c r="B52" s="128"/>
      <c r="C52" s="128" t="s">
        <v>19</v>
      </c>
      <c r="D52" s="128" t="s">
        <v>114</v>
      </c>
      <c r="E52" s="131" t="s">
        <v>115</v>
      </c>
      <c r="F52" s="126" t="s">
        <v>88</v>
      </c>
      <c r="G52" s="156">
        <v>0</v>
      </c>
      <c r="H52" s="202"/>
      <c r="I52" s="145">
        <v>145</v>
      </c>
      <c r="J52" s="207">
        <f>$G52*I52</f>
        <v>0</v>
      </c>
      <c r="K52" s="209"/>
    </row>
    <row r="53" spans="1:11" ht="132">
      <c r="A53" s="128"/>
      <c r="B53" s="128"/>
      <c r="C53" s="128" t="s">
        <v>37</v>
      </c>
      <c r="D53" s="128" t="s">
        <v>116</v>
      </c>
      <c r="E53" s="131" t="s">
        <v>117</v>
      </c>
      <c r="F53" s="126" t="s">
        <v>88</v>
      </c>
      <c r="G53" s="156">
        <v>0</v>
      </c>
      <c r="H53" s="202"/>
      <c r="I53" s="145">
        <v>148</v>
      </c>
      <c r="J53" s="207">
        <f>$G53*I53</f>
        <v>0</v>
      </c>
      <c r="K53" s="209"/>
    </row>
    <row r="54" spans="1:11" ht="132">
      <c r="A54" s="128"/>
      <c r="B54" s="128"/>
      <c r="C54" s="128" t="s">
        <v>49</v>
      </c>
      <c r="D54" s="128" t="s">
        <v>118</v>
      </c>
      <c r="E54" s="131" t="s">
        <v>119</v>
      </c>
      <c r="F54" s="126" t="s">
        <v>88</v>
      </c>
      <c r="G54" s="156">
        <v>0</v>
      </c>
      <c r="H54" s="202"/>
      <c r="I54" s="145">
        <v>155</v>
      </c>
      <c r="J54" s="207">
        <f>$G54*I54</f>
        <v>0</v>
      </c>
      <c r="K54" s="209"/>
    </row>
    <row r="55" spans="1:11" ht="132">
      <c r="A55" s="128"/>
      <c r="B55" s="128"/>
      <c r="C55" s="128" t="s">
        <v>89</v>
      </c>
      <c r="D55" s="128" t="s">
        <v>120</v>
      </c>
      <c r="E55" s="131" t="s">
        <v>121</v>
      </c>
      <c r="F55" s="126" t="s">
        <v>88</v>
      </c>
      <c r="G55" s="156">
        <v>720</v>
      </c>
      <c r="H55" s="202">
        <f>'MB Civil &amp; Interior'!K88</f>
        <v>578.56500000000005</v>
      </c>
      <c r="I55" s="145">
        <v>145</v>
      </c>
      <c r="J55" s="207">
        <f>$G55*I55</f>
        <v>104400</v>
      </c>
      <c r="K55" s="209">
        <f>H55*I55</f>
        <v>83891.925000000003</v>
      </c>
    </row>
    <row r="56" spans="1:11" ht="132">
      <c r="A56" s="128"/>
      <c r="B56" s="128"/>
      <c r="C56" s="128" t="s">
        <v>122</v>
      </c>
      <c r="D56" s="128" t="s">
        <v>123</v>
      </c>
      <c r="E56" s="131" t="s">
        <v>124</v>
      </c>
      <c r="F56" s="126" t="s">
        <v>88</v>
      </c>
      <c r="G56" s="156">
        <v>0</v>
      </c>
      <c r="H56" s="202"/>
      <c r="I56" s="145">
        <v>145</v>
      </c>
      <c r="J56" s="207"/>
      <c r="K56" s="209"/>
    </row>
    <row r="57" spans="1:11" ht="132">
      <c r="A57" s="128"/>
      <c r="B57" s="128"/>
      <c r="C57" s="128" t="s">
        <v>92</v>
      </c>
      <c r="D57" s="128" t="s">
        <v>125</v>
      </c>
      <c r="E57" s="131" t="s">
        <v>126</v>
      </c>
      <c r="F57" s="126" t="s">
        <v>88</v>
      </c>
      <c r="G57" s="156">
        <v>0</v>
      </c>
      <c r="H57" s="202"/>
      <c r="I57" s="145">
        <v>135</v>
      </c>
      <c r="J57" s="207">
        <f t="shared" ref="J57:J66" si="0">$G57*I57</f>
        <v>0</v>
      </c>
      <c r="K57" s="209"/>
    </row>
    <row r="58" spans="1:11" ht="120">
      <c r="A58" s="128"/>
      <c r="B58" s="128"/>
      <c r="C58" s="128" t="s">
        <v>108</v>
      </c>
      <c r="D58" s="128" t="s">
        <v>127</v>
      </c>
      <c r="E58" s="131" t="s">
        <v>128</v>
      </c>
      <c r="F58" s="126" t="s">
        <v>88</v>
      </c>
      <c r="G58" s="156">
        <v>0</v>
      </c>
      <c r="H58" s="202"/>
      <c r="I58" s="145">
        <v>235</v>
      </c>
      <c r="J58" s="207">
        <f t="shared" si="0"/>
        <v>0</v>
      </c>
      <c r="K58" s="209"/>
    </row>
    <row r="59" spans="1:11" ht="132">
      <c r="A59" s="128"/>
      <c r="B59" s="128"/>
      <c r="C59" s="128" t="s">
        <v>129</v>
      </c>
      <c r="D59" s="128" t="s">
        <v>130</v>
      </c>
      <c r="E59" s="131" t="s">
        <v>131</v>
      </c>
      <c r="F59" s="126" t="s">
        <v>88</v>
      </c>
      <c r="G59" s="156">
        <v>105</v>
      </c>
      <c r="H59" s="202"/>
      <c r="I59" s="145">
        <v>200</v>
      </c>
      <c r="J59" s="207">
        <f t="shared" si="0"/>
        <v>21000</v>
      </c>
      <c r="K59" s="209"/>
    </row>
    <row r="60" spans="1:11" ht="96">
      <c r="A60" s="128"/>
      <c r="B60" s="128"/>
      <c r="C60" s="128" t="s">
        <v>132</v>
      </c>
      <c r="D60" s="128" t="s">
        <v>133</v>
      </c>
      <c r="E60" s="131" t="s">
        <v>134</v>
      </c>
      <c r="F60" s="126" t="s">
        <v>135</v>
      </c>
      <c r="G60" s="156">
        <v>0</v>
      </c>
      <c r="H60" s="202"/>
      <c r="I60" s="145">
        <v>235</v>
      </c>
      <c r="J60" s="207">
        <f t="shared" si="0"/>
        <v>0</v>
      </c>
      <c r="K60" s="209"/>
    </row>
    <row r="61" spans="1:11" ht="108">
      <c r="A61" s="128"/>
      <c r="B61" s="128"/>
      <c r="C61" s="128" t="s">
        <v>136</v>
      </c>
      <c r="D61" s="128" t="s">
        <v>137</v>
      </c>
      <c r="E61" s="131" t="s">
        <v>138</v>
      </c>
      <c r="F61" s="126" t="s">
        <v>135</v>
      </c>
      <c r="G61" s="156">
        <v>0</v>
      </c>
      <c r="H61" s="202"/>
      <c r="I61" s="145">
        <v>90</v>
      </c>
      <c r="J61" s="207">
        <f t="shared" si="0"/>
        <v>0</v>
      </c>
      <c r="K61" s="209"/>
    </row>
    <row r="62" spans="1:11" ht="144">
      <c r="A62" s="128"/>
      <c r="B62" s="128"/>
      <c r="C62" s="128" t="s">
        <v>139</v>
      </c>
      <c r="D62" s="128" t="s">
        <v>140</v>
      </c>
      <c r="E62" s="131" t="s">
        <v>141</v>
      </c>
      <c r="F62" s="126" t="s">
        <v>135</v>
      </c>
      <c r="G62" s="156">
        <v>321</v>
      </c>
      <c r="H62" s="202">
        <f>'MB Civil &amp; Interior'!K91</f>
        <v>176.92319999999998</v>
      </c>
      <c r="I62" s="145">
        <v>80</v>
      </c>
      <c r="J62" s="207">
        <f t="shared" si="0"/>
        <v>25680</v>
      </c>
      <c r="K62" s="209">
        <f>H62*I62</f>
        <v>14153.855999999998</v>
      </c>
    </row>
    <row r="63" spans="1:11" ht="120">
      <c r="A63" s="128"/>
      <c r="B63" s="128"/>
      <c r="C63" s="128" t="s">
        <v>142</v>
      </c>
      <c r="D63" s="128" t="s">
        <v>143</v>
      </c>
      <c r="E63" s="131" t="s">
        <v>144</v>
      </c>
      <c r="F63" s="126" t="s">
        <v>135</v>
      </c>
      <c r="G63" s="156">
        <v>365</v>
      </c>
      <c r="H63" s="202"/>
      <c r="I63" s="145">
        <v>75</v>
      </c>
      <c r="J63" s="207">
        <f t="shared" si="0"/>
        <v>27375</v>
      </c>
      <c r="K63" s="209"/>
    </row>
    <row r="64" spans="1:11" ht="108">
      <c r="A64" s="128"/>
      <c r="B64" s="128"/>
      <c r="C64" s="128" t="s">
        <v>145</v>
      </c>
      <c r="D64" s="128" t="s">
        <v>146</v>
      </c>
      <c r="E64" s="131" t="s">
        <v>147</v>
      </c>
      <c r="F64" s="126" t="s">
        <v>135</v>
      </c>
      <c r="G64" s="156">
        <v>0</v>
      </c>
      <c r="H64" s="202"/>
      <c r="I64" s="145">
        <v>130</v>
      </c>
      <c r="J64" s="207">
        <f t="shared" si="0"/>
        <v>0</v>
      </c>
      <c r="K64" s="209"/>
    </row>
    <row r="65" spans="1:11" ht="108">
      <c r="A65" s="128"/>
      <c r="B65" s="128"/>
      <c r="C65" s="128" t="s">
        <v>148</v>
      </c>
      <c r="D65" s="128" t="s">
        <v>149</v>
      </c>
      <c r="E65" s="131" t="s">
        <v>150</v>
      </c>
      <c r="F65" s="126" t="s">
        <v>88</v>
      </c>
      <c r="G65" s="156">
        <v>0</v>
      </c>
      <c r="H65" s="202"/>
      <c r="I65" s="145">
        <v>130</v>
      </c>
      <c r="J65" s="207">
        <f t="shared" si="0"/>
        <v>0</v>
      </c>
      <c r="K65" s="209"/>
    </row>
    <row r="66" spans="1:11" ht="108">
      <c r="A66" s="128"/>
      <c r="B66" s="128"/>
      <c r="C66" s="128" t="s">
        <v>151</v>
      </c>
      <c r="D66" s="128" t="s">
        <v>152</v>
      </c>
      <c r="E66" s="131" t="s">
        <v>153</v>
      </c>
      <c r="F66" s="126" t="s">
        <v>88</v>
      </c>
      <c r="G66" s="156">
        <v>0</v>
      </c>
      <c r="H66" s="202">
        <f>'MB Civil &amp; Interior'!K143</f>
        <v>1070.0492400000001</v>
      </c>
      <c r="I66" s="145">
        <v>140</v>
      </c>
      <c r="J66" s="207">
        <f t="shared" si="0"/>
        <v>0</v>
      </c>
      <c r="K66" s="209">
        <f>H66*I66</f>
        <v>149806.89360000001</v>
      </c>
    </row>
    <row r="67" spans="1:11" ht="120">
      <c r="A67" s="128"/>
      <c r="B67" s="128"/>
      <c r="C67" s="128" t="s">
        <v>154</v>
      </c>
      <c r="D67" s="128" t="s">
        <v>155</v>
      </c>
      <c r="E67" s="131" t="s">
        <v>156</v>
      </c>
      <c r="F67" s="126" t="s">
        <v>88</v>
      </c>
      <c r="G67" s="156">
        <v>0</v>
      </c>
      <c r="H67" s="202"/>
      <c r="I67" s="145">
        <v>160</v>
      </c>
      <c r="J67" s="207"/>
      <c r="K67" s="209"/>
    </row>
    <row r="68" spans="1:11" ht="108">
      <c r="A68" s="128"/>
      <c r="B68" s="128"/>
      <c r="C68" s="128" t="s">
        <v>157</v>
      </c>
      <c r="D68" s="128" t="s">
        <v>158</v>
      </c>
      <c r="E68" s="131" t="s">
        <v>159</v>
      </c>
      <c r="F68" s="126" t="s">
        <v>88</v>
      </c>
      <c r="G68" s="156">
        <v>0</v>
      </c>
      <c r="H68" s="202"/>
      <c r="I68" s="145">
        <v>230</v>
      </c>
      <c r="J68" s="207"/>
      <c r="K68" s="209"/>
    </row>
    <row r="69" spans="1:11" ht="96">
      <c r="A69" s="128"/>
      <c r="B69" s="128"/>
      <c r="C69" s="128" t="s">
        <v>160</v>
      </c>
      <c r="D69" s="128" t="s">
        <v>161</v>
      </c>
      <c r="E69" s="131" t="s">
        <v>162</v>
      </c>
      <c r="F69" s="126" t="s">
        <v>88</v>
      </c>
      <c r="G69" s="156">
        <v>0</v>
      </c>
      <c r="H69" s="202"/>
      <c r="I69" s="145">
        <v>130</v>
      </c>
      <c r="J69" s="207">
        <f>$G69*I69</f>
        <v>0</v>
      </c>
      <c r="K69" s="209"/>
    </row>
    <row r="70" spans="1:11" ht="120">
      <c r="A70" s="128"/>
      <c r="B70" s="128"/>
      <c r="C70" s="128" t="s">
        <v>163</v>
      </c>
      <c r="D70" s="128" t="s">
        <v>164</v>
      </c>
      <c r="E70" s="131" t="s">
        <v>165</v>
      </c>
      <c r="F70" s="126" t="s">
        <v>88</v>
      </c>
      <c r="G70" s="156">
        <v>42</v>
      </c>
      <c r="H70" s="202"/>
      <c r="I70" s="145">
        <v>125</v>
      </c>
      <c r="J70" s="207">
        <f>$G70*I70</f>
        <v>5250</v>
      </c>
      <c r="K70" s="209"/>
    </row>
    <row r="71" spans="1:11" ht="60">
      <c r="A71" s="128"/>
      <c r="B71" s="128"/>
      <c r="C71" s="128" t="s">
        <v>166</v>
      </c>
      <c r="D71" s="128" t="s">
        <v>167</v>
      </c>
      <c r="E71" s="131" t="s">
        <v>168</v>
      </c>
      <c r="F71" s="126" t="s">
        <v>169</v>
      </c>
      <c r="G71" s="156">
        <v>25</v>
      </c>
      <c r="H71" s="202"/>
      <c r="I71" s="145">
        <v>350</v>
      </c>
      <c r="J71" s="207">
        <f>$G71*I71</f>
        <v>8750</v>
      </c>
      <c r="K71" s="209"/>
    </row>
    <row r="72" spans="1:11" ht="48">
      <c r="A72" s="128"/>
      <c r="B72" s="128"/>
      <c r="C72" s="128" t="s">
        <v>170</v>
      </c>
      <c r="D72" s="128" t="s">
        <v>171</v>
      </c>
      <c r="E72" s="131" t="s">
        <v>172</v>
      </c>
      <c r="F72" s="126" t="s">
        <v>169</v>
      </c>
      <c r="G72" s="156">
        <v>0</v>
      </c>
      <c r="H72" s="202"/>
      <c r="I72" s="145">
        <v>350</v>
      </c>
      <c r="J72" s="207"/>
      <c r="K72" s="209"/>
    </row>
    <row r="73" spans="1:11" ht="48">
      <c r="A73" s="128"/>
      <c r="B73" s="128"/>
      <c r="C73" s="128" t="s">
        <v>173</v>
      </c>
      <c r="D73" s="128" t="s">
        <v>174</v>
      </c>
      <c r="E73" s="131" t="s">
        <v>175</v>
      </c>
      <c r="F73" s="126" t="s">
        <v>176</v>
      </c>
      <c r="G73" s="156">
        <v>6</v>
      </c>
      <c r="H73" s="202">
        <f>'MB Civil &amp; Interior'!K94</f>
        <v>19.187999999999999</v>
      </c>
      <c r="I73" s="145">
        <v>370</v>
      </c>
      <c r="J73" s="207">
        <f>$G73*I73</f>
        <v>2220</v>
      </c>
      <c r="K73" s="209">
        <f>H73*I73</f>
        <v>7099.5599999999995</v>
      </c>
    </row>
    <row r="74" spans="1:11" ht="108">
      <c r="A74" s="128"/>
      <c r="B74" s="128"/>
      <c r="C74" s="128" t="s">
        <v>177</v>
      </c>
      <c r="D74" s="128" t="s">
        <v>178</v>
      </c>
      <c r="E74" s="131" t="s">
        <v>179</v>
      </c>
      <c r="F74" s="126" t="s">
        <v>88</v>
      </c>
      <c r="G74" s="156">
        <v>60</v>
      </c>
      <c r="H74" s="202"/>
      <c r="I74" s="145">
        <v>160</v>
      </c>
      <c r="J74" s="207">
        <f>$G74*I74</f>
        <v>9600</v>
      </c>
      <c r="K74" s="209"/>
    </row>
    <row r="75" spans="1:11" ht="24">
      <c r="A75" s="128" t="s">
        <v>180</v>
      </c>
      <c r="B75" s="128"/>
      <c r="C75" s="128"/>
      <c r="D75" s="128"/>
      <c r="E75" s="131"/>
      <c r="F75" s="126"/>
      <c r="G75" s="156"/>
      <c r="H75" s="202"/>
      <c r="I75" s="145"/>
      <c r="J75" s="207"/>
      <c r="K75" s="209"/>
    </row>
    <row r="76" spans="1:11">
      <c r="A76" s="128" t="s">
        <v>181</v>
      </c>
      <c r="B76" s="128"/>
      <c r="C76" s="128"/>
      <c r="D76" s="128"/>
      <c r="E76" s="131" t="s">
        <v>182</v>
      </c>
      <c r="F76" s="126"/>
      <c r="G76" s="156"/>
      <c r="H76" s="202"/>
      <c r="I76" s="145"/>
      <c r="J76" s="207"/>
      <c r="K76" s="209"/>
    </row>
    <row r="77" spans="1:11">
      <c r="A77" s="128"/>
      <c r="B77" s="128" t="s">
        <v>183</v>
      </c>
      <c r="C77" s="128"/>
      <c r="D77" s="128"/>
      <c r="E77" s="131" t="s">
        <v>184</v>
      </c>
      <c r="F77" s="126"/>
      <c r="G77" s="156"/>
      <c r="H77" s="202"/>
      <c r="I77" s="145"/>
      <c r="J77" s="207"/>
      <c r="K77" s="209"/>
    </row>
    <row r="78" spans="1:11" ht="120">
      <c r="A78" s="128"/>
      <c r="B78" s="128"/>
      <c r="C78" s="128" t="s">
        <v>19</v>
      </c>
      <c r="D78" s="128" t="s">
        <v>185</v>
      </c>
      <c r="E78" s="131" t="s">
        <v>186</v>
      </c>
      <c r="F78" s="126" t="s">
        <v>88</v>
      </c>
      <c r="G78" s="156">
        <v>0</v>
      </c>
      <c r="H78" s="202"/>
      <c r="I78" s="145">
        <v>90</v>
      </c>
      <c r="J78" s="207"/>
      <c r="K78" s="209"/>
    </row>
    <row r="79" spans="1:11" ht="96">
      <c r="A79" s="128"/>
      <c r="B79" s="128"/>
      <c r="C79" s="128" t="s">
        <v>37</v>
      </c>
      <c r="D79" s="128" t="s">
        <v>187</v>
      </c>
      <c r="E79" s="131" t="s">
        <v>188</v>
      </c>
      <c r="F79" s="126" t="s">
        <v>189</v>
      </c>
      <c r="G79" s="156">
        <v>0</v>
      </c>
      <c r="H79" s="202"/>
      <c r="I79" s="145">
        <v>320</v>
      </c>
      <c r="J79" s="207">
        <f>$G79*I79</f>
        <v>0</v>
      </c>
      <c r="K79" s="209"/>
    </row>
    <row r="80" spans="1:11" ht="84">
      <c r="A80" s="128"/>
      <c r="B80" s="128"/>
      <c r="C80" s="128" t="s">
        <v>49</v>
      </c>
      <c r="D80" s="128" t="s">
        <v>190</v>
      </c>
      <c r="E80" s="131" t="s">
        <v>191</v>
      </c>
      <c r="F80" s="126" t="s">
        <v>189</v>
      </c>
      <c r="G80" s="156">
        <v>0</v>
      </c>
      <c r="H80" s="202"/>
      <c r="I80" s="145">
        <v>275</v>
      </c>
      <c r="J80" s="207"/>
      <c r="K80" s="209"/>
    </row>
    <row r="81" spans="1:11" ht="24">
      <c r="A81" s="128" t="s">
        <v>192</v>
      </c>
      <c r="B81" s="128"/>
      <c r="C81" s="128"/>
      <c r="D81" s="128"/>
      <c r="E81" s="131"/>
      <c r="F81" s="126"/>
      <c r="G81" s="156"/>
      <c r="H81" s="202"/>
      <c r="I81" s="145"/>
      <c r="J81" s="207"/>
      <c r="K81" s="209"/>
    </row>
    <row r="82" spans="1:11">
      <c r="A82" s="128"/>
      <c r="B82" s="128" t="s">
        <v>193</v>
      </c>
      <c r="C82" s="128"/>
      <c r="D82" s="128"/>
      <c r="E82" s="131" t="s">
        <v>194</v>
      </c>
      <c r="F82" s="126"/>
      <c r="G82" s="156"/>
      <c r="H82" s="202"/>
      <c r="I82" s="145"/>
      <c r="J82" s="207"/>
      <c r="K82" s="209"/>
    </row>
    <row r="83" spans="1:11" ht="96">
      <c r="A83" s="128"/>
      <c r="B83" s="128"/>
      <c r="C83" s="128" t="s">
        <v>19</v>
      </c>
      <c r="D83" s="128" t="s">
        <v>195</v>
      </c>
      <c r="E83" s="131" t="s">
        <v>196</v>
      </c>
      <c r="F83" s="126" t="s">
        <v>88</v>
      </c>
      <c r="G83" s="156">
        <v>0</v>
      </c>
      <c r="H83" s="202"/>
      <c r="I83" s="145">
        <v>420</v>
      </c>
      <c r="J83" s="207"/>
      <c r="K83" s="209"/>
    </row>
    <row r="84" spans="1:11" ht="36">
      <c r="A84" s="128"/>
      <c r="B84" s="128"/>
      <c r="C84" s="128" t="s">
        <v>37</v>
      </c>
      <c r="D84" s="128" t="s">
        <v>197</v>
      </c>
      <c r="E84" s="131" t="s">
        <v>198</v>
      </c>
      <c r="F84" s="126" t="s">
        <v>199</v>
      </c>
      <c r="G84" s="156">
        <v>84.15</v>
      </c>
      <c r="H84" s="202"/>
      <c r="I84" s="145">
        <v>400</v>
      </c>
      <c r="J84" s="207">
        <f>$G84*I84</f>
        <v>33660</v>
      </c>
      <c r="K84" s="209"/>
    </row>
    <row r="85" spans="1:11" ht="24">
      <c r="A85" s="128" t="s">
        <v>200</v>
      </c>
      <c r="B85" s="128"/>
      <c r="C85" s="128"/>
      <c r="D85" s="128"/>
      <c r="E85" s="131"/>
      <c r="F85" s="126"/>
      <c r="G85" s="156"/>
      <c r="H85" s="202"/>
      <c r="I85" s="145"/>
      <c r="J85" s="207"/>
      <c r="K85" s="209"/>
    </row>
    <row r="86" spans="1:11">
      <c r="A86" s="128"/>
      <c r="B86" s="128" t="s">
        <v>201</v>
      </c>
      <c r="C86" s="128"/>
      <c r="D86" s="128"/>
      <c r="E86" s="131" t="s">
        <v>202</v>
      </c>
      <c r="F86" s="126"/>
      <c r="G86" s="156"/>
      <c r="H86" s="202"/>
      <c r="I86" s="145"/>
      <c r="J86" s="207"/>
      <c r="K86" s="209"/>
    </row>
    <row r="87" spans="1:11" ht="84">
      <c r="A87" s="128"/>
      <c r="B87" s="128"/>
      <c r="C87" s="128" t="s">
        <v>19</v>
      </c>
      <c r="D87" s="128" t="s">
        <v>203</v>
      </c>
      <c r="E87" s="131" t="s">
        <v>204</v>
      </c>
      <c r="F87" s="126" t="s">
        <v>88</v>
      </c>
      <c r="G87" s="156">
        <v>0</v>
      </c>
      <c r="H87" s="202"/>
      <c r="I87" s="145">
        <v>380</v>
      </c>
      <c r="J87" s="207">
        <f>$G87*I87</f>
        <v>0</v>
      </c>
      <c r="K87" s="209"/>
    </row>
    <row r="88" spans="1:11" ht="84">
      <c r="A88" s="128"/>
      <c r="B88" s="128"/>
      <c r="C88" s="128" t="s">
        <v>205</v>
      </c>
      <c r="D88" s="128"/>
      <c r="E88" s="131" t="s">
        <v>206</v>
      </c>
      <c r="F88" s="126"/>
      <c r="G88" s="156"/>
      <c r="H88" s="202"/>
      <c r="I88" s="145"/>
      <c r="J88" s="207"/>
      <c r="K88" s="209"/>
    </row>
    <row r="89" spans="1:11" ht="24">
      <c r="A89" s="128"/>
      <c r="B89" s="128"/>
      <c r="C89" s="128" t="s">
        <v>22</v>
      </c>
      <c r="D89" s="128"/>
      <c r="E89" s="131" t="s">
        <v>207</v>
      </c>
      <c r="F89" s="126" t="s">
        <v>88</v>
      </c>
      <c r="G89" s="156">
        <v>0</v>
      </c>
      <c r="H89" s="202"/>
      <c r="I89" s="145">
        <v>290</v>
      </c>
      <c r="J89" s="207">
        <f>$G89*I89</f>
        <v>0</v>
      </c>
      <c r="K89" s="209"/>
    </row>
    <row r="90" spans="1:11" ht="24">
      <c r="A90" s="128"/>
      <c r="B90" s="128"/>
      <c r="C90" s="128" t="s">
        <v>25</v>
      </c>
      <c r="D90" s="128"/>
      <c r="E90" s="131" t="s">
        <v>208</v>
      </c>
      <c r="F90" s="126" t="s">
        <v>88</v>
      </c>
      <c r="G90" s="156">
        <v>0</v>
      </c>
      <c r="H90" s="202"/>
      <c r="I90" s="145">
        <v>290</v>
      </c>
      <c r="J90" s="207"/>
      <c r="K90" s="209"/>
    </row>
    <row r="91" spans="1:11" ht="84">
      <c r="A91" s="128"/>
      <c r="B91" s="128"/>
      <c r="C91" s="128" t="s">
        <v>37</v>
      </c>
      <c r="D91" s="128" t="s">
        <v>209</v>
      </c>
      <c r="E91" s="131" t="s">
        <v>210</v>
      </c>
      <c r="F91" s="126" t="s">
        <v>88</v>
      </c>
      <c r="G91" s="156">
        <v>10</v>
      </c>
      <c r="H91" s="202">
        <f>'MB Civil &amp; Interior'!K99</f>
        <v>15.069599999999998</v>
      </c>
      <c r="I91" s="145">
        <v>400</v>
      </c>
      <c r="J91" s="207">
        <f>$G91*I91</f>
        <v>4000</v>
      </c>
      <c r="K91" s="209">
        <f>H91*I91</f>
        <v>6027.8399999999992</v>
      </c>
    </row>
    <row r="92" spans="1:11" ht="136.5" customHeight="1">
      <c r="A92" s="128"/>
      <c r="B92" s="128"/>
      <c r="C92" s="128"/>
      <c r="D92" s="128"/>
      <c r="E92" s="160" t="s">
        <v>211</v>
      </c>
      <c r="F92" s="126" t="s">
        <v>88</v>
      </c>
      <c r="G92" s="156">
        <v>18</v>
      </c>
      <c r="H92" s="202"/>
      <c r="I92" s="145"/>
      <c r="J92" s="207">
        <f>$G92*I92</f>
        <v>0</v>
      </c>
      <c r="K92" s="209"/>
    </row>
    <row r="93" spans="1:11" ht="48">
      <c r="A93" s="128"/>
      <c r="B93" s="128"/>
      <c r="C93" s="128" t="s">
        <v>49</v>
      </c>
      <c r="D93" s="128" t="s">
        <v>212</v>
      </c>
      <c r="E93" s="131" t="s">
        <v>213</v>
      </c>
      <c r="F93" s="126" t="s">
        <v>88</v>
      </c>
      <c r="G93" s="156">
        <v>0</v>
      </c>
      <c r="H93" s="202">
        <f>'MB Civil &amp; Interior'!K104</f>
        <v>93.969719999999995</v>
      </c>
      <c r="I93" s="145">
        <v>300</v>
      </c>
      <c r="J93" s="207"/>
      <c r="K93" s="209">
        <f>H93*I93</f>
        <v>28190.915999999997</v>
      </c>
    </row>
    <row r="94" spans="1:11" ht="84">
      <c r="A94" s="128"/>
      <c r="B94" s="128"/>
      <c r="C94" s="128" t="s">
        <v>214</v>
      </c>
      <c r="D94" s="128"/>
      <c r="E94" s="131" t="s">
        <v>215</v>
      </c>
      <c r="F94" s="126"/>
      <c r="G94" s="156"/>
      <c r="H94" s="202"/>
      <c r="I94" s="145"/>
      <c r="J94" s="207"/>
      <c r="K94" s="209"/>
    </row>
    <row r="95" spans="1:11" ht="24">
      <c r="A95" s="128"/>
      <c r="B95" s="128"/>
      <c r="C95" s="128" t="s">
        <v>89</v>
      </c>
      <c r="D95" s="128" t="s">
        <v>216</v>
      </c>
      <c r="E95" s="131" t="s">
        <v>217</v>
      </c>
      <c r="F95" s="126" t="s">
        <v>218</v>
      </c>
      <c r="G95" s="156">
        <v>0</v>
      </c>
      <c r="H95" s="202">
        <f>'MB Civil &amp; Interior'!K106</f>
        <v>22.281479999999998</v>
      </c>
      <c r="I95" s="145">
        <v>210</v>
      </c>
      <c r="J95" s="207"/>
      <c r="K95" s="209">
        <f>H95*I95</f>
        <v>4679.1107999999995</v>
      </c>
    </row>
    <row r="96" spans="1:11" ht="24">
      <c r="A96" s="128"/>
      <c r="B96" s="128"/>
      <c r="C96" s="128" t="s">
        <v>219</v>
      </c>
      <c r="D96" s="128" t="s">
        <v>216</v>
      </c>
      <c r="E96" s="131" t="s">
        <v>220</v>
      </c>
      <c r="F96" s="126" t="s">
        <v>24</v>
      </c>
      <c r="G96" s="156">
        <v>45</v>
      </c>
      <c r="H96" s="202">
        <f>'MB Civil &amp; Interior'!K110</f>
        <v>31.000319999999999</v>
      </c>
      <c r="I96" s="145">
        <v>255</v>
      </c>
      <c r="J96" s="207">
        <f>$G96*I96</f>
        <v>11475</v>
      </c>
      <c r="K96" s="209">
        <f>H96*I96</f>
        <v>7905.0815999999995</v>
      </c>
    </row>
    <row r="97" spans="1:11" ht="24">
      <c r="A97" s="128"/>
      <c r="B97" s="128"/>
      <c r="C97" s="128" t="s">
        <v>221</v>
      </c>
      <c r="D97" s="128" t="s">
        <v>216</v>
      </c>
      <c r="E97" s="131" t="s">
        <v>222</v>
      </c>
      <c r="F97" s="126" t="s">
        <v>218</v>
      </c>
      <c r="G97" s="156">
        <v>0</v>
      </c>
      <c r="H97" s="202">
        <f>'MB Civil &amp; Interior'!K115</f>
        <v>6.78132</v>
      </c>
      <c r="I97" s="145">
        <v>300</v>
      </c>
      <c r="J97" s="207"/>
      <c r="K97" s="209">
        <f>H97*I97</f>
        <v>2034.396</v>
      </c>
    </row>
    <row r="98" spans="1:11" ht="72">
      <c r="A98" s="128"/>
      <c r="B98" s="128"/>
      <c r="C98" s="128" t="s">
        <v>92</v>
      </c>
      <c r="D98" s="128" t="s">
        <v>223</v>
      </c>
      <c r="E98" s="131" t="s">
        <v>224</v>
      </c>
      <c r="F98" s="126" t="s">
        <v>88</v>
      </c>
      <c r="G98" s="156">
        <v>0</v>
      </c>
      <c r="H98" s="202"/>
      <c r="I98" s="145">
        <v>275</v>
      </c>
      <c r="J98" s="207"/>
      <c r="K98" s="209"/>
    </row>
    <row r="99" spans="1:11" ht="84">
      <c r="A99" s="128"/>
      <c r="B99" s="128"/>
      <c r="C99" s="128" t="s">
        <v>108</v>
      </c>
      <c r="D99" s="128" t="s">
        <v>225</v>
      </c>
      <c r="E99" s="131" t="s">
        <v>226</v>
      </c>
      <c r="F99" s="126" t="s">
        <v>88</v>
      </c>
      <c r="G99" s="156">
        <v>120</v>
      </c>
      <c r="H99" s="202"/>
      <c r="I99" s="145">
        <v>245</v>
      </c>
      <c r="J99" s="207">
        <f>$G99*I99</f>
        <v>29400</v>
      </c>
      <c r="K99" s="209"/>
    </row>
    <row r="100" spans="1:11" ht="60">
      <c r="A100" s="128"/>
      <c r="B100" s="128"/>
      <c r="C100" s="128" t="s">
        <v>129</v>
      </c>
      <c r="D100" s="128" t="s">
        <v>227</v>
      </c>
      <c r="E100" s="131" t="s">
        <v>228</v>
      </c>
      <c r="F100" s="126" t="s">
        <v>88</v>
      </c>
      <c r="G100" s="156">
        <v>0</v>
      </c>
      <c r="H100" s="202"/>
      <c r="I100" s="145">
        <v>195</v>
      </c>
      <c r="J100" s="207"/>
      <c r="K100" s="209"/>
    </row>
    <row r="101" spans="1:11" ht="60">
      <c r="A101" s="128"/>
      <c r="B101" s="128"/>
      <c r="C101" s="128" t="s">
        <v>132</v>
      </c>
      <c r="D101" s="128" t="s">
        <v>229</v>
      </c>
      <c r="E101" s="131" t="s">
        <v>230</v>
      </c>
      <c r="F101" s="126" t="s">
        <v>231</v>
      </c>
      <c r="G101" s="156">
        <v>0</v>
      </c>
      <c r="H101" s="202"/>
      <c r="I101" s="145">
        <v>350</v>
      </c>
      <c r="J101" s="207"/>
      <c r="K101" s="209"/>
    </row>
    <row r="102" spans="1:11" ht="48">
      <c r="A102" s="128"/>
      <c r="B102" s="128"/>
      <c r="C102" s="128" t="s">
        <v>232</v>
      </c>
      <c r="D102" s="128" t="s">
        <v>233</v>
      </c>
      <c r="E102" s="131" t="s">
        <v>234</v>
      </c>
      <c r="F102" s="126" t="s">
        <v>231</v>
      </c>
      <c r="G102" s="156">
        <v>0</v>
      </c>
      <c r="H102" s="202"/>
      <c r="I102" s="145">
        <v>250</v>
      </c>
      <c r="J102" s="207"/>
      <c r="K102" s="209"/>
    </row>
    <row r="103" spans="1:11" ht="72">
      <c r="A103" s="128"/>
      <c r="B103" s="128"/>
      <c r="C103" s="128" t="s">
        <v>136</v>
      </c>
      <c r="D103" s="128" t="s">
        <v>235</v>
      </c>
      <c r="E103" s="131" t="s">
        <v>236</v>
      </c>
      <c r="F103" s="126" t="s">
        <v>88</v>
      </c>
      <c r="G103" s="156">
        <v>0</v>
      </c>
      <c r="H103" s="202"/>
      <c r="I103" s="145">
        <v>355</v>
      </c>
      <c r="J103" s="207"/>
      <c r="K103" s="209"/>
    </row>
    <row r="104" spans="1:11" ht="60">
      <c r="A104" s="128"/>
      <c r="B104" s="128"/>
      <c r="C104" s="128" t="s">
        <v>139</v>
      </c>
      <c r="D104" s="128" t="s">
        <v>237</v>
      </c>
      <c r="E104" s="131" t="s">
        <v>238</v>
      </c>
      <c r="F104" s="126" t="s">
        <v>88</v>
      </c>
      <c r="G104" s="156">
        <v>56</v>
      </c>
      <c r="H104" s="202">
        <f>'MB Civil &amp; Interior'!K117</f>
        <v>22.281479999999998</v>
      </c>
      <c r="I104" s="145">
        <v>175</v>
      </c>
      <c r="J104" s="207">
        <f>$G104*I104</f>
        <v>9800</v>
      </c>
      <c r="K104" s="209">
        <f>H104*I104</f>
        <v>3899.2589999999996</v>
      </c>
    </row>
    <row r="105" spans="1:11" ht="48">
      <c r="A105" s="128"/>
      <c r="B105" s="128"/>
      <c r="C105" s="128" t="s">
        <v>145</v>
      </c>
      <c r="D105" s="128" t="s">
        <v>239</v>
      </c>
      <c r="E105" s="131" t="s">
        <v>240</v>
      </c>
      <c r="F105" s="126" t="s">
        <v>88</v>
      </c>
      <c r="G105" s="156">
        <v>0</v>
      </c>
      <c r="H105" s="202"/>
      <c r="I105" s="145">
        <v>165</v>
      </c>
      <c r="J105" s="207"/>
      <c r="K105" s="209"/>
    </row>
    <row r="106" spans="1:11" ht="36">
      <c r="A106" s="128"/>
      <c r="B106" s="128"/>
      <c r="C106" s="128" t="s">
        <v>148</v>
      </c>
      <c r="D106" s="128" t="s">
        <v>241</v>
      </c>
      <c r="E106" s="131" t="s">
        <v>242</v>
      </c>
      <c r="F106" s="126" t="s">
        <v>243</v>
      </c>
      <c r="G106" s="156">
        <v>140</v>
      </c>
      <c r="H106" s="202"/>
      <c r="I106" s="145">
        <v>200</v>
      </c>
      <c r="J106" s="207">
        <f>$G106*I106</f>
        <v>28000</v>
      </c>
      <c r="K106" s="209"/>
    </row>
    <row r="107" spans="1:11" ht="36">
      <c r="A107" s="128"/>
      <c r="B107" s="128"/>
      <c r="C107" s="128" t="s">
        <v>151</v>
      </c>
      <c r="D107" s="128" t="s">
        <v>244</v>
      </c>
      <c r="E107" s="161" t="s">
        <v>245</v>
      </c>
      <c r="F107" s="126" t="s">
        <v>243</v>
      </c>
      <c r="G107" s="156">
        <v>65</v>
      </c>
      <c r="H107" s="202">
        <f>'MB Civil &amp; Interior'!K123</f>
        <v>120.70399999999998</v>
      </c>
      <c r="I107" s="166">
        <v>250</v>
      </c>
      <c r="J107" s="207">
        <f>$G107*I107</f>
        <v>16250</v>
      </c>
      <c r="K107" s="209">
        <f>H107*I107</f>
        <v>30175.999999999996</v>
      </c>
    </row>
    <row r="108" spans="1:11" ht="24">
      <c r="A108" s="128"/>
      <c r="B108" s="128"/>
      <c r="C108" s="128" t="s">
        <v>154</v>
      </c>
      <c r="D108" s="128" t="s">
        <v>246</v>
      </c>
      <c r="E108" s="131" t="s">
        <v>247</v>
      </c>
      <c r="F108" s="126" t="s">
        <v>243</v>
      </c>
      <c r="G108" s="156">
        <v>20</v>
      </c>
      <c r="H108" s="202"/>
      <c r="I108" s="145">
        <v>175</v>
      </c>
      <c r="J108" s="207">
        <f>$G108*I108</f>
        <v>3500</v>
      </c>
      <c r="K108" s="209"/>
    </row>
    <row r="109" spans="1:11" ht="72">
      <c r="A109" s="128"/>
      <c r="B109" s="128"/>
      <c r="C109" s="128" t="s">
        <v>248</v>
      </c>
      <c r="D109" s="128" t="s">
        <v>249</v>
      </c>
      <c r="E109" s="131" t="s">
        <v>250</v>
      </c>
      <c r="F109" s="126" t="s">
        <v>88</v>
      </c>
      <c r="G109" s="156">
        <v>0</v>
      </c>
      <c r="H109" s="202"/>
      <c r="I109" s="145">
        <v>325</v>
      </c>
      <c r="J109" s="207">
        <f>$G109*I109</f>
        <v>0</v>
      </c>
      <c r="K109" s="209"/>
    </row>
    <row r="110" spans="1:11" ht="60">
      <c r="A110" s="128"/>
      <c r="B110" s="128"/>
      <c r="C110" s="128" t="s">
        <v>251</v>
      </c>
      <c r="D110" s="128" t="s">
        <v>252</v>
      </c>
      <c r="E110" s="131" t="s">
        <v>253</v>
      </c>
      <c r="F110" s="126" t="s">
        <v>88</v>
      </c>
      <c r="G110" s="156">
        <v>0</v>
      </c>
      <c r="H110" s="202"/>
      <c r="I110" s="145">
        <v>310</v>
      </c>
      <c r="J110" s="207"/>
      <c r="K110" s="209"/>
    </row>
    <row r="111" spans="1:11" ht="60">
      <c r="A111" s="128"/>
      <c r="B111" s="128"/>
      <c r="C111" s="128" t="s">
        <v>254</v>
      </c>
      <c r="D111" s="128" t="s">
        <v>255</v>
      </c>
      <c r="E111" s="131" t="s">
        <v>256</v>
      </c>
      <c r="F111" s="126" t="s">
        <v>88</v>
      </c>
      <c r="G111" s="156">
        <v>0</v>
      </c>
      <c r="H111" s="202"/>
      <c r="I111" s="145">
        <v>285</v>
      </c>
      <c r="J111" s="207"/>
      <c r="K111" s="209"/>
    </row>
    <row r="112" spans="1:11" ht="72">
      <c r="A112" s="128"/>
      <c r="B112" s="128"/>
      <c r="C112" s="128" t="s">
        <v>257</v>
      </c>
      <c r="D112" s="128" t="s">
        <v>258</v>
      </c>
      <c r="E112" s="131" t="s">
        <v>259</v>
      </c>
      <c r="F112" s="126" t="s">
        <v>88</v>
      </c>
      <c r="G112" s="156">
        <v>0</v>
      </c>
      <c r="H112" s="202"/>
      <c r="I112" s="145">
        <v>300</v>
      </c>
      <c r="J112" s="207"/>
      <c r="K112" s="209"/>
    </row>
    <row r="113" spans="1:11" ht="72">
      <c r="A113" s="128"/>
      <c r="B113" s="128"/>
      <c r="C113" s="128" t="s">
        <v>260</v>
      </c>
      <c r="D113" s="128" t="s">
        <v>261</v>
      </c>
      <c r="E113" s="131" t="s">
        <v>262</v>
      </c>
      <c r="F113" s="126" t="s">
        <v>88</v>
      </c>
      <c r="G113" s="156">
        <v>56</v>
      </c>
      <c r="H113" s="202">
        <f>'MB Civil &amp; Interior'!K149</f>
        <v>86.904203519999982</v>
      </c>
      <c r="I113" s="145">
        <v>325</v>
      </c>
      <c r="J113" s="207">
        <f>$G113*I113</f>
        <v>18200</v>
      </c>
      <c r="K113" s="209">
        <f>H113*I113</f>
        <v>28243.866143999992</v>
      </c>
    </row>
    <row r="114" spans="1:11" ht="48">
      <c r="A114" s="128"/>
      <c r="B114" s="128"/>
      <c r="C114" s="128" t="s">
        <v>263</v>
      </c>
      <c r="D114" s="128" t="s">
        <v>264</v>
      </c>
      <c r="E114" s="131" t="s">
        <v>265</v>
      </c>
      <c r="F114" s="126" t="s">
        <v>88</v>
      </c>
      <c r="G114" s="156">
        <v>0</v>
      </c>
      <c r="H114" s="202"/>
      <c r="I114" s="145">
        <v>290</v>
      </c>
      <c r="J114" s="207"/>
      <c r="K114" s="209"/>
    </row>
    <row r="115" spans="1:11" ht="48">
      <c r="A115" s="128"/>
      <c r="B115" s="128"/>
      <c r="C115" s="128" t="s">
        <v>266</v>
      </c>
      <c r="D115" s="128" t="s">
        <v>267</v>
      </c>
      <c r="E115" s="131" t="s">
        <v>268</v>
      </c>
      <c r="F115" s="126" t="s">
        <v>88</v>
      </c>
      <c r="G115" s="156">
        <v>0</v>
      </c>
      <c r="H115" s="202"/>
      <c r="I115" s="145">
        <v>290</v>
      </c>
      <c r="J115" s="207"/>
      <c r="K115" s="209"/>
    </row>
    <row r="116" spans="1:11" ht="24">
      <c r="A116" s="128"/>
      <c r="B116" s="128"/>
      <c r="C116" s="128" t="s">
        <v>163</v>
      </c>
      <c r="D116" s="128" t="s">
        <v>269</v>
      </c>
      <c r="E116" s="131" t="s">
        <v>270</v>
      </c>
      <c r="F116" s="126" t="s">
        <v>271</v>
      </c>
      <c r="G116" s="156">
        <v>70</v>
      </c>
      <c r="H116" s="202"/>
      <c r="I116" s="145">
        <v>275</v>
      </c>
      <c r="J116" s="207">
        <f>$G116*I116</f>
        <v>19250</v>
      </c>
      <c r="K116" s="209">
        <f>H116*I116</f>
        <v>0</v>
      </c>
    </row>
    <row r="117" spans="1:11" ht="108">
      <c r="A117" s="128"/>
      <c r="B117" s="128"/>
      <c r="C117" s="128" t="s">
        <v>166</v>
      </c>
      <c r="D117" s="128" t="s">
        <v>272</v>
      </c>
      <c r="E117" s="131" t="s">
        <v>273</v>
      </c>
      <c r="F117" s="126" t="s">
        <v>88</v>
      </c>
      <c r="G117" s="156">
        <v>0</v>
      </c>
      <c r="H117" s="202"/>
      <c r="I117" s="145">
        <v>195</v>
      </c>
      <c r="J117" s="207"/>
      <c r="K117" s="209"/>
    </row>
    <row r="118" spans="1:11" ht="24">
      <c r="A118" s="128" t="s">
        <v>274</v>
      </c>
      <c r="B118" s="128"/>
      <c r="C118" s="128"/>
      <c r="D118" s="128"/>
      <c r="E118" s="131"/>
      <c r="F118" s="126"/>
      <c r="G118" s="156"/>
      <c r="H118" s="202"/>
      <c r="I118" s="145"/>
      <c r="J118" s="207"/>
      <c r="K118" s="209"/>
    </row>
    <row r="119" spans="1:11">
      <c r="A119" s="128"/>
      <c r="B119" s="128" t="s">
        <v>275</v>
      </c>
      <c r="C119" s="128"/>
      <c r="D119" s="128"/>
      <c r="E119" s="131" t="s">
        <v>276</v>
      </c>
      <c r="F119" s="126"/>
      <c r="G119" s="156"/>
      <c r="H119" s="202"/>
      <c r="I119" s="145"/>
      <c r="J119" s="207"/>
      <c r="K119" s="209"/>
    </row>
    <row r="120" spans="1:11" ht="96">
      <c r="A120" s="128"/>
      <c r="B120" s="128"/>
      <c r="C120" s="128" t="s">
        <v>19</v>
      </c>
      <c r="D120" s="128" t="s">
        <v>277</v>
      </c>
      <c r="E120" s="131" t="s">
        <v>278</v>
      </c>
      <c r="F120" s="126" t="s">
        <v>24</v>
      </c>
      <c r="G120" s="156">
        <v>32</v>
      </c>
      <c r="H120" s="202"/>
      <c r="I120" s="145">
        <v>1350</v>
      </c>
      <c r="J120" s="207">
        <f>$G120*I120</f>
        <v>43200</v>
      </c>
      <c r="K120" s="209"/>
    </row>
    <row r="121" spans="1:11" ht="36">
      <c r="A121" s="128"/>
      <c r="B121" s="128"/>
      <c r="C121" s="128" t="s">
        <v>37</v>
      </c>
      <c r="D121" s="128" t="s">
        <v>279</v>
      </c>
      <c r="E121" s="131" t="s">
        <v>280</v>
      </c>
      <c r="F121" s="126" t="s">
        <v>24</v>
      </c>
      <c r="G121" s="156"/>
      <c r="H121" s="202"/>
      <c r="I121" s="145">
        <v>1070</v>
      </c>
      <c r="J121" s="207"/>
      <c r="K121" s="209"/>
    </row>
    <row r="122" spans="1:11" ht="132">
      <c r="A122" s="128"/>
      <c r="B122" s="128"/>
      <c r="C122" s="128" t="s">
        <v>49</v>
      </c>
      <c r="D122" s="128" t="s">
        <v>281</v>
      </c>
      <c r="E122" s="131" t="s">
        <v>282</v>
      </c>
      <c r="F122" s="126" t="s">
        <v>24</v>
      </c>
      <c r="G122" s="156">
        <v>27</v>
      </c>
      <c r="H122" s="202">
        <f>'MB Civil &amp; Interior'!K152</f>
        <v>25.080120000000001</v>
      </c>
      <c r="I122" s="145">
        <v>975</v>
      </c>
      <c r="J122" s="207">
        <f>$G122*I122</f>
        <v>26325</v>
      </c>
      <c r="K122" s="209">
        <f>H122*I122</f>
        <v>24453.117000000002</v>
      </c>
    </row>
    <row r="123" spans="1:11" ht="108">
      <c r="A123" s="128"/>
      <c r="B123" s="128"/>
      <c r="C123" s="128" t="s">
        <v>76</v>
      </c>
      <c r="D123" s="128" t="s">
        <v>283</v>
      </c>
      <c r="E123" s="131" t="s">
        <v>284</v>
      </c>
      <c r="F123" s="126" t="s">
        <v>24</v>
      </c>
      <c r="G123" s="156">
        <v>0</v>
      </c>
      <c r="H123" s="202"/>
      <c r="I123" s="145">
        <v>1100</v>
      </c>
      <c r="J123" s="207"/>
      <c r="K123" s="209"/>
    </row>
    <row r="124" spans="1:11" ht="108">
      <c r="A124" s="128"/>
      <c r="B124" s="128"/>
      <c r="C124" s="128" t="s">
        <v>285</v>
      </c>
      <c r="D124" s="128" t="s">
        <v>286</v>
      </c>
      <c r="E124" s="131" t="s">
        <v>287</v>
      </c>
      <c r="F124" s="126" t="s">
        <v>24</v>
      </c>
      <c r="G124" s="156">
        <v>0</v>
      </c>
      <c r="H124" s="202"/>
      <c r="I124" s="145">
        <v>1500</v>
      </c>
      <c r="J124" s="207"/>
      <c r="K124" s="209"/>
    </row>
    <row r="125" spans="1:11" ht="132">
      <c r="A125" s="128"/>
      <c r="B125" s="128"/>
      <c r="C125" s="128" t="s">
        <v>89</v>
      </c>
      <c r="D125" s="128" t="s">
        <v>288</v>
      </c>
      <c r="E125" s="131" t="s">
        <v>289</v>
      </c>
      <c r="F125" s="126" t="s">
        <v>24</v>
      </c>
      <c r="G125" s="156">
        <v>0</v>
      </c>
      <c r="H125" s="202"/>
      <c r="I125" s="145">
        <v>950</v>
      </c>
      <c r="J125" s="207">
        <f>$G125*I125</f>
        <v>0</v>
      </c>
      <c r="K125" s="209"/>
    </row>
    <row r="126" spans="1:11" ht="108">
      <c r="A126" s="128"/>
      <c r="B126" s="128"/>
      <c r="C126" s="128" t="s">
        <v>219</v>
      </c>
      <c r="D126" s="128" t="s">
        <v>290</v>
      </c>
      <c r="E126" s="131" t="s">
        <v>291</v>
      </c>
      <c r="F126" s="126" t="s">
        <v>24</v>
      </c>
      <c r="G126" s="156">
        <v>0</v>
      </c>
      <c r="H126" s="202"/>
      <c r="I126" s="145">
        <v>850</v>
      </c>
      <c r="J126" s="207"/>
      <c r="K126" s="209"/>
    </row>
    <row r="127" spans="1:11" ht="132">
      <c r="A127" s="128"/>
      <c r="B127" s="128"/>
      <c r="C127" s="128" t="s">
        <v>92</v>
      </c>
      <c r="D127" s="128" t="s">
        <v>292</v>
      </c>
      <c r="E127" s="131" t="s">
        <v>293</v>
      </c>
      <c r="F127" s="126" t="s">
        <v>24</v>
      </c>
      <c r="G127" s="156">
        <v>21</v>
      </c>
      <c r="H127" s="202"/>
      <c r="I127" s="145">
        <v>875</v>
      </c>
      <c r="J127" s="207">
        <f>$G127*I127</f>
        <v>18375</v>
      </c>
      <c r="K127" s="209"/>
    </row>
    <row r="128" spans="1:11" ht="48">
      <c r="A128" s="128"/>
      <c r="B128" s="128"/>
      <c r="C128" s="128" t="s">
        <v>108</v>
      </c>
      <c r="D128" s="128" t="s">
        <v>294</v>
      </c>
      <c r="E128" s="131" t="s">
        <v>295</v>
      </c>
      <c r="F128" s="126" t="s">
        <v>189</v>
      </c>
      <c r="G128" s="156">
        <v>0</v>
      </c>
      <c r="H128" s="202"/>
      <c r="I128" s="145">
        <v>1400</v>
      </c>
      <c r="J128" s="207"/>
      <c r="K128" s="209"/>
    </row>
    <row r="129" spans="1:11" ht="108">
      <c r="A129" s="128"/>
      <c r="B129" s="128"/>
      <c r="C129" s="128" t="s">
        <v>129</v>
      </c>
      <c r="D129" s="128" t="s">
        <v>296</v>
      </c>
      <c r="E129" s="131" t="s">
        <v>297</v>
      </c>
      <c r="F129" s="126" t="s">
        <v>24</v>
      </c>
      <c r="G129" s="156">
        <v>0</v>
      </c>
      <c r="H129" s="202">
        <f>'MB Civil &amp; Interior'!K154</f>
        <v>27.878759999999996</v>
      </c>
      <c r="I129" s="145">
        <v>1000</v>
      </c>
      <c r="J129" s="207"/>
      <c r="K129" s="209">
        <f>H129*I129</f>
        <v>27878.759999999995</v>
      </c>
    </row>
    <row r="130" spans="1:11" ht="72">
      <c r="A130" s="128"/>
      <c r="B130" s="128"/>
      <c r="C130" s="128" t="s">
        <v>132</v>
      </c>
      <c r="D130" s="128" t="s">
        <v>298</v>
      </c>
      <c r="E130" s="131" t="s">
        <v>299</v>
      </c>
      <c r="F130" s="126" t="s">
        <v>24</v>
      </c>
      <c r="G130" s="156">
        <v>12</v>
      </c>
      <c r="H130" s="202"/>
      <c r="I130" s="145">
        <v>1075</v>
      </c>
      <c r="J130" s="207">
        <f>$G130*I130</f>
        <v>12900</v>
      </c>
      <c r="K130" s="209"/>
    </row>
    <row r="131" spans="1:11" ht="24">
      <c r="A131" s="128" t="s">
        <v>300</v>
      </c>
      <c r="B131" s="128"/>
      <c r="C131" s="128"/>
      <c r="D131" s="128"/>
      <c r="E131" s="131"/>
      <c r="F131" s="126"/>
      <c r="G131" s="156"/>
      <c r="H131" s="202"/>
      <c r="I131" s="145"/>
      <c r="J131" s="207"/>
      <c r="K131" s="209"/>
    </row>
    <row r="132" spans="1:11">
      <c r="A132" s="128"/>
      <c r="B132" s="128" t="s">
        <v>301</v>
      </c>
      <c r="C132" s="128"/>
      <c r="D132" s="128"/>
      <c r="E132" s="131" t="s">
        <v>302</v>
      </c>
      <c r="F132" s="126"/>
      <c r="G132" s="156"/>
      <c r="H132" s="202"/>
      <c r="I132" s="145"/>
      <c r="J132" s="207"/>
      <c r="K132" s="209"/>
    </row>
    <row r="133" spans="1:11" ht="120">
      <c r="A133" s="128"/>
      <c r="B133" s="128"/>
      <c r="C133" s="128" t="s">
        <v>19</v>
      </c>
      <c r="D133" s="128" t="s">
        <v>303</v>
      </c>
      <c r="E133" s="131" t="s">
        <v>304</v>
      </c>
      <c r="F133" s="126" t="s">
        <v>88</v>
      </c>
      <c r="G133" s="156">
        <v>510</v>
      </c>
      <c r="H133" s="202">
        <f>'MB Civil &amp; Interior'!K165</f>
        <v>332.39231999999998</v>
      </c>
      <c r="I133" s="145">
        <v>32</v>
      </c>
      <c r="J133" s="207">
        <f>$G133*I133</f>
        <v>16320</v>
      </c>
      <c r="K133" s="209">
        <f>H133*I133</f>
        <v>10636.554239999999</v>
      </c>
    </row>
    <row r="134" spans="1:11" ht="120">
      <c r="A134" s="128"/>
      <c r="B134" s="128"/>
      <c r="C134" s="128" t="s">
        <v>22</v>
      </c>
      <c r="D134" s="128" t="s">
        <v>303</v>
      </c>
      <c r="E134" s="131" t="s">
        <v>305</v>
      </c>
      <c r="F134" s="126" t="s">
        <v>88</v>
      </c>
      <c r="G134" s="156">
        <v>0</v>
      </c>
      <c r="H134" s="202"/>
      <c r="I134" s="145">
        <v>30</v>
      </c>
      <c r="J134" s="207"/>
      <c r="K134" s="209"/>
    </row>
    <row r="135" spans="1:11" ht="96">
      <c r="A135" s="128"/>
      <c r="B135" s="128"/>
      <c r="C135" s="128" t="s">
        <v>37</v>
      </c>
      <c r="D135" s="128" t="s">
        <v>306</v>
      </c>
      <c r="E135" s="131" t="s">
        <v>307</v>
      </c>
      <c r="F135" s="126" t="s">
        <v>88</v>
      </c>
      <c r="G135" s="156">
        <v>1324.6391999999998</v>
      </c>
      <c r="H135" s="202"/>
      <c r="I135" s="145">
        <v>38</v>
      </c>
      <c r="J135" s="207">
        <f>$G135*I135</f>
        <v>50336.289599999996</v>
      </c>
      <c r="K135" s="209"/>
    </row>
    <row r="136" spans="1:11" ht="96">
      <c r="A136" s="128"/>
      <c r="B136" s="128"/>
      <c r="C136" s="128" t="s">
        <v>49</v>
      </c>
      <c r="D136" s="128" t="s">
        <v>308</v>
      </c>
      <c r="E136" s="131" t="s">
        <v>309</v>
      </c>
      <c r="F136" s="126" t="s">
        <v>88</v>
      </c>
      <c r="G136" s="156">
        <v>255</v>
      </c>
      <c r="H136" s="202">
        <f>'MB Civil &amp; Interior'!K171</f>
        <v>141.76187999999999</v>
      </c>
      <c r="I136" s="145">
        <v>75</v>
      </c>
      <c r="J136" s="207">
        <f>$G136*I136</f>
        <v>19125</v>
      </c>
      <c r="K136" s="209">
        <f>H136*I136</f>
        <v>10632.141</v>
      </c>
    </row>
    <row r="137" spans="1:11" ht="96">
      <c r="A137" s="128"/>
      <c r="B137" s="128"/>
      <c r="C137" s="128" t="s">
        <v>89</v>
      </c>
      <c r="D137" s="128" t="s">
        <v>310</v>
      </c>
      <c r="E137" s="131" t="s">
        <v>311</v>
      </c>
      <c r="F137" s="126" t="s">
        <v>88</v>
      </c>
      <c r="G137" s="156">
        <v>700</v>
      </c>
      <c r="H137" s="202">
        <f>'MB Civil &amp; Interior'!K195</f>
        <v>1478.22012</v>
      </c>
      <c r="I137" s="145">
        <v>35</v>
      </c>
      <c r="J137" s="207">
        <f>$G137*I137</f>
        <v>24500</v>
      </c>
      <c r="K137" s="209">
        <f>H137*I137</f>
        <v>51737.7042</v>
      </c>
    </row>
    <row r="138" spans="1:11" ht="72">
      <c r="A138" s="128"/>
      <c r="B138" s="128"/>
      <c r="C138" s="128" t="s">
        <v>92</v>
      </c>
      <c r="D138" s="128" t="s">
        <v>312</v>
      </c>
      <c r="E138" s="131" t="s">
        <v>313</v>
      </c>
      <c r="F138" s="126" t="s">
        <v>271</v>
      </c>
      <c r="G138" s="156">
        <v>800</v>
      </c>
      <c r="H138" s="202">
        <f>'MB Civil &amp; Interior'!K206</f>
        <v>262.42631999999998</v>
      </c>
      <c r="I138" s="145">
        <v>30</v>
      </c>
      <c r="J138" s="207">
        <f>$G138*I138</f>
        <v>24000</v>
      </c>
      <c r="K138" s="209">
        <f>H138*I138</f>
        <v>7872.7895999999992</v>
      </c>
    </row>
    <row r="139" spans="1:11" ht="60">
      <c r="A139" s="128"/>
      <c r="B139" s="128"/>
      <c r="C139" s="128" t="s">
        <v>108</v>
      </c>
      <c r="D139" s="128" t="s">
        <v>314</v>
      </c>
      <c r="E139" s="131" t="s">
        <v>315</v>
      </c>
      <c r="F139" s="126" t="s">
        <v>271</v>
      </c>
      <c r="G139" s="156">
        <v>60</v>
      </c>
      <c r="H139" s="202">
        <f>'MB Civil &amp; Interior'!K211</f>
        <v>25.187759999999997</v>
      </c>
      <c r="I139" s="145">
        <v>250</v>
      </c>
      <c r="J139" s="207">
        <f>$G139*I139</f>
        <v>15000</v>
      </c>
      <c r="K139" s="209">
        <f>H139*I139</f>
        <v>6296.94</v>
      </c>
    </row>
    <row r="140" spans="1:11" ht="24">
      <c r="A140" s="128" t="s">
        <v>316</v>
      </c>
      <c r="B140" s="128"/>
      <c r="C140" s="128"/>
      <c r="D140" s="128"/>
      <c r="E140" s="131"/>
      <c r="F140" s="126"/>
      <c r="G140" s="156"/>
      <c r="H140" s="202"/>
      <c r="I140" s="145"/>
      <c r="J140" s="207"/>
      <c r="K140" s="209"/>
    </row>
    <row r="141" spans="1:11">
      <c r="A141" s="128" t="s">
        <v>317</v>
      </c>
      <c r="B141" s="128"/>
      <c r="C141" s="128"/>
      <c r="D141" s="128"/>
      <c r="E141" s="131" t="s">
        <v>318</v>
      </c>
      <c r="F141" s="126"/>
      <c r="G141" s="156"/>
      <c r="H141" s="202"/>
      <c r="I141" s="145"/>
      <c r="J141" s="207"/>
      <c r="K141" s="209"/>
    </row>
    <row r="142" spans="1:11">
      <c r="A142" s="128"/>
      <c r="B142" s="128" t="s">
        <v>319</v>
      </c>
      <c r="C142" s="128"/>
      <c r="D142" s="128"/>
      <c r="E142" s="131" t="s">
        <v>320</v>
      </c>
      <c r="F142" s="126"/>
      <c r="G142" s="156"/>
      <c r="H142" s="202"/>
      <c r="I142" s="145"/>
      <c r="J142" s="207"/>
      <c r="K142" s="209"/>
    </row>
    <row r="143" spans="1:11" ht="159.5">
      <c r="A143" s="128"/>
      <c r="B143" s="128"/>
      <c r="C143" s="128" t="s">
        <v>19</v>
      </c>
      <c r="D143" s="128" t="s">
        <v>321</v>
      </c>
      <c r="E143" s="131" t="s">
        <v>322</v>
      </c>
      <c r="F143" s="126" t="s">
        <v>88</v>
      </c>
      <c r="G143" s="156">
        <v>70</v>
      </c>
      <c r="H143" s="202">
        <f>'MB Civil &amp; Interior'!K214</f>
        <v>45.208799999999997</v>
      </c>
      <c r="I143" s="145">
        <v>450</v>
      </c>
      <c r="J143" s="207">
        <f>$G143*I143</f>
        <v>31500</v>
      </c>
      <c r="K143" s="209">
        <f>H143*I143</f>
        <v>20343.96</v>
      </c>
    </row>
    <row r="144" spans="1:11" ht="60">
      <c r="A144" s="128"/>
      <c r="B144" s="128"/>
      <c r="C144" s="128" t="s">
        <v>37</v>
      </c>
      <c r="D144" s="128" t="s">
        <v>323</v>
      </c>
      <c r="E144" s="131" t="s">
        <v>324</v>
      </c>
      <c r="F144" s="126" t="s">
        <v>88</v>
      </c>
      <c r="G144" s="156">
        <v>0</v>
      </c>
      <c r="H144" s="202"/>
      <c r="I144" s="145">
        <v>285</v>
      </c>
      <c r="J144" s="207">
        <f>$G144*I144</f>
        <v>0</v>
      </c>
      <c r="K144" s="209"/>
    </row>
    <row r="145" spans="1:11" ht="84">
      <c r="A145" s="128"/>
      <c r="B145" s="128"/>
      <c r="C145" s="128" t="s">
        <v>49</v>
      </c>
      <c r="D145" s="128" t="s">
        <v>325</v>
      </c>
      <c r="E145" s="131" t="s">
        <v>326</v>
      </c>
      <c r="F145" s="126" t="s">
        <v>327</v>
      </c>
      <c r="G145" s="156">
        <v>0</v>
      </c>
      <c r="H145" s="202"/>
      <c r="I145" s="145">
        <v>24500</v>
      </c>
      <c r="J145" s="207">
        <f>$G145*I145</f>
        <v>0</v>
      </c>
      <c r="K145" s="209"/>
    </row>
    <row r="146" spans="1:11" ht="84">
      <c r="A146" s="128"/>
      <c r="B146" s="128"/>
      <c r="C146" s="128" t="s">
        <v>89</v>
      </c>
      <c r="D146" s="128" t="s">
        <v>328</v>
      </c>
      <c r="E146" s="131" t="s">
        <v>329</v>
      </c>
      <c r="F146" s="126" t="s">
        <v>327</v>
      </c>
      <c r="G146" s="156"/>
      <c r="H146" s="202"/>
      <c r="I146" s="145">
        <v>17000</v>
      </c>
      <c r="J146" s="207"/>
      <c r="K146" s="209"/>
    </row>
    <row r="147" spans="1:11" ht="84">
      <c r="A147" s="128"/>
      <c r="B147" s="128"/>
      <c r="C147" s="128" t="s">
        <v>92</v>
      </c>
      <c r="D147" s="128" t="s">
        <v>330</v>
      </c>
      <c r="E147" s="131" t="s">
        <v>331</v>
      </c>
      <c r="F147" s="126" t="s">
        <v>88</v>
      </c>
      <c r="G147" s="156">
        <v>108.9430375</v>
      </c>
      <c r="H147" s="202">
        <f>'MB Civil &amp; Interior'!K219</f>
        <v>39.934439999999995</v>
      </c>
      <c r="I147" s="145">
        <v>600</v>
      </c>
      <c r="J147" s="207">
        <f>$G147*I147</f>
        <v>65365.822500000002</v>
      </c>
      <c r="K147" s="209">
        <f>H147*I147</f>
        <v>23960.663999999997</v>
      </c>
    </row>
    <row r="148" spans="1:11" ht="72">
      <c r="A148" s="128"/>
      <c r="B148" s="128"/>
      <c r="C148" s="128" t="s">
        <v>108</v>
      </c>
      <c r="D148" s="128" t="s">
        <v>332</v>
      </c>
      <c r="E148" s="131" t="s">
        <v>333</v>
      </c>
      <c r="F148" s="126" t="s">
        <v>88</v>
      </c>
      <c r="G148" s="156"/>
      <c r="H148" s="202" t="s">
        <v>1361</v>
      </c>
      <c r="I148" s="145">
        <v>700</v>
      </c>
      <c r="J148" s="207"/>
      <c r="K148" s="209"/>
    </row>
    <row r="149" spans="1:11" ht="24">
      <c r="A149" s="128"/>
      <c r="B149" s="128"/>
      <c r="C149" s="128" t="s">
        <v>129</v>
      </c>
      <c r="D149" s="128" t="s">
        <v>334</v>
      </c>
      <c r="E149" s="131" t="s">
        <v>335</v>
      </c>
      <c r="F149" s="126" t="s">
        <v>243</v>
      </c>
      <c r="G149" s="156">
        <v>25</v>
      </c>
      <c r="H149" s="202"/>
      <c r="I149" s="145">
        <v>180</v>
      </c>
      <c r="J149" s="207">
        <f>$G149*I149</f>
        <v>4500</v>
      </c>
      <c r="K149" s="209">
        <f>H149*I149</f>
        <v>0</v>
      </c>
    </row>
    <row r="150" spans="1:11" ht="48">
      <c r="A150" s="128"/>
      <c r="B150" s="128"/>
      <c r="C150" s="128" t="s">
        <v>132</v>
      </c>
      <c r="D150" s="128" t="s">
        <v>336</v>
      </c>
      <c r="E150" s="131" t="s">
        <v>337</v>
      </c>
      <c r="F150" s="126" t="s">
        <v>88</v>
      </c>
      <c r="G150" s="156">
        <v>0</v>
      </c>
      <c r="H150" s="202"/>
      <c r="I150" s="145">
        <v>200</v>
      </c>
      <c r="J150" s="207">
        <f>$G150*I150</f>
        <v>0</v>
      </c>
      <c r="K150" s="209"/>
    </row>
    <row r="151" spans="1:11" ht="24">
      <c r="A151" s="128" t="s">
        <v>338</v>
      </c>
      <c r="B151" s="128"/>
      <c r="C151" s="128"/>
      <c r="D151" s="128"/>
      <c r="E151" s="131"/>
      <c r="F151" s="126"/>
      <c r="G151" s="156"/>
      <c r="H151" s="202"/>
      <c r="I151" s="145"/>
      <c r="J151" s="207"/>
      <c r="K151" s="209"/>
    </row>
    <row r="152" spans="1:11">
      <c r="A152" s="128" t="s">
        <v>339</v>
      </c>
      <c r="B152" s="128"/>
      <c r="C152" s="128"/>
      <c r="D152" s="128"/>
      <c r="E152" s="131" t="s">
        <v>340</v>
      </c>
      <c r="F152" s="126"/>
      <c r="G152" s="156"/>
      <c r="H152" s="202"/>
      <c r="I152" s="145"/>
      <c r="J152" s="207"/>
      <c r="K152" s="209"/>
    </row>
    <row r="153" spans="1:11">
      <c r="A153" s="128"/>
      <c r="B153" s="128" t="s">
        <v>341</v>
      </c>
      <c r="C153" s="128"/>
      <c r="D153" s="128"/>
      <c r="E153" s="131" t="s">
        <v>342</v>
      </c>
      <c r="F153" s="126"/>
      <c r="G153" s="156"/>
      <c r="H153" s="202"/>
      <c r="I153" s="145"/>
      <c r="J153" s="207"/>
      <c r="K153" s="209"/>
    </row>
    <row r="154" spans="1:11" ht="120">
      <c r="A154" s="128"/>
      <c r="B154" s="128"/>
      <c r="C154" s="128" t="s">
        <v>19</v>
      </c>
      <c r="D154" s="128" t="s">
        <v>343</v>
      </c>
      <c r="E154" s="131" t="s">
        <v>344</v>
      </c>
      <c r="F154" s="126" t="s">
        <v>345</v>
      </c>
      <c r="G154" s="156">
        <v>9</v>
      </c>
      <c r="H154" s="202">
        <f>'MB Civil &amp; Interior'!K222</f>
        <v>7.25</v>
      </c>
      <c r="I154" s="145">
        <v>11500</v>
      </c>
      <c r="J154" s="207">
        <f>$G154*I154</f>
        <v>103500</v>
      </c>
      <c r="K154" s="209">
        <f>H154*I154</f>
        <v>83375</v>
      </c>
    </row>
    <row r="155" spans="1:11" ht="132">
      <c r="A155" s="128"/>
      <c r="B155" s="128"/>
      <c r="C155" s="128" t="s">
        <v>22</v>
      </c>
      <c r="D155" s="128" t="s">
        <v>346</v>
      </c>
      <c r="E155" s="131" t="s">
        <v>347</v>
      </c>
      <c r="F155" s="126" t="s">
        <v>345</v>
      </c>
      <c r="G155" s="156">
        <v>0</v>
      </c>
      <c r="H155" s="202"/>
      <c r="I155" s="145">
        <v>14150</v>
      </c>
      <c r="J155" s="207"/>
      <c r="K155" s="209"/>
    </row>
    <row r="156" spans="1:11" ht="72">
      <c r="A156" s="128"/>
      <c r="B156" s="128"/>
      <c r="C156" s="128" t="s">
        <v>37</v>
      </c>
      <c r="D156" s="128" t="s">
        <v>348</v>
      </c>
      <c r="E156" s="131" t="s">
        <v>349</v>
      </c>
      <c r="F156" s="126" t="s">
        <v>345</v>
      </c>
      <c r="G156" s="156">
        <v>14</v>
      </c>
      <c r="H156" s="202">
        <f>'MB Civil &amp; Interior'!K227</f>
        <v>27.388000000000002</v>
      </c>
      <c r="I156" s="145">
        <v>9000</v>
      </c>
      <c r="J156" s="207">
        <f>$G156*I156</f>
        <v>126000</v>
      </c>
      <c r="K156" s="209">
        <f>H156*I156</f>
        <v>246492.00000000003</v>
      </c>
    </row>
    <row r="157" spans="1:11" ht="72">
      <c r="A157" s="128"/>
      <c r="B157" s="128"/>
      <c r="C157" s="128" t="s">
        <v>49</v>
      </c>
      <c r="D157" s="128" t="s">
        <v>350</v>
      </c>
      <c r="E157" s="131" t="s">
        <v>351</v>
      </c>
      <c r="F157" s="126" t="s">
        <v>24</v>
      </c>
      <c r="G157" s="156">
        <v>0</v>
      </c>
      <c r="H157" s="202"/>
      <c r="I157" s="145">
        <v>1150</v>
      </c>
      <c r="J157" s="207">
        <f>$G157*I157</f>
        <v>0</v>
      </c>
      <c r="K157" s="209"/>
    </row>
    <row r="158" spans="1:11" ht="24">
      <c r="A158" s="128"/>
      <c r="B158" s="128"/>
      <c r="C158" s="128" t="s">
        <v>89</v>
      </c>
      <c r="D158" s="128" t="s">
        <v>352</v>
      </c>
      <c r="E158" s="131" t="s">
        <v>353</v>
      </c>
      <c r="F158" s="126" t="s">
        <v>42</v>
      </c>
      <c r="G158" s="156">
        <v>1</v>
      </c>
      <c r="H158" s="202">
        <f>'MB Civil &amp; Interior'!K228</f>
        <v>4</v>
      </c>
      <c r="I158" s="145">
        <v>2150</v>
      </c>
      <c r="J158" s="207">
        <f>$G158*I158</f>
        <v>2150</v>
      </c>
      <c r="K158" s="209">
        <f>H158*I158</f>
        <v>8600</v>
      </c>
    </row>
    <row r="159" spans="1:11" ht="72">
      <c r="A159" s="128"/>
      <c r="B159" s="128"/>
      <c r="C159" s="128" t="s">
        <v>92</v>
      </c>
      <c r="D159" s="128" t="s">
        <v>354</v>
      </c>
      <c r="E159" s="131" t="s">
        <v>355</v>
      </c>
      <c r="F159" s="126" t="s">
        <v>24</v>
      </c>
      <c r="G159" s="156">
        <v>0</v>
      </c>
      <c r="H159" s="202"/>
      <c r="I159" s="145">
        <v>1300</v>
      </c>
      <c r="J159" s="207">
        <f>$G159*I159</f>
        <v>0</v>
      </c>
      <c r="K159" s="209"/>
    </row>
    <row r="160" spans="1:11" ht="84">
      <c r="A160" s="128"/>
      <c r="B160" s="128"/>
      <c r="C160" s="128" t="s">
        <v>108</v>
      </c>
      <c r="D160" s="128" t="s">
        <v>356</v>
      </c>
      <c r="E160" s="131" t="s">
        <v>357</v>
      </c>
      <c r="F160" s="126" t="s">
        <v>243</v>
      </c>
      <c r="G160" s="156">
        <v>34.155000000000001</v>
      </c>
      <c r="H160" s="202"/>
      <c r="I160" s="145">
        <v>890</v>
      </c>
      <c r="J160" s="207">
        <f>$G160*I160</f>
        <v>30397.95</v>
      </c>
      <c r="K160" s="209"/>
    </row>
    <row r="161" spans="1:11" ht="48">
      <c r="A161" s="128"/>
      <c r="B161" s="128"/>
      <c r="C161" s="128" t="s">
        <v>129</v>
      </c>
      <c r="D161" s="128" t="s">
        <v>358</v>
      </c>
      <c r="E161" s="131" t="s">
        <v>359</v>
      </c>
      <c r="F161" s="126" t="s">
        <v>243</v>
      </c>
      <c r="G161" s="156">
        <v>0</v>
      </c>
      <c r="H161" s="202"/>
      <c r="I161" s="145">
        <v>1350</v>
      </c>
      <c r="J161" s="207"/>
      <c r="K161" s="209"/>
    </row>
    <row r="162" spans="1:11" ht="48">
      <c r="A162" s="128"/>
      <c r="B162" s="128"/>
      <c r="C162" s="128" t="s">
        <v>132</v>
      </c>
      <c r="D162" s="128" t="s">
        <v>360</v>
      </c>
      <c r="E162" s="131" t="s">
        <v>361</v>
      </c>
      <c r="F162" s="126" t="s">
        <v>362</v>
      </c>
      <c r="G162" s="156">
        <v>0</v>
      </c>
      <c r="H162" s="202"/>
      <c r="I162" s="145">
        <v>20000</v>
      </c>
      <c r="J162" s="207"/>
      <c r="K162" s="209"/>
    </row>
    <row r="163" spans="1:11" ht="48">
      <c r="A163" s="128"/>
      <c r="B163" s="128"/>
      <c r="C163" s="128" t="s">
        <v>136</v>
      </c>
      <c r="D163" s="128" t="s">
        <v>363</v>
      </c>
      <c r="E163" s="131" t="s">
        <v>364</v>
      </c>
      <c r="F163" s="126" t="s">
        <v>365</v>
      </c>
      <c r="G163" s="156">
        <v>1</v>
      </c>
      <c r="H163" s="202"/>
      <c r="I163" s="145">
        <v>1600</v>
      </c>
      <c r="J163" s="207">
        <f t="shared" ref="J163:J168" si="1">$G163*I163</f>
        <v>1600</v>
      </c>
      <c r="K163" s="209"/>
    </row>
    <row r="164" spans="1:11" ht="36">
      <c r="A164" s="128"/>
      <c r="B164" s="128"/>
      <c r="C164" s="128" t="s">
        <v>139</v>
      </c>
      <c r="D164" s="128" t="s">
        <v>366</v>
      </c>
      <c r="E164" s="131" t="s">
        <v>367</v>
      </c>
      <c r="F164" s="126" t="s">
        <v>176</v>
      </c>
      <c r="G164" s="156">
        <v>1</v>
      </c>
      <c r="H164" s="202">
        <f>'MB Civil &amp; Interior'!K230</f>
        <v>58.986719999999998</v>
      </c>
      <c r="I164" s="145">
        <v>1250</v>
      </c>
      <c r="J164" s="207">
        <f t="shared" si="1"/>
        <v>1250</v>
      </c>
      <c r="K164" s="209">
        <f>H164*I164</f>
        <v>73733.399999999994</v>
      </c>
    </row>
    <row r="165" spans="1:11" ht="36">
      <c r="A165" s="128"/>
      <c r="B165" s="128"/>
      <c r="C165" s="128" t="s">
        <v>145</v>
      </c>
      <c r="D165" s="128" t="s">
        <v>368</v>
      </c>
      <c r="E165" s="131" t="s">
        <v>369</v>
      </c>
      <c r="F165" s="126" t="s">
        <v>42</v>
      </c>
      <c r="G165" s="156">
        <v>1</v>
      </c>
      <c r="H165" s="202"/>
      <c r="I165" s="145">
        <v>6000</v>
      </c>
      <c r="J165" s="207">
        <f t="shared" si="1"/>
        <v>6000</v>
      </c>
      <c r="K165" s="209"/>
    </row>
    <row r="166" spans="1:11" ht="36">
      <c r="A166" s="128"/>
      <c r="B166" s="128"/>
      <c r="C166" s="128" t="s">
        <v>148</v>
      </c>
      <c r="D166" s="128" t="s">
        <v>370</v>
      </c>
      <c r="E166" s="131" t="s">
        <v>371</v>
      </c>
      <c r="F166" s="126" t="s">
        <v>42</v>
      </c>
      <c r="G166" s="156">
        <v>1</v>
      </c>
      <c r="H166" s="202"/>
      <c r="I166" s="145">
        <v>6000</v>
      </c>
      <c r="J166" s="207">
        <f t="shared" si="1"/>
        <v>6000</v>
      </c>
      <c r="K166" s="209"/>
    </row>
    <row r="167" spans="1:11" ht="108">
      <c r="A167" s="128"/>
      <c r="B167" s="128"/>
      <c r="C167" s="128" t="s">
        <v>151</v>
      </c>
      <c r="D167" s="128" t="s">
        <v>372</v>
      </c>
      <c r="E167" s="131" t="s">
        <v>373</v>
      </c>
      <c r="F167" s="126" t="s">
        <v>374</v>
      </c>
      <c r="G167" s="156">
        <v>0</v>
      </c>
      <c r="H167" s="202"/>
      <c r="I167" s="145">
        <v>2300</v>
      </c>
      <c r="J167" s="207">
        <f t="shared" si="1"/>
        <v>0</v>
      </c>
      <c r="K167" s="209"/>
    </row>
    <row r="168" spans="1:11" ht="120">
      <c r="A168" s="128"/>
      <c r="B168" s="128"/>
      <c r="C168" s="128" t="s">
        <v>154</v>
      </c>
      <c r="D168" s="128" t="s">
        <v>375</v>
      </c>
      <c r="E168" s="131" t="s">
        <v>376</v>
      </c>
      <c r="F168" s="126" t="s">
        <v>374</v>
      </c>
      <c r="G168" s="156">
        <v>0</v>
      </c>
      <c r="H168" s="202"/>
      <c r="I168" s="145">
        <v>3950</v>
      </c>
      <c r="J168" s="207">
        <f t="shared" si="1"/>
        <v>0</v>
      </c>
      <c r="K168" s="212"/>
    </row>
    <row r="169" spans="1:11" ht="24">
      <c r="A169" s="128" t="s">
        <v>377</v>
      </c>
      <c r="B169" s="128"/>
      <c r="C169" s="128"/>
      <c r="D169" s="128"/>
      <c r="E169" s="131"/>
      <c r="F169" s="126"/>
      <c r="G169" s="156"/>
      <c r="H169" s="202"/>
      <c r="I169" s="145"/>
      <c r="J169" s="207"/>
      <c r="K169" s="209"/>
    </row>
    <row r="170" spans="1:11">
      <c r="A170" s="128" t="s">
        <v>378</v>
      </c>
      <c r="B170" s="128"/>
      <c r="C170" s="128"/>
      <c r="D170" s="128"/>
      <c r="E170" s="131" t="s">
        <v>379</v>
      </c>
      <c r="F170" s="126"/>
      <c r="G170" s="156"/>
      <c r="H170" s="202"/>
      <c r="I170" s="145"/>
      <c r="J170" s="207"/>
      <c r="K170" s="209"/>
    </row>
    <row r="171" spans="1:11">
      <c r="A171" s="128"/>
      <c r="B171" s="128" t="s">
        <v>380</v>
      </c>
      <c r="C171" s="128"/>
      <c r="D171" s="128"/>
      <c r="E171" s="131" t="s">
        <v>381</v>
      </c>
      <c r="F171" s="126"/>
      <c r="G171" s="156"/>
      <c r="H171" s="202"/>
      <c r="I171" s="145"/>
      <c r="J171" s="207"/>
      <c r="K171" s="209"/>
    </row>
    <row r="172" spans="1:11" ht="48">
      <c r="A172" s="128"/>
      <c r="B172" s="128"/>
      <c r="C172" s="128" t="s">
        <v>19</v>
      </c>
      <c r="D172" s="128"/>
      <c r="E172" s="131" t="s">
        <v>382</v>
      </c>
      <c r="F172" s="126"/>
      <c r="G172" s="156"/>
      <c r="H172" s="202"/>
      <c r="I172" s="145"/>
      <c r="J172" s="207"/>
      <c r="K172" s="209"/>
    </row>
    <row r="173" spans="1:11">
      <c r="A173" s="128"/>
      <c r="B173" s="128"/>
      <c r="C173" s="128" t="s">
        <v>22</v>
      </c>
      <c r="D173" s="128"/>
      <c r="E173" s="131" t="s">
        <v>383</v>
      </c>
      <c r="F173" s="126" t="s">
        <v>384</v>
      </c>
      <c r="G173" s="156">
        <v>50</v>
      </c>
      <c r="H173" s="202"/>
      <c r="I173" s="145">
        <v>210</v>
      </c>
      <c r="J173" s="207">
        <f>$G173*I173</f>
        <v>10500</v>
      </c>
      <c r="K173" s="209"/>
    </row>
    <row r="174" spans="1:11">
      <c r="A174" s="128"/>
      <c r="B174" s="128"/>
      <c r="C174" s="128" t="s">
        <v>25</v>
      </c>
      <c r="D174" s="128"/>
      <c r="E174" s="131" t="s">
        <v>385</v>
      </c>
      <c r="F174" s="126" t="s">
        <v>384</v>
      </c>
      <c r="G174" s="156">
        <v>30</v>
      </c>
      <c r="H174" s="202">
        <f>'MB Civil &amp; Interior'!K241</f>
        <v>44</v>
      </c>
      <c r="I174" s="145">
        <v>250</v>
      </c>
      <c r="J174" s="207">
        <f>$G174*I174</f>
        <v>7500</v>
      </c>
      <c r="K174" s="209">
        <f>H174*I174</f>
        <v>11000</v>
      </c>
    </row>
    <row r="175" spans="1:11">
      <c r="A175" s="128"/>
      <c r="B175" s="128"/>
      <c r="C175" s="128" t="s">
        <v>27</v>
      </c>
      <c r="D175" s="128"/>
      <c r="E175" s="131" t="s">
        <v>386</v>
      </c>
      <c r="F175" s="126" t="s">
        <v>384</v>
      </c>
      <c r="G175" s="156">
        <v>20</v>
      </c>
      <c r="H175" s="202"/>
      <c r="I175" s="145">
        <v>290</v>
      </c>
      <c r="J175" s="207">
        <f>$G175*I175</f>
        <v>5800</v>
      </c>
      <c r="K175" s="209"/>
    </row>
    <row r="176" spans="1:11">
      <c r="A176" s="128"/>
      <c r="B176" s="128"/>
      <c r="C176" s="128" t="s">
        <v>29</v>
      </c>
      <c r="D176" s="128"/>
      <c r="E176" s="131" t="s">
        <v>387</v>
      </c>
      <c r="F176" s="126" t="s">
        <v>384</v>
      </c>
      <c r="G176" s="156">
        <v>0</v>
      </c>
      <c r="H176" s="202"/>
      <c r="I176" s="145">
        <v>330</v>
      </c>
      <c r="J176" s="207">
        <f>$G176*I176</f>
        <v>0</v>
      </c>
      <c r="K176" s="209"/>
    </row>
    <row r="177" spans="1:11">
      <c r="A177" s="128"/>
      <c r="B177" s="128"/>
      <c r="C177" s="128" t="s">
        <v>31</v>
      </c>
      <c r="D177" s="128"/>
      <c r="E177" s="131" t="s">
        <v>388</v>
      </c>
      <c r="F177" s="126" t="s">
        <v>384</v>
      </c>
      <c r="G177" s="156">
        <v>0</v>
      </c>
      <c r="H177" s="202"/>
      <c r="I177" s="145">
        <v>420</v>
      </c>
      <c r="J177" s="207">
        <f>$G177*I177</f>
        <v>0</v>
      </c>
      <c r="K177" s="209"/>
    </row>
    <row r="178" spans="1:11" ht="24">
      <c r="A178" s="128"/>
      <c r="B178" s="128"/>
      <c r="C178" s="128" t="s">
        <v>37</v>
      </c>
      <c r="D178" s="128"/>
      <c r="E178" s="131" t="s">
        <v>389</v>
      </c>
      <c r="F178" s="126"/>
      <c r="G178" s="156"/>
      <c r="H178" s="202"/>
      <c r="I178" s="145"/>
      <c r="J178" s="207"/>
      <c r="K178" s="209"/>
    </row>
    <row r="179" spans="1:11">
      <c r="A179" s="128"/>
      <c r="B179" s="128"/>
      <c r="C179" s="128" t="s">
        <v>40</v>
      </c>
      <c r="D179" s="128"/>
      <c r="E179" s="131" t="s">
        <v>383</v>
      </c>
      <c r="F179" s="126" t="s">
        <v>42</v>
      </c>
      <c r="G179" s="156">
        <v>0</v>
      </c>
      <c r="H179" s="202"/>
      <c r="I179" s="145">
        <v>750</v>
      </c>
      <c r="J179" s="207"/>
      <c r="K179" s="209"/>
    </row>
    <row r="180" spans="1:11">
      <c r="A180" s="128"/>
      <c r="B180" s="128"/>
      <c r="C180" s="128" t="s">
        <v>43</v>
      </c>
      <c r="D180" s="128"/>
      <c r="E180" s="131" t="s">
        <v>385</v>
      </c>
      <c r="F180" s="126" t="s">
        <v>42</v>
      </c>
      <c r="G180" s="156">
        <v>4</v>
      </c>
      <c r="H180" s="202">
        <f>'MB Civil &amp; Interior'!K242</f>
        <v>3</v>
      </c>
      <c r="I180" s="145">
        <v>1050</v>
      </c>
      <c r="J180" s="207">
        <f>$G180*I180</f>
        <v>4200</v>
      </c>
      <c r="K180" s="209">
        <f>H180*I180</f>
        <v>3150</v>
      </c>
    </row>
    <row r="181" spans="1:11">
      <c r="A181" s="128"/>
      <c r="B181" s="128"/>
      <c r="C181" s="128" t="s">
        <v>45</v>
      </c>
      <c r="D181" s="128"/>
      <c r="E181" s="131" t="s">
        <v>386</v>
      </c>
      <c r="F181" s="126" t="s">
        <v>42</v>
      </c>
      <c r="G181" s="156">
        <v>2</v>
      </c>
      <c r="H181" s="202"/>
      <c r="I181" s="145">
        <v>1300</v>
      </c>
      <c r="J181" s="207">
        <f>$G181*I181</f>
        <v>2600</v>
      </c>
      <c r="K181" s="209"/>
    </row>
    <row r="182" spans="1:11">
      <c r="A182" s="128"/>
      <c r="B182" s="128"/>
      <c r="C182" s="128" t="s">
        <v>47</v>
      </c>
      <c r="D182" s="128"/>
      <c r="E182" s="131" t="s">
        <v>387</v>
      </c>
      <c r="F182" s="126" t="s">
        <v>42</v>
      </c>
      <c r="G182" s="156">
        <v>1</v>
      </c>
      <c r="H182" s="202"/>
      <c r="I182" s="145">
        <v>1700</v>
      </c>
      <c r="J182" s="207">
        <f>$G182*I182</f>
        <v>1700</v>
      </c>
      <c r="K182" s="209"/>
    </row>
    <row r="183" spans="1:11">
      <c r="A183" s="128"/>
      <c r="B183" s="128"/>
      <c r="C183" s="128" t="s">
        <v>390</v>
      </c>
      <c r="D183" s="128"/>
      <c r="E183" s="131" t="s">
        <v>388</v>
      </c>
      <c r="F183" s="126" t="s">
        <v>42</v>
      </c>
      <c r="G183" s="156">
        <v>0</v>
      </c>
      <c r="H183" s="202"/>
      <c r="I183" s="145">
        <v>2000</v>
      </c>
      <c r="J183" s="207"/>
      <c r="K183" s="209"/>
    </row>
    <row r="184" spans="1:11" ht="36">
      <c r="A184" s="128"/>
      <c r="B184" s="128"/>
      <c r="C184" s="128" t="s">
        <v>49</v>
      </c>
      <c r="D184" s="128"/>
      <c r="E184" s="131" t="s">
        <v>391</v>
      </c>
      <c r="F184" s="126"/>
      <c r="G184" s="156"/>
      <c r="H184" s="202"/>
      <c r="I184" s="145"/>
      <c r="J184" s="207"/>
      <c r="K184" s="209"/>
    </row>
    <row r="185" spans="1:11">
      <c r="A185" s="128"/>
      <c r="B185" s="128"/>
      <c r="C185" s="128" t="s">
        <v>76</v>
      </c>
      <c r="D185" s="128"/>
      <c r="E185" s="131" t="s">
        <v>392</v>
      </c>
      <c r="F185" s="126" t="s">
        <v>384</v>
      </c>
      <c r="G185" s="156">
        <v>0</v>
      </c>
      <c r="H185" s="202"/>
      <c r="I185" s="145">
        <v>360</v>
      </c>
      <c r="J185" s="207"/>
      <c r="K185" s="209"/>
    </row>
    <row r="186" spans="1:11">
      <c r="A186" s="128"/>
      <c r="B186" s="128"/>
      <c r="C186" s="128" t="s">
        <v>285</v>
      </c>
      <c r="D186" s="128"/>
      <c r="E186" s="131" t="s">
        <v>393</v>
      </c>
      <c r="F186" s="126" t="s">
        <v>384</v>
      </c>
      <c r="G186" s="156">
        <v>0</v>
      </c>
      <c r="H186" s="202"/>
      <c r="I186" s="145">
        <v>460</v>
      </c>
      <c r="J186" s="207"/>
      <c r="K186" s="209"/>
    </row>
    <row r="187" spans="1:11" ht="60">
      <c r="A187" s="128"/>
      <c r="B187" s="128"/>
      <c r="C187" s="128" t="s">
        <v>89</v>
      </c>
      <c r="D187" s="128"/>
      <c r="E187" s="131" t="s">
        <v>394</v>
      </c>
      <c r="F187" s="126"/>
      <c r="G187" s="156"/>
      <c r="H187" s="202"/>
      <c r="I187" s="145"/>
      <c r="J187" s="207"/>
      <c r="K187" s="209"/>
    </row>
    <row r="188" spans="1:11">
      <c r="A188" s="128"/>
      <c r="B188" s="128"/>
      <c r="C188" s="128" t="s">
        <v>219</v>
      </c>
      <c r="D188" s="128"/>
      <c r="E188" s="131" t="s">
        <v>395</v>
      </c>
      <c r="F188" s="126" t="s">
        <v>327</v>
      </c>
      <c r="G188" s="156">
        <v>0</v>
      </c>
      <c r="H188" s="202"/>
      <c r="I188" s="145">
        <v>1250</v>
      </c>
      <c r="J188" s="207">
        <f>$G188*I188</f>
        <v>0</v>
      </c>
      <c r="K188" s="209"/>
    </row>
    <row r="189" spans="1:11">
      <c r="A189" s="128"/>
      <c r="B189" s="128"/>
      <c r="C189" s="128" t="s">
        <v>221</v>
      </c>
      <c r="D189" s="128"/>
      <c r="E189" s="131" t="s">
        <v>396</v>
      </c>
      <c r="F189" s="126" t="s">
        <v>327</v>
      </c>
      <c r="G189" s="156">
        <v>0</v>
      </c>
      <c r="H189" s="202"/>
      <c r="I189" s="145">
        <v>1375</v>
      </c>
      <c r="J189" s="207">
        <f>$G189*I189</f>
        <v>0</v>
      </c>
      <c r="K189" s="209"/>
    </row>
    <row r="190" spans="1:11">
      <c r="A190" s="128"/>
      <c r="B190" s="128"/>
      <c r="C190" s="128" t="s">
        <v>397</v>
      </c>
      <c r="D190" s="128"/>
      <c r="E190" s="131" t="s">
        <v>398</v>
      </c>
      <c r="F190" s="126" t="s">
        <v>327</v>
      </c>
      <c r="G190" s="156">
        <v>0</v>
      </c>
      <c r="H190" s="202"/>
      <c r="I190" s="145">
        <v>1695</v>
      </c>
      <c r="J190" s="207">
        <f>$G190*I190</f>
        <v>0</v>
      </c>
      <c r="K190" s="209"/>
    </row>
    <row r="191" spans="1:11">
      <c r="A191" s="128"/>
      <c r="B191" s="128"/>
      <c r="C191" s="128" t="s">
        <v>399</v>
      </c>
      <c r="D191" s="128"/>
      <c r="E191" s="131" t="s">
        <v>400</v>
      </c>
      <c r="F191" s="126" t="s">
        <v>327</v>
      </c>
      <c r="G191" s="156">
        <v>0</v>
      </c>
      <c r="H191" s="202"/>
      <c r="I191" s="145">
        <v>2845</v>
      </c>
      <c r="J191" s="207"/>
      <c r="K191" s="209"/>
    </row>
    <row r="192" spans="1:11">
      <c r="A192" s="128"/>
      <c r="B192" s="128"/>
      <c r="C192" s="128" t="s">
        <v>401</v>
      </c>
      <c r="D192" s="128"/>
      <c r="E192" s="131" t="s">
        <v>402</v>
      </c>
      <c r="F192" s="126" t="s">
        <v>327</v>
      </c>
      <c r="G192" s="156">
        <v>0</v>
      </c>
      <c r="H192" s="202"/>
      <c r="I192" s="145">
        <v>3185</v>
      </c>
      <c r="J192" s="207"/>
      <c r="K192" s="209"/>
    </row>
    <row r="193" spans="1:11" ht="36">
      <c r="A193" s="128"/>
      <c r="B193" s="128"/>
      <c r="C193" s="128" t="s">
        <v>92</v>
      </c>
      <c r="D193" s="128"/>
      <c r="E193" s="131" t="s">
        <v>403</v>
      </c>
      <c r="F193" s="126" t="s">
        <v>327</v>
      </c>
      <c r="G193" s="156">
        <v>0</v>
      </c>
      <c r="H193" s="202"/>
      <c r="I193" s="145">
        <v>1200</v>
      </c>
      <c r="J193" s="207"/>
      <c r="K193" s="209"/>
    </row>
    <row r="194" spans="1:11" ht="24">
      <c r="A194" s="128"/>
      <c r="B194" s="128"/>
      <c r="C194" s="128" t="s">
        <v>108</v>
      </c>
      <c r="D194" s="128"/>
      <c r="E194" s="131" t="s">
        <v>404</v>
      </c>
      <c r="F194" s="126"/>
      <c r="G194" s="156"/>
      <c r="H194" s="202"/>
      <c r="I194" s="145"/>
      <c r="J194" s="207"/>
      <c r="K194" s="209"/>
    </row>
    <row r="195" spans="1:11">
      <c r="A195" s="128"/>
      <c r="B195" s="128"/>
      <c r="C195" s="128" t="s">
        <v>405</v>
      </c>
      <c r="D195" s="128"/>
      <c r="E195" s="131" t="s">
        <v>406</v>
      </c>
      <c r="F195" s="126" t="s">
        <v>327</v>
      </c>
      <c r="G195" s="156">
        <v>0</v>
      </c>
      <c r="H195" s="202"/>
      <c r="I195" s="145">
        <v>1660</v>
      </c>
      <c r="J195" s="207"/>
      <c r="K195" s="209"/>
    </row>
    <row r="196" spans="1:11">
      <c r="A196" s="128"/>
      <c r="B196" s="128"/>
      <c r="C196" s="128" t="s">
        <v>407</v>
      </c>
      <c r="D196" s="128"/>
      <c r="E196" s="131" t="s">
        <v>408</v>
      </c>
      <c r="F196" s="126" t="s">
        <v>327</v>
      </c>
      <c r="G196" s="156">
        <v>0</v>
      </c>
      <c r="H196" s="202"/>
      <c r="I196" s="145">
        <v>1885</v>
      </c>
      <c r="J196" s="207"/>
      <c r="K196" s="209"/>
    </row>
    <row r="197" spans="1:11">
      <c r="A197" s="128"/>
      <c r="B197" s="128"/>
      <c r="C197" s="128" t="s">
        <v>409</v>
      </c>
      <c r="D197" s="128"/>
      <c r="E197" s="131" t="s">
        <v>410</v>
      </c>
      <c r="F197" s="126" t="s">
        <v>327</v>
      </c>
      <c r="G197" s="156">
        <v>0</v>
      </c>
      <c r="H197" s="202"/>
      <c r="I197" s="145">
        <v>2195</v>
      </c>
      <c r="J197" s="207"/>
      <c r="K197" s="209"/>
    </row>
    <row r="198" spans="1:11" ht="24">
      <c r="A198" s="128" t="s">
        <v>411</v>
      </c>
      <c r="B198" s="128"/>
      <c r="C198" s="128"/>
      <c r="D198" s="128"/>
      <c r="E198" s="131"/>
      <c r="F198" s="126"/>
      <c r="G198" s="156"/>
      <c r="H198" s="202"/>
      <c r="I198" s="145"/>
      <c r="J198" s="207"/>
      <c r="K198" s="209"/>
    </row>
    <row r="199" spans="1:11">
      <c r="A199" s="128"/>
      <c r="B199" s="128" t="s">
        <v>412</v>
      </c>
      <c r="C199" s="128"/>
      <c r="D199" s="128"/>
      <c r="E199" s="131" t="s">
        <v>413</v>
      </c>
      <c r="F199" s="126"/>
      <c r="G199" s="156"/>
      <c r="H199" s="202"/>
      <c r="I199" s="145"/>
      <c r="J199" s="207"/>
      <c r="K199" s="209"/>
    </row>
    <row r="200" spans="1:11" ht="108">
      <c r="A200" s="128"/>
      <c r="B200" s="128"/>
      <c r="C200" s="128" t="s">
        <v>19</v>
      </c>
      <c r="D200" s="128"/>
      <c r="E200" s="131" t="s">
        <v>414</v>
      </c>
      <c r="F200" s="126"/>
      <c r="G200" s="156"/>
      <c r="H200" s="202"/>
      <c r="I200" s="145"/>
      <c r="J200" s="207"/>
      <c r="K200" s="209"/>
    </row>
    <row r="201" spans="1:11">
      <c r="A201" s="128"/>
      <c r="B201" s="128"/>
      <c r="C201" s="128" t="s">
        <v>22</v>
      </c>
      <c r="D201" s="128"/>
      <c r="E201" s="131" t="s">
        <v>415</v>
      </c>
      <c r="F201" s="126" t="s">
        <v>151</v>
      </c>
      <c r="G201" s="156">
        <v>0</v>
      </c>
      <c r="H201" s="202"/>
      <c r="I201" s="145">
        <v>290</v>
      </c>
      <c r="J201" s="207"/>
      <c r="K201" s="209"/>
    </row>
    <row r="202" spans="1:11">
      <c r="A202" s="128"/>
      <c r="B202" s="128"/>
      <c r="C202" s="128" t="s">
        <v>25</v>
      </c>
      <c r="D202" s="128"/>
      <c r="E202" s="131" t="s">
        <v>416</v>
      </c>
      <c r="F202" s="126" t="s">
        <v>151</v>
      </c>
      <c r="G202" s="156">
        <v>10</v>
      </c>
      <c r="H202" s="202"/>
      <c r="I202" s="145">
        <v>310</v>
      </c>
      <c r="J202" s="207">
        <f>$G202*I202</f>
        <v>3100</v>
      </c>
      <c r="K202" s="209"/>
    </row>
    <row r="203" spans="1:11">
      <c r="A203" s="128"/>
      <c r="B203" s="128"/>
      <c r="C203" s="128" t="s">
        <v>27</v>
      </c>
      <c r="D203" s="128"/>
      <c r="E203" s="131" t="s">
        <v>417</v>
      </c>
      <c r="F203" s="126" t="s">
        <v>151</v>
      </c>
      <c r="G203" s="156">
        <v>8</v>
      </c>
      <c r="H203" s="202"/>
      <c r="I203" s="145">
        <v>335</v>
      </c>
      <c r="J203" s="207">
        <f>$G203*I203</f>
        <v>2680</v>
      </c>
      <c r="K203" s="209"/>
    </row>
    <row r="204" spans="1:11">
      <c r="A204" s="128"/>
      <c r="B204" s="128"/>
      <c r="C204" s="128" t="s">
        <v>29</v>
      </c>
      <c r="D204" s="128"/>
      <c r="E204" s="131" t="s">
        <v>418</v>
      </c>
      <c r="F204" s="126" t="s">
        <v>151</v>
      </c>
      <c r="G204" s="156">
        <v>4</v>
      </c>
      <c r="H204" s="202"/>
      <c r="I204" s="145">
        <v>360</v>
      </c>
      <c r="J204" s="207">
        <f>$G204*I204</f>
        <v>1440</v>
      </c>
      <c r="K204" s="209"/>
    </row>
    <row r="205" spans="1:11">
      <c r="A205" s="128"/>
      <c r="B205" s="128"/>
      <c r="C205" s="128" t="s">
        <v>31</v>
      </c>
      <c r="D205" s="128"/>
      <c r="E205" s="131" t="s">
        <v>419</v>
      </c>
      <c r="F205" s="126" t="s">
        <v>151</v>
      </c>
      <c r="G205" s="156">
        <v>10</v>
      </c>
      <c r="H205" s="202"/>
      <c r="I205" s="145">
        <v>405</v>
      </c>
      <c r="J205" s="207">
        <f>$G205*I205</f>
        <v>4050</v>
      </c>
      <c r="K205" s="209"/>
    </row>
    <row r="206" spans="1:11">
      <c r="A206" s="128"/>
      <c r="B206" s="128"/>
      <c r="C206" s="128" t="s">
        <v>33</v>
      </c>
      <c r="D206" s="128"/>
      <c r="E206" s="131" t="s">
        <v>420</v>
      </c>
      <c r="F206" s="126" t="s">
        <v>151</v>
      </c>
      <c r="G206" s="156">
        <v>30</v>
      </c>
      <c r="H206" s="202">
        <f>'MB Civil &amp; Interior'!K246</f>
        <v>12.600000000000001</v>
      </c>
      <c r="I206" s="145">
        <v>450</v>
      </c>
      <c r="J206" s="207">
        <f>$G206*I206</f>
        <v>13500</v>
      </c>
      <c r="K206" s="209">
        <f>H206*I206</f>
        <v>5670.0000000000009</v>
      </c>
    </row>
    <row r="207" spans="1:11">
      <c r="A207" s="128"/>
      <c r="B207" s="128"/>
      <c r="C207" s="128" t="s">
        <v>35</v>
      </c>
      <c r="D207" s="128"/>
      <c r="E207" s="131" t="s">
        <v>421</v>
      </c>
      <c r="F207" s="126" t="s">
        <v>151</v>
      </c>
      <c r="G207" s="156">
        <v>0</v>
      </c>
      <c r="H207" s="202"/>
      <c r="I207" s="145">
        <v>580</v>
      </c>
      <c r="J207" s="207"/>
      <c r="K207" s="209"/>
    </row>
    <row r="208" spans="1:11" ht="48">
      <c r="A208" s="128"/>
      <c r="B208" s="128"/>
      <c r="C208" s="128" t="s">
        <v>37</v>
      </c>
      <c r="D208" s="128"/>
      <c r="E208" s="131" t="s">
        <v>422</v>
      </c>
      <c r="F208" s="126" t="s">
        <v>42</v>
      </c>
      <c r="G208" s="156">
        <v>5</v>
      </c>
      <c r="H208" s="202">
        <f>'MB Civil &amp; Interior'!K248</f>
        <v>7</v>
      </c>
      <c r="I208" s="145">
        <v>1400</v>
      </c>
      <c r="J208" s="207">
        <f>$G208*I208</f>
        <v>7000</v>
      </c>
      <c r="K208" s="209">
        <f>H208*I208</f>
        <v>9800</v>
      </c>
    </row>
    <row r="209" spans="1:11" ht="24">
      <c r="A209" s="128"/>
      <c r="B209" s="128"/>
      <c r="C209" s="128" t="s">
        <v>49</v>
      </c>
      <c r="D209" s="128"/>
      <c r="E209" s="161" t="s">
        <v>423</v>
      </c>
      <c r="F209" s="126" t="s">
        <v>327</v>
      </c>
      <c r="G209" s="156">
        <v>5</v>
      </c>
      <c r="H209" s="202"/>
      <c r="I209" s="166">
        <v>1250</v>
      </c>
      <c r="J209" s="207">
        <f>$G209*I209</f>
        <v>6250</v>
      </c>
      <c r="K209" s="209"/>
    </row>
    <row r="210" spans="1:11" ht="24">
      <c r="A210" s="128"/>
      <c r="B210" s="128"/>
      <c r="C210" s="128" t="s">
        <v>89</v>
      </c>
      <c r="D210" s="128"/>
      <c r="E210" s="161" t="s">
        <v>424</v>
      </c>
      <c r="F210" s="126"/>
      <c r="G210" s="156"/>
      <c r="H210" s="202"/>
      <c r="I210" s="166"/>
      <c r="J210" s="207"/>
      <c r="K210" s="209"/>
    </row>
    <row r="211" spans="1:11">
      <c r="A211" s="128"/>
      <c r="B211" s="128"/>
      <c r="C211" s="128" t="s">
        <v>136</v>
      </c>
      <c r="D211" s="128"/>
      <c r="E211" s="161" t="s">
        <v>425</v>
      </c>
      <c r="F211" s="126" t="s">
        <v>327</v>
      </c>
      <c r="G211" s="156">
        <v>2</v>
      </c>
      <c r="H211" s="202"/>
      <c r="I211" s="166">
        <v>1250</v>
      </c>
      <c r="J211" s="207">
        <f>$G211*I211</f>
        <v>2500</v>
      </c>
      <c r="K211" s="209"/>
    </row>
    <row r="212" spans="1:11">
      <c r="A212" s="128"/>
      <c r="B212" s="128"/>
      <c r="C212" s="128" t="s">
        <v>426</v>
      </c>
      <c r="D212" s="128"/>
      <c r="E212" s="161" t="s">
        <v>427</v>
      </c>
      <c r="F212" s="126" t="s">
        <v>327</v>
      </c>
      <c r="G212" s="156">
        <v>2</v>
      </c>
      <c r="H212" s="202">
        <f>'MB Civil &amp; Interior'!K251</f>
        <v>2</v>
      </c>
      <c r="I212" s="166">
        <v>1685</v>
      </c>
      <c r="J212" s="207">
        <f>$G212*I212</f>
        <v>3370</v>
      </c>
      <c r="K212" s="209">
        <f>H212*I212</f>
        <v>3370</v>
      </c>
    </row>
    <row r="213" spans="1:11" ht="36" hidden="1">
      <c r="A213" s="128"/>
      <c r="B213" s="128"/>
      <c r="C213" s="128" t="s">
        <v>92</v>
      </c>
      <c r="D213" s="129"/>
      <c r="E213" s="131" t="s">
        <v>428</v>
      </c>
      <c r="F213" s="126" t="s">
        <v>42</v>
      </c>
      <c r="G213" s="156">
        <v>0</v>
      </c>
      <c r="H213" s="156"/>
      <c r="I213" s="145">
        <v>14000</v>
      </c>
      <c r="J213" s="145">
        <f>$G213*I213</f>
        <v>0</v>
      </c>
      <c r="K213" s="120"/>
    </row>
    <row r="214" spans="1:11" ht="36" hidden="1">
      <c r="A214" s="128"/>
      <c r="B214" s="128"/>
      <c r="C214" s="128" t="s">
        <v>89</v>
      </c>
      <c r="D214" s="129"/>
      <c r="E214" s="131" t="s">
        <v>429</v>
      </c>
      <c r="F214" s="126"/>
      <c r="G214" s="156">
        <v>0</v>
      </c>
      <c r="H214" s="156"/>
      <c r="I214" s="145">
        <v>11300</v>
      </c>
      <c r="J214" s="145"/>
      <c r="K214" s="120"/>
    </row>
    <row r="215" spans="1:11" ht="48" hidden="1">
      <c r="A215" s="128"/>
      <c r="B215" s="128"/>
      <c r="C215" s="128" t="s">
        <v>108</v>
      </c>
      <c r="D215" s="129"/>
      <c r="E215" s="131" t="s">
        <v>430</v>
      </c>
      <c r="F215" s="126" t="s">
        <v>327</v>
      </c>
      <c r="G215" s="156">
        <v>1</v>
      </c>
      <c r="H215" s="156"/>
      <c r="I215" s="145">
        <v>8300</v>
      </c>
      <c r="J215" s="145">
        <f>$G215*I215</f>
        <v>8300</v>
      </c>
      <c r="K215" s="120"/>
    </row>
    <row r="216" spans="1:11" ht="36" hidden="1">
      <c r="A216" s="128"/>
      <c r="B216" s="128"/>
      <c r="C216" s="128" t="s">
        <v>129</v>
      </c>
      <c r="D216" s="129"/>
      <c r="E216" s="131" t="s">
        <v>431</v>
      </c>
      <c r="F216" s="126" t="s">
        <v>432</v>
      </c>
      <c r="G216" s="156">
        <v>0</v>
      </c>
      <c r="H216" s="156"/>
      <c r="I216" s="145">
        <v>15</v>
      </c>
      <c r="J216" s="145"/>
      <c r="K216" s="120"/>
    </row>
    <row r="217" spans="1:11" ht="24" hidden="1">
      <c r="A217" s="128" t="s">
        <v>433</v>
      </c>
      <c r="B217" s="128"/>
      <c r="C217" s="128"/>
      <c r="D217" s="129"/>
      <c r="E217" s="131"/>
      <c r="F217" s="126"/>
      <c r="G217" s="156"/>
      <c r="H217" s="156"/>
      <c r="I217" s="145"/>
      <c r="J217" s="145"/>
      <c r="K217" s="120"/>
    </row>
    <row r="218" spans="1:11" hidden="1">
      <c r="A218" s="128"/>
      <c r="B218" s="128" t="s">
        <v>434</v>
      </c>
      <c r="C218" s="128"/>
      <c r="D218" s="129"/>
      <c r="E218" s="131" t="s">
        <v>435</v>
      </c>
      <c r="F218" s="126"/>
      <c r="G218" s="156"/>
      <c r="H218" s="156"/>
      <c r="I218" s="145"/>
      <c r="J218" s="145"/>
      <c r="K218" s="120"/>
    </row>
    <row r="219" spans="1:11" ht="168" hidden="1">
      <c r="A219" s="128"/>
      <c r="B219" s="128"/>
      <c r="C219" s="128" t="s">
        <v>19</v>
      </c>
      <c r="D219" s="129"/>
      <c r="E219" s="131" t="s">
        <v>436</v>
      </c>
      <c r="F219" s="126" t="s">
        <v>437</v>
      </c>
      <c r="G219" s="156">
        <v>0</v>
      </c>
      <c r="H219" s="156"/>
      <c r="I219" s="145">
        <v>15600</v>
      </c>
      <c r="J219" s="145"/>
      <c r="K219" s="120"/>
    </row>
    <row r="220" spans="1:11" ht="48" hidden="1">
      <c r="A220" s="128"/>
      <c r="B220" s="128"/>
      <c r="C220" s="128" t="s">
        <v>37</v>
      </c>
      <c r="D220" s="129"/>
      <c r="E220" s="131" t="s">
        <v>438</v>
      </c>
      <c r="F220" s="126" t="s">
        <v>437</v>
      </c>
      <c r="G220" s="156">
        <v>1</v>
      </c>
      <c r="H220" s="156"/>
      <c r="I220" s="145">
        <v>12000</v>
      </c>
      <c r="J220" s="145">
        <f>$G220*I220</f>
        <v>12000</v>
      </c>
      <c r="K220" s="120"/>
    </row>
    <row r="221" spans="1:11" ht="24" hidden="1">
      <c r="A221" s="128" t="s">
        <v>439</v>
      </c>
      <c r="B221" s="128"/>
      <c r="C221" s="128"/>
      <c r="D221" s="129"/>
      <c r="E221" s="131"/>
      <c r="F221" s="126"/>
      <c r="G221" s="156"/>
      <c r="H221" s="156"/>
      <c r="I221" s="145"/>
      <c r="J221" s="145"/>
      <c r="K221" s="120"/>
    </row>
    <row r="222" spans="1:11" hidden="1">
      <c r="A222" s="128"/>
      <c r="B222" s="128" t="s">
        <v>440</v>
      </c>
      <c r="C222" s="128"/>
      <c r="D222" s="129"/>
      <c r="E222" s="131" t="s">
        <v>441</v>
      </c>
      <c r="F222" s="126"/>
      <c r="G222" s="156"/>
      <c r="H222" s="156"/>
      <c r="I222" s="145"/>
      <c r="J222" s="145"/>
      <c r="K222" s="120"/>
    </row>
    <row r="223" spans="1:11" ht="72" hidden="1">
      <c r="A223" s="128"/>
      <c r="B223" s="128"/>
      <c r="C223" s="128" t="s">
        <v>19</v>
      </c>
      <c r="D223" s="129"/>
      <c r="E223" s="131" t="s">
        <v>442</v>
      </c>
      <c r="F223" s="126"/>
      <c r="G223" s="156"/>
      <c r="H223" s="156"/>
      <c r="I223" s="145"/>
      <c r="J223" s="145"/>
      <c r="K223" s="120"/>
    </row>
    <row r="224" spans="1:11" ht="24" hidden="1">
      <c r="A224" s="128"/>
      <c r="B224" s="128"/>
      <c r="C224" s="128" t="s">
        <v>22</v>
      </c>
      <c r="D224" s="129" t="s">
        <v>443</v>
      </c>
      <c r="E224" s="131" t="s">
        <v>444</v>
      </c>
      <c r="F224" s="126" t="s">
        <v>365</v>
      </c>
      <c r="G224" s="156">
        <v>0</v>
      </c>
      <c r="H224" s="156"/>
      <c r="I224" s="145">
        <v>12500</v>
      </c>
      <c r="J224" s="145">
        <f t="shared" ref="J224:J240" si="2">$G224*I224</f>
        <v>0</v>
      </c>
      <c r="K224" s="120"/>
    </row>
    <row r="225" spans="1:11" ht="36" hidden="1">
      <c r="A225" s="128"/>
      <c r="B225" s="128"/>
      <c r="C225" s="128" t="s">
        <v>25</v>
      </c>
      <c r="D225" s="129" t="s">
        <v>445</v>
      </c>
      <c r="E225" s="131" t="s">
        <v>446</v>
      </c>
      <c r="F225" s="126" t="s">
        <v>365</v>
      </c>
      <c r="G225" s="156">
        <v>0</v>
      </c>
      <c r="H225" s="156"/>
      <c r="I225" s="145">
        <v>5815</v>
      </c>
      <c r="J225" s="145">
        <f t="shared" si="2"/>
        <v>0</v>
      </c>
      <c r="K225" s="120"/>
    </row>
    <row r="226" spans="1:11" ht="24" hidden="1">
      <c r="A226" s="128"/>
      <c r="B226" s="128"/>
      <c r="C226" s="128" t="s">
        <v>27</v>
      </c>
      <c r="D226" s="129" t="s">
        <v>447</v>
      </c>
      <c r="E226" s="131" t="s">
        <v>448</v>
      </c>
      <c r="F226" s="126" t="s">
        <v>365</v>
      </c>
      <c r="G226" s="156">
        <v>0</v>
      </c>
      <c r="H226" s="156"/>
      <c r="I226" s="145">
        <v>7500</v>
      </c>
      <c r="J226" s="145">
        <f t="shared" si="2"/>
        <v>0</v>
      </c>
      <c r="K226" s="120"/>
    </row>
    <row r="227" spans="1:11" hidden="1">
      <c r="A227" s="128"/>
      <c r="B227" s="128"/>
      <c r="C227" s="128" t="s">
        <v>29</v>
      </c>
      <c r="D227" s="129" t="s">
        <v>449</v>
      </c>
      <c r="E227" s="131" t="s">
        <v>450</v>
      </c>
      <c r="F227" s="126" t="s">
        <v>365</v>
      </c>
      <c r="G227" s="156">
        <v>0</v>
      </c>
      <c r="H227" s="156"/>
      <c r="I227" s="145">
        <v>12915</v>
      </c>
      <c r="J227" s="145">
        <f t="shared" si="2"/>
        <v>0</v>
      </c>
      <c r="K227" s="120"/>
    </row>
    <row r="228" spans="1:11" ht="24" hidden="1">
      <c r="A228" s="128"/>
      <c r="B228" s="128"/>
      <c r="C228" s="128" t="s">
        <v>31</v>
      </c>
      <c r="D228" s="129" t="s">
        <v>451</v>
      </c>
      <c r="E228" s="131" t="s">
        <v>452</v>
      </c>
      <c r="F228" s="126" t="s">
        <v>365</v>
      </c>
      <c r="G228" s="156">
        <v>0</v>
      </c>
      <c r="H228" s="156"/>
      <c r="I228" s="145">
        <v>1400</v>
      </c>
      <c r="J228" s="145">
        <f t="shared" si="2"/>
        <v>0</v>
      </c>
      <c r="K228" s="120"/>
    </row>
    <row r="229" spans="1:11" ht="48" hidden="1">
      <c r="A229" s="128"/>
      <c r="B229" s="128"/>
      <c r="C229" s="128" t="s">
        <v>33</v>
      </c>
      <c r="D229" s="129" t="s">
        <v>453</v>
      </c>
      <c r="E229" s="131" t="s">
        <v>454</v>
      </c>
      <c r="F229" s="126" t="s">
        <v>365</v>
      </c>
      <c r="G229" s="156">
        <v>0</v>
      </c>
      <c r="H229" s="156"/>
      <c r="I229" s="145">
        <v>1075</v>
      </c>
      <c r="J229" s="145">
        <f t="shared" si="2"/>
        <v>0</v>
      </c>
      <c r="K229" s="120"/>
    </row>
    <row r="230" spans="1:11" hidden="1">
      <c r="A230" s="128"/>
      <c r="B230" s="128"/>
      <c r="C230" s="128" t="s">
        <v>35</v>
      </c>
      <c r="D230" s="129" t="s">
        <v>455</v>
      </c>
      <c r="E230" s="131" t="s">
        <v>456</v>
      </c>
      <c r="F230" s="126" t="s">
        <v>365</v>
      </c>
      <c r="G230" s="156">
        <v>0</v>
      </c>
      <c r="H230" s="156"/>
      <c r="I230" s="145">
        <v>2775</v>
      </c>
      <c r="J230" s="145">
        <f t="shared" si="2"/>
        <v>0</v>
      </c>
      <c r="K230" s="120"/>
    </row>
    <row r="231" spans="1:11" ht="24" hidden="1">
      <c r="A231" s="128"/>
      <c r="B231" s="128"/>
      <c r="C231" s="128" t="s">
        <v>457</v>
      </c>
      <c r="D231" s="129" t="s">
        <v>458</v>
      </c>
      <c r="E231" s="131" t="s">
        <v>459</v>
      </c>
      <c r="F231" s="126" t="s">
        <v>365</v>
      </c>
      <c r="G231" s="156">
        <v>1</v>
      </c>
      <c r="H231" s="156"/>
      <c r="I231" s="145">
        <v>3000</v>
      </c>
      <c r="J231" s="145">
        <f t="shared" si="2"/>
        <v>3000</v>
      </c>
      <c r="K231" s="120"/>
    </row>
    <row r="232" spans="1:11" ht="24" hidden="1">
      <c r="A232" s="128"/>
      <c r="B232" s="128"/>
      <c r="C232" s="128" t="s">
        <v>460</v>
      </c>
      <c r="D232" s="129" t="s">
        <v>461</v>
      </c>
      <c r="E232" s="131" t="s">
        <v>462</v>
      </c>
      <c r="F232" s="126" t="s">
        <v>365</v>
      </c>
      <c r="G232" s="156">
        <v>2</v>
      </c>
      <c r="H232" s="156"/>
      <c r="I232" s="145">
        <v>2420</v>
      </c>
      <c r="J232" s="145">
        <f t="shared" si="2"/>
        <v>4840</v>
      </c>
      <c r="K232" s="120"/>
    </row>
    <row r="233" spans="1:11" hidden="1">
      <c r="A233" s="128"/>
      <c r="B233" s="128"/>
      <c r="C233" s="128" t="s">
        <v>463</v>
      </c>
      <c r="D233" s="129" t="s">
        <v>464</v>
      </c>
      <c r="E233" s="131" t="s">
        <v>465</v>
      </c>
      <c r="F233" s="126" t="s">
        <v>365</v>
      </c>
      <c r="G233" s="156">
        <v>2</v>
      </c>
      <c r="H233" s="156"/>
      <c r="I233" s="145">
        <v>1200</v>
      </c>
      <c r="J233" s="145">
        <f t="shared" si="2"/>
        <v>2400</v>
      </c>
      <c r="K233" s="120"/>
    </row>
    <row r="234" spans="1:11" ht="24" hidden="1">
      <c r="A234" s="128"/>
      <c r="B234" s="128"/>
      <c r="C234" s="128" t="s">
        <v>466</v>
      </c>
      <c r="D234" s="129" t="s">
        <v>467</v>
      </c>
      <c r="E234" s="131" t="s">
        <v>468</v>
      </c>
      <c r="F234" s="126" t="s">
        <v>365</v>
      </c>
      <c r="G234" s="156">
        <v>2</v>
      </c>
      <c r="H234" s="156"/>
      <c r="I234" s="145">
        <v>3200</v>
      </c>
      <c r="J234" s="145">
        <f t="shared" si="2"/>
        <v>6400</v>
      </c>
      <c r="K234" s="120"/>
    </row>
    <row r="235" spans="1:11" ht="36" hidden="1">
      <c r="A235" s="128"/>
      <c r="B235" s="128"/>
      <c r="C235" s="128" t="s">
        <v>469</v>
      </c>
      <c r="D235" s="129" t="s">
        <v>470</v>
      </c>
      <c r="E235" s="131" t="s">
        <v>471</v>
      </c>
      <c r="F235" s="126" t="s">
        <v>437</v>
      </c>
      <c r="G235" s="156">
        <v>2</v>
      </c>
      <c r="H235" s="156"/>
      <c r="I235" s="145">
        <v>3550</v>
      </c>
      <c r="J235" s="145">
        <f t="shared" si="2"/>
        <v>7100</v>
      </c>
      <c r="K235" s="120"/>
    </row>
    <row r="236" spans="1:11" hidden="1">
      <c r="A236" s="128"/>
      <c r="B236" s="128"/>
      <c r="C236" s="128" t="s">
        <v>472</v>
      </c>
      <c r="D236" s="129" t="s">
        <v>473</v>
      </c>
      <c r="E236" s="131" t="s">
        <v>474</v>
      </c>
      <c r="F236" s="126" t="s">
        <v>437</v>
      </c>
      <c r="G236" s="156">
        <v>0</v>
      </c>
      <c r="H236" s="156"/>
      <c r="I236" s="145">
        <v>7000</v>
      </c>
      <c r="J236" s="145">
        <f t="shared" si="2"/>
        <v>0</v>
      </c>
      <c r="K236" s="120"/>
    </row>
    <row r="237" spans="1:11" ht="72">
      <c r="A237" s="128"/>
      <c r="B237" s="128"/>
      <c r="C237" s="128" t="s">
        <v>475</v>
      </c>
      <c r="D237" s="128" t="s">
        <v>476</v>
      </c>
      <c r="E237" s="161" t="s">
        <v>477</v>
      </c>
      <c r="F237" s="126" t="s">
        <v>437</v>
      </c>
      <c r="G237" s="156">
        <v>6</v>
      </c>
      <c r="H237" s="202">
        <f>'MB Civil &amp; Interior'!K252</f>
        <v>9</v>
      </c>
      <c r="I237" s="166">
        <v>1050</v>
      </c>
      <c r="J237" s="207">
        <f t="shared" si="2"/>
        <v>6300</v>
      </c>
      <c r="K237" s="209">
        <f>H237*I237</f>
        <v>9450</v>
      </c>
    </row>
    <row r="238" spans="1:11" ht="24">
      <c r="A238" s="128"/>
      <c r="B238" s="128"/>
      <c r="C238" s="128" t="s">
        <v>478</v>
      </c>
      <c r="D238" s="128" t="s">
        <v>479</v>
      </c>
      <c r="E238" s="161" t="s">
        <v>480</v>
      </c>
      <c r="F238" s="126" t="s">
        <v>437</v>
      </c>
      <c r="G238" s="156">
        <v>1</v>
      </c>
      <c r="H238" s="202"/>
      <c r="I238" s="166">
        <v>5000</v>
      </c>
      <c r="J238" s="207">
        <f t="shared" si="2"/>
        <v>5000</v>
      </c>
      <c r="K238" s="209"/>
    </row>
    <row r="239" spans="1:11" ht="24" hidden="1">
      <c r="A239" s="128"/>
      <c r="B239" s="128"/>
      <c r="C239" s="128" t="s">
        <v>481</v>
      </c>
      <c r="D239" s="129" t="s">
        <v>482</v>
      </c>
      <c r="E239" s="131" t="s">
        <v>483</v>
      </c>
      <c r="F239" s="126" t="s">
        <v>437</v>
      </c>
      <c r="G239" s="156">
        <v>0</v>
      </c>
      <c r="H239" s="156"/>
      <c r="I239" s="145">
        <v>1500</v>
      </c>
      <c r="J239" s="145">
        <f t="shared" si="2"/>
        <v>0</v>
      </c>
      <c r="K239" s="120"/>
    </row>
    <row r="240" spans="1:11" hidden="1">
      <c r="A240" s="128"/>
      <c r="B240" s="128"/>
      <c r="C240" s="128" t="s">
        <v>484</v>
      </c>
      <c r="D240" s="129" t="s">
        <v>485</v>
      </c>
      <c r="E240" s="131" t="s">
        <v>486</v>
      </c>
      <c r="F240" s="126" t="s">
        <v>365</v>
      </c>
      <c r="G240" s="156">
        <v>2</v>
      </c>
      <c r="H240" s="156"/>
      <c r="I240" s="145">
        <v>550</v>
      </c>
      <c r="J240" s="145">
        <f t="shared" si="2"/>
        <v>1100</v>
      </c>
      <c r="K240" s="120"/>
    </row>
    <row r="241" spans="1:11" ht="24" hidden="1">
      <c r="A241" s="128"/>
      <c r="B241" s="128"/>
      <c r="C241" s="128" t="s">
        <v>487</v>
      </c>
      <c r="D241" s="129" t="s">
        <v>488</v>
      </c>
      <c r="E241" s="131" t="s">
        <v>489</v>
      </c>
      <c r="F241" s="126" t="s">
        <v>365</v>
      </c>
      <c r="G241" s="156">
        <v>0</v>
      </c>
      <c r="H241" s="156"/>
      <c r="I241" s="145">
        <v>350</v>
      </c>
      <c r="J241" s="145"/>
      <c r="K241" s="120"/>
    </row>
    <row r="242" spans="1:11" ht="60">
      <c r="A242" s="128"/>
      <c r="B242" s="128"/>
      <c r="C242" s="128" t="s">
        <v>490</v>
      </c>
      <c r="D242" s="128" t="s">
        <v>491</v>
      </c>
      <c r="E242" s="161" t="s">
        <v>492</v>
      </c>
      <c r="F242" s="126" t="s">
        <v>493</v>
      </c>
      <c r="G242" s="156">
        <v>2</v>
      </c>
      <c r="H242" s="202"/>
      <c r="I242" s="166">
        <v>2100</v>
      </c>
      <c r="J242" s="207">
        <f>$G242*I242</f>
        <v>4200</v>
      </c>
      <c r="K242" s="209"/>
    </row>
    <row r="243" spans="1:11" ht="24">
      <c r="A243" s="128" t="s">
        <v>494</v>
      </c>
      <c r="B243" s="128"/>
      <c r="C243" s="128"/>
      <c r="D243" s="128"/>
      <c r="E243" s="131"/>
      <c r="F243" s="126"/>
      <c r="G243" s="156"/>
      <c r="H243" s="156"/>
      <c r="I243" s="145"/>
      <c r="J243" s="207"/>
      <c r="K243" s="172"/>
    </row>
    <row r="244" spans="1:11">
      <c r="A244" s="128" t="s">
        <v>495</v>
      </c>
      <c r="B244" s="128"/>
      <c r="C244" s="128"/>
      <c r="D244" s="128"/>
      <c r="E244" s="131" t="s">
        <v>496</v>
      </c>
      <c r="F244" s="126"/>
      <c r="G244" s="156"/>
      <c r="H244" s="156"/>
      <c r="I244" s="145"/>
      <c r="J244" s="207"/>
      <c r="K244" s="172"/>
    </row>
    <row r="245" spans="1:11">
      <c r="A245" s="128"/>
      <c r="B245" s="128" t="s">
        <v>497</v>
      </c>
      <c r="C245" s="128"/>
      <c r="D245" s="128"/>
      <c r="E245" s="131" t="s">
        <v>498</v>
      </c>
      <c r="F245" s="126"/>
      <c r="G245" s="156"/>
      <c r="H245" s="156"/>
      <c r="I245" s="145"/>
      <c r="J245" s="207"/>
      <c r="K245" s="172"/>
    </row>
    <row r="246" spans="1:11" ht="24">
      <c r="A246" s="128"/>
      <c r="B246" s="128"/>
      <c r="C246" s="128" t="s">
        <v>22</v>
      </c>
      <c r="D246" s="128" t="s">
        <v>499</v>
      </c>
      <c r="E246" s="131" t="s">
        <v>500</v>
      </c>
      <c r="F246" s="126" t="s">
        <v>437</v>
      </c>
      <c r="G246" s="156">
        <v>1</v>
      </c>
      <c r="H246" s="156">
        <f>'MB Civil &amp; Interior'!K259</f>
        <v>1</v>
      </c>
      <c r="I246" s="145">
        <v>36300</v>
      </c>
      <c r="J246" s="207">
        <f>$G246*I246</f>
        <v>36300</v>
      </c>
      <c r="K246" s="209">
        <f>H246*I246</f>
        <v>36300</v>
      </c>
    </row>
    <row r="247" spans="1:11">
      <c r="A247" s="128"/>
      <c r="B247" s="128"/>
      <c r="C247" s="128"/>
      <c r="D247" s="128"/>
      <c r="E247" s="131" t="s">
        <v>501</v>
      </c>
      <c r="F247" s="126"/>
      <c r="G247" s="156"/>
      <c r="H247" s="156"/>
      <c r="I247" s="145"/>
      <c r="J247" s="207"/>
      <c r="K247" s="172"/>
    </row>
    <row r="248" spans="1:11">
      <c r="A248" s="128"/>
      <c r="B248" s="128"/>
      <c r="C248" s="128"/>
      <c r="D248" s="128"/>
      <c r="E248" s="131" t="s">
        <v>502</v>
      </c>
      <c r="F248" s="126"/>
      <c r="G248" s="156"/>
      <c r="H248" s="156"/>
      <c r="I248" s="145"/>
      <c r="J248" s="207"/>
      <c r="K248" s="172"/>
    </row>
    <row r="249" spans="1:11">
      <c r="A249" s="128"/>
      <c r="B249" s="128"/>
      <c r="C249" s="128"/>
      <c r="D249" s="128"/>
      <c r="E249" s="131" t="s">
        <v>503</v>
      </c>
      <c r="F249" s="126"/>
      <c r="G249" s="156"/>
      <c r="H249" s="156"/>
      <c r="I249" s="145"/>
      <c r="J249" s="207"/>
      <c r="K249" s="172"/>
    </row>
    <row r="250" spans="1:11">
      <c r="A250" s="128"/>
      <c r="B250" s="128"/>
      <c r="C250" s="128"/>
      <c r="D250" s="128"/>
      <c r="E250" s="131" t="s">
        <v>504</v>
      </c>
      <c r="F250" s="126"/>
      <c r="G250" s="156"/>
      <c r="H250" s="156"/>
      <c r="I250" s="145"/>
      <c r="J250" s="207"/>
      <c r="K250" s="172"/>
    </row>
    <row r="251" spans="1:11">
      <c r="A251" s="128"/>
      <c r="B251" s="128"/>
      <c r="C251" s="128"/>
      <c r="D251" s="128"/>
      <c r="E251" s="131" t="s">
        <v>505</v>
      </c>
      <c r="F251" s="126"/>
      <c r="G251" s="156"/>
      <c r="H251" s="156"/>
      <c r="I251" s="145"/>
      <c r="J251" s="207"/>
      <c r="K251" s="172"/>
    </row>
    <row r="252" spans="1:11">
      <c r="A252" s="128"/>
      <c r="B252" s="128"/>
      <c r="C252" s="128"/>
      <c r="D252" s="128"/>
      <c r="E252" s="131" t="s">
        <v>506</v>
      </c>
      <c r="F252" s="126"/>
      <c r="G252" s="156"/>
      <c r="H252" s="156"/>
      <c r="I252" s="145"/>
      <c r="J252" s="207"/>
      <c r="K252" s="172"/>
    </row>
    <row r="253" spans="1:11" ht="24">
      <c r="A253" s="128"/>
      <c r="B253" s="128"/>
      <c r="C253" s="128" t="s">
        <v>25</v>
      </c>
      <c r="D253" s="128" t="s">
        <v>507</v>
      </c>
      <c r="E253" s="131" t="s">
        <v>500</v>
      </c>
      <c r="F253" s="126" t="s">
        <v>437</v>
      </c>
      <c r="G253" s="156">
        <v>0</v>
      </c>
      <c r="H253" s="156"/>
      <c r="I253" s="145">
        <v>29500</v>
      </c>
      <c r="J253" s="207"/>
      <c r="K253" s="172"/>
    </row>
    <row r="254" spans="1:11">
      <c r="A254" s="128"/>
      <c r="B254" s="128"/>
      <c r="C254" s="128"/>
      <c r="D254" s="128"/>
      <c r="E254" s="131" t="s">
        <v>501</v>
      </c>
      <c r="F254" s="126"/>
      <c r="G254" s="156"/>
      <c r="H254" s="156"/>
      <c r="I254" s="145"/>
      <c r="J254" s="207"/>
      <c r="K254" s="172"/>
    </row>
    <row r="255" spans="1:11">
      <c r="A255" s="128"/>
      <c r="B255" s="128"/>
      <c r="C255" s="128"/>
      <c r="D255" s="128"/>
      <c r="E255" s="131" t="s">
        <v>508</v>
      </c>
      <c r="F255" s="126"/>
      <c r="G255" s="156"/>
      <c r="H255" s="156"/>
      <c r="I255" s="145"/>
      <c r="J255" s="207"/>
      <c r="K255" s="172"/>
    </row>
    <row r="256" spans="1:11">
      <c r="A256" s="128"/>
      <c r="B256" s="128"/>
      <c r="C256" s="128"/>
      <c r="D256" s="128"/>
      <c r="E256" s="131" t="s">
        <v>503</v>
      </c>
      <c r="F256" s="126"/>
      <c r="G256" s="156"/>
      <c r="H256" s="156"/>
      <c r="I256" s="145"/>
      <c r="J256" s="207"/>
      <c r="K256" s="172"/>
    </row>
    <row r="257" spans="1:11">
      <c r="A257" s="128"/>
      <c r="B257" s="128"/>
      <c r="C257" s="128"/>
      <c r="D257" s="128"/>
      <c r="E257" s="131" t="s">
        <v>509</v>
      </c>
      <c r="F257" s="126"/>
      <c r="G257" s="156"/>
      <c r="H257" s="156"/>
      <c r="I257" s="145"/>
      <c r="J257" s="207"/>
      <c r="K257" s="172"/>
    </row>
    <row r="258" spans="1:11">
      <c r="A258" s="128"/>
      <c r="B258" s="128"/>
      <c r="C258" s="128"/>
      <c r="D258" s="128"/>
      <c r="E258" s="131" t="s">
        <v>510</v>
      </c>
      <c r="F258" s="126"/>
      <c r="G258" s="156"/>
      <c r="H258" s="156"/>
      <c r="I258" s="145"/>
      <c r="J258" s="207"/>
      <c r="K258" s="172"/>
    </row>
    <row r="259" spans="1:11">
      <c r="A259" s="128"/>
      <c r="B259" s="128"/>
      <c r="C259" s="128"/>
      <c r="D259" s="128"/>
      <c r="E259" s="131" t="s">
        <v>506</v>
      </c>
      <c r="F259" s="126"/>
      <c r="G259" s="156"/>
      <c r="H259" s="156"/>
      <c r="I259" s="145"/>
      <c r="J259" s="207"/>
      <c r="K259" s="172"/>
    </row>
    <row r="260" spans="1:11" ht="24">
      <c r="A260" s="128"/>
      <c r="B260" s="128"/>
      <c r="C260" s="128" t="s">
        <v>27</v>
      </c>
      <c r="D260" s="128" t="s">
        <v>511</v>
      </c>
      <c r="E260" s="131" t="s">
        <v>500</v>
      </c>
      <c r="F260" s="126" t="s">
        <v>437</v>
      </c>
      <c r="G260" s="156">
        <v>0</v>
      </c>
      <c r="H260" s="156"/>
      <c r="I260" s="145">
        <v>26500</v>
      </c>
      <c r="J260" s="207"/>
      <c r="K260" s="172"/>
    </row>
    <row r="261" spans="1:11">
      <c r="A261" s="128"/>
      <c r="B261" s="128"/>
      <c r="C261" s="128"/>
      <c r="D261" s="128"/>
      <c r="E261" s="131" t="s">
        <v>501</v>
      </c>
      <c r="F261" s="126"/>
      <c r="G261" s="156"/>
      <c r="H261" s="156"/>
      <c r="I261" s="145"/>
      <c r="J261" s="207"/>
      <c r="K261" s="172"/>
    </row>
    <row r="262" spans="1:11">
      <c r="A262" s="128"/>
      <c r="B262" s="128"/>
      <c r="C262" s="128"/>
      <c r="D262" s="128"/>
      <c r="E262" s="131" t="s">
        <v>508</v>
      </c>
      <c r="F262" s="126"/>
      <c r="G262" s="156"/>
      <c r="H262" s="156"/>
      <c r="I262" s="145"/>
      <c r="J262" s="207"/>
      <c r="K262" s="172"/>
    </row>
    <row r="263" spans="1:11">
      <c r="A263" s="128"/>
      <c r="B263" s="128"/>
      <c r="C263" s="128"/>
      <c r="D263" s="128"/>
      <c r="E263" s="131" t="s">
        <v>503</v>
      </c>
      <c r="F263" s="126"/>
      <c r="G263" s="156"/>
      <c r="H263" s="156"/>
      <c r="I263" s="145"/>
      <c r="J263" s="207"/>
      <c r="K263" s="172"/>
    </row>
    <row r="264" spans="1:11">
      <c r="A264" s="128"/>
      <c r="B264" s="128"/>
      <c r="C264" s="128"/>
      <c r="D264" s="128"/>
      <c r="E264" s="131" t="s">
        <v>512</v>
      </c>
      <c r="F264" s="126"/>
      <c r="G264" s="156"/>
      <c r="H264" s="156"/>
      <c r="I264" s="145"/>
      <c r="J264" s="207"/>
      <c r="K264" s="172"/>
    </row>
    <row r="265" spans="1:11">
      <c r="A265" s="128"/>
      <c r="B265" s="128"/>
      <c r="C265" s="128"/>
      <c r="D265" s="128"/>
      <c r="E265" s="131" t="s">
        <v>513</v>
      </c>
      <c r="F265" s="126"/>
      <c r="G265" s="156"/>
      <c r="H265" s="156"/>
      <c r="I265" s="145"/>
      <c r="J265" s="207"/>
      <c r="K265" s="172"/>
    </row>
    <row r="266" spans="1:11">
      <c r="A266" s="128"/>
      <c r="B266" s="128"/>
      <c r="C266" s="128"/>
      <c r="D266" s="128"/>
      <c r="E266" s="131" t="s">
        <v>506</v>
      </c>
      <c r="F266" s="126"/>
      <c r="G266" s="156"/>
      <c r="H266" s="156"/>
      <c r="I266" s="145"/>
      <c r="J266" s="207"/>
      <c r="K266" s="172"/>
    </row>
    <row r="267" spans="1:11" ht="24">
      <c r="A267" s="128" t="s">
        <v>514</v>
      </c>
      <c r="B267" s="128"/>
      <c r="C267" s="128"/>
      <c r="D267" s="128"/>
      <c r="E267" s="131"/>
      <c r="F267" s="126"/>
      <c r="G267" s="156"/>
      <c r="H267" s="156"/>
      <c r="I267" s="145"/>
      <c r="J267" s="207"/>
      <c r="K267" s="172"/>
    </row>
    <row r="268" spans="1:11">
      <c r="A268" s="128"/>
      <c r="B268" s="128" t="s">
        <v>515</v>
      </c>
      <c r="C268" s="128"/>
      <c r="D268" s="128"/>
      <c r="E268" s="131" t="s">
        <v>516</v>
      </c>
      <c r="F268" s="126"/>
      <c r="G268" s="156"/>
      <c r="H268" s="156"/>
      <c r="I268" s="145"/>
      <c r="J268" s="207"/>
      <c r="K268" s="172"/>
    </row>
    <row r="269" spans="1:11" ht="36">
      <c r="A269" s="128"/>
      <c r="B269" s="128"/>
      <c r="C269" s="128" t="s">
        <v>40</v>
      </c>
      <c r="D269" s="128" t="s">
        <v>517</v>
      </c>
      <c r="E269" s="131" t="s">
        <v>518</v>
      </c>
      <c r="F269" s="126" t="s">
        <v>437</v>
      </c>
      <c r="G269" s="156">
        <v>0</v>
      </c>
      <c r="H269" s="156"/>
      <c r="I269" s="145">
        <v>23500</v>
      </c>
      <c r="J269" s="207"/>
      <c r="K269" s="172"/>
    </row>
    <row r="270" spans="1:11">
      <c r="A270" s="128"/>
      <c r="B270" s="128"/>
      <c r="C270" s="128"/>
      <c r="D270" s="128"/>
      <c r="E270" s="131" t="s">
        <v>501</v>
      </c>
      <c r="F270" s="126"/>
      <c r="G270" s="156"/>
      <c r="H270" s="156"/>
      <c r="I270" s="145"/>
      <c r="J270" s="207"/>
      <c r="K270" s="172"/>
    </row>
    <row r="271" spans="1:11">
      <c r="A271" s="128"/>
      <c r="B271" s="128"/>
      <c r="C271" s="128"/>
      <c r="D271" s="128"/>
      <c r="E271" s="131" t="s">
        <v>519</v>
      </c>
      <c r="F271" s="126"/>
      <c r="G271" s="156"/>
      <c r="H271" s="156"/>
      <c r="I271" s="145"/>
      <c r="J271" s="207"/>
      <c r="K271" s="172"/>
    </row>
    <row r="272" spans="1:11">
      <c r="A272" s="128"/>
      <c r="B272" s="128"/>
      <c r="C272" s="128"/>
      <c r="D272" s="128"/>
      <c r="E272" s="131" t="s">
        <v>520</v>
      </c>
      <c r="F272" s="126"/>
      <c r="G272" s="156"/>
      <c r="H272" s="156"/>
      <c r="I272" s="145"/>
      <c r="J272" s="207"/>
      <c r="K272" s="172"/>
    </row>
    <row r="273" spans="1:11">
      <c r="A273" s="128"/>
      <c r="B273" s="128"/>
      <c r="C273" s="128"/>
      <c r="D273" s="128"/>
      <c r="E273" s="131" t="s">
        <v>521</v>
      </c>
      <c r="F273" s="126"/>
      <c r="G273" s="156"/>
      <c r="H273" s="156"/>
      <c r="I273" s="145"/>
      <c r="J273" s="207"/>
      <c r="K273" s="172"/>
    </row>
    <row r="274" spans="1:11">
      <c r="A274" s="128"/>
      <c r="B274" s="128"/>
      <c r="C274" s="128"/>
      <c r="D274" s="128"/>
      <c r="E274" s="131" t="s">
        <v>503</v>
      </c>
      <c r="F274" s="126"/>
      <c r="G274" s="156"/>
      <c r="H274" s="156"/>
      <c r="I274" s="145"/>
      <c r="J274" s="207"/>
      <c r="K274" s="172"/>
    </row>
    <row r="275" spans="1:11">
      <c r="A275" s="128"/>
      <c r="B275" s="128"/>
      <c r="C275" s="128"/>
      <c r="D275" s="128"/>
      <c r="E275" s="131" t="s">
        <v>522</v>
      </c>
      <c r="F275" s="126"/>
      <c r="G275" s="156"/>
      <c r="H275" s="156"/>
      <c r="I275" s="145"/>
      <c r="J275" s="207"/>
      <c r="K275" s="172"/>
    </row>
    <row r="276" spans="1:11">
      <c r="A276" s="128"/>
      <c r="B276" s="128"/>
      <c r="C276" s="128"/>
      <c r="D276" s="128"/>
      <c r="E276" s="131" t="s">
        <v>506</v>
      </c>
      <c r="F276" s="126"/>
      <c r="G276" s="156"/>
      <c r="H276" s="156"/>
      <c r="I276" s="145"/>
      <c r="J276" s="207"/>
      <c r="K276" s="172"/>
    </row>
    <row r="277" spans="1:11" ht="36">
      <c r="A277" s="128"/>
      <c r="B277" s="128"/>
      <c r="C277" s="128" t="s">
        <v>43</v>
      </c>
      <c r="D277" s="128" t="s">
        <v>523</v>
      </c>
      <c r="E277" s="131" t="s">
        <v>524</v>
      </c>
      <c r="F277" s="126" t="s">
        <v>437</v>
      </c>
      <c r="G277" s="156">
        <v>0</v>
      </c>
      <c r="H277" s="156"/>
      <c r="I277" s="145">
        <v>21500</v>
      </c>
      <c r="J277" s="207"/>
      <c r="K277" s="172"/>
    </row>
    <row r="278" spans="1:11" ht="36">
      <c r="A278" s="128"/>
      <c r="B278" s="128"/>
      <c r="C278" s="128"/>
      <c r="D278" s="128"/>
      <c r="E278" s="131" t="s">
        <v>518</v>
      </c>
      <c r="F278" s="126"/>
      <c r="G278" s="156"/>
      <c r="H278" s="156"/>
      <c r="I278" s="145"/>
      <c r="J278" s="207"/>
      <c r="K278" s="172"/>
    </row>
    <row r="279" spans="1:11">
      <c r="A279" s="128"/>
      <c r="B279" s="128"/>
      <c r="C279" s="128"/>
      <c r="D279" s="128"/>
      <c r="E279" s="131" t="s">
        <v>525</v>
      </c>
      <c r="F279" s="126"/>
      <c r="G279" s="156"/>
      <c r="H279" s="156"/>
      <c r="I279" s="145"/>
      <c r="J279" s="207"/>
      <c r="K279" s="172"/>
    </row>
    <row r="280" spans="1:11">
      <c r="A280" s="128"/>
      <c r="B280" s="128"/>
      <c r="C280" s="128"/>
      <c r="D280" s="128"/>
      <c r="E280" s="131" t="s">
        <v>501</v>
      </c>
      <c r="F280" s="126"/>
      <c r="G280" s="156"/>
      <c r="H280" s="156"/>
      <c r="I280" s="145"/>
      <c r="J280" s="207"/>
      <c r="K280" s="172"/>
    </row>
    <row r="281" spans="1:11">
      <c r="A281" s="128"/>
      <c r="B281" s="128"/>
      <c r="C281" s="128"/>
      <c r="D281" s="128"/>
      <c r="E281" s="131" t="s">
        <v>526</v>
      </c>
      <c r="F281" s="126"/>
      <c r="G281" s="156"/>
      <c r="H281" s="156"/>
      <c r="I281" s="145"/>
      <c r="J281" s="207"/>
      <c r="K281" s="172"/>
    </row>
    <row r="282" spans="1:11">
      <c r="A282" s="128"/>
      <c r="B282" s="128"/>
      <c r="C282" s="128"/>
      <c r="D282" s="128"/>
      <c r="E282" s="131" t="s">
        <v>520</v>
      </c>
      <c r="F282" s="126"/>
      <c r="G282" s="156"/>
      <c r="H282" s="156"/>
      <c r="I282" s="145"/>
      <c r="J282" s="207"/>
      <c r="K282" s="172"/>
    </row>
    <row r="283" spans="1:11">
      <c r="A283" s="128"/>
      <c r="B283" s="128"/>
      <c r="C283" s="128"/>
      <c r="D283" s="128"/>
      <c r="E283" s="131" t="s">
        <v>527</v>
      </c>
      <c r="F283" s="126"/>
      <c r="G283" s="156"/>
      <c r="H283" s="156"/>
      <c r="I283" s="145"/>
      <c r="J283" s="207"/>
      <c r="K283" s="172"/>
    </row>
    <row r="284" spans="1:11">
      <c r="A284" s="128"/>
      <c r="B284" s="128"/>
      <c r="C284" s="128"/>
      <c r="D284" s="128"/>
      <c r="E284" s="131" t="s">
        <v>503</v>
      </c>
      <c r="F284" s="126"/>
      <c r="G284" s="156"/>
      <c r="H284" s="156"/>
      <c r="I284" s="145"/>
      <c r="J284" s="207"/>
      <c r="K284" s="172"/>
    </row>
    <row r="285" spans="1:11">
      <c r="A285" s="128"/>
      <c r="B285" s="128"/>
      <c r="C285" s="128"/>
      <c r="D285" s="128"/>
      <c r="E285" s="131" t="s">
        <v>528</v>
      </c>
      <c r="F285" s="126"/>
      <c r="G285" s="156"/>
      <c r="H285" s="156"/>
      <c r="I285" s="145"/>
      <c r="J285" s="207"/>
      <c r="K285" s="172"/>
    </row>
    <row r="286" spans="1:11">
      <c r="A286" s="128"/>
      <c r="B286" s="128"/>
      <c r="C286" s="128"/>
      <c r="D286" s="128"/>
      <c r="E286" s="131" t="s">
        <v>506</v>
      </c>
      <c r="F286" s="126"/>
      <c r="G286" s="156"/>
      <c r="H286" s="156"/>
      <c r="I286" s="145"/>
      <c r="J286" s="207"/>
      <c r="K286" s="172"/>
    </row>
    <row r="287" spans="1:11" ht="36">
      <c r="A287" s="128"/>
      <c r="B287" s="128"/>
      <c r="C287" s="128" t="s">
        <v>45</v>
      </c>
      <c r="D287" s="128" t="s">
        <v>529</v>
      </c>
      <c r="E287" s="131" t="s">
        <v>530</v>
      </c>
      <c r="F287" s="126" t="s">
        <v>437</v>
      </c>
      <c r="G287" s="156">
        <v>0</v>
      </c>
      <c r="H287" s="156"/>
      <c r="I287" s="145">
        <v>19000</v>
      </c>
      <c r="J287" s="207"/>
      <c r="K287" s="172"/>
    </row>
    <row r="288" spans="1:11" ht="36">
      <c r="A288" s="128"/>
      <c r="B288" s="128"/>
      <c r="C288" s="128"/>
      <c r="D288" s="128"/>
      <c r="E288" s="131" t="s">
        <v>518</v>
      </c>
      <c r="F288" s="126"/>
      <c r="G288" s="156"/>
      <c r="H288" s="156"/>
      <c r="I288" s="145"/>
      <c r="J288" s="207"/>
      <c r="K288" s="172"/>
    </row>
    <row r="289" spans="1:11">
      <c r="A289" s="128"/>
      <c r="B289" s="128"/>
      <c r="C289" s="128"/>
      <c r="D289" s="128"/>
      <c r="E289" s="131" t="s">
        <v>525</v>
      </c>
      <c r="F289" s="126"/>
      <c r="G289" s="156"/>
      <c r="H289" s="156"/>
      <c r="I289" s="145"/>
      <c r="J289" s="207"/>
      <c r="K289" s="172"/>
    </row>
    <row r="290" spans="1:11">
      <c r="A290" s="128"/>
      <c r="B290" s="128"/>
      <c r="C290" s="128"/>
      <c r="D290" s="128"/>
      <c r="E290" s="131" t="s">
        <v>501</v>
      </c>
      <c r="F290" s="126"/>
      <c r="G290" s="156"/>
      <c r="H290" s="156"/>
      <c r="I290" s="145"/>
      <c r="J290" s="207"/>
      <c r="K290" s="172"/>
    </row>
    <row r="291" spans="1:11">
      <c r="A291" s="128"/>
      <c r="B291" s="128"/>
      <c r="C291" s="128"/>
      <c r="D291" s="128"/>
      <c r="E291" s="131" t="s">
        <v>526</v>
      </c>
      <c r="F291" s="126"/>
      <c r="G291" s="156"/>
      <c r="H291" s="156"/>
      <c r="I291" s="145"/>
      <c r="J291" s="207"/>
      <c r="K291" s="172"/>
    </row>
    <row r="292" spans="1:11">
      <c r="A292" s="128"/>
      <c r="B292" s="128"/>
      <c r="C292" s="128"/>
      <c r="D292" s="128"/>
      <c r="E292" s="131" t="s">
        <v>520</v>
      </c>
      <c r="F292" s="126"/>
      <c r="G292" s="156"/>
      <c r="H292" s="156"/>
      <c r="I292" s="145"/>
      <c r="J292" s="207"/>
      <c r="K292" s="172"/>
    </row>
    <row r="293" spans="1:11">
      <c r="A293" s="128"/>
      <c r="B293" s="128"/>
      <c r="C293" s="128"/>
      <c r="D293" s="128"/>
      <c r="E293" s="131" t="s">
        <v>527</v>
      </c>
      <c r="F293" s="126"/>
      <c r="G293" s="156"/>
      <c r="H293" s="156"/>
      <c r="I293" s="145"/>
      <c r="J293" s="207"/>
      <c r="K293" s="172"/>
    </row>
    <row r="294" spans="1:11">
      <c r="A294" s="128"/>
      <c r="B294" s="128"/>
      <c r="C294" s="128"/>
      <c r="D294" s="128"/>
      <c r="E294" s="131" t="s">
        <v>503</v>
      </c>
      <c r="F294" s="126"/>
      <c r="G294" s="156"/>
      <c r="H294" s="156"/>
      <c r="I294" s="145"/>
      <c r="J294" s="207"/>
      <c r="K294" s="172"/>
    </row>
    <row r="295" spans="1:11">
      <c r="A295" s="128"/>
      <c r="B295" s="128"/>
      <c r="C295" s="128"/>
      <c r="D295" s="128"/>
      <c r="E295" s="131" t="s">
        <v>531</v>
      </c>
      <c r="F295" s="126"/>
      <c r="G295" s="156"/>
      <c r="H295" s="156"/>
      <c r="I295" s="145"/>
      <c r="J295" s="207"/>
      <c r="K295" s="172"/>
    </row>
    <row r="296" spans="1:11">
      <c r="A296" s="128"/>
      <c r="B296" s="128"/>
      <c r="C296" s="128"/>
      <c r="D296" s="128"/>
      <c r="E296" s="131" t="s">
        <v>506</v>
      </c>
      <c r="F296" s="126"/>
      <c r="G296" s="156"/>
      <c r="H296" s="156"/>
      <c r="I296" s="145"/>
      <c r="J296" s="207"/>
      <c r="K296" s="172"/>
    </row>
    <row r="297" spans="1:11" ht="24">
      <c r="A297" s="128" t="s">
        <v>532</v>
      </c>
      <c r="B297" s="128"/>
      <c r="C297" s="128"/>
      <c r="D297" s="128"/>
      <c r="E297" s="131"/>
      <c r="F297" s="126"/>
      <c r="G297" s="156"/>
      <c r="H297" s="156"/>
      <c r="I297" s="145"/>
      <c r="J297" s="207"/>
      <c r="K297" s="172"/>
    </row>
    <row r="298" spans="1:11">
      <c r="A298" s="128"/>
      <c r="B298" s="128" t="s">
        <v>533</v>
      </c>
      <c r="C298" s="128"/>
      <c r="D298" s="128"/>
      <c r="E298" s="131" t="s">
        <v>534</v>
      </c>
      <c r="F298" s="126"/>
      <c r="G298" s="156"/>
      <c r="H298" s="156"/>
      <c r="I298" s="145"/>
      <c r="J298" s="207"/>
      <c r="K298" s="172"/>
    </row>
    <row r="299" spans="1:11">
      <c r="A299" s="128"/>
      <c r="B299" s="128"/>
      <c r="C299" s="128" t="s">
        <v>76</v>
      </c>
      <c r="D299" s="128" t="s">
        <v>535</v>
      </c>
      <c r="E299" s="131" t="s">
        <v>536</v>
      </c>
      <c r="F299" s="126" t="s">
        <v>437</v>
      </c>
      <c r="G299" s="156">
        <v>0</v>
      </c>
      <c r="H299" s="156">
        <f>'MB Civil &amp; Interior'!K261</f>
        <v>1</v>
      </c>
      <c r="I299" s="145">
        <v>13000</v>
      </c>
      <c r="J299" s="207"/>
      <c r="K299" s="209">
        <f>H299*I299</f>
        <v>13000</v>
      </c>
    </row>
    <row r="300" spans="1:11">
      <c r="A300" s="128"/>
      <c r="B300" s="128"/>
      <c r="C300" s="128"/>
      <c r="D300" s="128"/>
      <c r="E300" s="131" t="s">
        <v>501</v>
      </c>
      <c r="F300" s="126"/>
      <c r="G300" s="156"/>
      <c r="H300" s="156"/>
      <c r="I300" s="145"/>
      <c r="J300" s="207"/>
      <c r="K300" s="172"/>
    </row>
    <row r="301" spans="1:11">
      <c r="A301" s="128"/>
      <c r="B301" s="128"/>
      <c r="C301" s="128"/>
      <c r="D301" s="128"/>
      <c r="E301" s="131" t="s">
        <v>537</v>
      </c>
      <c r="F301" s="126"/>
      <c r="G301" s="156"/>
      <c r="H301" s="156"/>
      <c r="I301" s="145"/>
      <c r="J301" s="207"/>
      <c r="K301" s="172"/>
    </row>
    <row r="302" spans="1:11">
      <c r="A302" s="128"/>
      <c r="B302" s="128"/>
      <c r="C302" s="128"/>
      <c r="D302" s="128"/>
      <c r="E302" s="131" t="s">
        <v>503</v>
      </c>
      <c r="F302" s="126"/>
      <c r="G302" s="156"/>
      <c r="H302" s="156"/>
      <c r="I302" s="145"/>
      <c r="J302" s="207"/>
      <c r="K302" s="172"/>
    </row>
    <row r="303" spans="1:11">
      <c r="A303" s="128"/>
      <c r="B303" s="128"/>
      <c r="C303" s="128"/>
      <c r="D303" s="128"/>
      <c r="E303" s="131" t="s">
        <v>531</v>
      </c>
      <c r="F303" s="126"/>
      <c r="G303" s="156"/>
      <c r="H303" s="156"/>
      <c r="I303" s="145"/>
      <c r="J303" s="207"/>
      <c r="K303" s="172"/>
    </row>
    <row r="304" spans="1:11">
      <c r="A304" s="128"/>
      <c r="B304" s="128"/>
      <c r="C304" s="128"/>
      <c r="D304" s="128"/>
      <c r="E304" s="131" t="s">
        <v>538</v>
      </c>
      <c r="F304" s="126"/>
      <c r="G304" s="156"/>
      <c r="H304" s="156"/>
      <c r="I304" s="145"/>
      <c r="J304" s="207"/>
      <c r="K304" s="172"/>
    </row>
    <row r="305" spans="1:11">
      <c r="A305" s="128"/>
      <c r="B305" s="128"/>
      <c r="C305" s="128"/>
      <c r="D305" s="128"/>
      <c r="E305" s="131" t="s">
        <v>506</v>
      </c>
      <c r="F305" s="126"/>
      <c r="G305" s="156"/>
      <c r="H305" s="156"/>
      <c r="I305" s="145"/>
      <c r="J305" s="207"/>
      <c r="K305" s="172"/>
    </row>
    <row r="306" spans="1:11">
      <c r="A306" s="128"/>
      <c r="B306" s="128"/>
      <c r="C306" s="128" t="s">
        <v>285</v>
      </c>
      <c r="D306" s="128" t="s">
        <v>539</v>
      </c>
      <c r="E306" s="131" t="s">
        <v>540</v>
      </c>
      <c r="F306" s="126" t="s">
        <v>437</v>
      </c>
      <c r="G306" s="156">
        <v>1</v>
      </c>
      <c r="H306" s="156"/>
      <c r="I306" s="145">
        <v>10500</v>
      </c>
      <c r="J306" s="207">
        <f>$G306*I306</f>
        <v>10500</v>
      </c>
      <c r="K306" s="209">
        <f>H306*I306</f>
        <v>0</v>
      </c>
    </row>
    <row r="307" spans="1:11">
      <c r="A307" s="128"/>
      <c r="B307" s="128"/>
      <c r="C307" s="128"/>
      <c r="D307" s="128"/>
      <c r="E307" s="131" t="s">
        <v>501</v>
      </c>
      <c r="F307" s="126"/>
      <c r="G307" s="156"/>
      <c r="H307" s="156"/>
      <c r="I307" s="145"/>
      <c r="J307" s="207"/>
      <c r="K307" s="172"/>
    </row>
    <row r="308" spans="1:11">
      <c r="A308" s="128"/>
      <c r="B308" s="128"/>
      <c r="C308" s="128"/>
      <c r="D308" s="128"/>
      <c r="E308" s="131" t="s">
        <v>541</v>
      </c>
      <c r="F308" s="126"/>
      <c r="G308" s="156"/>
      <c r="H308" s="156"/>
      <c r="I308" s="145"/>
      <c r="J308" s="207"/>
      <c r="K308" s="172"/>
    </row>
    <row r="309" spans="1:11">
      <c r="A309" s="128"/>
      <c r="B309" s="128"/>
      <c r="C309" s="128"/>
      <c r="D309" s="128"/>
      <c r="E309" s="131" t="s">
        <v>503</v>
      </c>
      <c r="F309" s="126"/>
      <c r="G309" s="156"/>
      <c r="H309" s="156"/>
      <c r="I309" s="145"/>
      <c r="J309" s="207"/>
      <c r="K309" s="172"/>
    </row>
    <row r="310" spans="1:11">
      <c r="A310" s="128"/>
      <c r="B310" s="128"/>
      <c r="C310" s="128"/>
      <c r="D310" s="128"/>
      <c r="E310" s="131" t="s">
        <v>542</v>
      </c>
      <c r="F310" s="126"/>
      <c r="G310" s="156"/>
      <c r="H310" s="156"/>
      <c r="I310" s="145"/>
      <c r="J310" s="207"/>
      <c r="K310" s="172"/>
    </row>
    <row r="311" spans="1:11">
      <c r="A311" s="128"/>
      <c r="B311" s="128"/>
      <c r="C311" s="128"/>
      <c r="D311" s="128"/>
      <c r="E311" s="131" t="s">
        <v>543</v>
      </c>
      <c r="F311" s="126"/>
      <c r="G311" s="156"/>
      <c r="H311" s="156"/>
      <c r="I311" s="145"/>
      <c r="J311" s="207"/>
      <c r="K311" s="172"/>
    </row>
    <row r="312" spans="1:11">
      <c r="A312" s="128"/>
      <c r="B312" s="128"/>
      <c r="C312" s="128"/>
      <c r="D312" s="128"/>
      <c r="E312" s="131" t="s">
        <v>506</v>
      </c>
      <c r="F312" s="126"/>
      <c r="G312" s="156"/>
      <c r="H312" s="156"/>
      <c r="I312" s="145"/>
      <c r="J312" s="207"/>
      <c r="K312" s="172"/>
    </row>
    <row r="313" spans="1:11">
      <c r="A313" s="128"/>
      <c r="B313" s="128"/>
      <c r="C313" s="128" t="s">
        <v>397</v>
      </c>
      <c r="D313" s="128" t="s">
        <v>544</v>
      </c>
      <c r="E313" s="131" t="s">
        <v>545</v>
      </c>
      <c r="F313" s="126" t="s">
        <v>437</v>
      </c>
      <c r="G313" s="156">
        <v>0</v>
      </c>
      <c r="H313" s="156"/>
      <c r="I313" s="145">
        <v>8000</v>
      </c>
      <c r="J313" s="207"/>
      <c r="K313" s="172"/>
    </row>
    <row r="314" spans="1:11">
      <c r="A314" s="128"/>
      <c r="B314" s="128"/>
      <c r="C314" s="128"/>
      <c r="D314" s="128"/>
      <c r="E314" s="131" t="s">
        <v>501</v>
      </c>
      <c r="F314" s="126"/>
      <c r="G314" s="156"/>
      <c r="H314" s="156"/>
      <c r="I314" s="145"/>
      <c r="J314" s="207"/>
      <c r="K314" s="172"/>
    </row>
    <row r="315" spans="1:11">
      <c r="A315" s="128"/>
      <c r="B315" s="128"/>
      <c r="C315" s="128"/>
      <c r="D315" s="128"/>
      <c r="E315" s="131" t="s">
        <v>546</v>
      </c>
      <c r="F315" s="126"/>
      <c r="G315" s="156"/>
      <c r="H315" s="156"/>
      <c r="I315" s="145"/>
      <c r="J315" s="207"/>
      <c r="K315" s="172"/>
    </row>
    <row r="316" spans="1:11">
      <c r="A316" s="128"/>
      <c r="B316" s="128"/>
      <c r="C316" s="128"/>
      <c r="D316" s="128"/>
      <c r="E316" s="131" t="s">
        <v>503</v>
      </c>
      <c r="F316" s="126"/>
      <c r="G316" s="156"/>
      <c r="H316" s="156"/>
      <c r="I316" s="145"/>
      <c r="J316" s="207"/>
      <c r="K316" s="172"/>
    </row>
    <row r="317" spans="1:11">
      <c r="A317" s="128"/>
      <c r="B317" s="128"/>
      <c r="C317" s="128"/>
      <c r="D317" s="128"/>
      <c r="E317" s="131" t="s">
        <v>547</v>
      </c>
      <c r="F317" s="126"/>
      <c r="G317" s="156"/>
      <c r="H317" s="156"/>
      <c r="I317" s="145"/>
      <c r="J317" s="207"/>
      <c r="K317" s="172"/>
    </row>
    <row r="318" spans="1:11">
      <c r="A318" s="128"/>
      <c r="B318" s="128"/>
      <c r="C318" s="128"/>
      <c r="D318" s="128"/>
      <c r="E318" s="131" t="s">
        <v>548</v>
      </c>
      <c r="F318" s="126"/>
      <c r="G318" s="156"/>
      <c r="H318" s="156"/>
      <c r="I318" s="145"/>
      <c r="J318" s="207"/>
      <c r="K318" s="172"/>
    </row>
    <row r="319" spans="1:11">
      <c r="A319" s="128"/>
      <c r="B319" s="128"/>
      <c r="C319" s="128"/>
      <c r="D319" s="128"/>
      <c r="E319" s="131" t="s">
        <v>506</v>
      </c>
      <c r="F319" s="126"/>
      <c r="G319" s="156"/>
      <c r="H319" s="156"/>
      <c r="I319" s="145"/>
      <c r="J319" s="207"/>
      <c r="K319" s="172"/>
    </row>
    <row r="320" spans="1:11" ht="24">
      <c r="A320" s="128" t="s">
        <v>549</v>
      </c>
      <c r="B320" s="128"/>
      <c r="C320" s="128"/>
      <c r="D320" s="128"/>
      <c r="E320" s="131"/>
      <c r="F320" s="126"/>
      <c r="G320" s="156"/>
      <c r="H320" s="156"/>
      <c r="I320" s="145"/>
      <c r="J320" s="207"/>
      <c r="K320" s="172"/>
    </row>
    <row r="321" spans="1:11">
      <c r="A321" s="128"/>
      <c r="B321" s="128" t="s">
        <v>550</v>
      </c>
      <c r="C321" s="128"/>
      <c r="D321" s="128"/>
      <c r="E321" s="131" t="s">
        <v>551</v>
      </c>
      <c r="F321" s="126"/>
      <c r="G321" s="156"/>
      <c r="H321" s="156"/>
      <c r="I321" s="145"/>
      <c r="J321" s="207"/>
      <c r="K321" s="172"/>
    </row>
    <row r="322" spans="1:11">
      <c r="A322" s="128"/>
      <c r="B322" s="128"/>
      <c r="C322" s="128" t="s">
        <v>22</v>
      </c>
      <c r="D322" s="128"/>
      <c r="E322" s="131" t="s">
        <v>552</v>
      </c>
      <c r="F322" s="126" t="s">
        <v>437</v>
      </c>
      <c r="G322" s="156">
        <v>1</v>
      </c>
      <c r="H322" s="156"/>
      <c r="I322" s="145">
        <v>1050</v>
      </c>
      <c r="J322" s="207">
        <f>$G322*I322</f>
        <v>1050</v>
      </c>
      <c r="K322" s="172"/>
    </row>
    <row r="323" spans="1:11">
      <c r="A323" s="128"/>
      <c r="B323" s="128"/>
      <c r="C323" s="128" t="s">
        <v>25</v>
      </c>
      <c r="D323" s="128"/>
      <c r="E323" s="131" t="s">
        <v>553</v>
      </c>
      <c r="F323" s="126" t="s">
        <v>437</v>
      </c>
      <c r="G323" s="156">
        <v>2</v>
      </c>
      <c r="H323" s="156"/>
      <c r="I323" s="145">
        <v>1100</v>
      </c>
      <c r="J323" s="207">
        <f>$G323*I323</f>
        <v>2200</v>
      </c>
      <c r="K323" s="172"/>
    </row>
    <row r="324" spans="1:11">
      <c r="A324" s="128"/>
      <c r="B324" s="128"/>
      <c r="C324" s="128" t="s">
        <v>27</v>
      </c>
      <c r="D324" s="128"/>
      <c r="E324" s="131" t="s">
        <v>554</v>
      </c>
      <c r="F324" s="126" t="s">
        <v>437</v>
      </c>
      <c r="G324" s="156">
        <v>0</v>
      </c>
      <c r="H324" s="156"/>
      <c r="I324" s="145">
        <v>1200</v>
      </c>
      <c r="J324" s="207"/>
      <c r="K324" s="172"/>
    </row>
    <row r="325" spans="1:11">
      <c r="A325" s="128"/>
      <c r="B325" s="128"/>
      <c r="C325" s="128" t="s">
        <v>29</v>
      </c>
      <c r="D325" s="128"/>
      <c r="E325" s="131" t="s">
        <v>555</v>
      </c>
      <c r="F325" s="126" t="s">
        <v>437</v>
      </c>
      <c r="G325" s="156">
        <v>1</v>
      </c>
      <c r="H325" s="156"/>
      <c r="I325" s="145">
        <v>1150</v>
      </c>
      <c r="J325" s="207">
        <f>$G325*I325</f>
        <v>1150</v>
      </c>
      <c r="K325" s="172"/>
    </row>
    <row r="326" spans="1:11">
      <c r="A326" s="128"/>
      <c r="B326" s="128"/>
      <c r="C326" s="128" t="s">
        <v>31</v>
      </c>
      <c r="D326" s="128"/>
      <c r="E326" s="131" t="s">
        <v>556</v>
      </c>
      <c r="F326" s="126" t="s">
        <v>437</v>
      </c>
      <c r="G326" s="156">
        <v>2</v>
      </c>
      <c r="H326" s="156"/>
      <c r="I326" s="145">
        <v>1200</v>
      </c>
      <c r="J326" s="207">
        <f>$G326*I326</f>
        <v>2400</v>
      </c>
      <c r="K326" s="172"/>
    </row>
    <row r="327" spans="1:11">
      <c r="A327" s="128"/>
      <c r="B327" s="128"/>
      <c r="C327" s="128" t="s">
        <v>33</v>
      </c>
      <c r="D327" s="128"/>
      <c r="E327" s="131" t="s">
        <v>557</v>
      </c>
      <c r="F327" s="126" t="s">
        <v>437</v>
      </c>
      <c r="G327" s="156">
        <v>0</v>
      </c>
      <c r="H327" s="156"/>
      <c r="I327" s="145">
        <v>1300</v>
      </c>
      <c r="J327" s="207">
        <f>$G327*I327</f>
        <v>0</v>
      </c>
      <c r="K327" s="172"/>
    </row>
    <row r="328" spans="1:11">
      <c r="A328" s="128"/>
      <c r="B328" s="128"/>
      <c r="C328" s="128" t="s">
        <v>35</v>
      </c>
      <c r="D328" s="128"/>
      <c r="E328" s="131" t="s">
        <v>558</v>
      </c>
      <c r="F328" s="126" t="s">
        <v>437</v>
      </c>
      <c r="G328" s="156">
        <v>0</v>
      </c>
      <c r="H328" s="156"/>
      <c r="I328" s="145">
        <v>3200</v>
      </c>
      <c r="J328" s="207"/>
      <c r="K328" s="172"/>
    </row>
    <row r="329" spans="1:11">
      <c r="A329" s="128"/>
      <c r="B329" s="128"/>
      <c r="C329" s="128" t="s">
        <v>457</v>
      </c>
      <c r="D329" s="128"/>
      <c r="E329" s="131" t="s">
        <v>559</v>
      </c>
      <c r="F329" s="126" t="s">
        <v>437</v>
      </c>
      <c r="G329" s="156">
        <v>0</v>
      </c>
      <c r="H329" s="156"/>
      <c r="I329" s="145">
        <v>3900</v>
      </c>
      <c r="J329" s="207"/>
      <c r="K329" s="172"/>
    </row>
    <row r="330" spans="1:11">
      <c r="A330" s="128"/>
      <c r="B330" s="128"/>
      <c r="C330" s="128" t="s">
        <v>460</v>
      </c>
      <c r="D330" s="128"/>
      <c r="E330" s="131" t="s">
        <v>560</v>
      </c>
      <c r="F330" s="126" t="s">
        <v>437</v>
      </c>
      <c r="G330" s="156">
        <v>1</v>
      </c>
      <c r="H330" s="156"/>
      <c r="I330" s="145">
        <v>4600</v>
      </c>
      <c r="J330" s="207">
        <f>$G330*I330</f>
        <v>4600</v>
      </c>
      <c r="K330" s="172"/>
    </row>
    <row r="331" spans="1:11">
      <c r="A331" s="128"/>
      <c r="B331" s="128"/>
      <c r="C331" s="128" t="s">
        <v>463</v>
      </c>
      <c r="D331" s="128"/>
      <c r="E331" s="131" t="s">
        <v>561</v>
      </c>
      <c r="F331" s="126" t="s">
        <v>437</v>
      </c>
      <c r="G331" s="156">
        <v>0</v>
      </c>
      <c r="H331" s="156"/>
      <c r="I331" s="145">
        <v>1600</v>
      </c>
      <c r="J331" s="207"/>
      <c r="K331" s="172"/>
    </row>
    <row r="332" spans="1:11">
      <c r="A332" s="128"/>
      <c r="B332" s="128"/>
      <c r="C332" s="128" t="s">
        <v>466</v>
      </c>
      <c r="D332" s="128"/>
      <c r="E332" s="131" t="s">
        <v>562</v>
      </c>
      <c r="F332" s="126" t="s">
        <v>437</v>
      </c>
      <c r="G332" s="156">
        <v>0</v>
      </c>
      <c r="H332" s="156"/>
      <c r="I332" s="145">
        <v>1700</v>
      </c>
      <c r="J332" s="207"/>
      <c r="K332" s="172"/>
    </row>
    <row r="333" spans="1:11">
      <c r="A333" s="128"/>
      <c r="B333" s="128"/>
      <c r="C333" s="128" t="s">
        <v>469</v>
      </c>
      <c r="D333" s="128"/>
      <c r="E333" s="131" t="s">
        <v>563</v>
      </c>
      <c r="F333" s="126" t="s">
        <v>437</v>
      </c>
      <c r="G333" s="156">
        <v>0</v>
      </c>
      <c r="H333" s="156"/>
      <c r="I333" s="145">
        <v>1800</v>
      </c>
      <c r="J333" s="207"/>
      <c r="K333" s="172"/>
    </row>
    <row r="334" spans="1:11">
      <c r="A334" s="128"/>
      <c r="B334" s="128"/>
      <c r="C334" s="128" t="s">
        <v>472</v>
      </c>
      <c r="D334" s="128"/>
      <c r="E334" s="131" t="s">
        <v>564</v>
      </c>
      <c r="F334" s="126" t="s">
        <v>437</v>
      </c>
      <c r="G334" s="156">
        <v>0</v>
      </c>
      <c r="H334" s="156"/>
      <c r="I334" s="145">
        <v>700</v>
      </c>
      <c r="J334" s="207"/>
      <c r="K334" s="172"/>
    </row>
    <row r="335" spans="1:11" ht="24">
      <c r="A335" s="128"/>
      <c r="B335" s="128"/>
      <c r="C335" s="128" t="s">
        <v>475</v>
      </c>
      <c r="D335" s="128"/>
      <c r="E335" s="131" t="s">
        <v>565</v>
      </c>
      <c r="F335" s="126" t="s">
        <v>437</v>
      </c>
      <c r="G335" s="156">
        <v>0</v>
      </c>
      <c r="H335" s="156"/>
      <c r="I335" s="145">
        <v>1100</v>
      </c>
      <c r="J335" s="207"/>
      <c r="K335" s="172"/>
    </row>
    <row r="336" spans="1:11">
      <c r="A336" s="128"/>
      <c r="B336" s="128"/>
      <c r="C336" s="128" t="s">
        <v>478</v>
      </c>
      <c r="D336" s="128"/>
      <c r="E336" s="131" t="s">
        <v>566</v>
      </c>
      <c r="F336" s="126" t="s">
        <v>437</v>
      </c>
      <c r="G336" s="156">
        <v>0</v>
      </c>
      <c r="H336" s="156"/>
      <c r="I336" s="145">
        <v>1500</v>
      </c>
      <c r="J336" s="207"/>
      <c r="K336" s="172"/>
    </row>
    <row r="337" spans="1:11">
      <c r="A337" s="128"/>
      <c r="B337" s="128"/>
      <c r="C337" s="128" t="s">
        <v>481</v>
      </c>
      <c r="D337" s="128"/>
      <c r="E337" s="131" t="s">
        <v>567</v>
      </c>
      <c r="F337" s="126" t="s">
        <v>437</v>
      </c>
      <c r="G337" s="156">
        <v>0</v>
      </c>
      <c r="H337" s="156">
        <f>'MB Civil &amp; Interior'!K263</f>
        <v>2</v>
      </c>
      <c r="I337" s="145">
        <v>1600</v>
      </c>
      <c r="J337" s="207"/>
      <c r="K337" s="209">
        <f>H337*I337</f>
        <v>3200</v>
      </c>
    </row>
    <row r="338" spans="1:11">
      <c r="A338" s="128"/>
      <c r="B338" s="128"/>
      <c r="C338" s="128" t="s">
        <v>484</v>
      </c>
      <c r="D338" s="128"/>
      <c r="E338" s="131" t="s">
        <v>568</v>
      </c>
      <c r="F338" s="126" t="s">
        <v>437</v>
      </c>
      <c r="G338" s="156">
        <v>0</v>
      </c>
      <c r="H338" s="156"/>
      <c r="I338" s="145">
        <v>3850</v>
      </c>
      <c r="J338" s="207"/>
      <c r="K338" s="172"/>
    </row>
    <row r="339" spans="1:11">
      <c r="A339" s="128"/>
      <c r="B339" s="128"/>
      <c r="C339" s="128" t="s">
        <v>37</v>
      </c>
      <c r="D339" s="128"/>
      <c r="E339" s="131" t="s">
        <v>569</v>
      </c>
      <c r="F339" s="126"/>
      <c r="G339" s="156"/>
      <c r="H339" s="156"/>
      <c r="I339" s="145">
        <v>0</v>
      </c>
      <c r="J339" s="207"/>
      <c r="K339" s="172"/>
    </row>
    <row r="340" spans="1:11" ht="24">
      <c r="A340" s="128"/>
      <c r="B340" s="128"/>
      <c r="C340" s="128" t="s">
        <v>40</v>
      </c>
      <c r="D340" s="128"/>
      <c r="E340" s="131" t="s">
        <v>570</v>
      </c>
      <c r="F340" s="126" t="s">
        <v>437</v>
      </c>
      <c r="G340" s="156">
        <v>0</v>
      </c>
      <c r="H340" s="156"/>
      <c r="I340" s="145">
        <v>12500</v>
      </c>
      <c r="J340" s="207"/>
      <c r="K340" s="172"/>
    </row>
    <row r="341" spans="1:11" ht="24">
      <c r="A341" s="128"/>
      <c r="B341" s="128"/>
      <c r="C341" s="128" t="s">
        <v>43</v>
      </c>
      <c r="D341" s="128"/>
      <c r="E341" s="131" t="s">
        <v>571</v>
      </c>
      <c r="F341" s="126" t="s">
        <v>437</v>
      </c>
      <c r="G341" s="156">
        <v>1</v>
      </c>
      <c r="H341" s="156"/>
      <c r="I341" s="145">
        <v>11000</v>
      </c>
      <c r="J341" s="207">
        <f>$G341*I341</f>
        <v>11000</v>
      </c>
      <c r="K341" s="209">
        <f>H341*I341</f>
        <v>0</v>
      </c>
    </row>
    <row r="342" spans="1:11">
      <c r="A342" s="128"/>
      <c r="B342" s="128"/>
      <c r="C342" s="128" t="s">
        <v>49</v>
      </c>
      <c r="D342" s="128"/>
      <c r="E342" s="131" t="s">
        <v>572</v>
      </c>
      <c r="F342" s="126" t="s">
        <v>437</v>
      </c>
      <c r="G342" s="156">
        <v>6</v>
      </c>
      <c r="H342" s="156"/>
      <c r="I342" s="145">
        <v>190</v>
      </c>
      <c r="J342" s="207">
        <f>$G342*I342</f>
        <v>1140</v>
      </c>
      <c r="K342" s="172"/>
    </row>
    <row r="343" spans="1:11" ht="228">
      <c r="A343" s="128"/>
      <c r="B343" s="128"/>
      <c r="C343" s="128"/>
      <c r="D343" s="128" t="s">
        <v>573</v>
      </c>
      <c r="E343" s="131" t="s">
        <v>574</v>
      </c>
      <c r="F343" s="126"/>
      <c r="G343" s="156"/>
      <c r="H343" s="156"/>
      <c r="I343" s="145"/>
      <c r="J343" s="207"/>
      <c r="K343" s="172"/>
    </row>
    <row r="344" spans="1:11" ht="96">
      <c r="A344" s="128"/>
      <c r="B344" s="128"/>
      <c r="C344" s="128" t="s">
        <v>89</v>
      </c>
      <c r="D344" s="128" t="s">
        <v>575</v>
      </c>
      <c r="E344" s="131" t="s">
        <v>576</v>
      </c>
      <c r="F344" s="126"/>
      <c r="G344" s="156"/>
      <c r="H344" s="156"/>
      <c r="I344" s="145"/>
      <c r="J344" s="207"/>
      <c r="K344" s="172"/>
    </row>
    <row r="345" spans="1:11">
      <c r="A345" s="128"/>
      <c r="B345" s="128"/>
      <c r="C345" s="128" t="s">
        <v>219</v>
      </c>
      <c r="D345" s="128"/>
      <c r="E345" s="131" t="s">
        <v>577</v>
      </c>
      <c r="F345" s="126" t="s">
        <v>578</v>
      </c>
      <c r="G345" s="156">
        <v>5</v>
      </c>
      <c r="H345" s="156">
        <f>'MB Civil &amp; Interior'!K267</f>
        <v>5</v>
      </c>
      <c r="I345" s="145">
        <v>1200</v>
      </c>
      <c r="J345" s="207">
        <f t="shared" ref="J345:J350" si="3">$G345*I345</f>
        <v>6000</v>
      </c>
      <c r="K345" s="209">
        <f t="shared" ref="K345:K408" si="4">H345*I345</f>
        <v>6000</v>
      </c>
    </row>
    <row r="346" spans="1:11">
      <c r="A346" s="128"/>
      <c r="B346" s="128"/>
      <c r="C346" s="128" t="s">
        <v>221</v>
      </c>
      <c r="D346" s="128"/>
      <c r="E346" s="131" t="s">
        <v>579</v>
      </c>
      <c r="F346" s="126" t="s">
        <v>578</v>
      </c>
      <c r="G346" s="156">
        <v>0</v>
      </c>
      <c r="H346" s="156"/>
      <c r="I346" s="145">
        <v>1150</v>
      </c>
      <c r="J346" s="207">
        <f t="shared" si="3"/>
        <v>0</v>
      </c>
      <c r="K346" s="209">
        <f t="shared" si="4"/>
        <v>0</v>
      </c>
    </row>
    <row r="347" spans="1:11" ht="24">
      <c r="A347" s="128"/>
      <c r="B347" s="128"/>
      <c r="C347" s="128" t="s">
        <v>580</v>
      </c>
      <c r="D347" s="128"/>
      <c r="E347" s="131" t="s">
        <v>581</v>
      </c>
      <c r="F347" s="126" t="s">
        <v>578</v>
      </c>
      <c r="G347" s="156">
        <v>30</v>
      </c>
      <c r="H347" s="156">
        <f>'MB Civil &amp; Interior'!K269</f>
        <v>23</v>
      </c>
      <c r="I347" s="145">
        <v>1150</v>
      </c>
      <c r="J347" s="207">
        <f t="shared" si="3"/>
        <v>34500</v>
      </c>
      <c r="K347" s="209">
        <f t="shared" si="4"/>
        <v>26450</v>
      </c>
    </row>
    <row r="348" spans="1:11" ht="60">
      <c r="A348" s="128"/>
      <c r="B348" s="128"/>
      <c r="C348" s="128" t="s">
        <v>582</v>
      </c>
      <c r="D348" s="128"/>
      <c r="E348" s="131" t="s">
        <v>583</v>
      </c>
      <c r="F348" s="126" t="s">
        <v>384</v>
      </c>
      <c r="G348" s="156">
        <v>150</v>
      </c>
      <c r="H348" s="215">
        <v>75</v>
      </c>
      <c r="I348" s="145">
        <v>130</v>
      </c>
      <c r="J348" s="207">
        <f t="shared" si="3"/>
        <v>19500</v>
      </c>
      <c r="K348" s="209">
        <f t="shared" si="4"/>
        <v>9750</v>
      </c>
    </row>
    <row r="349" spans="1:11" ht="48">
      <c r="A349" s="128"/>
      <c r="B349" s="128"/>
      <c r="C349" s="128" t="s">
        <v>584</v>
      </c>
      <c r="D349" s="128"/>
      <c r="E349" s="131" t="s">
        <v>585</v>
      </c>
      <c r="F349" s="126" t="s">
        <v>384</v>
      </c>
      <c r="G349" s="156">
        <v>100</v>
      </c>
      <c r="H349" s="156">
        <f>'MB Civil &amp; Interior'!K284</f>
        <v>145.9</v>
      </c>
      <c r="I349" s="145">
        <v>150</v>
      </c>
      <c r="J349" s="207">
        <f t="shared" si="3"/>
        <v>15000</v>
      </c>
      <c r="K349" s="209">
        <f t="shared" si="4"/>
        <v>21885</v>
      </c>
    </row>
    <row r="350" spans="1:11" ht="36">
      <c r="A350" s="128"/>
      <c r="B350" s="128"/>
      <c r="C350" s="128" t="s">
        <v>586</v>
      </c>
      <c r="D350" s="128"/>
      <c r="E350" s="131" t="s">
        <v>587</v>
      </c>
      <c r="F350" s="126" t="s">
        <v>384</v>
      </c>
      <c r="G350" s="156">
        <v>0</v>
      </c>
      <c r="H350" s="156">
        <f>'MB Civil &amp; Interior'!K312</f>
        <v>346.30000000000007</v>
      </c>
      <c r="I350" s="145">
        <v>165</v>
      </c>
      <c r="J350" s="207">
        <f t="shared" si="3"/>
        <v>0</v>
      </c>
      <c r="K350" s="209">
        <f t="shared" si="4"/>
        <v>57139.500000000015</v>
      </c>
    </row>
    <row r="351" spans="1:11" ht="164">
      <c r="A351" s="128"/>
      <c r="B351" s="128"/>
      <c r="C351" s="128" t="s">
        <v>92</v>
      </c>
      <c r="D351" s="128" t="s">
        <v>588</v>
      </c>
      <c r="E351" s="131" t="s">
        <v>589</v>
      </c>
      <c r="F351" s="126"/>
      <c r="G351" s="156"/>
      <c r="H351" s="156"/>
      <c r="I351" s="145"/>
      <c r="J351" s="207"/>
      <c r="K351" s="209">
        <f t="shared" si="4"/>
        <v>0</v>
      </c>
    </row>
    <row r="352" spans="1:11" ht="24">
      <c r="A352" s="128"/>
      <c r="B352" s="128"/>
      <c r="C352" s="128" t="s">
        <v>590</v>
      </c>
      <c r="D352" s="128"/>
      <c r="E352" s="131" t="s">
        <v>591</v>
      </c>
      <c r="F352" s="126" t="s">
        <v>42</v>
      </c>
      <c r="G352" s="156">
        <v>10</v>
      </c>
      <c r="H352" s="156"/>
      <c r="I352" s="145">
        <v>1800</v>
      </c>
      <c r="J352" s="207">
        <f>$G352*I352</f>
        <v>18000</v>
      </c>
      <c r="K352" s="209">
        <f t="shared" si="4"/>
        <v>0</v>
      </c>
    </row>
    <row r="353" spans="1:11" ht="26.5">
      <c r="A353" s="128"/>
      <c r="B353" s="128"/>
      <c r="C353" s="128" t="s">
        <v>592</v>
      </c>
      <c r="D353" s="128"/>
      <c r="E353" s="131" t="s">
        <v>593</v>
      </c>
      <c r="F353" s="126" t="s">
        <v>42</v>
      </c>
      <c r="G353" s="156">
        <v>30</v>
      </c>
      <c r="H353" s="156"/>
      <c r="I353" s="145">
        <v>1650</v>
      </c>
      <c r="J353" s="207">
        <f>$G353*I353</f>
        <v>49500</v>
      </c>
      <c r="K353" s="209">
        <f t="shared" si="4"/>
        <v>0</v>
      </c>
    </row>
    <row r="354" spans="1:11" ht="70">
      <c r="A354" s="128"/>
      <c r="B354" s="128"/>
      <c r="C354" s="128" t="s">
        <v>594</v>
      </c>
      <c r="D354" s="128"/>
      <c r="E354" s="131" t="s">
        <v>595</v>
      </c>
      <c r="F354" s="126" t="s">
        <v>42</v>
      </c>
      <c r="G354" s="156">
        <v>0</v>
      </c>
      <c r="H354" s="156"/>
      <c r="I354" s="145">
        <v>1600</v>
      </c>
      <c r="J354" s="207"/>
      <c r="K354" s="209">
        <f t="shared" si="4"/>
        <v>0</v>
      </c>
    </row>
    <row r="355" spans="1:11" ht="60">
      <c r="A355" s="128"/>
      <c r="B355" s="128"/>
      <c r="C355" s="128" t="s">
        <v>596</v>
      </c>
      <c r="D355" s="128"/>
      <c r="E355" s="131" t="s">
        <v>597</v>
      </c>
      <c r="F355" s="126" t="s">
        <v>598</v>
      </c>
      <c r="G355" s="156">
        <v>0</v>
      </c>
      <c r="H355" s="156"/>
      <c r="I355" s="145">
        <v>178</v>
      </c>
      <c r="J355" s="207"/>
      <c r="K355" s="209">
        <f t="shared" si="4"/>
        <v>0</v>
      </c>
    </row>
    <row r="356" spans="1:11" ht="48">
      <c r="A356" s="128"/>
      <c r="B356" s="128"/>
      <c r="C356" s="128" t="s">
        <v>599</v>
      </c>
      <c r="D356" s="128"/>
      <c r="E356" s="131" t="s">
        <v>600</v>
      </c>
      <c r="F356" s="126" t="s">
        <v>598</v>
      </c>
      <c r="G356" s="156">
        <v>0</v>
      </c>
      <c r="H356" s="156"/>
      <c r="I356" s="145">
        <v>200</v>
      </c>
      <c r="J356" s="207"/>
      <c r="K356" s="209">
        <f t="shared" si="4"/>
        <v>0</v>
      </c>
    </row>
    <row r="357" spans="1:11">
      <c r="A357" s="128"/>
      <c r="B357" s="128"/>
      <c r="C357" s="128" t="s">
        <v>108</v>
      </c>
      <c r="D357" s="128"/>
      <c r="E357" s="131" t="s">
        <v>601</v>
      </c>
      <c r="F357" s="126"/>
      <c r="G357" s="156"/>
      <c r="H357" s="156"/>
      <c r="I357" s="145"/>
      <c r="J357" s="207"/>
      <c r="K357" s="209">
        <f t="shared" si="4"/>
        <v>0</v>
      </c>
    </row>
    <row r="358" spans="1:11" ht="178.5">
      <c r="A358" s="128"/>
      <c r="B358" s="128"/>
      <c r="C358" s="128"/>
      <c r="D358" s="128"/>
      <c r="E358" s="131" t="s">
        <v>602</v>
      </c>
      <c r="F358" s="126"/>
      <c r="G358" s="156"/>
      <c r="H358" s="156"/>
      <c r="I358" s="145"/>
      <c r="J358" s="207"/>
      <c r="K358" s="209">
        <f t="shared" si="4"/>
        <v>0</v>
      </c>
    </row>
    <row r="359" spans="1:11" ht="24">
      <c r="A359" s="128"/>
      <c r="B359" s="128"/>
      <c r="C359" s="128" t="s">
        <v>405</v>
      </c>
      <c r="D359" s="128"/>
      <c r="E359" s="131" t="s">
        <v>603</v>
      </c>
      <c r="F359" s="126" t="s">
        <v>578</v>
      </c>
      <c r="G359" s="156">
        <v>10</v>
      </c>
      <c r="H359" s="156"/>
      <c r="I359" s="145">
        <v>1400</v>
      </c>
      <c r="J359" s="207">
        <f>$G359*I359</f>
        <v>14000</v>
      </c>
      <c r="K359" s="209">
        <f t="shared" si="4"/>
        <v>0</v>
      </c>
    </row>
    <row r="360" spans="1:11" ht="41">
      <c r="A360" s="128"/>
      <c r="B360" s="128"/>
      <c r="C360" s="128" t="s">
        <v>407</v>
      </c>
      <c r="D360" s="128"/>
      <c r="E360" s="131" t="s">
        <v>604</v>
      </c>
      <c r="F360" s="126" t="s">
        <v>578</v>
      </c>
      <c r="G360" s="156">
        <v>30</v>
      </c>
      <c r="H360" s="156"/>
      <c r="I360" s="145">
        <v>1100</v>
      </c>
      <c r="J360" s="207">
        <f>$G360*I360</f>
        <v>33000</v>
      </c>
      <c r="K360" s="209">
        <f t="shared" si="4"/>
        <v>0</v>
      </c>
    </row>
    <row r="361" spans="1:11" ht="70">
      <c r="A361" s="128"/>
      <c r="B361" s="128"/>
      <c r="C361" s="128" t="s">
        <v>409</v>
      </c>
      <c r="D361" s="128"/>
      <c r="E361" s="131" t="s">
        <v>605</v>
      </c>
      <c r="F361" s="126" t="s">
        <v>578</v>
      </c>
      <c r="G361" s="156">
        <v>0</v>
      </c>
      <c r="H361" s="156"/>
      <c r="I361" s="145">
        <v>1800</v>
      </c>
      <c r="J361" s="207">
        <f>$G361*I361</f>
        <v>0</v>
      </c>
      <c r="K361" s="209">
        <f t="shared" si="4"/>
        <v>0</v>
      </c>
    </row>
    <row r="362" spans="1:11" ht="67.5">
      <c r="A362" s="128"/>
      <c r="B362" s="128"/>
      <c r="C362" s="128" t="s">
        <v>606</v>
      </c>
      <c r="D362" s="128"/>
      <c r="E362" s="131" t="s">
        <v>607</v>
      </c>
      <c r="F362" s="126" t="s">
        <v>578</v>
      </c>
      <c r="G362" s="156">
        <v>0</v>
      </c>
      <c r="H362" s="156"/>
      <c r="I362" s="145">
        <v>1300</v>
      </c>
      <c r="J362" s="207">
        <f>$G362*I362</f>
        <v>0</v>
      </c>
      <c r="K362" s="209">
        <f t="shared" si="4"/>
        <v>0</v>
      </c>
    </row>
    <row r="363" spans="1:11" ht="48">
      <c r="A363" s="128"/>
      <c r="B363" s="128"/>
      <c r="C363" s="128" t="s">
        <v>608</v>
      </c>
      <c r="D363" s="128"/>
      <c r="E363" s="131" t="s">
        <v>609</v>
      </c>
      <c r="F363" s="126" t="s">
        <v>578</v>
      </c>
      <c r="G363" s="156"/>
      <c r="H363" s="156"/>
      <c r="I363" s="145">
        <v>1300</v>
      </c>
      <c r="J363" s="207"/>
      <c r="K363" s="209">
        <f t="shared" si="4"/>
        <v>0</v>
      </c>
    </row>
    <row r="364" spans="1:11" ht="132">
      <c r="A364" s="128"/>
      <c r="B364" s="128"/>
      <c r="C364" s="128" t="s">
        <v>129</v>
      </c>
      <c r="D364" s="128"/>
      <c r="E364" s="131" t="s">
        <v>610</v>
      </c>
      <c r="F364" s="126"/>
      <c r="G364" s="156"/>
      <c r="H364" s="156"/>
      <c r="I364" s="145"/>
      <c r="J364" s="207"/>
      <c r="K364" s="209">
        <f t="shared" si="4"/>
        <v>0</v>
      </c>
    </row>
    <row r="365" spans="1:11" ht="24">
      <c r="A365" s="128"/>
      <c r="B365" s="128"/>
      <c r="C365" s="128" t="s">
        <v>611</v>
      </c>
      <c r="D365" s="128"/>
      <c r="E365" s="131" t="s">
        <v>603</v>
      </c>
      <c r="F365" s="126"/>
      <c r="G365" s="156"/>
      <c r="H365" s="156"/>
      <c r="I365" s="145">
        <v>1900</v>
      </c>
      <c r="J365" s="207">
        <f>$G365*I365</f>
        <v>0</v>
      </c>
      <c r="K365" s="209">
        <f t="shared" si="4"/>
        <v>0</v>
      </c>
    </row>
    <row r="366" spans="1:11" ht="36">
      <c r="A366" s="128"/>
      <c r="B366" s="128"/>
      <c r="C366" s="128" t="s">
        <v>612</v>
      </c>
      <c r="D366" s="128"/>
      <c r="E366" s="131" t="s">
        <v>613</v>
      </c>
      <c r="F366" s="126" t="s">
        <v>578</v>
      </c>
      <c r="G366" s="156"/>
      <c r="H366" s="156"/>
      <c r="I366" s="145">
        <v>1300</v>
      </c>
      <c r="J366" s="207">
        <f>$G366*I366</f>
        <v>0</v>
      </c>
      <c r="K366" s="209">
        <f t="shared" si="4"/>
        <v>0</v>
      </c>
    </row>
    <row r="367" spans="1:11" ht="48">
      <c r="A367" s="128"/>
      <c r="B367" s="128"/>
      <c r="C367" s="128" t="s">
        <v>614</v>
      </c>
      <c r="D367" s="128"/>
      <c r="E367" s="131" t="s">
        <v>615</v>
      </c>
      <c r="F367" s="126" t="s">
        <v>578</v>
      </c>
      <c r="G367" s="156"/>
      <c r="H367" s="156">
        <f>'MB Civil &amp; Interior'!K316</f>
        <v>18</v>
      </c>
      <c r="I367" s="145">
        <v>1300</v>
      </c>
      <c r="J367" s="207"/>
      <c r="K367" s="209">
        <f t="shared" si="4"/>
        <v>23400</v>
      </c>
    </row>
    <row r="368" spans="1:11" ht="60">
      <c r="A368" s="128"/>
      <c r="B368" s="128"/>
      <c r="C368" s="128" t="s">
        <v>616</v>
      </c>
      <c r="D368" s="128"/>
      <c r="E368" s="131" t="s">
        <v>617</v>
      </c>
      <c r="F368" s="126" t="s">
        <v>598</v>
      </c>
      <c r="G368" s="156">
        <v>0</v>
      </c>
      <c r="H368" s="156"/>
      <c r="I368" s="145">
        <v>340</v>
      </c>
      <c r="J368" s="207">
        <f>$G368*I368</f>
        <v>0</v>
      </c>
      <c r="K368" s="209">
        <f t="shared" si="4"/>
        <v>0</v>
      </c>
    </row>
    <row r="369" spans="1:11">
      <c r="A369" s="128"/>
      <c r="B369" s="128"/>
      <c r="C369" s="128" t="s">
        <v>132</v>
      </c>
      <c r="D369" s="128"/>
      <c r="E369" s="131" t="s">
        <v>618</v>
      </c>
      <c r="F369" s="126"/>
      <c r="G369" s="156"/>
      <c r="H369" s="156"/>
      <c r="I369" s="145"/>
      <c r="J369" s="207"/>
      <c r="K369" s="209">
        <f t="shared" si="4"/>
        <v>0</v>
      </c>
    </row>
    <row r="370" spans="1:11" ht="132">
      <c r="A370" s="128"/>
      <c r="B370" s="128"/>
      <c r="C370" s="128"/>
      <c r="D370" s="128"/>
      <c r="E370" s="131" t="s">
        <v>619</v>
      </c>
      <c r="F370" s="126"/>
      <c r="G370" s="156"/>
      <c r="H370" s="156"/>
      <c r="I370" s="145"/>
      <c r="J370" s="207"/>
      <c r="K370" s="209">
        <f t="shared" si="4"/>
        <v>0</v>
      </c>
    </row>
    <row r="371" spans="1:11" ht="24">
      <c r="A371" s="128"/>
      <c r="B371" s="128"/>
      <c r="C371" s="128" t="s">
        <v>232</v>
      </c>
      <c r="D371" s="128"/>
      <c r="E371" s="131" t="s">
        <v>591</v>
      </c>
      <c r="F371" s="126" t="s">
        <v>578</v>
      </c>
      <c r="G371" s="156">
        <v>0</v>
      </c>
      <c r="H371" s="156"/>
      <c r="I371" s="145">
        <v>1700</v>
      </c>
      <c r="J371" s="207"/>
      <c r="K371" s="209">
        <f t="shared" si="4"/>
        <v>0</v>
      </c>
    </row>
    <row r="372" spans="1:11" ht="24">
      <c r="A372" s="128"/>
      <c r="B372" s="128"/>
      <c r="C372" s="128" t="s">
        <v>620</v>
      </c>
      <c r="D372" s="128"/>
      <c r="E372" s="131" t="s">
        <v>621</v>
      </c>
      <c r="F372" s="126" t="s">
        <v>578</v>
      </c>
      <c r="G372" s="156">
        <v>0</v>
      </c>
      <c r="H372" s="156"/>
      <c r="I372" s="145">
        <v>1300</v>
      </c>
      <c r="J372" s="207"/>
      <c r="K372" s="209">
        <f t="shared" si="4"/>
        <v>0</v>
      </c>
    </row>
    <row r="373" spans="1:11" ht="24">
      <c r="A373" s="128"/>
      <c r="B373" s="128"/>
      <c r="C373" s="128" t="s">
        <v>622</v>
      </c>
      <c r="D373" s="128"/>
      <c r="E373" s="131" t="s">
        <v>623</v>
      </c>
      <c r="F373" s="126" t="s">
        <v>578</v>
      </c>
      <c r="G373" s="156">
        <v>0</v>
      </c>
      <c r="H373" s="156"/>
      <c r="I373" s="145">
        <v>2100</v>
      </c>
      <c r="J373" s="207"/>
      <c r="K373" s="209">
        <f t="shared" si="4"/>
        <v>0</v>
      </c>
    </row>
    <row r="374" spans="1:11" ht="24">
      <c r="A374" s="128"/>
      <c r="B374" s="128"/>
      <c r="C374" s="128" t="s">
        <v>624</v>
      </c>
      <c r="D374" s="128"/>
      <c r="E374" s="131" t="s">
        <v>625</v>
      </c>
      <c r="F374" s="126" t="s">
        <v>578</v>
      </c>
      <c r="G374" s="156">
        <v>0</v>
      </c>
      <c r="H374" s="156"/>
      <c r="I374" s="145">
        <v>1500</v>
      </c>
      <c r="J374" s="207"/>
      <c r="K374" s="209">
        <f t="shared" si="4"/>
        <v>0</v>
      </c>
    </row>
    <row r="375" spans="1:11" ht="132">
      <c r="A375" s="128"/>
      <c r="B375" s="128"/>
      <c r="C375" s="128" t="s">
        <v>136</v>
      </c>
      <c r="D375" s="128"/>
      <c r="E375" s="131" t="s">
        <v>626</v>
      </c>
      <c r="F375" s="126"/>
      <c r="G375" s="156"/>
      <c r="H375" s="156"/>
      <c r="I375" s="145"/>
      <c r="J375" s="207"/>
      <c r="K375" s="209">
        <f t="shared" si="4"/>
        <v>0</v>
      </c>
    </row>
    <row r="376" spans="1:11" ht="24">
      <c r="A376" s="128"/>
      <c r="B376" s="128"/>
      <c r="C376" s="128" t="s">
        <v>627</v>
      </c>
      <c r="D376" s="128"/>
      <c r="E376" s="131" t="s">
        <v>603</v>
      </c>
      <c r="F376" s="126" t="s">
        <v>578</v>
      </c>
      <c r="G376" s="156">
        <v>0</v>
      </c>
      <c r="H376" s="156"/>
      <c r="I376" s="145">
        <v>2100</v>
      </c>
      <c r="J376" s="207"/>
      <c r="K376" s="209">
        <f t="shared" si="4"/>
        <v>0</v>
      </c>
    </row>
    <row r="377" spans="1:11" ht="36">
      <c r="A377" s="128"/>
      <c r="B377" s="128"/>
      <c r="C377" s="128" t="s">
        <v>628</v>
      </c>
      <c r="D377" s="128"/>
      <c r="E377" s="131" t="s">
        <v>613</v>
      </c>
      <c r="F377" s="126" t="s">
        <v>578</v>
      </c>
      <c r="G377" s="156">
        <v>0</v>
      </c>
      <c r="H377" s="156"/>
      <c r="I377" s="145">
        <v>1500</v>
      </c>
      <c r="J377" s="207"/>
      <c r="K377" s="209">
        <f t="shared" si="4"/>
        <v>0</v>
      </c>
    </row>
    <row r="378" spans="1:11" ht="36">
      <c r="A378" s="128"/>
      <c r="B378" s="128"/>
      <c r="C378" s="128" t="s">
        <v>139</v>
      </c>
      <c r="D378" s="128" t="s">
        <v>629</v>
      </c>
      <c r="E378" s="131" t="s">
        <v>630</v>
      </c>
      <c r="F378" s="126"/>
      <c r="G378" s="156"/>
      <c r="H378" s="156"/>
      <c r="I378" s="145"/>
      <c r="J378" s="207"/>
      <c r="K378" s="209">
        <f t="shared" si="4"/>
        <v>0</v>
      </c>
    </row>
    <row r="379" spans="1:11">
      <c r="A379" s="128"/>
      <c r="B379" s="128"/>
      <c r="C379" s="128" t="s">
        <v>631</v>
      </c>
      <c r="D379" s="128"/>
      <c r="E379" s="131" t="s">
        <v>632</v>
      </c>
      <c r="F379" s="126" t="s">
        <v>598</v>
      </c>
      <c r="G379" s="165">
        <v>20</v>
      </c>
      <c r="H379" s="165"/>
      <c r="I379" s="145">
        <v>65</v>
      </c>
      <c r="J379" s="207">
        <f>$G379*I379</f>
        <v>1300</v>
      </c>
      <c r="K379" s="209">
        <f t="shared" si="4"/>
        <v>0</v>
      </c>
    </row>
    <row r="380" spans="1:11">
      <c r="A380" s="128"/>
      <c r="B380" s="128"/>
      <c r="C380" s="128" t="s">
        <v>633</v>
      </c>
      <c r="D380" s="128"/>
      <c r="E380" s="131" t="s">
        <v>634</v>
      </c>
      <c r="F380" s="126" t="s">
        <v>598</v>
      </c>
      <c r="G380" s="165">
        <v>60</v>
      </c>
      <c r="H380" s="165">
        <f>'MB Civil &amp; Interior'!K362</f>
        <v>326.39999999999998</v>
      </c>
      <c r="I380" s="145">
        <v>74</v>
      </c>
      <c r="J380" s="207">
        <f>$G380*I380</f>
        <v>4440</v>
      </c>
      <c r="K380" s="209">
        <f t="shared" si="4"/>
        <v>24153.599999999999</v>
      </c>
    </row>
    <row r="381" spans="1:11">
      <c r="A381" s="128"/>
      <c r="B381" s="128"/>
      <c r="C381" s="128" t="s">
        <v>635</v>
      </c>
      <c r="D381" s="128"/>
      <c r="E381" s="131" t="s">
        <v>636</v>
      </c>
      <c r="F381" s="126" t="s">
        <v>598</v>
      </c>
      <c r="G381" s="165">
        <v>12</v>
      </c>
      <c r="H381" s="165"/>
      <c r="I381" s="145">
        <v>85</v>
      </c>
      <c r="J381" s="207">
        <f>$G381*I381</f>
        <v>1020</v>
      </c>
      <c r="K381" s="209">
        <f t="shared" si="4"/>
        <v>0</v>
      </c>
    </row>
    <row r="382" spans="1:11">
      <c r="A382" s="128"/>
      <c r="B382" s="128"/>
      <c r="C382" s="128" t="s">
        <v>637</v>
      </c>
      <c r="D382" s="128"/>
      <c r="E382" s="131" t="s">
        <v>638</v>
      </c>
      <c r="F382" s="126" t="s">
        <v>598</v>
      </c>
      <c r="G382" s="165">
        <v>7</v>
      </c>
      <c r="H382" s="165"/>
      <c r="I382" s="145">
        <v>93</v>
      </c>
      <c r="J382" s="207">
        <f>$G382*I382</f>
        <v>651</v>
      </c>
      <c r="K382" s="209">
        <f t="shared" si="4"/>
        <v>0</v>
      </c>
    </row>
    <row r="383" spans="1:11">
      <c r="A383" s="128"/>
      <c r="B383" s="128"/>
      <c r="C383" s="128" t="s">
        <v>639</v>
      </c>
      <c r="D383" s="128"/>
      <c r="E383" s="131" t="s">
        <v>640</v>
      </c>
      <c r="F383" s="126" t="s">
        <v>598</v>
      </c>
      <c r="G383" s="165">
        <v>7</v>
      </c>
      <c r="H383" s="165"/>
      <c r="I383" s="145">
        <v>100</v>
      </c>
      <c r="J383" s="207">
        <f>$G383*I383</f>
        <v>700</v>
      </c>
      <c r="K383" s="209">
        <f t="shared" si="4"/>
        <v>0</v>
      </c>
    </row>
    <row r="384" spans="1:11" ht="48">
      <c r="A384" s="128"/>
      <c r="B384" s="128"/>
      <c r="C384" s="128" t="s">
        <v>145</v>
      </c>
      <c r="D384" s="128"/>
      <c r="E384" s="131" t="s">
        <v>641</v>
      </c>
      <c r="F384" s="126"/>
      <c r="G384" s="156"/>
      <c r="H384" s="156"/>
      <c r="I384" s="145">
        <v>0</v>
      </c>
      <c r="J384" s="207"/>
      <c r="K384" s="209">
        <f t="shared" si="4"/>
        <v>0</v>
      </c>
    </row>
    <row r="385" spans="1:11">
      <c r="A385" s="128"/>
      <c r="B385" s="128"/>
      <c r="C385" s="128" t="s">
        <v>642</v>
      </c>
      <c r="D385" s="128"/>
      <c r="E385" s="131" t="s">
        <v>632</v>
      </c>
      <c r="F385" s="126" t="s">
        <v>598</v>
      </c>
      <c r="G385" s="156">
        <v>0</v>
      </c>
      <c r="H385" s="156"/>
      <c r="I385" s="145">
        <v>110</v>
      </c>
      <c r="J385" s="207"/>
      <c r="K385" s="209">
        <f t="shared" si="4"/>
        <v>0</v>
      </c>
    </row>
    <row r="386" spans="1:11">
      <c r="A386" s="128"/>
      <c r="B386" s="128"/>
      <c r="C386" s="128" t="s">
        <v>643</v>
      </c>
      <c r="D386" s="128"/>
      <c r="E386" s="131" t="s">
        <v>634</v>
      </c>
      <c r="F386" s="126" t="s">
        <v>598</v>
      </c>
      <c r="G386" s="156">
        <v>0</v>
      </c>
      <c r="H386" s="156"/>
      <c r="I386" s="145">
        <v>122</v>
      </c>
      <c r="J386" s="207"/>
      <c r="K386" s="209">
        <f t="shared" si="4"/>
        <v>0</v>
      </c>
    </row>
    <row r="387" spans="1:11">
      <c r="A387" s="128"/>
      <c r="B387" s="128"/>
      <c r="C387" s="128" t="s">
        <v>644</v>
      </c>
      <c r="D387" s="128"/>
      <c r="E387" s="131" t="s">
        <v>636</v>
      </c>
      <c r="F387" s="126" t="s">
        <v>598</v>
      </c>
      <c r="G387" s="156">
        <v>0</v>
      </c>
      <c r="H387" s="156"/>
      <c r="I387" s="145">
        <v>130</v>
      </c>
      <c r="J387" s="207"/>
      <c r="K387" s="209">
        <f t="shared" si="4"/>
        <v>0</v>
      </c>
    </row>
    <row r="388" spans="1:11">
      <c r="A388" s="128"/>
      <c r="B388" s="128"/>
      <c r="C388" s="128" t="s">
        <v>645</v>
      </c>
      <c r="D388" s="128"/>
      <c r="E388" s="131" t="s">
        <v>638</v>
      </c>
      <c r="F388" s="126" t="s">
        <v>598</v>
      </c>
      <c r="G388" s="156">
        <v>0</v>
      </c>
      <c r="H388" s="156"/>
      <c r="I388" s="145">
        <v>142</v>
      </c>
      <c r="J388" s="207"/>
      <c r="K388" s="209">
        <f t="shared" si="4"/>
        <v>0</v>
      </c>
    </row>
    <row r="389" spans="1:11">
      <c r="A389" s="128"/>
      <c r="B389" s="128"/>
      <c r="C389" s="128" t="s">
        <v>646</v>
      </c>
      <c r="D389" s="128"/>
      <c r="E389" s="131" t="s">
        <v>640</v>
      </c>
      <c r="F389" s="126" t="s">
        <v>598</v>
      </c>
      <c r="G389" s="156">
        <v>0</v>
      </c>
      <c r="H389" s="156"/>
      <c r="I389" s="145">
        <v>147</v>
      </c>
      <c r="J389" s="207"/>
      <c r="K389" s="209">
        <f t="shared" si="4"/>
        <v>0</v>
      </c>
    </row>
    <row r="390" spans="1:11" ht="36">
      <c r="A390" s="128"/>
      <c r="B390" s="128"/>
      <c r="C390" s="128" t="s">
        <v>148</v>
      </c>
      <c r="D390" s="128"/>
      <c r="E390" s="131" t="s">
        <v>647</v>
      </c>
      <c r="F390" s="126" t="s">
        <v>598</v>
      </c>
      <c r="G390" s="156">
        <v>0</v>
      </c>
      <c r="H390" s="156"/>
      <c r="I390" s="145">
        <v>55</v>
      </c>
      <c r="J390" s="207"/>
      <c r="K390" s="209">
        <f t="shared" si="4"/>
        <v>0</v>
      </c>
    </row>
    <row r="391" spans="1:11" ht="36">
      <c r="A391" s="128"/>
      <c r="B391" s="128"/>
      <c r="C391" s="128" t="s">
        <v>151</v>
      </c>
      <c r="D391" s="128"/>
      <c r="E391" s="131" t="s">
        <v>648</v>
      </c>
      <c r="F391" s="126" t="s">
        <v>598</v>
      </c>
      <c r="G391" s="156">
        <v>0</v>
      </c>
      <c r="H391" s="156"/>
      <c r="I391" s="145">
        <v>70</v>
      </c>
      <c r="J391" s="207">
        <f>$G391*I391</f>
        <v>0</v>
      </c>
      <c r="K391" s="209">
        <f t="shared" si="4"/>
        <v>0</v>
      </c>
    </row>
    <row r="392" spans="1:11" ht="36">
      <c r="A392" s="128"/>
      <c r="B392" s="128"/>
      <c r="C392" s="128" t="s">
        <v>154</v>
      </c>
      <c r="D392" s="128"/>
      <c r="E392" s="131" t="s">
        <v>649</v>
      </c>
      <c r="F392" s="126" t="s">
        <v>598</v>
      </c>
      <c r="G392" s="156">
        <v>0</v>
      </c>
      <c r="H392" s="156"/>
      <c r="I392" s="145">
        <v>65</v>
      </c>
      <c r="J392" s="207">
        <f>$G392*I392</f>
        <v>0</v>
      </c>
      <c r="K392" s="209">
        <f t="shared" si="4"/>
        <v>0</v>
      </c>
    </row>
    <row r="393" spans="1:11" ht="44.5" customHeight="1">
      <c r="A393" s="128"/>
      <c r="B393" s="128"/>
      <c r="C393" s="128" t="s">
        <v>157</v>
      </c>
      <c r="D393" s="128"/>
      <c r="E393" s="131" t="s">
        <v>650</v>
      </c>
      <c r="F393" s="126" t="s">
        <v>598</v>
      </c>
      <c r="G393" s="156">
        <v>0</v>
      </c>
      <c r="H393" s="156"/>
      <c r="I393" s="145">
        <v>110</v>
      </c>
      <c r="J393" s="207"/>
      <c r="K393" s="209">
        <f t="shared" si="4"/>
        <v>0</v>
      </c>
    </row>
    <row r="394" spans="1:11" ht="33.5" customHeight="1">
      <c r="A394" s="128"/>
      <c r="B394" s="128"/>
      <c r="C394" s="128" t="s">
        <v>160</v>
      </c>
      <c r="D394" s="128"/>
      <c r="E394" s="131" t="s">
        <v>651</v>
      </c>
      <c r="F394" s="126" t="s">
        <v>598</v>
      </c>
      <c r="G394" s="156">
        <v>0</v>
      </c>
      <c r="H394" s="202"/>
      <c r="I394" s="145">
        <v>135</v>
      </c>
      <c r="J394" s="207"/>
      <c r="K394" s="209">
        <f t="shared" si="4"/>
        <v>0</v>
      </c>
    </row>
    <row r="395" spans="1:11" ht="28.15" customHeight="1">
      <c r="A395" s="128"/>
      <c r="B395" s="128"/>
      <c r="C395" s="128"/>
      <c r="D395" s="128"/>
      <c r="E395" s="131"/>
      <c r="F395" s="126"/>
      <c r="G395" s="156"/>
      <c r="H395" s="202"/>
      <c r="I395" s="145"/>
      <c r="J395" s="207"/>
      <c r="K395" s="209">
        <f t="shared" si="4"/>
        <v>0</v>
      </c>
    </row>
    <row r="396" spans="1:11">
      <c r="A396" s="128"/>
      <c r="B396" s="128"/>
      <c r="C396" s="128"/>
      <c r="D396" s="128"/>
      <c r="E396" s="161" t="s">
        <v>652</v>
      </c>
      <c r="G396" s="156"/>
      <c r="H396" s="202"/>
      <c r="I396" s="145"/>
      <c r="J396" s="207"/>
      <c r="K396" s="209">
        <f t="shared" si="4"/>
        <v>0</v>
      </c>
    </row>
    <row r="397" spans="1:11">
      <c r="A397" s="128"/>
      <c r="B397" s="128"/>
      <c r="C397" s="128"/>
      <c r="D397" s="128"/>
      <c r="E397" s="161" t="s">
        <v>653</v>
      </c>
      <c r="F397" s="126" t="s">
        <v>437</v>
      </c>
      <c r="G397" s="145">
        <v>25</v>
      </c>
      <c r="H397" s="201">
        <f>'MB Civil &amp; Interior'!K365</f>
        <v>25</v>
      </c>
      <c r="I397" s="166">
        <v>250</v>
      </c>
      <c r="J397" s="207">
        <f>$G397*I397</f>
        <v>6250</v>
      </c>
      <c r="K397" s="209">
        <f t="shared" si="4"/>
        <v>6250</v>
      </c>
    </row>
    <row r="398" spans="1:11">
      <c r="A398" s="128"/>
      <c r="B398" s="128"/>
      <c r="C398" s="128"/>
      <c r="D398" s="128"/>
      <c r="E398" s="161" t="s">
        <v>654</v>
      </c>
      <c r="F398" s="126" t="s">
        <v>655</v>
      </c>
      <c r="G398" s="145">
        <v>0</v>
      </c>
      <c r="H398" s="201"/>
      <c r="I398" s="166">
        <v>1250</v>
      </c>
      <c r="J398" s="207"/>
      <c r="K398" s="209">
        <f t="shared" si="4"/>
        <v>0</v>
      </c>
    </row>
    <row r="399" spans="1:11">
      <c r="A399" s="128"/>
      <c r="B399" s="128"/>
      <c r="C399" s="128"/>
      <c r="D399" s="128"/>
      <c r="E399" s="161" t="s">
        <v>656</v>
      </c>
      <c r="F399" s="126" t="s">
        <v>655</v>
      </c>
      <c r="G399" s="145">
        <v>0</v>
      </c>
      <c r="H399" s="201"/>
      <c r="I399" s="166">
        <v>400</v>
      </c>
      <c r="J399" s="207"/>
      <c r="K399" s="209">
        <f t="shared" si="4"/>
        <v>0</v>
      </c>
    </row>
    <row r="400" spans="1:11">
      <c r="A400" s="128"/>
      <c r="B400" s="128"/>
      <c r="C400" s="128"/>
      <c r="D400" s="128"/>
      <c r="E400" s="161" t="s">
        <v>657</v>
      </c>
      <c r="F400" s="126" t="s">
        <v>655</v>
      </c>
      <c r="G400" s="145">
        <v>0</v>
      </c>
      <c r="H400" s="201"/>
      <c r="I400" s="166">
        <v>550</v>
      </c>
      <c r="J400" s="207"/>
      <c r="K400" s="209">
        <f t="shared" si="4"/>
        <v>0</v>
      </c>
    </row>
    <row r="401" spans="1:11" ht="48">
      <c r="A401" s="128"/>
      <c r="B401" s="128"/>
      <c r="C401" s="128"/>
      <c r="D401" s="128"/>
      <c r="E401" s="161" t="s">
        <v>658</v>
      </c>
      <c r="F401" s="126" t="s">
        <v>437</v>
      </c>
      <c r="G401" s="145">
        <v>4</v>
      </c>
      <c r="H401" s="201"/>
      <c r="I401" s="166">
        <v>4350</v>
      </c>
      <c r="J401" s="207">
        <f t="shared" ref="J401:J403" si="5">$G401*I401</f>
        <v>17400</v>
      </c>
      <c r="K401" s="209">
        <f t="shared" si="4"/>
        <v>0</v>
      </c>
    </row>
    <row r="402" spans="1:11" ht="48">
      <c r="A402" s="128"/>
      <c r="B402" s="128"/>
      <c r="C402" s="128"/>
      <c r="D402" s="128"/>
      <c r="E402" s="161" t="s">
        <v>659</v>
      </c>
      <c r="F402" s="126" t="s">
        <v>437</v>
      </c>
      <c r="G402" s="145">
        <v>1</v>
      </c>
      <c r="H402" s="201"/>
      <c r="I402" s="166">
        <v>6500</v>
      </c>
      <c r="J402" s="207">
        <f t="shared" si="5"/>
        <v>6500</v>
      </c>
      <c r="K402" s="209">
        <f t="shared" si="4"/>
        <v>0</v>
      </c>
    </row>
    <row r="403" spans="1:11" ht="48">
      <c r="A403" s="128"/>
      <c r="B403" s="128"/>
      <c r="C403" s="128"/>
      <c r="D403" s="128"/>
      <c r="E403" s="161" t="s">
        <v>660</v>
      </c>
      <c r="F403" s="126" t="s">
        <v>437</v>
      </c>
      <c r="G403" s="145">
        <v>1</v>
      </c>
      <c r="H403" s="201"/>
      <c r="I403" s="166">
        <v>6800</v>
      </c>
      <c r="J403" s="207">
        <f t="shared" si="5"/>
        <v>6800</v>
      </c>
      <c r="K403" s="209">
        <f t="shared" si="4"/>
        <v>0</v>
      </c>
    </row>
    <row r="404" spans="1:11" ht="24">
      <c r="A404" s="128" t="s">
        <v>661</v>
      </c>
      <c r="B404" s="128"/>
      <c r="C404" s="128"/>
      <c r="D404" s="129"/>
      <c r="E404" s="131"/>
      <c r="F404" s="126"/>
      <c r="G404" s="156"/>
      <c r="H404" s="156"/>
      <c r="I404" s="145"/>
      <c r="J404" s="207"/>
      <c r="K404" s="209">
        <f t="shared" si="4"/>
        <v>0</v>
      </c>
    </row>
    <row r="405" spans="1:11">
      <c r="A405" s="128"/>
      <c r="B405" s="128" t="s">
        <v>662</v>
      </c>
      <c r="C405" s="128"/>
      <c r="D405" s="129"/>
      <c r="E405" s="131" t="s">
        <v>663</v>
      </c>
      <c r="F405" s="126"/>
      <c r="G405" s="156"/>
      <c r="H405" s="156"/>
      <c r="I405" s="145"/>
      <c r="J405" s="207"/>
      <c r="K405" s="209">
        <f t="shared" si="4"/>
        <v>0</v>
      </c>
    </row>
    <row r="406" spans="1:11" ht="72">
      <c r="A406" s="128"/>
      <c r="B406" s="128"/>
      <c r="C406" s="128" t="s">
        <v>19</v>
      </c>
      <c r="D406" s="129" t="s">
        <v>664</v>
      </c>
      <c r="E406" s="131" t="s">
        <v>665</v>
      </c>
      <c r="F406" s="126"/>
      <c r="G406" s="156"/>
      <c r="H406" s="156"/>
      <c r="I406" s="145"/>
      <c r="J406" s="207"/>
      <c r="K406" s="209">
        <f t="shared" si="4"/>
        <v>0</v>
      </c>
    </row>
    <row r="407" spans="1:11">
      <c r="A407" s="128"/>
      <c r="B407" s="128"/>
      <c r="C407" s="128" t="s">
        <v>22</v>
      </c>
      <c r="D407" s="129"/>
      <c r="E407" s="131" t="s">
        <v>666</v>
      </c>
      <c r="F407" s="126" t="s">
        <v>598</v>
      </c>
      <c r="G407" s="156">
        <v>12</v>
      </c>
      <c r="H407" s="156"/>
      <c r="I407" s="145">
        <v>350</v>
      </c>
      <c r="J407" s="207">
        <f t="shared" ref="J407:J408" si="6">$G407*I407</f>
        <v>4200</v>
      </c>
      <c r="K407" s="209">
        <f t="shared" si="4"/>
        <v>0</v>
      </c>
    </row>
    <row r="408" spans="1:11">
      <c r="A408" s="128"/>
      <c r="B408" s="128"/>
      <c r="C408" s="128" t="s">
        <v>25</v>
      </c>
      <c r="D408" s="129"/>
      <c r="E408" s="131" t="s">
        <v>667</v>
      </c>
      <c r="F408" s="126" t="s">
        <v>598</v>
      </c>
      <c r="G408" s="156">
        <v>25</v>
      </c>
      <c r="H408" s="156"/>
      <c r="I408" s="145">
        <v>460</v>
      </c>
      <c r="J408" s="207">
        <f t="shared" si="6"/>
        <v>11500</v>
      </c>
      <c r="K408" s="209">
        <f t="shared" si="4"/>
        <v>0</v>
      </c>
    </row>
    <row r="409" spans="1:11">
      <c r="A409" s="128"/>
      <c r="B409" s="128"/>
      <c r="C409" s="128" t="s">
        <v>27</v>
      </c>
      <c r="D409" s="129"/>
      <c r="E409" s="131" t="s">
        <v>668</v>
      </c>
      <c r="F409" s="126" t="s">
        <v>598</v>
      </c>
      <c r="G409" s="156"/>
      <c r="H409" s="156"/>
      <c r="I409" s="145">
        <v>223</v>
      </c>
      <c r="J409" s="207"/>
      <c r="K409" s="209">
        <f t="shared" ref="K409:K472" si="7">H409*I409</f>
        <v>0</v>
      </c>
    </row>
    <row r="410" spans="1:11">
      <c r="A410" s="128"/>
      <c r="B410" s="128"/>
      <c r="C410" s="128" t="s">
        <v>29</v>
      </c>
      <c r="D410" s="129"/>
      <c r="E410" s="131" t="s">
        <v>669</v>
      </c>
      <c r="F410" s="126" t="s">
        <v>598</v>
      </c>
      <c r="G410" s="156"/>
      <c r="H410" s="215"/>
      <c r="I410" s="145">
        <v>310</v>
      </c>
      <c r="J410" s="207"/>
      <c r="K410" s="209">
        <f t="shared" si="7"/>
        <v>0</v>
      </c>
    </row>
    <row r="411" spans="1:11">
      <c r="A411" s="128"/>
      <c r="B411" s="128"/>
      <c r="C411" s="128" t="s">
        <v>31</v>
      </c>
      <c r="D411" s="129"/>
      <c r="E411" s="131" t="s">
        <v>670</v>
      </c>
      <c r="F411" s="126" t="s">
        <v>598</v>
      </c>
      <c r="G411" s="156">
        <v>25</v>
      </c>
      <c r="H411" s="156"/>
      <c r="I411" s="145">
        <v>415</v>
      </c>
      <c r="J411" s="207">
        <f t="shared" ref="J411:J413" si="8">$G411*I411</f>
        <v>10375</v>
      </c>
      <c r="K411" s="209">
        <f t="shared" si="7"/>
        <v>0</v>
      </c>
    </row>
    <row r="412" spans="1:11">
      <c r="A412" s="128"/>
      <c r="B412" s="128"/>
      <c r="C412" s="128" t="s">
        <v>33</v>
      </c>
      <c r="D412" s="129"/>
      <c r="E412" s="131" t="s">
        <v>671</v>
      </c>
      <c r="F412" s="126" t="s">
        <v>598</v>
      </c>
      <c r="G412" s="156">
        <v>25</v>
      </c>
      <c r="H412" s="156">
        <f>'MB Civil &amp; Interior'!K368</f>
        <v>35.200000000000003</v>
      </c>
      <c r="I412" s="145">
        <v>500</v>
      </c>
      <c r="J412" s="207">
        <f t="shared" si="8"/>
        <v>12500</v>
      </c>
      <c r="K412" s="209">
        <f t="shared" si="7"/>
        <v>17600</v>
      </c>
    </row>
    <row r="413" spans="1:11">
      <c r="A413" s="128"/>
      <c r="B413" s="128"/>
      <c r="C413" s="128" t="s">
        <v>35</v>
      </c>
      <c r="D413" s="129"/>
      <c r="E413" s="131" t="s">
        <v>672</v>
      </c>
      <c r="F413" s="126" t="s">
        <v>598</v>
      </c>
      <c r="G413" s="156">
        <v>12</v>
      </c>
      <c r="H413" s="156"/>
      <c r="I413" s="145">
        <v>837</v>
      </c>
      <c r="J413" s="207">
        <f t="shared" si="8"/>
        <v>10044</v>
      </c>
      <c r="K413" s="209">
        <f t="shared" si="7"/>
        <v>0</v>
      </c>
    </row>
    <row r="414" spans="1:11">
      <c r="A414" s="128"/>
      <c r="B414" s="128"/>
      <c r="C414" s="128" t="s">
        <v>457</v>
      </c>
      <c r="D414" s="129"/>
      <c r="E414" s="131" t="s">
        <v>673</v>
      </c>
      <c r="F414" s="126" t="s">
        <v>598</v>
      </c>
      <c r="G414" s="156"/>
      <c r="H414" s="156"/>
      <c r="I414" s="145">
        <v>1026</v>
      </c>
      <c r="J414" s="207"/>
      <c r="K414" s="209">
        <f t="shared" si="7"/>
        <v>0</v>
      </c>
    </row>
    <row r="415" spans="1:11">
      <c r="A415" s="128"/>
      <c r="B415" s="128"/>
      <c r="C415" s="128" t="s">
        <v>460</v>
      </c>
      <c r="D415" s="129"/>
      <c r="E415" s="131" t="s">
        <v>674</v>
      </c>
      <c r="F415" s="126" t="s">
        <v>598</v>
      </c>
      <c r="G415" s="156">
        <v>12</v>
      </c>
      <c r="H415" s="156"/>
      <c r="I415" s="145">
        <v>233</v>
      </c>
      <c r="J415" s="207">
        <f t="shared" ref="J415:J416" si="9">$G415*I415</f>
        <v>2796</v>
      </c>
      <c r="K415" s="209">
        <f t="shared" si="7"/>
        <v>0</v>
      </c>
    </row>
    <row r="416" spans="1:11">
      <c r="A416" s="128"/>
      <c r="B416" s="128"/>
      <c r="C416" s="128" t="s">
        <v>463</v>
      </c>
      <c r="D416" s="129"/>
      <c r="E416" s="131" t="s">
        <v>675</v>
      </c>
      <c r="F416" s="126" t="s">
        <v>598</v>
      </c>
      <c r="G416" s="156">
        <v>12</v>
      </c>
      <c r="H416" s="156"/>
      <c r="I416" s="145">
        <v>325</v>
      </c>
      <c r="J416" s="207">
        <f t="shared" si="9"/>
        <v>3900</v>
      </c>
      <c r="K416" s="209">
        <f t="shared" si="7"/>
        <v>0</v>
      </c>
    </row>
    <row r="417" spans="1:11">
      <c r="A417" s="128"/>
      <c r="B417" s="128"/>
      <c r="C417" s="128" t="s">
        <v>466</v>
      </c>
      <c r="D417" s="129"/>
      <c r="E417" s="131" t="s">
        <v>676</v>
      </c>
      <c r="F417" s="126" t="s">
        <v>598</v>
      </c>
      <c r="G417" s="156">
        <v>0</v>
      </c>
      <c r="H417" s="156"/>
      <c r="I417" s="145">
        <v>455</v>
      </c>
      <c r="J417" s="207"/>
      <c r="K417" s="209">
        <f t="shared" si="7"/>
        <v>0</v>
      </c>
    </row>
    <row r="418" spans="1:11">
      <c r="A418" s="128"/>
      <c r="B418" s="128"/>
      <c r="C418" s="128" t="s">
        <v>469</v>
      </c>
      <c r="D418" s="129"/>
      <c r="E418" s="131" t="s">
        <v>677</v>
      </c>
      <c r="F418" s="126" t="s">
        <v>598</v>
      </c>
      <c r="G418" s="156">
        <v>0</v>
      </c>
      <c r="H418" s="156"/>
      <c r="I418" s="145">
        <v>749</v>
      </c>
      <c r="J418" s="207">
        <f>$G418*I418</f>
        <v>0</v>
      </c>
      <c r="K418" s="209">
        <f t="shared" si="7"/>
        <v>0</v>
      </c>
    </row>
    <row r="419" spans="1:11">
      <c r="A419" s="128"/>
      <c r="B419" s="128"/>
      <c r="C419" s="128" t="s">
        <v>472</v>
      </c>
      <c r="D419" s="129"/>
      <c r="E419" s="131" t="s">
        <v>678</v>
      </c>
      <c r="F419" s="126" t="s">
        <v>598</v>
      </c>
      <c r="G419" s="156">
        <v>0</v>
      </c>
      <c r="H419" s="156"/>
      <c r="I419" s="145">
        <v>1163</v>
      </c>
      <c r="J419" s="207"/>
      <c r="K419" s="209">
        <f t="shared" si="7"/>
        <v>0</v>
      </c>
    </row>
    <row r="420" spans="1:11" ht="84">
      <c r="A420" s="128"/>
      <c r="B420" s="128"/>
      <c r="C420" s="128"/>
      <c r="D420" s="129" t="s">
        <v>679</v>
      </c>
      <c r="E420" s="131" t="s">
        <v>680</v>
      </c>
      <c r="F420" s="126"/>
      <c r="G420" s="156"/>
      <c r="H420" s="156"/>
      <c r="I420" s="145"/>
      <c r="J420" s="207"/>
      <c r="K420" s="209">
        <f t="shared" si="7"/>
        <v>0</v>
      </c>
    </row>
    <row r="421" spans="1:11">
      <c r="A421" s="128"/>
      <c r="B421" s="128"/>
      <c r="C421" s="128" t="s">
        <v>37</v>
      </c>
      <c r="D421" s="129"/>
      <c r="E421" s="131" t="s">
        <v>681</v>
      </c>
      <c r="F421" s="126"/>
      <c r="G421" s="156"/>
      <c r="H421" s="156"/>
      <c r="I421" s="145"/>
      <c r="J421" s="207"/>
      <c r="K421" s="209">
        <f t="shared" si="7"/>
        <v>0</v>
      </c>
    </row>
    <row r="422" spans="1:11">
      <c r="A422" s="128"/>
      <c r="B422" s="128"/>
      <c r="C422" s="128" t="s">
        <v>40</v>
      </c>
      <c r="D422" s="129"/>
      <c r="E422" s="131" t="s">
        <v>682</v>
      </c>
      <c r="F422" s="126" t="s">
        <v>683</v>
      </c>
      <c r="G422" s="156">
        <v>0</v>
      </c>
      <c r="H422" s="156"/>
      <c r="I422" s="145">
        <v>950</v>
      </c>
      <c r="J422" s="207"/>
      <c r="K422" s="209">
        <f t="shared" si="7"/>
        <v>0</v>
      </c>
    </row>
    <row r="423" spans="1:11">
      <c r="A423" s="128"/>
      <c r="B423" s="128"/>
      <c r="C423" s="128" t="s">
        <v>43</v>
      </c>
      <c r="D423" s="129"/>
      <c r="E423" s="131" t="s">
        <v>684</v>
      </c>
      <c r="F423" s="126" t="s">
        <v>683</v>
      </c>
      <c r="G423" s="156">
        <v>0</v>
      </c>
      <c r="H423" s="156">
        <f>'MB Civil &amp; Interior'!K370</f>
        <v>2</v>
      </c>
      <c r="I423" s="145">
        <v>950</v>
      </c>
      <c r="J423" s="207"/>
      <c r="K423" s="209">
        <f t="shared" si="7"/>
        <v>1900</v>
      </c>
    </row>
    <row r="424" spans="1:11">
      <c r="A424" s="128"/>
      <c r="B424" s="128"/>
      <c r="C424" s="128" t="s">
        <v>45</v>
      </c>
      <c r="D424" s="129"/>
      <c r="E424" s="131" t="s">
        <v>685</v>
      </c>
      <c r="F424" s="126" t="s">
        <v>683</v>
      </c>
      <c r="G424" s="156">
        <v>0</v>
      </c>
      <c r="H424" s="156"/>
      <c r="I424" s="145">
        <v>1500</v>
      </c>
      <c r="J424" s="207"/>
      <c r="K424" s="209">
        <f t="shared" si="7"/>
        <v>0</v>
      </c>
    </row>
    <row r="425" spans="1:11" ht="48">
      <c r="A425" s="128"/>
      <c r="B425" s="128"/>
      <c r="C425" s="128" t="s">
        <v>49</v>
      </c>
      <c r="D425" s="129"/>
      <c r="E425" s="131" t="s">
        <v>686</v>
      </c>
      <c r="F425" s="126"/>
      <c r="G425" s="156"/>
      <c r="H425" s="156"/>
      <c r="I425" s="145"/>
      <c r="J425" s="207"/>
      <c r="K425" s="209">
        <f t="shared" si="7"/>
        <v>0</v>
      </c>
    </row>
    <row r="426" spans="1:11" ht="25.5">
      <c r="A426" s="128"/>
      <c r="B426" s="128"/>
      <c r="C426" s="128" t="s">
        <v>76</v>
      </c>
      <c r="D426" s="129"/>
      <c r="E426" s="131" t="s">
        <v>687</v>
      </c>
      <c r="F426" s="126" t="s">
        <v>598</v>
      </c>
      <c r="G426" s="156"/>
      <c r="H426" s="156">
        <f>'MB Civil &amp; Interior'!K376</f>
        <v>30</v>
      </c>
      <c r="I426" s="145">
        <v>187</v>
      </c>
      <c r="J426" s="207"/>
      <c r="K426" s="209">
        <f t="shared" si="7"/>
        <v>5610</v>
      </c>
    </row>
    <row r="427" spans="1:11" ht="25.5">
      <c r="A427" s="128"/>
      <c r="B427" s="128"/>
      <c r="C427" s="128" t="s">
        <v>285</v>
      </c>
      <c r="D427" s="129"/>
      <c r="E427" s="131" t="s">
        <v>688</v>
      </c>
      <c r="F427" s="126" t="s">
        <v>598</v>
      </c>
      <c r="G427" s="156">
        <v>0</v>
      </c>
      <c r="H427" s="156">
        <f>'HVAC extra work '!E38</f>
        <v>122.5609756097561</v>
      </c>
      <c r="I427" s="145">
        <v>260</v>
      </c>
      <c r="J427" s="207"/>
      <c r="K427" s="209">
        <f t="shared" si="7"/>
        <v>31865.853658536587</v>
      </c>
    </row>
    <row r="428" spans="1:11" ht="24">
      <c r="A428" s="128" t="s">
        <v>689</v>
      </c>
      <c r="B428" s="128"/>
      <c r="C428" s="128"/>
      <c r="D428" s="129"/>
      <c r="E428" s="131"/>
      <c r="F428" s="126"/>
      <c r="G428" s="156"/>
      <c r="H428" s="156"/>
      <c r="I428" s="145"/>
      <c r="J428" s="207"/>
      <c r="K428" s="209">
        <f t="shared" si="7"/>
        <v>0</v>
      </c>
    </row>
    <row r="429" spans="1:11">
      <c r="A429" s="128"/>
      <c r="B429" s="128" t="s">
        <v>690</v>
      </c>
      <c r="C429" s="128"/>
      <c r="D429" s="129"/>
      <c r="E429" s="131" t="s">
        <v>691</v>
      </c>
      <c r="F429" s="126"/>
      <c r="G429" s="156"/>
      <c r="H429" s="156"/>
      <c r="I429" s="145"/>
      <c r="J429" s="207"/>
      <c r="K429" s="209">
        <f t="shared" si="7"/>
        <v>0</v>
      </c>
    </row>
    <row r="430" spans="1:11" ht="24">
      <c r="A430" s="128"/>
      <c r="B430" s="128"/>
      <c r="C430" s="128" t="s">
        <v>22</v>
      </c>
      <c r="D430" s="129"/>
      <c r="E430" s="131" t="s">
        <v>692</v>
      </c>
      <c r="F430" s="126" t="s">
        <v>693</v>
      </c>
      <c r="G430" s="156">
        <v>0</v>
      </c>
      <c r="H430" s="156"/>
      <c r="I430" s="145">
        <v>170</v>
      </c>
      <c r="J430" s="207"/>
      <c r="K430" s="209">
        <f t="shared" si="7"/>
        <v>0</v>
      </c>
    </row>
    <row r="431" spans="1:11" ht="24">
      <c r="A431" s="128"/>
      <c r="B431" s="128"/>
      <c r="C431" s="128" t="s">
        <v>25</v>
      </c>
      <c r="D431" s="129"/>
      <c r="E431" s="131" t="s">
        <v>694</v>
      </c>
      <c r="F431" s="126" t="s">
        <v>693</v>
      </c>
      <c r="G431" s="156">
        <v>0</v>
      </c>
      <c r="H431" s="156"/>
      <c r="I431" s="145">
        <v>760</v>
      </c>
      <c r="J431" s="207"/>
      <c r="K431" s="209">
        <f t="shared" si="7"/>
        <v>0</v>
      </c>
    </row>
    <row r="432" spans="1:11" ht="36">
      <c r="A432" s="128"/>
      <c r="B432" s="128"/>
      <c r="C432" s="128" t="s">
        <v>27</v>
      </c>
      <c r="D432" s="129"/>
      <c r="E432" s="131" t="s">
        <v>695</v>
      </c>
      <c r="F432" s="126" t="s">
        <v>693</v>
      </c>
      <c r="G432" s="156">
        <v>0</v>
      </c>
      <c r="H432" s="156"/>
      <c r="I432" s="145">
        <v>280</v>
      </c>
      <c r="J432" s="207"/>
      <c r="K432" s="209">
        <f t="shared" si="7"/>
        <v>0</v>
      </c>
    </row>
    <row r="433" spans="1:12" ht="36">
      <c r="A433" s="128"/>
      <c r="B433" s="128"/>
      <c r="C433" s="128" t="s">
        <v>29</v>
      </c>
      <c r="D433" s="129"/>
      <c r="E433" s="131" t="s">
        <v>696</v>
      </c>
      <c r="F433" s="126" t="s">
        <v>693</v>
      </c>
      <c r="G433" s="156">
        <v>0</v>
      </c>
      <c r="H433" s="156"/>
      <c r="I433" s="145">
        <v>310</v>
      </c>
      <c r="J433" s="207"/>
      <c r="K433" s="209">
        <f t="shared" si="7"/>
        <v>0</v>
      </c>
    </row>
    <row r="434" spans="1:12" ht="24">
      <c r="A434" s="128"/>
      <c r="B434" s="128"/>
      <c r="C434" s="128" t="s">
        <v>31</v>
      </c>
      <c r="D434" s="129"/>
      <c r="E434" s="131" t="s">
        <v>697</v>
      </c>
      <c r="F434" s="126" t="s">
        <v>693</v>
      </c>
      <c r="G434" s="156">
        <v>0</v>
      </c>
      <c r="H434" s="156">
        <f>'MB Civil &amp; Interior'!K378</f>
        <v>50</v>
      </c>
      <c r="I434" s="145">
        <v>180</v>
      </c>
      <c r="J434" s="207"/>
      <c r="K434" s="209">
        <f t="shared" si="7"/>
        <v>9000</v>
      </c>
    </row>
    <row r="435" spans="1:12" ht="24">
      <c r="A435" s="128"/>
      <c r="B435" s="128"/>
      <c r="C435" s="128" t="s">
        <v>33</v>
      </c>
      <c r="D435" s="129"/>
      <c r="E435" s="131" t="s">
        <v>698</v>
      </c>
      <c r="F435" s="126" t="s">
        <v>693</v>
      </c>
      <c r="G435" s="156">
        <v>0</v>
      </c>
      <c r="H435" s="156"/>
      <c r="I435" s="145">
        <v>200</v>
      </c>
      <c r="J435" s="207"/>
      <c r="K435" s="209">
        <f t="shared" si="7"/>
        <v>0</v>
      </c>
    </row>
    <row r="436" spans="1:12" ht="108">
      <c r="A436" s="128"/>
      <c r="B436" s="128"/>
      <c r="C436" s="128" t="s">
        <v>35</v>
      </c>
      <c r="D436" s="129"/>
      <c r="E436" s="131" t="s">
        <v>699</v>
      </c>
      <c r="F436" s="126" t="s">
        <v>700</v>
      </c>
      <c r="G436" s="156">
        <v>0</v>
      </c>
      <c r="H436" s="156"/>
      <c r="I436" s="145">
        <v>13500</v>
      </c>
      <c r="J436" s="207"/>
      <c r="K436" s="209">
        <f t="shared" si="7"/>
        <v>0</v>
      </c>
    </row>
    <row r="437" spans="1:12" ht="96">
      <c r="A437" s="128"/>
      <c r="B437" s="128"/>
      <c r="C437" s="128" t="s">
        <v>457</v>
      </c>
      <c r="D437" s="129"/>
      <c r="E437" s="131" t="s">
        <v>701</v>
      </c>
      <c r="F437" s="126" t="s">
        <v>700</v>
      </c>
      <c r="G437" s="156">
        <v>0</v>
      </c>
      <c r="H437" s="156"/>
      <c r="I437" s="145">
        <v>16500</v>
      </c>
      <c r="J437" s="207"/>
      <c r="K437" s="209">
        <f t="shared" si="7"/>
        <v>0</v>
      </c>
    </row>
    <row r="438" spans="1:12">
      <c r="A438" s="128"/>
      <c r="B438" s="128"/>
      <c r="C438" s="128" t="s">
        <v>460</v>
      </c>
      <c r="D438" s="129"/>
      <c r="E438" s="131" t="s">
        <v>702</v>
      </c>
      <c r="F438" s="126" t="s">
        <v>598</v>
      </c>
      <c r="G438" s="156">
        <v>0</v>
      </c>
      <c r="H438" s="156"/>
      <c r="I438" s="145">
        <v>135</v>
      </c>
      <c r="J438" s="207"/>
      <c r="K438" s="209">
        <f t="shared" si="7"/>
        <v>0</v>
      </c>
    </row>
    <row r="439" spans="1:12">
      <c r="A439" s="128"/>
      <c r="B439" s="128"/>
      <c r="C439" s="128" t="s">
        <v>463</v>
      </c>
      <c r="D439" s="129"/>
      <c r="E439" s="131" t="s">
        <v>703</v>
      </c>
      <c r="F439" s="126" t="s">
        <v>598</v>
      </c>
      <c r="G439" s="156">
        <v>0</v>
      </c>
      <c r="H439" s="156"/>
      <c r="I439" s="145">
        <v>157</v>
      </c>
      <c r="J439" s="207"/>
      <c r="K439" s="209">
        <f t="shared" si="7"/>
        <v>0</v>
      </c>
    </row>
    <row r="440" spans="1:12">
      <c r="A440" s="128"/>
      <c r="B440" s="128"/>
      <c r="C440" s="128" t="s">
        <v>466</v>
      </c>
      <c r="D440" s="129"/>
      <c r="E440" s="131" t="s">
        <v>704</v>
      </c>
      <c r="F440" s="126" t="s">
        <v>598</v>
      </c>
      <c r="G440" s="156">
        <v>0</v>
      </c>
      <c r="H440" s="156"/>
      <c r="I440" s="145">
        <v>185</v>
      </c>
      <c r="J440" s="207"/>
      <c r="K440" s="209">
        <f t="shared" si="7"/>
        <v>0</v>
      </c>
    </row>
    <row r="441" spans="1:12" ht="36">
      <c r="A441" s="128"/>
      <c r="B441" s="128"/>
      <c r="C441" s="128" t="s">
        <v>469</v>
      </c>
      <c r="D441" s="129" t="s">
        <v>705</v>
      </c>
      <c r="E441" s="131" t="s">
        <v>706</v>
      </c>
      <c r="F441" s="126" t="s">
        <v>218</v>
      </c>
      <c r="G441" s="156">
        <v>0</v>
      </c>
      <c r="H441" s="156"/>
      <c r="I441" s="145">
        <v>380</v>
      </c>
      <c r="J441" s="207"/>
      <c r="K441" s="209">
        <f t="shared" si="7"/>
        <v>0</v>
      </c>
    </row>
    <row r="442" spans="1:12" ht="24">
      <c r="A442" s="128" t="s">
        <v>707</v>
      </c>
      <c r="B442" s="128"/>
      <c r="C442" s="128"/>
      <c r="D442" s="129"/>
      <c r="E442" s="131"/>
      <c r="F442" s="126"/>
      <c r="G442" s="156"/>
      <c r="H442" s="156"/>
      <c r="I442" s="145"/>
      <c r="J442" s="207"/>
      <c r="K442" s="209">
        <f t="shared" si="7"/>
        <v>0</v>
      </c>
    </row>
    <row r="443" spans="1:12">
      <c r="A443" s="128"/>
      <c r="B443" s="128" t="s">
        <v>708</v>
      </c>
      <c r="C443" s="128"/>
      <c r="D443" s="129"/>
      <c r="E443" s="131" t="s">
        <v>709</v>
      </c>
      <c r="F443" s="126"/>
      <c r="G443" s="156"/>
      <c r="H443" s="156"/>
      <c r="I443" s="145"/>
      <c r="J443" s="207"/>
      <c r="K443" s="209">
        <f t="shared" si="7"/>
        <v>0</v>
      </c>
    </row>
    <row r="444" spans="1:12" ht="48">
      <c r="A444" s="128"/>
      <c r="B444" s="128"/>
      <c r="C444" s="128" t="s">
        <v>22</v>
      </c>
      <c r="D444" s="129"/>
      <c r="E444" s="131" t="s">
        <v>710</v>
      </c>
      <c r="F444" s="126" t="s">
        <v>598</v>
      </c>
      <c r="G444" s="156">
        <v>12</v>
      </c>
      <c r="H444" s="156"/>
      <c r="I444" s="145">
        <v>890</v>
      </c>
      <c r="J444" s="207">
        <f>$G444*I444</f>
        <v>10680</v>
      </c>
      <c r="K444" s="209">
        <f t="shared" si="7"/>
        <v>0</v>
      </c>
    </row>
    <row r="445" spans="1:12" ht="48">
      <c r="A445" s="128"/>
      <c r="B445" s="128"/>
      <c r="C445" s="128" t="s">
        <v>25</v>
      </c>
      <c r="D445" s="129" t="s">
        <v>711</v>
      </c>
      <c r="E445" s="131" t="s">
        <v>712</v>
      </c>
      <c r="F445" s="126" t="s">
        <v>598</v>
      </c>
      <c r="G445" s="156">
        <v>0</v>
      </c>
      <c r="H445" s="156"/>
      <c r="I445" s="145">
        <v>1190</v>
      </c>
      <c r="J445" s="207"/>
      <c r="K445" s="209">
        <f t="shared" si="7"/>
        <v>0</v>
      </c>
    </row>
    <row r="446" spans="1:12" ht="48">
      <c r="A446" s="128"/>
      <c r="B446" s="128"/>
      <c r="C446" s="128" t="s">
        <v>27</v>
      </c>
      <c r="D446" s="129"/>
      <c r="E446" s="131" t="s">
        <v>713</v>
      </c>
      <c r="F446" s="126" t="s">
        <v>598</v>
      </c>
      <c r="G446" s="156">
        <v>4</v>
      </c>
      <c r="H446" s="215">
        <f>34</f>
        <v>34</v>
      </c>
      <c r="I446" s="145">
        <v>990</v>
      </c>
      <c r="J446" s="207">
        <f>$G446*I446</f>
        <v>3960</v>
      </c>
      <c r="K446" s="209">
        <f t="shared" si="7"/>
        <v>33660</v>
      </c>
      <c r="L446" s="120" t="s">
        <v>1516</v>
      </c>
    </row>
    <row r="447" spans="1:12" ht="48">
      <c r="A447" s="128"/>
      <c r="B447" s="128"/>
      <c r="C447" s="128" t="s">
        <v>29</v>
      </c>
      <c r="D447" s="129" t="s">
        <v>711</v>
      </c>
      <c r="E447" s="131" t="s">
        <v>714</v>
      </c>
      <c r="F447" s="126" t="s">
        <v>598</v>
      </c>
      <c r="G447" s="156">
        <v>0</v>
      </c>
      <c r="H447" s="156"/>
      <c r="I447" s="145">
        <v>1040</v>
      </c>
      <c r="J447" s="207"/>
      <c r="K447" s="209">
        <f t="shared" si="7"/>
        <v>0</v>
      </c>
    </row>
    <row r="448" spans="1:12" ht="48">
      <c r="A448" s="128"/>
      <c r="B448" s="128"/>
      <c r="C448" s="128" t="s">
        <v>31</v>
      </c>
      <c r="D448" s="129"/>
      <c r="E448" s="131" t="s">
        <v>715</v>
      </c>
      <c r="F448" s="126" t="s">
        <v>598</v>
      </c>
      <c r="G448" s="156">
        <v>12</v>
      </c>
      <c r="H448" s="156"/>
      <c r="I448" s="145">
        <v>740</v>
      </c>
      <c r="J448" s="207">
        <f t="shared" ref="J448:J450" si="10">$G448*I448</f>
        <v>8880</v>
      </c>
      <c r="K448" s="209">
        <f t="shared" si="7"/>
        <v>0</v>
      </c>
    </row>
    <row r="449" spans="1:11" ht="48">
      <c r="A449" s="128"/>
      <c r="B449" s="128"/>
      <c r="C449" s="128" t="s">
        <v>33</v>
      </c>
      <c r="D449" s="129" t="s">
        <v>711</v>
      </c>
      <c r="E449" s="131" t="s">
        <v>716</v>
      </c>
      <c r="F449" s="126" t="s">
        <v>598</v>
      </c>
      <c r="G449" s="156">
        <v>2</v>
      </c>
      <c r="H449" s="156"/>
      <c r="I449" s="145">
        <v>790</v>
      </c>
      <c r="J449" s="207">
        <f t="shared" si="10"/>
        <v>1580</v>
      </c>
      <c r="K449" s="209">
        <f t="shared" si="7"/>
        <v>0</v>
      </c>
    </row>
    <row r="450" spans="1:11" ht="48">
      <c r="A450" s="128"/>
      <c r="B450" s="128"/>
      <c r="C450" s="128" t="s">
        <v>35</v>
      </c>
      <c r="D450" s="129"/>
      <c r="E450" s="131" t="s">
        <v>717</v>
      </c>
      <c r="F450" s="126" t="s">
        <v>598</v>
      </c>
      <c r="G450" s="156">
        <v>8</v>
      </c>
      <c r="H450" s="156"/>
      <c r="I450" s="145">
        <v>570</v>
      </c>
      <c r="J450" s="207">
        <f t="shared" si="10"/>
        <v>4560</v>
      </c>
      <c r="K450" s="209">
        <f t="shared" si="7"/>
        <v>0</v>
      </c>
    </row>
    <row r="451" spans="1:11" ht="48">
      <c r="A451" s="128"/>
      <c r="B451" s="128"/>
      <c r="C451" s="128" t="s">
        <v>457</v>
      </c>
      <c r="D451" s="129" t="s">
        <v>711</v>
      </c>
      <c r="E451" s="131" t="s">
        <v>718</v>
      </c>
      <c r="F451" s="126" t="s">
        <v>598</v>
      </c>
      <c r="G451" s="156">
        <v>0</v>
      </c>
      <c r="H451" s="156"/>
      <c r="I451" s="145">
        <v>670</v>
      </c>
      <c r="J451" s="207"/>
      <c r="K451" s="209">
        <f t="shared" si="7"/>
        <v>0</v>
      </c>
    </row>
    <row r="452" spans="1:11" ht="60">
      <c r="A452" s="128"/>
      <c r="B452" s="128"/>
      <c r="C452" s="128" t="s">
        <v>37</v>
      </c>
      <c r="D452" s="129" t="s">
        <v>719</v>
      </c>
      <c r="E452" s="131" t="s">
        <v>720</v>
      </c>
      <c r="F452" s="126"/>
      <c r="G452" s="156"/>
      <c r="H452" s="156"/>
      <c r="I452" s="145"/>
      <c r="J452" s="207"/>
      <c r="K452" s="209">
        <f t="shared" si="7"/>
        <v>0</v>
      </c>
    </row>
    <row r="453" spans="1:11">
      <c r="A453" s="128"/>
      <c r="B453" s="128"/>
      <c r="C453" s="128" t="s">
        <v>40</v>
      </c>
      <c r="D453" s="129"/>
      <c r="E453" s="131" t="s">
        <v>721</v>
      </c>
      <c r="F453" s="126" t="s">
        <v>598</v>
      </c>
      <c r="G453" s="156"/>
      <c r="H453" s="156"/>
      <c r="I453" s="145">
        <v>1075</v>
      </c>
      <c r="J453" s="207"/>
      <c r="K453" s="209">
        <f t="shared" si="7"/>
        <v>0</v>
      </c>
    </row>
    <row r="454" spans="1:11">
      <c r="A454" s="128"/>
      <c r="B454" s="128"/>
      <c r="C454" s="128" t="s">
        <v>43</v>
      </c>
      <c r="D454" s="129"/>
      <c r="E454" s="131" t="s">
        <v>722</v>
      </c>
      <c r="F454" s="126" t="s">
        <v>598</v>
      </c>
      <c r="G454" s="156"/>
      <c r="H454" s="156">
        <f>'MB Civil &amp; Interior'!K381</f>
        <v>9</v>
      </c>
      <c r="I454" s="145">
        <v>975</v>
      </c>
      <c r="J454" s="207"/>
      <c r="K454" s="209">
        <f t="shared" si="7"/>
        <v>8775</v>
      </c>
    </row>
    <row r="455" spans="1:11">
      <c r="A455" s="128"/>
      <c r="B455" s="128"/>
      <c r="C455" s="128" t="s">
        <v>45</v>
      </c>
      <c r="D455" s="129"/>
      <c r="E455" s="131" t="s">
        <v>723</v>
      </c>
      <c r="F455" s="126" t="s">
        <v>598</v>
      </c>
      <c r="G455" s="156"/>
      <c r="H455" s="156"/>
      <c r="I455" s="145">
        <v>725</v>
      </c>
      <c r="J455" s="207"/>
      <c r="K455" s="209">
        <f t="shared" si="7"/>
        <v>0</v>
      </c>
    </row>
    <row r="456" spans="1:11">
      <c r="A456" s="128"/>
      <c r="B456" s="128"/>
      <c r="C456" s="128" t="s">
        <v>47</v>
      </c>
      <c r="D456" s="129"/>
      <c r="E456" s="131" t="s">
        <v>724</v>
      </c>
      <c r="F456" s="126" t="s">
        <v>598</v>
      </c>
      <c r="G456" s="156"/>
      <c r="H456" s="156"/>
      <c r="I456" s="145">
        <v>550</v>
      </c>
      <c r="J456" s="207"/>
      <c r="K456" s="209">
        <f t="shared" si="7"/>
        <v>0</v>
      </c>
    </row>
    <row r="457" spans="1:11" ht="24">
      <c r="A457" s="128" t="s">
        <v>725</v>
      </c>
      <c r="B457" s="128"/>
      <c r="C457" s="128"/>
      <c r="D457" s="129"/>
      <c r="E457" s="131"/>
      <c r="F457" s="126"/>
      <c r="G457" s="156"/>
      <c r="H457" s="156"/>
      <c r="I457" s="145"/>
      <c r="J457" s="207"/>
      <c r="K457" s="209">
        <f t="shared" si="7"/>
        <v>0</v>
      </c>
    </row>
    <row r="458" spans="1:11">
      <c r="A458" s="128"/>
      <c r="B458" s="128" t="s">
        <v>726</v>
      </c>
      <c r="C458" s="128"/>
      <c r="D458" s="129"/>
      <c r="E458" s="131" t="s">
        <v>727</v>
      </c>
      <c r="F458" s="126"/>
      <c r="G458" s="156"/>
      <c r="H458" s="156"/>
      <c r="I458" s="145"/>
      <c r="J458" s="207"/>
      <c r="K458" s="209">
        <f t="shared" si="7"/>
        <v>0</v>
      </c>
    </row>
    <row r="459" spans="1:11" ht="24">
      <c r="A459" s="128"/>
      <c r="B459" s="128"/>
      <c r="C459" s="128" t="s">
        <v>22</v>
      </c>
      <c r="D459" s="129"/>
      <c r="E459" s="131" t="s">
        <v>728</v>
      </c>
      <c r="F459" s="126" t="s">
        <v>729</v>
      </c>
      <c r="G459" s="156">
        <v>1</v>
      </c>
      <c r="H459" s="156"/>
      <c r="I459" s="145">
        <v>350</v>
      </c>
      <c r="J459" s="207">
        <f>$G459*I459</f>
        <v>350</v>
      </c>
      <c r="K459" s="209">
        <f t="shared" si="7"/>
        <v>0</v>
      </c>
    </row>
    <row r="460" spans="1:11" ht="24">
      <c r="A460" s="128" t="s">
        <v>730</v>
      </c>
      <c r="B460" s="128"/>
      <c r="C460" s="128"/>
      <c r="D460" s="129"/>
      <c r="E460" s="131"/>
      <c r="F460" s="126"/>
      <c r="G460" s="156"/>
      <c r="H460" s="156"/>
      <c r="I460" s="145"/>
      <c r="J460" s="207"/>
      <c r="K460" s="209">
        <f t="shared" si="7"/>
        <v>0</v>
      </c>
    </row>
    <row r="461" spans="1:11">
      <c r="A461" s="128"/>
      <c r="B461" s="128" t="s">
        <v>731</v>
      </c>
      <c r="C461" s="128" t="s">
        <v>19</v>
      </c>
      <c r="D461" s="129"/>
      <c r="E461" s="131" t="s">
        <v>732</v>
      </c>
      <c r="F461" s="126"/>
      <c r="G461" s="156"/>
      <c r="H461" s="156"/>
      <c r="I461" s="145"/>
      <c r="J461" s="207"/>
      <c r="K461" s="209">
        <f t="shared" si="7"/>
        <v>0</v>
      </c>
    </row>
    <row r="462" spans="1:11" ht="24">
      <c r="A462" s="128"/>
      <c r="B462" s="128"/>
      <c r="C462" s="128" t="s">
        <v>22</v>
      </c>
      <c r="D462" s="129"/>
      <c r="E462" s="131" t="s">
        <v>733</v>
      </c>
      <c r="F462" s="126" t="s">
        <v>365</v>
      </c>
      <c r="G462" s="156">
        <v>1</v>
      </c>
      <c r="H462" s="156"/>
      <c r="I462" s="145">
        <v>8100</v>
      </c>
      <c r="J462" s="207">
        <f t="shared" ref="J462:J463" si="11">$G462*I462</f>
        <v>8100</v>
      </c>
      <c r="K462" s="209">
        <f t="shared" si="7"/>
        <v>0</v>
      </c>
    </row>
    <row r="463" spans="1:11" ht="24">
      <c r="A463" s="128"/>
      <c r="B463" s="128"/>
      <c r="C463" s="128" t="s">
        <v>25</v>
      </c>
      <c r="D463" s="129"/>
      <c r="E463" s="131" t="s">
        <v>734</v>
      </c>
      <c r="F463" s="126" t="s">
        <v>735</v>
      </c>
      <c r="G463" s="156">
        <v>1</v>
      </c>
      <c r="H463" s="215">
        <v>1</v>
      </c>
      <c r="I463" s="145">
        <v>13500</v>
      </c>
      <c r="J463" s="207">
        <f t="shared" si="11"/>
        <v>13500</v>
      </c>
      <c r="K463" s="209">
        <f t="shared" si="7"/>
        <v>13500</v>
      </c>
    </row>
    <row r="464" spans="1:11" ht="24">
      <c r="A464" s="128" t="s">
        <v>736</v>
      </c>
      <c r="B464" s="128"/>
      <c r="C464" s="128"/>
      <c r="D464" s="129"/>
      <c r="E464" s="131"/>
      <c r="F464" s="126"/>
      <c r="G464" s="156"/>
      <c r="H464" s="156"/>
      <c r="I464" s="145"/>
      <c r="J464" s="207"/>
      <c r="K464" s="209">
        <f t="shared" si="7"/>
        <v>0</v>
      </c>
    </row>
    <row r="465" spans="1:11" ht="24">
      <c r="A465" s="128"/>
      <c r="B465" s="128" t="s">
        <v>737</v>
      </c>
      <c r="C465" s="128" t="s">
        <v>19</v>
      </c>
      <c r="D465" s="129"/>
      <c r="E465" s="131" t="s">
        <v>738</v>
      </c>
      <c r="F465" s="126"/>
      <c r="G465" s="156"/>
      <c r="H465" s="156"/>
      <c r="I465" s="145"/>
      <c r="J465" s="207"/>
      <c r="K465" s="209">
        <f t="shared" si="7"/>
        <v>0</v>
      </c>
    </row>
    <row r="466" spans="1:11">
      <c r="A466" s="128"/>
      <c r="B466" s="128"/>
      <c r="C466" s="128" t="s">
        <v>22</v>
      </c>
      <c r="D466" s="129"/>
      <c r="E466" s="131" t="s">
        <v>739</v>
      </c>
      <c r="F466" s="126" t="s">
        <v>655</v>
      </c>
      <c r="G466" s="156">
        <v>0</v>
      </c>
      <c r="H466" s="156"/>
      <c r="I466" s="145">
        <v>27000</v>
      </c>
      <c r="J466" s="207">
        <f t="shared" ref="J466" si="12">$G466*I466</f>
        <v>0</v>
      </c>
      <c r="K466" s="209">
        <f t="shared" si="7"/>
        <v>0</v>
      </c>
    </row>
    <row r="467" spans="1:11" ht="36">
      <c r="A467" s="128"/>
      <c r="B467" s="128"/>
      <c r="C467" s="128" t="s">
        <v>25</v>
      </c>
      <c r="D467" s="129"/>
      <c r="E467" s="131" t="s">
        <v>740</v>
      </c>
      <c r="F467" s="126" t="s">
        <v>598</v>
      </c>
      <c r="G467" s="156">
        <v>28</v>
      </c>
      <c r="H467" s="156"/>
      <c r="I467" s="145">
        <v>53</v>
      </c>
      <c r="J467" s="207">
        <f t="shared" ref="J467:J472" si="13">$G467*I467</f>
        <v>1484</v>
      </c>
      <c r="K467" s="209">
        <f t="shared" si="7"/>
        <v>0</v>
      </c>
    </row>
    <row r="468" spans="1:11" ht="24">
      <c r="A468" s="128"/>
      <c r="B468" s="128"/>
      <c r="C468" s="128" t="s">
        <v>27</v>
      </c>
      <c r="D468" s="129"/>
      <c r="E468" s="131" t="s">
        <v>741</v>
      </c>
      <c r="F468" s="126" t="s">
        <v>327</v>
      </c>
      <c r="G468" s="156">
        <v>4</v>
      </c>
      <c r="H468" s="156"/>
      <c r="I468" s="145">
        <v>340</v>
      </c>
      <c r="J468" s="207">
        <f t="shared" si="13"/>
        <v>1360</v>
      </c>
      <c r="K468" s="209">
        <f t="shared" si="7"/>
        <v>0</v>
      </c>
    </row>
    <row r="469" spans="1:11" ht="24">
      <c r="A469" s="128"/>
      <c r="B469" s="128"/>
      <c r="C469" s="128" t="s">
        <v>29</v>
      </c>
      <c r="D469" s="129"/>
      <c r="E469" s="131" t="s">
        <v>742</v>
      </c>
      <c r="F469" s="126" t="s">
        <v>598</v>
      </c>
      <c r="G469" s="156">
        <v>210</v>
      </c>
      <c r="H469" s="156"/>
      <c r="I469" s="145">
        <v>53</v>
      </c>
      <c r="J469" s="207">
        <f t="shared" si="13"/>
        <v>11130</v>
      </c>
      <c r="K469" s="209">
        <f t="shared" si="7"/>
        <v>0</v>
      </c>
    </row>
    <row r="470" spans="1:11">
      <c r="A470" s="128"/>
      <c r="B470" s="128"/>
      <c r="C470" s="128" t="s">
        <v>31</v>
      </c>
      <c r="D470" s="129"/>
      <c r="E470" s="131" t="s">
        <v>743</v>
      </c>
      <c r="F470" s="126" t="s">
        <v>598</v>
      </c>
      <c r="G470" s="156">
        <v>210</v>
      </c>
      <c r="H470" s="156">
        <f>'MB Civil &amp; Interior'!K401</f>
        <v>396.40000000000003</v>
      </c>
      <c r="I470" s="145">
        <v>55</v>
      </c>
      <c r="J470" s="207">
        <f t="shared" si="13"/>
        <v>11550</v>
      </c>
      <c r="K470" s="209">
        <f t="shared" si="7"/>
        <v>21802.000000000004</v>
      </c>
    </row>
    <row r="471" spans="1:11">
      <c r="A471" s="128"/>
      <c r="B471" s="128"/>
      <c r="C471" s="128" t="s">
        <v>33</v>
      </c>
      <c r="D471" s="129"/>
      <c r="E471" s="131" t="s">
        <v>744</v>
      </c>
      <c r="F471" s="126" t="s">
        <v>327</v>
      </c>
      <c r="G471" s="156">
        <v>10</v>
      </c>
      <c r="H471" s="156"/>
      <c r="I471" s="145">
        <v>450</v>
      </c>
      <c r="J471" s="207">
        <f t="shared" si="13"/>
        <v>4500</v>
      </c>
      <c r="K471" s="209">
        <f t="shared" si="7"/>
        <v>0</v>
      </c>
    </row>
    <row r="472" spans="1:11">
      <c r="A472" s="128"/>
      <c r="B472" s="128"/>
      <c r="C472" s="128" t="s">
        <v>35</v>
      </c>
      <c r="D472" s="129"/>
      <c r="E472" s="131" t="s">
        <v>745</v>
      </c>
      <c r="F472" s="126" t="s">
        <v>598</v>
      </c>
      <c r="G472" s="156">
        <v>10</v>
      </c>
      <c r="H472" s="156"/>
      <c r="I472" s="145">
        <v>300</v>
      </c>
      <c r="J472" s="207">
        <f t="shared" si="13"/>
        <v>3000</v>
      </c>
      <c r="K472" s="209">
        <f t="shared" si="7"/>
        <v>0</v>
      </c>
    </row>
    <row r="473" spans="1:11">
      <c r="A473" s="128"/>
      <c r="B473" s="128"/>
      <c r="C473" s="128" t="s">
        <v>37</v>
      </c>
      <c r="D473" s="129" t="s">
        <v>746</v>
      </c>
      <c r="E473" s="131"/>
      <c r="F473" s="126"/>
      <c r="G473" s="156"/>
      <c r="H473" s="156"/>
      <c r="I473" s="145">
        <v>0</v>
      </c>
      <c r="J473" s="207"/>
      <c r="K473" s="209">
        <f t="shared" ref="K473:K536" si="14">H473*I473</f>
        <v>0</v>
      </c>
    </row>
    <row r="474" spans="1:11" ht="24">
      <c r="A474" s="128"/>
      <c r="B474" s="128"/>
      <c r="C474" s="128" t="s">
        <v>40</v>
      </c>
      <c r="D474" s="129"/>
      <c r="E474" s="131" t="s">
        <v>747</v>
      </c>
      <c r="F474" s="126" t="s">
        <v>437</v>
      </c>
      <c r="G474" s="156">
        <v>1</v>
      </c>
      <c r="H474" s="156"/>
      <c r="I474" s="145">
        <v>225</v>
      </c>
      <c r="J474" s="207">
        <f t="shared" ref="J474:J476" si="15">$G474*I474</f>
        <v>225</v>
      </c>
      <c r="K474" s="209">
        <f t="shared" si="14"/>
        <v>0</v>
      </c>
    </row>
    <row r="475" spans="1:11" ht="24">
      <c r="A475" s="128"/>
      <c r="B475" s="128"/>
      <c r="C475" s="128" t="s">
        <v>43</v>
      </c>
      <c r="D475" s="129"/>
      <c r="E475" s="131" t="s">
        <v>748</v>
      </c>
      <c r="F475" s="126" t="s">
        <v>437</v>
      </c>
      <c r="G475" s="156">
        <v>1</v>
      </c>
      <c r="H475" s="156"/>
      <c r="I475" s="145">
        <v>570</v>
      </c>
      <c r="J475" s="207">
        <f t="shared" si="15"/>
        <v>570</v>
      </c>
      <c r="K475" s="209">
        <f t="shared" si="14"/>
        <v>0</v>
      </c>
    </row>
    <row r="476" spans="1:11">
      <c r="A476" s="128"/>
      <c r="B476" s="128"/>
      <c r="C476" s="128" t="s">
        <v>45</v>
      </c>
      <c r="D476" s="129"/>
      <c r="E476" s="131" t="s">
        <v>749</v>
      </c>
      <c r="F476" s="126" t="s">
        <v>437</v>
      </c>
      <c r="G476" s="156">
        <v>1</v>
      </c>
      <c r="H476" s="156"/>
      <c r="I476" s="145">
        <v>1450</v>
      </c>
      <c r="J476" s="207">
        <f t="shared" si="15"/>
        <v>1450</v>
      </c>
      <c r="K476" s="209">
        <f t="shared" si="14"/>
        <v>0</v>
      </c>
    </row>
    <row r="477" spans="1:11" ht="24">
      <c r="A477" s="128"/>
      <c r="B477" s="128"/>
      <c r="C477" s="128" t="s">
        <v>47</v>
      </c>
      <c r="D477" s="129"/>
      <c r="E477" s="131" t="s">
        <v>750</v>
      </c>
      <c r="F477" s="126" t="s">
        <v>437</v>
      </c>
      <c r="G477" s="156">
        <v>0</v>
      </c>
      <c r="H477" s="156"/>
      <c r="I477" s="145">
        <v>2200</v>
      </c>
      <c r="J477" s="207"/>
      <c r="K477" s="209">
        <f t="shared" si="14"/>
        <v>0</v>
      </c>
    </row>
    <row r="478" spans="1:11" ht="24">
      <c r="A478" s="128" t="s">
        <v>751</v>
      </c>
      <c r="B478" s="128"/>
      <c r="C478" s="128"/>
      <c r="D478" s="129"/>
      <c r="E478" s="131"/>
      <c r="F478" s="126"/>
      <c r="G478" s="156"/>
      <c r="H478" s="156"/>
      <c r="I478" s="145"/>
      <c r="J478" s="207"/>
      <c r="K478" s="209">
        <f t="shared" si="14"/>
        <v>0</v>
      </c>
    </row>
    <row r="479" spans="1:11">
      <c r="A479" s="128" t="s">
        <v>752</v>
      </c>
      <c r="B479" s="128"/>
      <c r="C479" s="128"/>
      <c r="D479" s="129"/>
      <c r="E479" s="131" t="s">
        <v>753</v>
      </c>
      <c r="F479" s="126"/>
      <c r="G479" s="156"/>
      <c r="H479" s="156"/>
      <c r="I479" s="145"/>
      <c r="J479" s="207"/>
      <c r="K479" s="209">
        <f t="shared" si="14"/>
        <v>0</v>
      </c>
    </row>
    <row r="480" spans="1:11">
      <c r="A480" s="128"/>
      <c r="B480" s="128" t="s">
        <v>754</v>
      </c>
      <c r="C480" s="128"/>
      <c r="D480" s="129"/>
      <c r="E480" s="131"/>
      <c r="F480" s="126"/>
      <c r="G480" s="156"/>
      <c r="H480" s="156"/>
      <c r="I480" s="145"/>
      <c r="J480" s="207"/>
      <c r="K480" s="209">
        <f t="shared" si="14"/>
        <v>0</v>
      </c>
    </row>
    <row r="481" spans="1:11" ht="60">
      <c r="A481" s="128"/>
      <c r="B481" s="128"/>
      <c r="C481" s="128" t="s">
        <v>19</v>
      </c>
      <c r="D481" s="129"/>
      <c r="E481" s="131" t="s">
        <v>755</v>
      </c>
      <c r="F481" s="126" t="s">
        <v>365</v>
      </c>
      <c r="G481" s="156">
        <v>7</v>
      </c>
      <c r="H481" s="156"/>
      <c r="I481" s="145">
        <v>2000</v>
      </c>
      <c r="J481" s="207">
        <f>$G481*I481</f>
        <v>14000</v>
      </c>
      <c r="K481" s="209">
        <f t="shared" si="14"/>
        <v>0</v>
      </c>
    </row>
    <row r="482" spans="1:11" ht="48">
      <c r="A482" s="128"/>
      <c r="B482" s="128"/>
      <c r="C482" s="128" t="s">
        <v>22</v>
      </c>
      <c r="D482" s="129"/>
      <c r="E482" s="131" t="s">
        <v>756</v>
      </c>
      <c r="F482" s="126" t="s">
        <v>365</v>
      </c>
      <c r="G482" s="156">
        <v>0</v>
      </c>
      <c r="H482" s="156">
        <f>'MB Civil &amp; Interior'!K406</f>
        <v>2</v>
      </c>
      <c r="I482" s="145">
        <v>3050</v>
      </c>
      <c r="J482" s="207"/>
      <c r="K482" s="209">
        <f t="shared" si="14"/>
        <v>6100</v>
      </c>
    </row>
    <row r="483" spans="1:11" ht="60">
      <c r="A483" s="128"/>
      <c r="B483" s="128"/>
      <c r="C483" s="128" t="s">
        <v>37</v>
      </c>
      <c r="D483" s="129"/>
      <c r="E483" s="131" t="s">
        <v>757</v>
      </c>
      <c r="F483" s="126" t="s">
        <v>365</v>
      </c>
      <c r="G483" s="156">
        <v>0</v>
      </c>
      <c r="H483" s="156">
        <f>'MB Civil &amp; Interior'!K407</f>
        <v>2</v>
      </c>
      <c r="I483" s="145">
        <v>3050</v>
      </c>
      <c r="J483" s="207"/>
      <c r="K483" s="209">
        <f t="shared" si="14"/>
        <v>6100</v>
      </c>
    </row>
    <row r="484" spans="1:11" ht="60">
      <c r="A484" s="128"/>
      <c r="B484" s="128"/>
      <c r="C484" s="128" t="s">
        <v>49</v>
      </c>
      <c r="D484" s="129"/>
      <c r="E484" s="131" t="s">
        <v>758</v>
      </c>
      <c r="F484" s="126" t="s">
        <v>365</v>
      </c>
      <c r="G484" s="156">
        <v>1</v>
      </c>
      <c r="H484" s="156"/>
      <c r="I484" s="145">
        <v>1200</v>
      </c>
      <c r="J484" s="207">
        <f>$G484*I484</f>
        <v>1200</v>
      </c>
      <c r="K484" s="209">
        <f t="shared" si="14"/>
        <v>0</v>
      </c>
    </row>
    <row r="485" spans="1:11" ht="60">
      <c r="A485" s="128"/>
      <c r="B485" s="128"/>
      <c r="C485" s="128" t="s">
        <v>76</v>
      </c>
      <c r="D485" s="129"/>
      <c r="E485" s="131" t="s">
        <v>759</v>
      </c>
      <c r="F485" s="126" t="s">
        <v>365</v>
      </c>
      <c r="G485" s="156">
        <v>0</v>
      </c>
      <c r="H485" s="156"/>
      <c r="I485" s="145">
        <v>3900</v>
      </c>
      <c r="J485" s="207"/>
      <c r="K485" s="209">
        <f t="shared" si="14"/>
        <v>0</v>
      </c>
    </row>
    <row r="486" spans="1:11" ht="48">
      <c r="A486" s="128"/>
      <c r="B486" s="128"/>
      <c r="C486" s="128" t="s">
        <v>89</v>
      </c>
      <c r="D486" s="129"/>
      <c r="E486" s="131" t="s">
        <v>760</v>
      </c>
      <c r="F486" s="126" t="s">
        <v>365</v>
      </c>
      <c r="G486" s="156">
        <v>2</v>
      </c>
      <c r="H486" s="156"/>
      <c r="I486" s="145">
        <v>1200</v>
      </c>
      <c r="J486" s="207">
        <f>$G486*I486</f>
        <v>2400</v>
      </c>
      <c r="K486" s="209">
        <f t="shared" si="14"/>
        <v>0</v>
      </c>
    </row>
    <row r="487" spans="1:11" ht="48">
      <c r="A487" s="128"/>
      <c r="B487" s="128"/>
      <c r="C487" s="128" t="s">
        <v>219</v>
      </c>
      <c r="D487" s="129"/>
      <c r="E487" s="131" t="s">
        <v>761</v>
      </c>
      <c r="F487" s="126" t="s">
        <v>365</v>
      </c>
      <c r="G487" s="156">
        <v>0</v>
      </c>
      <c r="H487" s="156"/>
      <c r="I487" s="145">
        <v>4250</v>
      </c>
      <c r="J487" s="207"/>
      <c r="K487" s="209">
        <f t="shared" si="14"/>
        <v>0</v>
      </c>
    </row>
    <row r="488" spans="1:11" ht="36">
      <c r="A488" s="128"/>
      <c r="B488" s="128"/>
      <c r="C488" s="128" t="s">
        <v>92</v>
      </c>
      <c r="D488" s="129"/>
      <c r="E488" s="131" t="s">
        <v>762</v>
      </c>
      <c r="F488" s="126" t="s">
        <v>763</v>
      </c>
      <c r="G488" s="156">
        <v>1</v>
      </c>
      <c r="H488" s="156"/>
      <c r="I488" s="145">
        <v>10500</v>
      </c>
      <c r="J488" s="207">
        <f>$G488*I488</f>
        <v>10500</v>
      </c>
      <c r="K488" s="209">
        <f t="shared" si="14"/>
        <v>0</v>
      </c>
    </row>
    <row r="489" spans="1:11" ht="24">
      <c r="A489" s="128"/>
      <c r="B489" s="128"/>
      <c r="C489" s="128" t="s">
        <v>590</v>
      </c>
      <c r="D489" s="129"/>
      <c r="E489" s="131" t="s">
        <v>764</v>
      </c>
      <c r="F489" s="126" t="s">
        <v>763</v>
      </c>
      <c r="G489" s="156">
        <v>0</v>
      </c>
      <c r="H489" s="156"/>
      <c r="I489" s="145">
        <v>99500</v>
      </c>
      <c r="J489" s="207"/>
      <c r="K489" s="209">
        <f t="shared" si="14"/>
        <v>0</v>
      </c>
    </row>
    <row r="490" spans="1:11" ht="36">
      <c r="A490" s="128"/>
      <c r="B490" s="128"/>
      <c r="C490" s="128" t="s">
        <v>108</v>
      </c>
      <c r="D490" s="129"/>
      <c r="E490" s="131" t="s">
        <v>765</v>
      </c>
      <c r="F490" s="126" t="s">
        <v>766</v>
      </c>
      <c r="G490" s="156">
        <v>120</v>
      </c>
      <c r="H490" s="156">
        <f>'MB Civil &amp; Interior'!K414</f>
        <v>43</v>
      </c>
      <c r="I490" s="145">
        <v>140</v>
      </c>
      <c r="J490" s="207">
        <f>$G490*I490</f>
        <v>16800</v>
      </c>
      <c r="K490" s="209">
        <f t="shared" si="14"/>
        <v>6020</v>
      </c>
    </row>
    <row r="491" spans="1:11" ht="24">
      <c r="A491" s="128"/>
      <c r="B491" s="128"/>
      <c r="C491" s="128" t="s">
        <v>129</v>
      </c>
      <c r="D491" s="129"/>
      <c r="E491" s="131" t="s">
        <v>767</v>
      </c>
      <c r="F491" s="126" t="s">
        <v>365</v>
      </c>
      <c r="G491" s="156">
        <v>0</v>
      </c>
      <c r="H491" s="156"/>
      <c r="I491" s="145">
        <v>265000</v>
      </c>
      <c r="J491" s="207"/>
      <c r="K491" s="209">
        <f t="shared" si="14"/>
        <v>0</v>
      </c>
    </row>
    <row r="492" spans="1:11" ht="24">
      <c r="A492" s="128" t="s">
        <v>768</v>
      </c>
      <c r="B492" s="128"/>
      <c r="C492" s="128"/>
      <c r="D492" s="129"/>
      <c r="E492" s="131"/>
      <c r="F492" s="126"/>
      <c r="G492" s="156"/>
      <c r="H492" s="156"/>
      <c r="I492" s="145"/>
      <c r="J492" s="207"/>
      <c r="K492" s="209">
        <f t="shared" si="14"/>
        <v>0</v>
      </c>
    </row>
    <row r="493" spans="1:11">
      <c r="A493" s="128" t="s">
        <v>769</v>
      </c>
      <c r="B493" s="128"/>
      <c r="C493" s="128"/>
      <c r="D493" s="129"/>
      <c r="E493" s="131" t="s">
        <v>770</v>
      </c>
      <c r="F493" s="126"/>
      <c r="G493" s="156"/>
      <c r="H493" s="156"/>
      <c r="I493" s="145"/>
      <c r="J493" s="207"/>
      <c r="K493" s="209">
        <f t="shared" si="14"/>
        <v>0</v>
      </c>
    </row>
    <row r="494" spans="1:11">
      <c r="A494" s="128"/>
      <c r="B494" s="128" t="s">
        <v>771</v>
      </c>
      <c r="C494" s="128"/>
      <c r="D494" s="129"/>
      <c r="E494" s="131" t="s">
        <v>772</v>
      </c>
      <c r="F494" s="126"/>
      <c r="G494" s="156"/>
      <c r="H494" s="156"/>
      <c r="I494" s="145"/>
      <c r="J494" s="207"/>
      <c r="K494" s="209">
        <f t="shared" si="14"/>
        <v>0</v>
      </c>
    </row>
    <row r="495" spans="1:11" ht="108">
      <c r="A495" s="128"/>
      <c r="B495" s="128"/>
      <c r="C495" s="128"/>
      <c r="D495" s="129" t="s">
        <v>19</v>
      </c>
      <c r="E495" s="131" t="s">
        <v>773</v>
      </c>
      <c r="F495" s="126"/>
      <c r="G495" s="156"/>
      <c r="H495" s="156"/>
      <c r="I495" s="145"/>
      <c r="J495" s="207"/>
      <c r="K495" s="209">
        <f t="shared" si="14"/>
        <v>0</v>
      </c>
    </row>
    <row r="496" spans="1:11">
      <c r="A496" s="128"/>
      <c r="B496" s="128"/>
      <c r="C496" s="128"/>
      <c r="D496" s="129" t="s">
        <v>22</v>
      </c>
      <c r="E496" s="131" t="s">
        <v>774</v>
      </c>
      <c r="F496" s="126" t="s">
        <v>775</v>
      </c>
      <c r="G496" s="156">
        <v>0</v>
      </c>
      <c r="H496" s="156"/>
      <c r="I496" s="145">
        <v>1600</v>
      </c>
      <c r="J496" s="207"/>
      <c r="K496" s="209">
        <f t="shared" si="14"/>
        <v>0</v>
      </c>
    </row>
    <row r="497" spans="1:11">
      <c r="A497" s="128"/>
      <c r="B497" s="128"/>
      <c r="C497" s="128"/>
      <c r="D497" s="129" t="s">
        <v>27</v>
      </c>
      <c r="E497" s="131" t="s">
        <v>776</v>
      </c>
      <c r="F497" s="126" t="s">
        <v>775</v>
      </c>
      <c r="G497" s="156">
        <v>0</v>
      </c>
      <c r="H497" s="156"/>
      <c r="I497" s="145">
        <v>1800</v>
      </c>
      <c r="J497" s="207"/>
      <c r="K497" s="209">
        <f t="shared" si="14"/>
        <v>0</v>
      </c>
    </row>
    <row r="498" spans="1:11" ht="168">
      <c r="A498" s="128"/>
      <c r="B498" s="128"/>
      <c r="C498" s="128"/>
      <c r="D498" s="129" t="s">
        <v>37</v>
      </c>
      <c r="E498" s="131" t="s">
        <v>777</v>
      </c>
      <c r="F498" s="126"/>
      <c r="G498" s="156"/>
      <c r="H498" s="156"/>
      <c r="I498" s="145"/>
      <c r="J498" s="207"/>
      <c r="K498" s="209">
        <f t="shared" si="14"/>
        <v>0</v>
      </c>
    </row>
    <row r="499" spans="1:11">
      <c r="A499" s="128"/>
      <c r="B499" s="128"/>
      <c r="C499" s="128"/>
      <c r="D499" s="129" t="s">
        <v>40</v>
      </c>
      <c r="E499" s="131" t="s">
        <v>778</v>
      </c>
      <c r="F499" s="126" t="s">
        <v>775</v>
      </c>
      <c r="G499" s="156">
        <v>0</v>
      </c>
      <c r="H499" s="156">
        <v>95.92</v>
      </c>
      <c r="I499" s="145">
        <v>1650</v>
      </c>
      <c r="J499" s="207">
        <f t="shared" ref="J499" si="16">$G499*I499</f>
        <v>0</v>
      </c>
      <c r="K499" s="209">
        <f t="shared" si="14"/>
        <v>158268</v>
      </c>
    </row>
    <row r="500" spans="1:11">
      <c r="A500" s="128"/>
      <c r="B500" s="128"/>
      <c r="C500" s="128"/>
      <c r="D500" s="129" t="s">
        <v>43</v>
      </c>
      <c r="E500" s="131" t="s">
        <v>779</v>
      </c>
      <c r="F500" s="126" t="s">
        <v>775</v>
      </c>
      <c r="G500" s="156">
        <v>30</v>
      </c>
      <c r="H500" s="156">
        <v>50.75</v>
      </c>
      <c r="I500" s="145">
        <v>1550</v>
      </c>
      <c r="J500" s="207">
        <f t="shared" ref="J500:J501" si="17">$G500*I500</f>
        <v>46500</v>
      </c>
      <c r="K500" s="209">
        <f t="shared" si="14"/>
        <v>78662.5</v>
      </c>
    </row>
    <row r="501" spans="1:11" ht="24">
      <c r="A501" s="128"/>
      <c r="B501" s="128"/>
      <c r="C501" s="128"/>
      <c r="D501" s="129" t="s">
        <v>45</v>
      </c>
      <c r="E501" s="131" t="s">
        <v>780</v>
      </c>
      <c r="F501" s="126" t="s">
        <v>327</v>
      </c>
      <c r="G501" s="156">
        <v>1</v>
      </c>
      <c r="H501" s="156">
        <v>1</v>
      </c>
      <c r="I501" s="145">
        <v>2500</v>
      </c>
      <c r="J501" s="207">
        <f t="shared" si="17"/>
        <v>2500</v>
      </c>
      <c r="K501" s="209">
        <f t="shared" si="14"/>
        <v>2500</v>
      </c>
    </row>
    <row r="502" spans="1:11">
      <c r="A502" s="128"/>
      <c r="B502" s="128"/>
      <c r="C502" s="128"/>
      <c r="D502" s="129"/>
      <c r="E502" s="162"/>
      <c r="F502" s="126"/>
      <c r="G502" s="156"/>
      <c r="H502" s="156"/>
      <c r="I502" s="145"/>
      <c r="J502" s="207"/>
      <c r="K502" s="209">
        <f t="shared" si="14"/>
        <v>0</v>
      </c>
    </row>
    <row r="503" spans="1:11" ht="36">
      <c r="A503" s="163"/>
      <c r="B503" s="163"/>
      <c r="C503" s="163"/>
      <c r="D503" s="163"/>
      <c r="E503" s="161" t="s">
        <v>781</v>
      </c>
      <c r="F503" s="126"/>
      <c r="G503" s="156"/>
      <c r="H503" s="202"/>
      <c r="I503" s="166"/>
      <c r="J503" s="207"/>
      <c r="K503" s="209">
        <f t="shared" si="14"/>
        <v>0</v>
      </c>
    </row>
    <row r="504" spans="1:11">
      <c r="A504" s="163"/>
      <c r="B504" s="163"/>
      <c r="C504" s="163"/>
      <c r="D504" s="163"/>
      <c r="E504" s="161" t="s">
        <v>782</v>
      </c>
      <c r="F504" s="126" t="s">
        <v>783</v>
      </c>
      <c r="G504" s="156">
        <v>10</v>
      </c>
      <c r="H504" s="202"/>
      <c r="I504" s="166">
        <v>950</v>
      </c>
      <c r="J504" s="207">
        <f>$G504*I504</f>
        <v>9500</v>
      </c>
      <c r="K504" s="209">
        <f t="shared" si="14"/>
        <v>0</v>
      </c>
    </row>
    <row r="505" spans="1:11" ht="24">
      <c r="A505" s="128" t="s">
        <v>784</v>
      </c>
      <c r="B505" s="128"/>
      <c r="C505" s="128"/>
      <c r="D505" s="128"/>
      <c r="E505" s="131"/>
      <c r="F505" s="126"/>
      <c r="G505" s="156"/>
      <c r="H505" s="202"/>
      <c r="I505" s="145"/>
      <c r="J505" s="207"/>
      <c r="K505" s="209">
        <f t="shared" si="14"/>
        <v>0</v>
      </c>
    </row>
    <row r="506" spans="1:11">
      <c r="A506" s="128"/>
      <c r="B506" s="128" t="s">
        <v>785</v>
      </c>
      <c r="C506" s="128"/>
      <c r="D506" s="128"/>
      <c r="E506" s="131" t="s">
        <v>786</v>
      </c>
      <c r="F506" s="126"/>
      <c r="G506" s="156"/>
      <c r="H506" s="202"/>
      <c r="I506" s="145"/>
      <c r="J506" s="207"/>
      <c r="K506" s="209">
        <f t="shared" si="14"/>
        <v>0</v>
      </c>
    </row>
    <row r="507" spans="1:11" ht="60">
      <c r="A507" s="128"/>
      <c r="B507" s="128"/>
      <c r="C507" s="128" t="s">
        <v>19</v>
      </c>
      <c r="D507" s="128"/>
      <c r="E507" s="131" t="s">
        <v>787</v>
      </c>
      <c r="F507" s="126"/>
      <c r="G507" s="156"/>
      <c r="H507" s="202"/>
      <c r="I507" s="145"/>
      <c r="J507" s="207"/>
      <c r="K507" s="209">
        <f t="shared" si="14"/>
        <v>0</v>
      </c>
    </row>
    <row r="508" spans="1:11">
      <c r="A508" s="128"/>
      <c r="B508" s="128"/>
      <c r="C508" s="128" t="s">
        <v>22</v>
      </c>
      <c r="D508" s="128"/>
      <c r="E508" s="131" t="s">
        <v>788</v>
      </c>
      <c r="F508" s="126" t="s">
        <v>775</v>
      </c>
      <c r="G508" s="156">
        <v>0</v>
      </c>
      <c r="H508" s="202">
        <v>75.48</v>
      </c>
      <c r="I508" s="145">
        <v>1025</v>
      </c>
      <c r="J508" s="207"/>
      <c r="K508" s="209">
        <f t="shared" si="14"/>
        <v>77367</v>
      </c>
    </row>
    <row r="509" spans="1:11">
      <c r="A509" s="128"/>
      <c r="B509" s="128"/>
      <c r="C509" s="128" t="s">
        <v>25</v>
      </c>
      <c r="D509" s="128"/>
      <c r="E509" s="131" t="s">
        <v>789</v>
      </c>
      <c r="F509" s="126" t="s">
        <v>775</v>
      </c>
      <c r="G509" s="156">
        <v>0</v>
      </c>
      <c r="H509" s="202"/>
      <c r="I509" s="145">
        <v>870</v>
      </c>
      <c r="J509" s="207">
        <f t="shared" ref="J509" si="18">$G509*I509</f>
        <v>0</v>
      </c>
      <c r="K509" s="209">
        <f t="shared" si="14"/>
        <v>0</v>
      </c>
    </row>
    <row r="510" spans="1:11">
      <c r="A510" s="128"/>
      <c r="B510" s="128"/>
      <c r="C510" s="128" t="s">
        <v>27</v>
      </c>
      <c r="D510" s="128"/>
      <c r="E510" s="131" t="s">
        <v>790</v>
      </c>
      <c r="F510" s="126" t="s">
        <v>775</v>
      </c>
      <c r="G510" s="156">
        <v>21</v>
      </c>
      <c r="H510" s="202"/>
      <c r="I510" s="145">
        <v>950</v>
      </c>
      <c r="J510" s="207">
        <f>$G510*I510</f>
        <v>19950</v>
      </c>
      <c r="K510" s="209">
        <f t="shared" si="14"/>
        <v>0</v>
      </c>
    </row>
    <row r="511" spans="1:11" ht="24">
      <c r="A511" s="128" t="s">
        <v>791</v>
      </c>
      <c r="B511" s="128"/>
      <c r="C511" s="128"/>
      <c r="D511" s="128"/>
      <c r="E511" s="131"/>
      <c r="F511" s="126"/>
      <c r="G511" s="156"/>
      <c r="H511" s="202"/>
      <c r="I511" s="145"/>
      <c r="J511" s="207"/>
      <c r="K511" s="209">
        <f t="shared" si="14"/>
        <v>0</v>
      </c>
    </row>
    <row r="512" spans="1:11" ht="24">
      <c r="A512" s="128"/>
      <c r="B512" s="128" t="s">
        <v>792</v>
      </c>
      <c r="C512" s="128"/>
      <c r="D512" s="128"/>
      <c r="E512" s="131" t="s">
        <v>793</v>
      </c>
      <c r="F512" s="126"/>
      <c r="G512" s="156"/>
      <c r="H512" s="202"/>
      <c r="I512" s="145"/>
      <c r="J512" s="207"/>
      <c r="K512" s="209">
        <f t="shared" si="14"/>
        <v>0</v>
      </c>
    </row>
    <row r="513" spans="1:11" ht="96">
      <c r="A513" s="128"/>
      <c r="B513" s="128"/>
      <c r="C513" s="128" t="s">
        <v>19</v>
      </c>
      <c r="D513" s="128"/>
      <c r="E513" s="131" t="s">
        <v>794</v>
      </c>
      <c r="F513" s="126" t="s">
        <v>218</v>
      </c>
      <c r="G513" s="156">
        <v>0</v>
      </c>
      <c r="H513" s="202"/>
      <c r="I513" s="145">
        <v>4550</v>
      </c>
      <c r="J513" s="207"/>
      <c r="K513" s="209">
        <f t="shared" si="14"/>
        <v>0</v>
      </c>
    </row>
    <row r="514" spans="1:11" ht="48">
      <c r="A514" s="128"/>
      <c r="B514" s="128"/>
      <c r="C514" s="128" t="s">
        <v>37</v>
      </c>
      <c r="D514" s="128"/>
      <c r="E514" s="131" t="s">
        <v>795</v>
      </c>
      <c r="F514" s="126" t="s">
        <v>218</v>
      </c>
      <c r="G514" s="156">
        <v>0</v>
      </c>
      <c r="H514" s="202">
        <v>1.6</v>
      </c>
      <c r="I514" s="145">
        <v>5500</v>
      </c>
      <c r="J514" s="207"/>
      <c r="K514" s="209">
        <f t="shared" si="14"/>
        <v>8800</v>
      </c>
    </row>
    <row r="515" spans="1:11" ht="36">
      <c r="A515" s="128"/>
      <c r="B515" s="128"/>
      <c r="C515" s="128" t="s">
        <v>49</v>
      </c>
      <c r="D515" s="128"/>
      <c r="E515" s="131" t="s">
        <v>796</v>
      </c>
      <c r="F515" s="126" t="s">
        <v>218</v>
      </c>
      <c r="G515" s="156">
        <v>0</v>
      </c>
      <c r="H515" s="202">
        <v>2.34</v>
      </c>
      <c r="I515" s="145">
        <v>6000</v>
      </c>
      <c r="J515" s="207"/>
      <c r="K515" s="209">
        <f t="shared" si="14"/>
        <v>14040</v>
      </c>
    </row>
    <row r="516" spans="1:11" ht="24">
      <c r="A516" s="128" t="s">
        <v>797</v>
      </c>
      <c r="B516" s="128"/>
      <c r="C516" s="128"/>
      <c r="D516" s="128"/>
      <c r="E516" s="131"/>
      <c r="F516" s="126"/>
      <c r="G516" s="156"/>
      <c r="H516" s="202"/>
      <c r="I516" s="145"/>
      <c r="J516" s="207"/>
      <c r="K516" s="209">
        <f t="shared" si="14"/>
        <v>0</v>
      </c>
    </row>
    <row r="517" spans="1:11">
      <c r="A517" s="128"/>
      <c r="B517" s="128" t="s">
        <v>798</v>
      </c>
      <c r="C517" s="128"/>
      <c r="D517" s="128"/>
      <c r="E517" s="131" t="s">
        <v>799</v>
      </c>
      <c r="F517" s="126"/>
      <c r="G517" s="156"/>
      <c r="H517" s="202"/>
      <c r="I517" s="145"/>
      <c r="J517" s="207"/>
      <c r="K517" s="209">
        <f t="shared" si="14"/>
        <v>0</v>
      </c>
    </row>
    <row r="518" spans="1:11" ht="48">
      <c r="A518" s="128"/>
      <c r="B518" s="128"/>
      <c r="C518" s="128" t="s">
        <v>22</v>
      </c>
      <c r="D518" s="128"/>
      <c r="E518" s="131" t="s">
        <v>800</v>
      </c>
      <c r="F518" s="126" t="s">
        <v>437</v>
      </c>
      <c r="G518" s="156">
        <v>0</v>
      </c>
      <c r="H518" s="202"/>
      <c r="I518" s="145">
        <v>2850</v>
      </c>
      <c r="J518" s="207">
        <f t="shared" ref="J518:J519" si="19">$G518*I518</f>
        <v>0</v>
      </c>
      <c r="K518" s="209">
        <f t="shared" si="14"/>
        <v>0</v>
      </c>
    </row>
    <row r="519" spans="1:11">
      <c r="A519" s="128"/>
      <c r="B519" s="128"/>
      <c r="C519" s="128" t="s">
        <v>25</v>
      </c>
      <c r="D519" s="128"/>
      <c r="E519" s="131" t="s">
        <v>801</v>
      </c>
      <c r="F519" s="126" t="s">
        <v>437</v>
      </c>
      <c r="G519" s="156">
        <v>0</v>
      </c>
      <c r="H519" s="202"/>
      <c r="I519" s="145">
        <v>5000</v>
      </c>
      <c r="J519" s="207">
        <f t="shared" si="19"/>
        <v>0</v>
      </c>
      <c r="K519" s="209">
        <f t="shared" si="14"/>
        <v>0</v>
      </c>
    </row>
    <row r="520" spans="1:11">
      <c r="A520" s="128"/>
      <c r="B520" s="128"/>
      <c r="C520" s="128" t="s">
        <v>27</v>
      </c>
      <c r="D520" s="128"/>
      <c r="E520" s="131" t="s">
        <v>802</v>
      </c>
      <c r="F520" s="126" t="s">
        <v>437</v>
      </c>
      <c r="G520" s="156">
        <v>0</v>
      </c>
      <c r="H520" s="202"/>
      <c r="I520" s="145">
        <v>15850</v>
      </c>
      <c r="J520" s="207"/>
      <c r="K520" s="209">
        <f t="shared" si="14"/>
        <v>0</v>
      </c>
    </row>
    <row r="521" spans="1:11">
      <c r="A521" s="128"/>
      <c r="B521" s="128"/>
      <c r="C521" s="128" t="s">
        <v>29</v>
      </c>
      <c r="D521" s="128"/>
      <c r="E521" s="131" t="s">
        <v>803</v>
      </c>
      <c r="F521" s="126" t="s">
        <v>437</v>
      </c>
      <c r="G521" s="156">
        <v>0</v>
      </c>
      <c r="H521" s="202"/>
      <c r="I521" s="145">
        <v>8000</v>
      </c>
      <c r="J521" s="207"/>
      <c r="K521" s="209">
        <f t="shared" si="14"/>
        <v>0</v>
      </c>
    </row>
    <row r="522" spans="1:11">
      <c r="A522" s="128"/>
      <c r="B522" s="128"/>
      <c r="C522" s="128" t="s">
        <v>31</v>
      </c>
      <c r="D522" s="128"/>
      <c r="E522" s="131" t="s">
        <v>804</v>
      </c>
      <c r="F522" s="126" t="s">
        <v>437</v>
      </c>
      <c r="G522" s="156"/>
      <c r="H522" s="202"/>
      <c r="I522" s="145">
        <v>2750</v>
      </c>
      <c r="J522" s="207"/>
      <c r="K522" s="209">
        <f t="shared" si="14"/>
        <v>0</v>
      </c>
    </row>
    <row r="523" spans="1:11" ht="24">
      <c r="A523" s="128" t="s">
        <v>805</v>
      </c>
      <c r="B523" s="128"/>
      <c r="C523" s="128"/>
      <c r="D523" s="128"/>
      <c r="E523" s="131"/>
      <c r="F523" s="126"/>
      <c r="G523" s="156"/>
      <c r="H523" s="202"/>
      <c r="I523" s="145"/>
      <c r="J523" s="207"/>
      <c r="K523" s="209">
        <f t="shared" si="14"/>
        <v>0</v>
      </c>
    </row>
    <row r="524" spans="1:11">
      <c r="A524" s="128" t="s">
        <v>806</v>
      </c>
      <c r="B524" s="128"/>
      <c r="C524" s="128"/>
      <c r="D524" s="128"/>
      <c r="E524" s="131" t="s">
        <v>807</v>
      </c>
      <c r="F524" s="126"/>
      <c r="G524" s="156"/>
      <c r="H524" s="202"/>
      <c r="I524" s="145"/>
      <c r="J524" s="207"/>
      <c r="K524" s="209">
        <f t="shared" si="14"/>
        <v>0</v>
      </c>
    </row>
    <row r="525" spans="1:11">
      <c r="A525" s="128"/>
      <c r="B525" s="128" t="s">
        <v>808</v>
      </c>
      <c r="C525" s="128"/>
      <c r="D525" s="128"/>
      <c r="E525" s="131" t="s">
        <v>809</v>
      </c>
      <c r="F525" s="126"/>
      <c r="G525" s="156"/>
      <c r="H525" s="202"/>
      <c r="I525" s="145"/>
      <c r="J525" s="207"/>
      <c r="K525" s="209">
        <f t="shared" si="14"/>
        <v>0</v>
      </c>
    </row>
    <row r="526" spans="1:11" ht="108">
      <c r="A526" s="128"/>
      <c r="B526" s="128"/>
      <c r="C526" s="128" t="s">
        <v>19</v>
      </c>
      <c r="D526" s="128" t="s">
        <v>810</v>
      </c>
      <c r="E526" s="131" t="s">
        <v>811</v>
      </c>
      <c r="F526" s="126" t="s">
        <v>812</v>
      </c>
      <c r="G526" s="156">
        <v>10</v>
      </c>
      <c r="H526" s="202">
        <v>12.037599999999999</v>
      </c>
      <c r="I526" s="145">
        <v>1800</v>
      </c>
      <c r="J526" s="207">
        <f>$G526*I526</f>
        <v>18000</v>
      </c>
      <c r="K526" s="209">
        <f t="shared" si="14"/>
        <v>21667.68</v>
      </c>
    </row>
    <row r="527" spans="1:11" ht="24">
      <c r="A527" s="128"/>
      <c r="B527" s="128"/>
      <c r="C527" s="128" t="s">
        <v>37</v>
      </c>
      <c r="D527" s="128"/>
      <c r="E527" s="131" t="s">
        <v>813</v>
      </c>
      <c r="F527" s="126" t="s">
        <v>814</v>
      </c>
      <c r="G527" s="156">
        <v>0</v>
      </c>
      <c r="H527" s="202"/>
      <c r="I527" s="145">
        <v>6200</v>
      </c>
      <c r="J527" s="207"/>
      <c r="K527" s="209">
        <f t="shared" si="14"/>
        <v>0</v>
      </c>
    </row>
    <row r="528" spans="1:11">
      <c r="A528" s="128"/>
      <c r="B528" s="128"/>
      <c r="C528" s="128" t="s">
        <v>49</v>
      </c>
      <c r="D528" s="128" t="s">
        <v>815</v>
      </c>
      <c r="E528" s="131" t="s">
        <v>816</v>
      </c>
      <c r="F528" s="126" t="s">
        <v>176</v>
      </c>
      <c r="G528" s="156">
        <v>0</v>
      </c>
      <c r="H528" s="202"/>
      <c r="I528" s="145">
        <v>450</v>
      </c>
      <c r="J528" s="207"/>
      <c r="K528" s="209">
        <f t="shared" si="14"/>
        <v>0</v>
      </c>
    </row>
    <row r="529" spans="1:11" ht="24">
      <c r="A529" s="128"/>
      <c r="B529" s="128"/>
      <c r="C529" s="128" t="s">
        <v>89</v>
      </c>
      <c r="D529" s="128"/>
      <c r="E529" s="131" t="s">
        <v>817</v>
      </c>
      <c r="F529" s="126" t="s">
        <v>818</v>
      </c>
      <c r="G529" s="156">
        <v>0</v>
      </c>
      <c r="H529" s="202"/>
      <c r="I529" s="145">
        <v>31</v>
      </c>
      <c r="J529" s="207"/>
      <c r="K529" s="209">
        <f t="shared" si="14"/>
        <v>0</v>
      </c>
    </row>
    <row r="530" spans="1:11">
      <c r="A530" s="128"/>
      <c r="B530" s="128"/>
      <c r="C530" s="128" t="s">
        <v>92</v>
      </c>
      <c r="D530" s="128"/>
      <c r="E530" s="131" t="s">
        <v>819</v>
      </c>
      <c r="F530" s="126" t="s">
        <v>820</v>
      </c>
      <c r="G530" s="156">
        <v>0</v>
      </c>
      <c r="H530" s="202"/>
      <c r="I530" s="145">
        <v>40</v>
      </c>
      <c r="J530" s="207"/>
      <c r="K530" s="209">
        <f t="shared" si="14"/>
        <v>0</v>
      </c>
    </row>
    <row r="531" spans="1:11" ht="48">
      <c r="A531" s="128"/>
      <c r="B531" s="128"/>
      <c r="C531" s="128" t="s">
        <v>108</v>
      </c>
      <c r="D531" s="128"/>
      <c r="E531" s="131" t="s">
        <v>821</v>
      </c>
      <c r="F531" s="126" t="s">
        <v>327</v>
      </c>
      <c r="G531" s="156">
        <v>2</v>
      </c>
      <c r="H531" s="202"/>
      <c r="I531" s="145">
        <v>1800</v>
      </c>
      <c r="J531" s="207">
        <f>$G531*I531</f>
        <v>3600</v>
      </c>
      <c r="K531" s="209">
        <f t="shared" si="14"/>
        <v>0</v>
      </c>
    </row>
    <row r="532" spans="1:11">
      <c r="A532" s="128"/>
      <c r="B532" s="128"/>
      <c r="C532" s="128" t="s">
        <v>129</v>
      </c>
      <c r="D532" s="128"/>
      <c r="E532" s="131" t="s">
        <v>822</v>
      </c>
      <c r="F532" s="126" t="s">
        <v>271</v>
      </c>
      <c r="G532" s="156">
        <v>0</v>
      </c>
      <c r="H532" s="202"/>
      <c r="I532" s="145">
        <v>825</v>
      </c>
      <c r="J532" s="207"/>
      <c r="K532" s="209">
        <f t="shared" si="14"/>
        <v>0</v>
      </c>
    </row>
    <row r="533" spans="1:11" ht="24">
      <c r="A533" s="128"/>
      <c r="B533" s="128"/>
      <c r="C533" s="128" t="s">
        <v>132</v>
      </c>
      <c r="D533" s="128"/>
      <c r="E533" s="131" t="s">
        <v>823</v>
      </c>
      <c r="F533" s="126" t="s">
        <v>327</v>
      </c>
      <c r="G533" s="156">
        <v>1</v>
      </c>
      <c r="H533" s="202"/>
      <c r="I533" s="145">
        <v>3550</v>
      </c>
      <c r="J533" s="207">
        <f>$G533*I533</f>
        <v>3550</v>
      </c>
      <c r="K533" s="209">
        <f t="shared" si="14"/>
        <v>0</v>
      </c>
    </row>
    <row r="534" spans="1:11">
      <c r="A534" s="128"/>
      <c r="B534" s="128"/>
      <c r="C534" s="128" t="s">
        <v>136</v>
      </c>
      <c r="D534" s="128"/>
      <c r="E534" s="131" t="s">
        <v>824</v>
      </c>
      <c r="F534" s="126" t="s">
        <v>176</v>
      </c>
      <c r="G534" s="156">
        <v>0</v>
      </c>
      <c r="H534" s="202"/>
      <c r="I534" s="145">
        <v>750</v>
      </c>
      <c r="J534" s="207"/>
      <c r="K534" s="209">
        <f t="shared" si="14"/>
        <v>0</v>
      </c>
    </row>
    <row r="535" spans="1:11" ht="24">
      <c r="A535" s="128" t="s">
        <v>825</v>
      </c>
      <c r="B535" s="128"/>
      <c r="C535" s="128"/>
      <c r="D535" s="128"/>
      <c r="E535" s="131"/>
      <c r="F535" s="126"/>
      <c r="G535" s="156"/>
      <c r="H535" s="202"/>
      <c r="I535" s="145"/>
      <c r="J535" s="207"/>
      <c r="K535" s="209">
        <f t="shared" si="14"/>
        <v>0</v>
      </c>
    </row>
    <row r="536" spans="1:11">
      <c r="A536" s="128"/>
      <c r="B536" s="128" t="s">
        <v>826</v>
      </c>
      <c r="C536" s="128"/>
      <c r="D536" s="128"/>
      <c r="E536" s="131" t="s">
        <v>827</v>
      </c>
      <c r="F536" s="126"/>
      <c r="G536" s="156"/>
      <c r="H536" s="202"/>
      <c r="I536" s="145"/>
      <c r="J536" s="207"/>
      <c r="K536" s="209">
        <f t="shared" si="14"/>
        <v>0</v>
      </c>
    </row>
    <row r="537" spans="1:11">
      <c r="A537" s="128"/>
      <c r="B537" s="128"/>
      <c r="C537" s="128" t="s">
        <v>19</v>
      </c>
      <c r="D537" s="128"/>
      <c r="E537" s="131" t="s">
        <v>828</v>
      </c>
      <c r="F537" s="126" t="s">
        <v>437</v>
      </c>
      <c r="G537" s="156">
        <v>0</v>
      </c>
      <c r="H537" s="202"/>
      <c r="I537" s="145">
        <v>115</v>
      </c>
      <c r="J537" s="207">
        <f t="shared" ref="J537:J549" si="20">$G537*I537</f>
        <v>0</v>
      </c>
      <c r="K537" s="209">
        <f t="shared" ref="K537:K571" si="21">H537*I537</f>
        <v>0</v>
      </c>
    </row>
    <row r="538" spans="1:11">
      <c r="A538" s="128"/>
      <c r="B538" s="128"/>
      <c r="C538" s="128" t="s">
        <v>37</v>
      </c>
      <c r="D538" s="128"/>
      <c r="E538" s="131" t="s">
        <v>829</v>
      </c>
      <c r="F538" s="126" t="s">
        <v>437</v>
      </c>
      <c r="G538" s="156">
        <v>1</v>
      </c>
      <c r="H538" s="202"/>
      <c r="I538" s="145">
        <v>350</v>
      </c>
      <c r="J538" s="207">
        <f t="shared" ref="J538:J548" si="22">$G538*I538</f>
        <v>350</v>
      </c>
      <c r="K538" s="209">
        <f t="shared" si="21"/>
        <v>0</v>
      </c>
    </row>
    <row r="539" spans="1:11">
      <c r="A539" s="128"/>
      <c r="B539" s="128"/>
      <c r="C539" s="128" t="s">
        <v>49</v>
      </c>
      <c r="D539" s="128"/>
      <c r="E539" s="131" t="s">
        <v>830</v>
      </c>
      <c r="F539" s="126" t="s">
        <v>437</v>
      </c>
      <c r="G539" s="156">
        <v>1</v>
      </c>
      <c r="H539" s="202"/>
      <c r="I539" s="145">
        <v>365</v>
      </c>
      <c r="J539" s="207">
        <f t="shared" si="22"/>
        <v>365</v>
      </c>
      <c r="K539" s="209">
        <f t="shared" si="21"/>
        <v>0</v>
      </c>
    </row>
    <row r="540" spans="1:11">
      <c r="A540" s="128"/>
      <c r="B540" s="128"/>
      <c r="C540" s="128" t="s">
        <v>89</v>
      </c>
      <c r="D540" s="128"/>
      <c r="E540" s="131" t="s">
        <v>831</v>
      </c>
      <c r="F540" s="126" t="s">
        <v>437</v>
      </c>
      <c r="G540" s="156">
        <v>1</v>
      </c>
      <c r="H540" s="202">
        <v>3</v>
      </c>
      <c r="I540" s="145">
        <v>1720</v>
      </c>
      <c r="J540" s="207">
        <f t="shared" si="22"/>
        <v>1720</v>
      </c>
      <c r="K540" s="209">
        <f t="shared" si="21"/>
        <v>5160</v>
      </c>
    </row>
    <row r="541" spans="1:11">
      <c r="A541" s="128"/>
      <c r="B541" s="128"/>
      <c r="C541" s="128" t="s">
        <v>92</v>
      </c>
      <c r="D541" s="128"/>
      <c r="E541" s="131" t="s">
        <v>832</v>
      </c>
      <c r="F541" s="126" t="s">
        <v>437</v>
      </c>
      <c r="G541" s="156">
        <v>1</v>
      </c>
      <c r="H541" s="202"/>
      <c r="I541" s="145">
        <v>4000</v>
      </c>
      <c r="J541" s="207">
        <f t="shared" si="22"/>
        <v>4000</v>
      </c>
      <c r="K541" s="209">
        <f t="shared" si="21"/>
        <v>0</v>
      </c>
    </row>
    <row r="542" spans="1:11">
      <c r="A542" s="128"/>
      <c r="B542" s="128"/>
      <c r="C542" s="128" t="s">
        <v>108</v>
      </c>
      <c r="D542" s="128"/>
      <c r="E542" s="131" t="s">
        <v>833</v>
      </c>
      <c r="F542" s="126" t="s">
        <v>437</v>
      </c>
      <c r="G542" s="156">
        <v>4</v>
      </c>
      <c r="H542" s="202"/>
      <c r="I542" s="145">
        <v>200</v>
      </c>
      <c r="J542" s="207">
        <f t="shared" si="22"/>
        <v>800</v>
      </c>
      <c r="K542" s="209">
        <f t="shared" si="21"/>
        <v>0</v>
      </c>
    </row>
    <row r="543" spans="1:11">
      <c r="A543" s="128"/>
      <c r="B543" s="128"/>
      <c r="C543" s="128" t="s">
        <v>129</v>
      </c>
      <c r="D543" s="128"/>
      <c r="E543" s="131" t="s">
        <v>834</v>
      </c>
      <c r="F543" s="126" t="s">
        <v>437</v>
      </c>
      <c r="G543" s="156">
        <v>2</v>
      </c>
      <c r="H543" s="202"/>
      <c r="I543" s="145">
        <v>200</v>
      </c>
      <c r="J543" s="207">
        <f t="shared" si="22"/>
        <v>400</v>
      </c>
      <c r="K543" s="209">
        <f t="shared" si="21"/>
        <v>0</v>
      </c>
    </row>
    <row r="544" spans="1:11">
      <c r="A544" s="128"/>
      <c r="B544" s="128"/>
      <c r="C544" s="128" t="s">
        <v>132</v>
      </c>
      <c r="D544" s="128"/>
      <c r="E544" s="131" t="s">
        <v>835</v>
      </c>
      <c r="F544" s="126" t="s">
        <v>437</v>
      </c>
      <c r="G544" s="156">
        <v>4</v>
      </c>
      <c r="H544" s="202"/>
      <c r="I544" s="145">
        <v>750</v>
      </c>
      <c r="J544" s="207">
        <f t="shared" si="22"/>
        <v>3000</v>
      </c>
      <c r="K544" s="209">
        <f t="shared" si="21"/>
        <v>0</v>
      </c>
    </row>
    <row r="545" spans="1:11">
      <c r="A545" s="128"/>
      <c r="B545" s="128"/>
      <c r="C545" s="128" t="s">
        <v>136</v>
      </c>
      <c r="D545" s="128"/>
      <c r="E545" s="131" t="s">
        <v>836</v>
      </c>
      <c r="F545" s="126" t="s">
        <v>837</v>
      </c>
      <c r="G545" s="156">
        <v>1</v>
      </c>
      <c r="H545" s="202"/>
      <c r="I545" s="145">
        <v>2500</v>
      </c>
      <c r="J545" s="207">
        <f t="shared" si="22"/>
        <v>2500</v>
      </c>
      <c r="K545" s="209">
        <f t="shared" si="21"/>
        <v>0</v>
      </c>
    </row>
    <row r="546" spans="1:11">
      <c r="A546" s="128"/>
      <c r="B546" s="128"/>
      <c r="C546" s="128" t="s">
        <v>139</v>
      </c>
      <c r="D546" s="128"/>
      <c r="E546" s="131" t="s">
        <v>838</v>
      </c>
      <c r="F546" s="126" t="s">
        <v>837</v>
      </c>
      <c r="G546" s="156">
        <v>1</v>
      </c>
      <c r="H546" s="202"/>
      <c r="I546" s="145">
        <v>1000</v>
      </c>
      <c r="J546" s="207">
        <f t="shared" si="22"/>
        <v>1000</v>
      </c>
      <c r="K546" s="209">
        <f t="shared" si="21"/>
        <v>0</v>
      </c>
    </row>
    <row r="547" spans="1:11">
      <c r="A547" s="128"/>
      <c r="B547" s="128"/>
      <c r="C547" s="128" t="s">
        <v>145</v>
      </c>
      <c r="D547" s="128"/>
      <c r="E547" s="131" t="s">
        <v>839</v>
      </c>
      <c r="F547" s="126" t="s">
        <v>437</v>
      </c>
      <c r="G547" s="156">
        <v>1</v>
      </c>
      <c r="H547" s="202"/>
      <c r="I547" s="145">
        <v>1750</v>
      </c>
      <c r="J547" s="207">
        <f t="shared" si="22"/>
        <v>1750</v>
      </c>
      <c r="K547" s="209">
        <f t="shared" si="21"/>
        <v>0</v>
      </c>
    </row>
    <row r="548" spans="1:11">
      <c r="A548" s="128"/>
      <c r="B548" s="128"/>
      <c r="C548" s="128" t="s">
        <v>148</v>
      </c>
      <c r="D548" s="128"/>
      <c r="E548" s="131" t="s">
        <v>840</v>
      </c>
      <c r="F548" s="126" t="s">
        <v>327</v>
      </c>
      <c r="G548" s="156">
        <v>4</v>
      </c>
      <c r="H548" s="202"/>
      <c r="I548" s="145">
        <v>4500</v>
      </c>
      <c r="J548" s="207">
        <f t="shared" si="22"/>
        <v>18000</v>
      </c>
      <c r="K548" s="209">
        <f t="shared" si="21"/>
        <v>0</v>
      </c>
    </row>
    <row r="549" spans="1:11">
      <c r="A549" s="128"/>
      <c r="B549" s="128"/>
      <c r="C549" s="128" t="s">
        <v>151</v>
      </c>
      <c r="D549" s="128"/>
      <c r="E549" s="131" t="s">
        <v>841</v>
      </c>
      <c r="F549" s="126" t="s">
        <v>327</v>
      </c>
      <c r="G549" s="156">
        <v>0</v>
      </c>
      <c r="H549" s="202"/>
      <c r="I549" s="145">
        <v>6500</v>
      </c>
      <c r="J549" s="207">
        <f t="shared" si="20"/>
        <v>0</v>
      </c>
      <c r="K549" s="209">
        <f t="shared" si="21"/>
        <v>0</v>
      </c>
    </row>
    <row r="550" spans="1:11">
      <c r="A550" s="128"/>
      <c r="B550" s="128"/>
      <c r="C550" s="128" t="s">
        <v>154</v>
      </c>
      <c r="D550" s="128"/>
      <c r="E550" s="131" t="s">
        <v>842</v>
      </c>
      <c r="F550" s="126" t="s">
        <v>327</v>
      </c>
      <c r="G550" s="156">
        <v>1</v>
      </c>
      <c r="H550" s="202"/>
      <c r="I550" s="145">
        <v>3500</v>
      </c>
      <c r="J550" s="207">
        <f t="shared" ref="J550:J552" si="23">$G550*I550</f>
        <v>3500</v>
      </c>
      <c r="K550" s="209">
        <f t="shared" si="21"/>
        <v>0</v>
      </c>
    </row>
    <row r="551" spans="1:11">
      <c r="A551" s="128"/>
      <c r="B551" s="128"/>
      <c r="C551" s="128" t="s">
        <v>157</v>
      </c>
      <c r="D551" s="128"/>
      <c r="E551" s="131" t="s">
        <v>843</v>
      </c>
      <c r="F551" s="126" t="s">
        <v>437</v>
      </c>
      <c r="G551" s="156">
        <v>1</v>
      </c>
      <c r="H551" s="202"/>
      <c r="I551" s="145">
        <v>1200</v>
      </c>
      <c r="J551" s="207">
        <f t="shared" si="23"/>
        <v>1200</v>
      </c>
      <c r="K551" s="209">
        <f t="shared" si="21"/>
        <v>0</v>
      </c>
    </row>
    <row r="552" spans="1:11">
      <c r="A552" s="128"/>
      <c r="B552" s="128"/>
      <c r="C552" s="128" t="s">
        <v>160</v>
      </c>
      <c r="D552" s="128"/>
      <c r="E552" s="131" t="s">
        <v>844</v>
      </c>
      <c r="F552" s="126" t="s">
        <v>437</v>
      </c>
      <c r="G552" s="156">
        <v>2</v>
      </c>
      <c r="H552" s="202"/>
      <c r="I552" s="145">
        <v>200</v>
      </c>
      <c r="J552" s="207">
        <f t="shared" si="23"/>
        <v>400</v>
      </c>
      <c r="K552" s="209">
        <f t="shared" si="21"/>
        <v>0</v>
      </c>
    </row>
    <row r="553" spans="1:11">
      <c r="A553" s="128"/>
      <c r="B553" s="128"/>
      <c r="C553" s="128" t="s">
        <v>163</v>
      </c>
      <c r="D553" s="128"/>
      <c r="E553" s="131" t="s">
        <v>845</v>
      </c>
      <c r="F553" s="126" t="s">
        <v>437</v>
      </c>
      <c r="G553" s="156">
        <v>0</v>
      </c>
      <c r="H553" s="202"/>
      <c r="I553" s="145">
        <v>250</v>
      </c>
      <c r="J553" s="207">
        <f t="shared" ref="J553:J557" si="24">$G553*I553</f>
        <v>0</v>
      </c>
      <c r="K553" s="209">
        <f t="shared" si="21"/>
        <v>0</v>
      </c>
    </row>
    <row r="554" spans="1:11">
      <c r="A554" s="128"/>
      <c r="B554" s="128"/>
      <c r="C554" s="128" t="s">
        <v>166</v>
      </c>
      <c r="D554" s="128"/>
      <c r="E554" s="131" t="s">
        <v>846</v>
      </c>
      <c r="F554" s="126" t="s">
        <v>437</v>
      </c>
      <c r="G554" s="156">
        <v>1</v>
      </c>
      <c r="H554" s="202"/>
      <c r="I554" s="145">
        <v>500</v>
      </c>
      <c r="J554" s="207">
        <f t="shared" ref="J554:J556" si="25">$G554*I554</f>
        <v>500</v>
      </c>
      <c r="K554" s="209">
        <f t="shared" si="21"/>
        <v>0</v>
      </c>
    </row>
    <row r="555" spans="1:11">
      <c r="A555" s="128"/>
      <c r="B555" s="128"/>
      <c r="C555" s="128" t="s">
        <v>170</v>
      </c>
      <c r="D555" s="128"/>
      <c r="E555" s="131" t="s">
        <v>847</v>
      </c>
      <c r="F555" s="126" t="s">
        <v>437</v>
      </c>
      <c r="G555" s="156">
        <v>1</v>
      </c>
      <c r="H555" s="202"/>
      <c r="I555" s="145">
        <v>200</v>
      </c>
      <c r="J555" s="207">
        <f t="shared" si="25"/>
        <v>200</v>
      </c>
      <c r="K555" s="209">
        <f t="shared" si="21"/>
        <v>0</v>
      </c>
    </row>
    <row r="556" spans="1:11">
      <c r="A556" s="128"/>
      <c r="B556" s="128"/>
      <c r="C556" s="128" t="s">
        <v>173</v>
      </c>
      <c r="D556" s="128"/>
      <c r="E556" s="131" t="s">
        <v>848</v>
      </c>
      <c r="F556" s="126" t="s">
        <v>437</v>
      </c>
      <c r="G556" s="156">
        <v>1</v>
      </c>
      <c r="H556" s="202"/>
      <c r="I556" s="145">
        <v>545</v>
      </c>
      <c r="J556" s="207">
        <f t="shared" si="25"/>
        <v>545</v>
      </c>
      <c r="K556" s="209">
        <f t="shared" si="21"/>
        <v>0</v>
      </c>
    </row>
    <row r="557" spans="1:11">
      <c r="A557" s="128"/>
      <c r="B557" s="128"/>
      <c r="C557" s="128" t="s">
        <v>177</v>
      </c>
      <c r="D557" s="128"/>
      <c r="E557" s="131" t="s">
        <v>849</v>
      </c>
      <c r="F557" s="126" t="s">
        <v>437</v>
      </c>
      <c r="G557" s="156">
        <v>0</v>
      </c>
      <c r="H557" s="202"/>
      <c r="I557" s="145">
        <v>950</v>
      </c>
      <c r="J557" s="207">
        <f t="shared" si="24"/>
        <v>0</v>
      </c>
      <c r="K557" s="209">
        <f t="shared" si="21"/>
        <v>0</v>
      </c>
    </row>
    <row r="558" spans="1:11">
      <c r="A558" s="128"/>
      <c r="B558" s="128"/>
      <c r="C558" s="128" t="s">
        <v>850</v>
      </c>
      <c r="D558" s="128"/>
      <c r="E558" s="131" t="s">
        <v>851</v>
      </c>
      <c r="F558" s="126" t="s">
        <v>218</v>
      </c>
      <c r="G558" s="156" t="s">
        <v>852</v>
      </c>
      <c r="H558" s="202">
        <v>1</v>
      </c>
      <c r="I558" s="145">
        <v>8500</v>
      </c>
      <c r="J558" s="207"/>
      <c r="K558" s="209">
        <f t="shared" si="21"/>
        <v>8500</v>
      </c>
    </row>
    <row r="559" spans="1:11">
      <c r="A559" s="128"/>
      <c r="B559" s="128"/>
      <c r="C559" s="128" t="s">
        <v>853</v>
      </c>
      <c r="D559" s="128"/>
      <c r="E559" s="131" t="s">
        <v>854</v>
      </c>
      <c r="F559" s="126" t="s">
        <v>437</v>
      </c>
      <c r="G559" s="156" t="s">
        <v>852</v>
      </c>
      <c r="H559" s="202"/>
      <c r="I559" s="145">
        <v>7000</v>
      </c>
      <c r="J559" s="207"/>
      <c r="K559" s="209">
        <f t="shared" si="21"/>
        <v>0</v>
      </c>
    </row>
    <row r="560" spans="1:11">
      <c r="A560" s="128"/>
      <c r="B560" s="128"/>
      <c r="C560" s="128" t="s">
        <v>855</v>
      </c>
      <c r="D560" s="128"/>
      <c r="E560" s="131" t="s">
        <v>856</v>
      </c>
      <c r="F560" s="126" t="s">
        <v>437</v>
      </c>
      <c r="G560" s="156"/>
      <c r="H560" s="202"/>
      <c r="I560" s="145">
        <v>3500</v>
      </c>
      <c r="J560" s="207"/>
      <c r="K560" s="209">
        <f t="shared" si="21"/>
        <v>0</v>
      </c>
    </row>
    <row r="561" spans="1:11">
      <c r="A561" s="128"/>
      <c r="B561" s="128"/>
      <c r="C561" s="128" t="s">
        <v>857</v>
      </c>
      <c r="D561" s="128"/>
      <c r="E561" s="131" t="s">
        <v>858</v>
      </c>
      <c r="F561" s="126" t="s">
        <v>437</v>
      </c>
      <c r="G561" s="156" t="s">
        <v>852</v>
      </c>
      <c r="H561" s="202"/>
      <c r="I561" s="145">
        <v>900</v>
      </c>
      <c r="J561" s="207"/>
      <c r="K561" s="209">
        <f t="shared" si="21"/>
        <v>0</v>
      </c>
    </row>
    <row r="562" spans="1:11">
      <c r="A562" s="128"/>
      <c r="B562" s="128"/>
      <c r="C562" s="128" t="s">
        <v>859</v>
      </c>
      <c r="D562" s="128"/>
      <c r="E562" s="131" t="s">
        <v>860</v>
      </c>
      <c r="F562" s="126" t="s">
        <v>437</v>
      </c>
      <c r="G562" s="156"/>
      <c r="H562" s="202"/>
      <c r="I562" s="145">
        <v>550</v>
      </c>
      <c r="J562" s="207"/>
      <c r="K562" s="209">
        <f t="shared" si="21"/>
        <v>0</v>
      </c>
    </row>
    <row r="563" spans="1:11">
      <c r="A563" s="128"/>
      <c r="B563" s="128"/>
      <c r="C563" s="128" t="s">
        <v>861</v>
      </c>
      <c r="D563" s="128"/>
      <c r="E563" s="131" t="s">
        <v>862</v>
      </c>
      <c r="F563" s="126" t="s">
        <v>437</v>
      </c>
      <c r="G563" s="156"/>
      <c r="H563" s="202"/>
      <c r="I563" s="145">
        <v>7500</v>
      </c>
      <c r="J563" s="207"/>
      <c r="K563" s="209">
        <f t="shared" si="21"/>
        <v>0</v>
      </c>
    </row>
    <row r="564" spans="1:11">
      <c r="A564" s="128"/>
      <c r="B564" s="128"/>
      <c r="C564" s="128" t="s">
        <v>863</v>
      </c>
      <c r="D564" s="128"/>
      <c r="E564" s="131" t="s">
        <v>864</v>
      </c>
      <c r="F564" s="126" t="s">
        <v>437</v>
      </c>
      <c r="G564" s="156"/>
      <c r="H564" s="202">
        <v>1</v>
      </c>
      <c r="I564" s="145">
        <v>2500</v>
      </c>
      <c r="J564" s="207"/>
      <c r="K564" s="209">
        <f t="shared" si="21"/>
        <v>2500</v>
      </c>
    </row>
    <row r="565" spans="1:11" ht="24">
      <c r="A565" s="128"/>
      <c r="B565" s="128"/>
      <c r="C565" s="128" t="s">
        <v>865</v>
      </c>
      <c r="D565" s="128"/>
      <c r="E565" s="131" t="s">
        <v>866</v>
      </c>
      <c r="F565" s="126" t="s">
        <v>437</v>
      </c>
      <c r="G565" s="156">
        <v>30</v>
      </c>
      <c r="H565" s="202"/>
      <c r="I565" s="145">
        <v>250</v>
      </c>
      <c r="J565" s="207">
        <f>$G565*I565</f>
        <v>7500</v>
      </c>
      <c r="K565" s="209">
        <f t="shared" si="21"/>
        <v>0</v>
      </c>
    </row>
    <row r="566" spans="1:11">
      <c r="A566" s="128"/>
      <c r="B566" s="128"/>
      <c r="C566" s="128" t="s">
        <v>867</v>
      </c>
      <c r="D566" s="128"/>
      <c r="E566" s="131" t="s">
        <v>868</v>
      </c>
      <c r="F566" s="126" t="s">
        <v>655</v>
      </c>
      <c r="G566" s="156">
        <v>0</v>
      </c>
      <c r="H566" s="202"/>
      <c r="I566" s="145">
        <v>550</v>
      </c>
      <c r="J566" s="207"/>
      <c r="K566" s="209">
        <f t="shared" si="21"/>
        <v>0</v>
      </c>
    </row>
    <row r="567" spans="1:11" ht="48">
      <c r="A567" s="128"/>
      <c r="B567" s="128"/>
      <c r="C567" s="128" t="s">
        <v>869</v>
      </c>
      <c r="D567" s="128"/>
      <c r="E567" s="131" t="s">
        <v>658</v>
      </c>
      <c r="F567" s="126" t="s">
        <v>437</v>
      </c>
      <c r="G567" s="156">
        <v>11</v>
      </c>
      <c r="H567" s="202"/>
      <c r="I567" s="145">
        <v>1650</v>
      </c>
      <c r="J567" s="207">
        <f t="shared" ref="J567:J571" si="26">$G567*I567</f>
        <v>18150</v>
      </c>
      <c r="K567" s="209">
        <f t="shared" si="21"/>
        <v>0</v>
      </c>
    </row>
    <row r="568" spans="1:11">
      <c r="A568" s="128"/>
      <c r="B568" s="128"/>
      <c r="C568" s="128" t="s">
        <v>870</v>
      </c>
      <c r="D568" s="128"/>
      <c r="E568" s="131" t="s">
        <v>871</v>
      </c>
      <c r="F568" s="126" t="s">
        <v>437</v>
      </c>
      <c r="G568" s="156">
        <v>1</v>
      </c>
      <c r="H568" s="202"/>
      <c r="I568" s="145">
        <v>3500</v>
      </c>
      <c r="J568" s="207">
        <f t="shared" si="26"/>
        <v>3500</v>
      </c>
      <c r="K568" s="209">
        <f t="shared" si="21"/>
        <v>0</v>
      </c>
    </row>
    <row r="569" spans="1:11">
      <c r="A569" s="128"/>
      <c r="B569" s="128"/>
      <c r="C569" s="128" t="s">
        <v>872</v>
      </c>
      <c r="D569" s="128"/>
      <c r="E569" s="131" t="s">
        <v>873</v>
      </c>
      <c r="F569" s="126" t="s">
        <v>437</v>
      </c>
      <c r="G569" s="156">
        <v>1</v>
      </c>
      <c r="H569" s="202"/>
      <c r="I569" s="145">
        <v>3500</v>
      </c>
      <c r="J569" s="207">
        <f t="shared" si="26"/>
        <v>3500</v>
      </c>
      <c r="K569" s="209">
        <f t="shared" si="21"/>
        <v>0</v>
      </c>
    </row>
    <row r="570" spans="1:11" ht="24">
      <c r="A570" s="128"/>
      <c r="B570" s="128"/>
      <c r="C570" s="128" t="s">
        <v>874</v>
      </c>
      <c r="D570" s="128"/>
      <c r="E570" s="131" t="s">
        <v>875</v>
      </c>
      <c r="F570" s="126" t="s">
        <v>437</v>
      </c>
      <c r="G570" s="156">
        <v>1</v>
      </c>
      <c r="H570" s="202">
        <v>1</v>
      </c>
      <c r="I570" s="145">
        <v>7500</v>
      </c>
      <c r="J570" s="207">
        <f t="shared" si="26"/>
        <v>7500</v>
      </c>
      <c r="K570" s="209">
        <f t="shared" si="21"/>
        <v>7500</v>
      </c>
    </row>
    <row r="571" spans="1:11">
      <c r="A571" s="128"/>
      <c r="B571" s="128"/>
      <c r="C571" s="128"/>
      <c r="D571" s="128"/>
      <c r="E571" s="161" t="s">
        <v>876</v>
      </c>
      <c r="F571" s="126" t="s">
        <v>327</v>
      </c>
      <c r="G571" s="156">
        <v>1</v>
      </c>
      <c r="H571" s="202">
        <v>1</v>
      </c>
      <c r="I571" s="166">
        <v>5500</v>
      </c>
      <c r="J571" s="207">
        <f t="shared" si="26"/>
        <v>5500</v>
      </c>
      <c r="K571" s="209">
        <f t="shared" si="21"/>
        <v>5500</v>
      </c>
    </row>
    <row r="572" spans="1:11" ht="24">
      <c r="A572" s="254" t="s">
        <v>877</v>
      </c>
      <c r="B572" s="254"/>
      <c r="C572" s="255"/>
      <c r="D572" s="255"/>
      <c r="E572" s="256"/>
      <c r="F572" s="254"/>
      <c r="G572" s="257"/>
      <c r="H572" s="258"/>
      <c r="I572" s="259"/>
      <c r="J572" s="260">
        <f>SUM(J6:J570)</f>
        <v>2154775.0620999997</v>
      </c>
      <c r="K572" s="261">
        <f>SUBTOTAL(9,K4:K571)</f>
        <v>1979824.9930825364</v>
      </c>
    </row>
    <row r="573" spans="1:11" ht="14.5">
      <c r="A573" s="275" t="s">
        <v>1527</v>
      </c>
      <c r="B573" s="275"/>
      <c r="C573" s="275"/>
      <c r="D573" s="275"/>
      <c r="E573" s="275"/>
      <c r="F573" s="275"/>
      <c r="G573" s="275"/>
      <c r="H573" s="275"/>
      <c r="I573" s="275"/>
      <c r="J573" s="275"/>
      <c r="K573" s="275"/>
    </row>
    <row r="574" spans="1:11">
      <c r="A574" s="176">
        <v>1</v>
      </c>
      <c r="B574" s="176"/>
      <c r="C574" s="176"/>
      <c r="D574" s="176" t="s">
        <v>1519</v>
      </c>
      <c r="E574" s="176" t="s">
        <v>1520</v>
      </c>
      <c r="F574" s="176"/>
      <c r="G574" s="176"/>
      <c r="H574" s="176">
        <f>'MB Civil &amp; Interior'!K416</f>
        <v>5</v>
      </c>
      <c r="I574" s="176">
        <v>5350</v>
      </c>
      <c r="J574" s="176"/>
      <c r="K574" s="176">
        <f>H574*I574</f>
        <v>26750</v>
      </c>
    </row>
    <row r="575" spans="1:11">
      <c r="A575" s="172"/>
      <c r="B575" s="172"/>
      <c r="C575" s="167"/>
      <c r="D575" s="167"/>
      <c r="E575" s="172"/>
      <c r="F575" s="172"/>
      <c r="G575" s="262"/>
      <c r="H575" s="263"/>
      <c r="I575" s="216"/>
      <c r="J575" s="216"/>
      <c r="K575" s="209"/>
    </row>
    <row r="576" spans="1:11" ht="14.5">
      <c r="A576" s="172">
        <v>2</v>
      </c>
      <c r="B576" s="172"/>
      <c r="C576" s="167"/>
      <c r="D576" s="253" t="s">
        <v>1523</v>
      </c>
      <c r="E576" s="15" t="s">
        <v>1524</v>
      </c>
      <c r="F576" s="167" t="s">
        <v>1522</v>
      </c>
      <c r="G576" s="262"/>
      <c r="H576" s="263">
        <f>'MB Civil &amp; Interior'!K422</f>
        <v>255</v>
      </c>
      <c r="I576" s="216">
        <v>80</v>
      </c>
      <c r="J576" s="216"/>
      <c r="K576" s="209">
        <f>I576*H576</f>
        <v>20400</v>
      </c>
    </row>
    <row r="577" spans="1:11">
      <c r="A577" s="172"/>
      <c r="B577" s="172"/>
      <c r="C577" s="167"/>
      <c r="D577" s="167"/>
      <c r="E577" s="172"/>
      <c r="F577" s="172"/>
      <c r="G577" s="262"/>
      <c r="H577" s="263"/>
      <c r="I577" s="216"/>
      <c r="J577" s="216"/>
      <c r="K577" s="209">
        <f t="shared" ref="K577:K582" si="27">I577*H577</f>
        <v>0</v>
      </c>
    </row>
    <row r="578" spans="1:11" ht="14.5">
      <c r="A578" s="172">
        <v>3</v>
      </c>
      <c r="B578" s="172"/>
      <c r="C578" s="167"/>
      <c r="D578" s="200" t="s">
        <v>1528</v>
      </c>
      <c r="E578" s="15" t="s">
        <v>1529</v>
      </c>
      <c r="F578" s="16" t="s">
        <v>42</v>
      </c>
      <c r="G578" s="16"/>
      <c r="H578" s="250">
        <f>'MB Civil &amp; Interior'!K423</f>
        <v>8</v>
      </c>
      <c r="I578" s="318">
        <v>550</v>
      </c>
      <c r="J578" s="250"/>
      <c r="K578" s="209">
        <f t="shared" si="27"/>
        <v>4400</v>
      </c>
    </row>
    <row r="579" spans="1:11" ht="14.5">
      <c r="A579" s="172"/>
      <c r="B579" s="172"/>
      <c r="C579" s="167"/>
      <c r="D579" s="167"/>
      <c r="E579" s="172"/>
      <c r="F579" s="319"/>
      <c r="G579" s="262"/>
      <c r="H579" s="263"/>
      <c r="I579" s="216"/>
      <c r="J579" s="216"/>
      <c r="K579" s="209">
        <f t="shared" si="27"/>
        <v>0</v>
      </c>
    </row>
    <row r="580" spans="1:11" ht="14.5">
      <c r="A580" s="172">
        <v>4</v>
      </c>
      <c r="B580" s="172"/>
      <c r="C580" s="167"/>
      <c r="D580" s="200" t="s">
        <v>1530</v>
      </c>
      <c r="E580" s="173" t="s">
        <v>1531</v>
      </c>
      <c r="F580" s="16" t="s">
        <v>42</v>
      </c>
      <c r="G580" s="16"/>
      <c r="H580" s="250">
        <f>'MB Civil &amp; Interior'!K425</f>
        <v>2</v>
      </c>
      <c r="I580" s="318">
        <v>500</v>
      </c>
      <c r="J580" s="250"/>
      <c r="K580" s="209">
        <f t="shared" si="27"/>
        <v>1000</v>
      </c>
    </row>
    <row r="581" spans="1:11">
      <c r="A581" s="172"/>
      <c r="B581" s="172"/>
      <c r="C581" s="167"/>
      <c r="D581" s="167"/>
      <c r="E581" s="172"/>
      <c r="F581" s="172"/>
      <c r="G581" s="262"/>
      <c r="H581" s="263"/>
      <c r="I581" s="216"/>
      <c r="J581" s="216"/>
      <c r="K581" s="209">
        <f t="shared" si="27"/>
        <v>0</v>
      </c>
    </row>
    <row r="582" spans="1:11" ht="72">
      <c r="A582" s="172">
        <v>5</v>
      </c>
      <c r="B582" s="172"/>
      <c r="C582" s="167"/>
      <c r="D582" s="200" t="s">
        <v>1532</v>
      </c>
      <c r="E582" s="173" t="s">
        <v>1539</v>
      </c>
      <c r="F582" s="217" t="s">
        <v>1522</v>
      </c>
      <c r="G582" s="262"/>
      <c r="H582" s="310">
        <f>'MB Civil &amp; Interior'!K434</f>
        <v>212.5</v>
      </c>
      <c r="I582" s="216">
        <v>275</v>
      </c>
      <c r="J582" s="216"/>
      <c r="K582" s="209">
        <f t="shared" si="27"/>
        <v>58437.5</v>
      </c>
    </row>
    <row r="583" spans="1:11" ht="14.5">
      <c r="A583" s="311"/>
      <c r="B583" s="311"/>
      <c r="C583" s="312"/>
      <c r="D583" s="312"/>
      <c r="E583" s="313" t="s">
        <v>1540</v>
      </c>
      <c r="F583" s="311"/>
      <c r="G583" s="314"/>
      <c r="H583" s="315"/>
      <c r="I583" s="316"/>
      <c r="J583" s="316"/>
      <c r="K583" s="317">
        <f>SUBTOTAL(9,K574:K582)</f>
        <v>110987.5</v>
      </c>
    </row>
  </sheetData>
  <autoFilter ref="C3:J572" xr:uid="{00000000-0009-0000-0000-000001000000}">
    <filterColumn colId="2">
      <colorFilter dxfId="2"/>
    </filterColumn>
  </autoFilter>
  <sortState xmlns:xlrd2="http://schemas.microsoft.com/office/spreadsheetml/2017/richdata2" ref="A3:K394">
    <sortCondition ref="K3:K394"/>
  </sortState>
  <mergeCells count="5">
    <mergeCell ref="I1:J2"/>
    <mergeCell ref="G1:G2"/>
    <mergeCell ref="H1:H2"/>
    <mergeCell ref="K1:K2"/>
    <mergeCell ref="A573:K573"/>
  </mergeCells>
  <conditionalFormatting sqref="J7:J571">
    <cfRule type="expression" dxfId="1" priority="18">
      <formula>#REF!=$J$7</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33331-4C7B-4C7B-B0AC-614DA0CE6518}">
  <dimension ref="A1:P434"/>
  <sheetViews>
    <sheetView topLeftCell="A419" workbookViewId="0">
      <selection activeCell="D440" sqref="D440"/>
    </sheetView>
  </sheetViews>
  <sheetFormatPr defaultRowHeight="12"/>
  <cols>
    <col min="1" max="3" width="8.7265625" style="177"/>
    <col min="4" max="4" width="23.7265625" style="177" customWidth="1"/>
    <col min="5" max="5" width="37.36328125" style="177" customWidth="1"/>
    <col min="6" max="16384" width="8.7265625" style="177"/>
  </cols>
  <sheetData>
    <row r="1" spans="1:11">
      <c r="A1" s="276" t="s">
        <v>1297</v>
      </c>
      <c r="B1" s="276"/>
      <c r="C1" s="276"/>
      <c r="D1" s="276"/>
      <c r="E1" s="276"/>
      <c r="F1" s="276"/>
      <c r="G1" s="276"/>
      <c r="H1" s="276"/>
      <c r="I1" s="276"/>
      <c r="J1" s="276"/>
      <c r="K1" s="176"/>
    </row>
    <row r="2" spans="1:11">
      <c r="A2" s="276" t="s">
        <v>1298</v>
      </c>
      <c r="B2" s="276"/>
      <c r="C2" s="276"/>
      <c r="D2" s="276"/>
      <c r="E2" s="276"/>
      <c r="F2" s="276"/>
      <c r="G2" s="276"/>
      <c r="H2" s="276"/>
      <c r="I2" s="276"/>
      <c r="J2" s="276"/>
      <c r="K2" s="176"/>
    </row>
    <row r="3" spans="1:11">
      <c r="A3" s="276" t="s">
        <v>1299</v>
      </c>
      <c r="B3" s="276"/>
      <c r="C3" s="276"/>
      <c r="D3" s="276"/>
      <c r="E3" s="276"/>
      <c r="F3" s="276"/>
      <c r="G3" s="276"/>
      <c r="H3" s="276"/>
      <c r="I3" s="276"/>
      <c r="J3" s="276"/>
      <c r="K3" s="176"/>
    </row>
    <row r="4" spans="1:11" ht="36">
      <c r="A4" s="167" t="s">
        <v>6</v>
      </c>
      <c r="B4" s="167"/>
      <c r="C4" s="167"/>
      <c r="D4" s="167"/>
      <c r="E4" s="167"/>
      <c r="F4" s="167"/>
      <c r="G4" s="168" t="s">
        <v>327</v>
      </c>
      <c r="H4" s="169" t="s">
        <v>1300</v>
      </c>
      <c r="I4" s="168" t="s">
        <v>181</v>
      </c>
      <c r="J4" s="168" t="s">
        <v>769</v>
      </c>
      <c r="K4" s="170" t="s">
        <v>1301</v>
      </c>
    </row>
    <row r="5" spans="1:11" ht="24">
      <c r="A5" s="167" t="s">
        <v>7</v>
      </c>
      <c r="B5" s="167"/>
      <c r="C5" s="167" t="s">
        <v>8</v>
      </c>
      <c r="D5" s="167" t="s">
        <v>9</v>
      </c>
      <c r="E5" s="188" t="s">
        <v>10</v>
      </c>
      <c r="F5" s="171" t="s">
        <v>11</v>
      </c>
      <c r="G5" s="178"/>
      <c r="H5" s="178"/>
      <c r="I5" s="178"/>
      <c r="J5" s="178"/>
      <c r="K5" s="176"/>
    </row>
    <row r="6" spans="1:11">
      <c r="A6" s="167" t="s">
        <v>15</v>
      </c>
      <c r="B6" s="167"/>
      <c r="C6" s="167"/>
      <c r="D6" s="167"/>
      <c r="E6" s="189" t="s">
        <v>16</v>
      </c>
      <c r="F6" s="171"/>
      <c r="G6" s="178"/>
      <c r="H6" s="178"/>
      <c r="I6" s="178"/>
      <c r="J6" s="178"/>
      <c r="K6" s="176"/>
    </row>
    <row r="7" spans="1:11">
      <c r="A7" s="172"/>
      <c r="B7" s="167" t="s">
        <v>17</v>
      </c>
      <c r="C7" s="167"/>
      <c r="D7" s="167"/>
      <c r="E7" s="189" t="s">
        <v>18</v>
      </c>
      <c r="F7" s="171"/>
      <c r="G7" s="178"/>
      <c r="H7" s="178"/>
      <c r="I7" s="178"/>
      <c r="J7" s="178"/>
      <c r="K7" s="176"/>
    </row>
    <row r="8" spans="1:11" ht="48">
      <c r="A8" s="167"/>
      <c r="B8" s="167"/>
      <c r="C8" s="167" t="s">
        <v>22</v>
      </c>
      <c r="D8" s="167"/>
      <c r="E8" s="173" t="s">
        <v>23</v>
      </c>
      <c r="F8" s="171" t="s">
        <v>1302</v>
      </c>
      <c r="G8" s="178">
        <v>1</v>
      </c>
      <c r="H8" s="178">
        <v>5.32</v>
      </c>
      <c r="I8" s="178">
        <v>4.91</v>
      </c>
      <c r="J8" s="178"/>
      <c r="K8" s="179">
        <f t="shared" ref="K8:K13" si="0">ROUND(PRODUCT(G8:J8),2)</f>
        <v>26.12</v>
      </c>
    </row>
    <row r="9" spans="1:11">
      <c r="A9" s="167"/>
      <c r="B9" s="167"/>
      <c r="C9" s="167"/>
      <c r="D9" s="167"/>
      <c r="E9" s="173"/>
      <c r="F9" s="171" t="s">
        <v>1302</v>
      </c>
      <c r="G9" s="178">
        <v>1</v>
      </c>
      <c r="H9" s="178">
        <v>1.58</v>
      </c>
      <c r="I9" s="178">
        <v>3.9</v>
      </c>
      <c r="J9" s="184"/>
      <c r="K9" s="179">
        <f t="shared" si="0"/>
        <v>6.16</v>
      </c>
    </row>
    <row r="10" spans="1:11">
      <c r="A10" s="167"/>
      <c r="B10" s="167"/>
      <c r="C10" s="167"/>
      <c r="D10" s="167"/>
      <c r="E10" s="173"/>
      <c r="F10" s="171" t="s">
        <v>1302</v>
      </c>
      <c r="G10" s="178">
        <v>1</v>
      </c>
      <c r="H10" s="178">
        <v>1.37</v>
      </c>
      <c r="I10" s="178">
        <v>0.96</v>
      </c>
      <c r="J10" s="184"/>
      <c r="K10" s="179">
        <f t="shared" si="0"/>
        <v>1.32</v>
      </c>
    </row>
    <row r="11" spans="1:11">
      <c r="A11" s="167"/>
      <c r="B11" s="167"/>
      <c r="C11" s="167"/>
      <c r="D11" s="167"/>
      <c r="E11" s="173"/>
      <c r="F11" s="171" t="s">
        <v>1302</v>
      </c>
      <c r="G11" s="178">
        <v>1</v>
      </c>
      <c r="H11" s="178">
        <v>0.46</v>
      </c>
      <c r="I11" s="178">
        <v>0.77</v>
      </c>
      <c r="J11" s="184"/>
      <c r="K11" s="179">
        <f t="shared" si="0"/>
        <v>0.35</v>
      </c>
    </row>
    <row r="12" spans="1:11">
      <c r="A12" s="167"/>
      <c r="B12" s="167"/>
      <c r="C12" s="167"/>
      <c r="D12" s="167"/>
      <c r="E12" s="173"/>
      <c r="F12" s="171" t="s">
        <v>1302</v>
      </c>
      <c r="G12" s="178">
        <v>1</v>
      </c>
      <c r="H12" s="178">
        <v>1.51</v>
      </c>
      <c r="I12" s="178">
        <v>8.7200000000000006</v>
      </c>
      <c r="J12" s="184"/>
      <c r="K12" s="179">
        <f t="shared" si="0"/>
        <v>13.17</v>
      </c>
    </row>
    <row r="13" spans="1:11">
      <c r="A13" s="167"/>
      <c r="B13" s="167"/>
      <c r="C13" s="167"/>
      <c r="D13" s="167"/>
      <c r="E13" s="173"/>
      <c r="F13" s="171" t="s">
        <v>1302</v>
      </c>
      <c r="G13" s="178">
        <v>1</v>
      </c>
      <c r="H13" s="178">
        <v>1.2</v>
      </c>
      <c r="I13" s="178">
        <v>0.12</v>
      </c>
      <c r="J13" s="184"/>
      <c r="K13" s="179">
        <f t="shared" si="0"/>
        <v>0.14000000000000001</v>
      </c>
    </row>
    <row r="14" spans="1:11">
      <c r="A14" s="167"/>
      <c r="B14" s="167"/>
      <c r="C14" s="167"/>
      <c r="D14" s="167"/>
      <c r="E14" s="173"/>
      <c r="F14" s="171" t="s">
        <v>1302</v>
      </c>
      <c r="G14" s="176"/>
      <c r="H14" s="176"/>
      <c r="I14" s="176"/>
      <c r="J14" s="184" t="s">
        <v>1303</v>
      </c>
      <c r="K14" s="180">
        <f>SUM(K8:K13)</f>
        <v>47.260000000000005</v>
      </c>
    </row>
    <row r="15" spans="1:11">
      <c r="A15" s="167"/>
      <c r="B15" s="167"/>
      <c r="C15" s="167"/>
      <c r="D15" s="167"/>
      <c r="E15" s="173"/>
      <c r="F15" s="171"/>
      <c r="G15" s="176"/>
      <c r="H15" s="176"/>
      <c r="I15" s="176"/>
      <c r="J15" s="185" t="s">
        <v>1304</v>
      </c>
      <c r="K15" s="185">
        <f>K14*10.764</f>
        <v>508.70664000000005</v>
      </c>
    </row>
    <row r="16" spans="1:11" ht="48">
      <c r="A16" s="167"/>
      <c r="B16" s="167"/>
      <c r="C16" s="167" t="s">
        <v>49</v>
      </c>
      <c r="D16" s="167" t="s">
        <v>50</v>
      </c>
      <c r="E16" s="173" t="s">
        <v>51</v>
      </c>
      <c r="F16" s="171" t="s">
        <v>42</v>
      </c>
      <c r="G16" s="181">
        <v>2</v>
      </c>
      <c r="H16" s="178"/>
      <c r="I16" s="178"/>
      <c r="J16" s="182"/>
      <c r="K16" s="183">
        <f>G16</f>
        <v>2</v>
      </c>
    </row>
    <row r="17" spans="1:11">
      <c r="A17" s="178"/>
      <c r="B17" s="178"/>
      <c r="C17" s="178"/>
      <c r="D17" s="178"/>
      <c r="E17" s="176"/>
      <c r="F17" s="176"/>
      <c r="G17" s="178"/>
      <c r="H17" s="178"/>
      <c r="I17" s="178"/>
      <c r="J17" s="182"/>
      <c r="K17" s="184"/>
    </row>
    <row r="18" spans="1:11">
      <c r="A18" s="167"/>
      <c r="B18" s="167" t="s">
        <v>53</v>
      </c>
      <c r="C18" s="167"/>
      <c r="D18" s="167"/>
      <c r="E18" s="173" t="s">
        <v>54</v>
      </c>
      <c r="F18" s="171"/>
      <c r="G18" s="176"/>
      <c r="H18" s="176"/>
      <c r="I18" s="176"/>
      <c r="J18" s="184"/>
      <c r="K18" s="184"/>
    </row>
    <row r="19" spans="1:11" ht="48">
      <c r="A19" s="167"/>
      <c r="B19" s="167"/>
      <c r="C19" s="167" t="s">
        <v>19</v>
      </c>
      <c r="D19" s="167" t="s">
        <v>55</v>
      </c>
      <c r="E19" s="173" t="s">
        <v>56</v>
      </c>
      <c r="F19" s="171" t="s">
        <v>1305</v>
      </c>
      <c r="G19" s="176">
        <v>1</v>
      </c>
      <c r="H19" s="176">
        <v>2.4500000000000002</v>
      </c>
      <c r="I19" s="176">
        <v>3</v>
      </c>
      <c r="J19" s="184">
        <v>7.4999999999999997E-2</v>
      </c>
      <c r="K19" s="179">
        <f t="shared" ref="K19:K23" si="1">ROUND(PRODUCT(G19:J19),2)</f>
        <v>0.55000000000000004</v>
      </c>
    </row>
    <row r="20" spans="1:11">
      <c r="A20" s="167"/>
      <c r="B20" s="167"/>
      <c r="C20" s="167"/>
      <c r="D20" s="167"/>
      <c r="E20" s="173"/>
      <c r="F20" s="171" t="s">
        <v>1305</v>
      </c>
      <c r="G20" s="176">
        <v>1</v>
      </c>
      <c r="H20" s="176">
        <v>2.2599999999999998</v>
      </c>
      <c r="I20" s="176">
        <v>2.85</v>
      </c>
      <c r="J20" s="184">
        <v>0.05</v>
      </c>
      <c r="K20" s="179">
        <f t="shared" si="1"/>
        <v>0.32</v>
      </c>
    </row>
    <row r="21" spans="1:11">
      <c r="A21" s="167"/>
      <c r="B21" s="167"/>
      <c r="C21" s="167"/>
      <c r="D21" s="167"/>
      <c r="E21" s="173"/>
      <c r="F21" s="171" t="s">
        <v>1305</v>
      </c>
      <c r="G21" s="176">
        <v>2</v>
      </c>
      <c r="H21" s="176">
        <v>1.2</v>
      </c>
      <c r="I21" s="176">
        <v>0.6</v>
      </c>
      <c r="J21" s="184">
        <v>7.4999999999999997E-2</v>
      </c>
      <c r="K21" s="179">
        <f t="shared" si="1"/>
        <v>0.11</v>
      </c>
    </row>
    <row r="22" spans="1:11">
      <c r="A22" s="167"/>
      <c r="B22" s="167"/>
      <c r="C22" s="167"/>
      <c r="D22" s="167"/>
      <c r="E22" s="173"/>
      <c r="F22" s="171" t="s">
        <v>1305</v>
      </c>
      <c r="G22" s="176">
        <v>1</v>
      </c>
      <c r="H22" s="176">
        <v>2.15</v>
      </c>
      <c r="I22" s="176">
        <v>0.55000000000000004</v>
      </c>
      <c r="J22" s="184">
        <v>7.4999999999999997E-2</v>
      </c>
      <c r="K22" s="179">
        <f t="shared" si="1"/>
        <v>0.09</v>
      </c>
    </row>
    <row r="23" spans="1:11">
      <c r="A23" s="167"/>
      <c r="B23" s="167"/>
      <c r="C23" s="167"/>
      <c r="D23" s="167"/>
      <c r="E23" s="173"/>
      <c r="F23" s="171" t="s">
        <v>1305</v>
      </c>
      <c r="G23" s="176">
        <v>1</v>
      </c>
      <c r="H23" s="176">
        <v>1.1499999999999999</v>
      </c>
      <c r="I23" s="176">
        <v>0.55000000000000004</v>
      </c>
      <c r="J23" s="184">
        <v>7.4999999999999997E-2</v>
      </c>
      <c r="K23" s="179">
        <f t="shared" si="1"/>
        <v>0.05</v>
      </c>
    </row>
    <row r="24" spans="1:11">
      <c r="A24" s="167"/>
      <c r="B24" s="167"/>
      <c r="C24" s="167"/>
      <c r="D24" s="167"/>
      <c r="E24" s="173"/>
      <c r="F24" s="171"/>
      <c r="G24" s="176"/>
      <c r="H24" s="176"/>
      <c r="I24" s="176"/>
      <c r="J24" s="184" t="s">
        <v>1306</v>
      </c>
      <c r="K24" s="184">
        <f>SUM(K19:K23)</f>
        <v>1.1200000000000001</v>
      </c>
    </row>
    <row r="25" spans="1:11">
      <c r="A25" s="167"/>
      <c r="B25" s="167"/>
      <c r="C25" s="167"/>
      <c r="D25" s="167"/>
      <c r="E25" s="173"/>
      <c r="F25" s="171"/>
      <c r="G25" s="176"/>
      <c r="H25" s="176"/>
      <c r="I25" s="176"/>
      <c r="J25" s="185" t="s">
        <v>1307</v>
      </c>
      <c r="K25" s="185">
        <f>K24*35.314</f>
        <v>39.551680000000005</v>
      </c>
    </row>
    <row r="26" spans="1:11">
      <c r="A26" s="167"/>
      <c r="B26" s="167"/>
      <c r="C26" s="167"/>
      <c r="D26" s="167"/>
      <c r="E26" s="173"/>
      <c r="F26" s="171"/>
      <c r="G26" s="176"/>
      <c r="H26" s="176"/>
      <c r="I26" s="176"/>
      <c r="J26" s="184"/>
      <c r="K26" s="184"/>
    </row>
    <row r="27" spans="1:11" ht="36">
      <c r="A27" s="167"/>
      <c r="B27" s="167"/>
      <c r="C27" s="167" t="s">
        <v>40</v>
      </c>
      <c r="D27" s="167"/>
      <c r="E27" s="173" t="s">
        <v>60</v>
      </c>
      <c r="F27" s="171" t="s">
        <v>1308</v>
      </c>
      <c r="G27" s="178">
        <v>1</v>
      </c>
      <c r="H27" s="178">
        <v>1.45</v>
      </c>
      <c r="I27" s="178">
        <v>0.115</v>
      </c>
      <c r="J27" s="182">
        <v>0.2</v>
      </c>
      <c r="K27" s="179">
        <f t="shared" ref="K27" si="2">ROUND(PRODUCT(G27:J27),2)</f>
        <v>0.03</v>
      </c>
    </row>
    <row r="28" spans="1:11">
      <c r="A28" s="178"/>
      <c r="B28" s="178"/>
      <c r="C28" s="178"/>
      <c r="D28" s="178"/>
      <c r="E28" s="176"/>
      <c r="F28" s="176"/>
      <c r="G28" s="178"/>
      <c r="H28" s="178"/>
      <c r="I28" s="178"/>
      <c r="J28" s="185" t="s">
        <v>1307</v>
      </c>
      <c r="K28" s="185">
        <f>K27*35.314</f>
        <v>1.05942</v>
      </c>
    </row>
    <row r="29" spans="1:11">
      <c r="A29" s="167"/>
      <c r="B29" s="167" t="s">
        <v>62</v>
      </c>
      <c r="C29" s="167"/>
      <c r="D29" s="167"/>
      <c r="E29" s="173" t="s">
        <v>63</v>
      </c>
      <c r="F29" s="176"/>
      <c r="G29" s="178"/>
      <c r="H29" s="178"/>
      <c r="I29" s="178"/>
      <c r="J29" s="182"/>
      <c r="K29" s="184"/>
    </row>
    <row r="30" spans="1:11" ht="108">
      <c r="A30" s="167"/>
      <c r="B30" s="167"/>
      <c r="C30" s="167" t="s">
        <v>40</v>
      </c>
      <c r="D30" s="167" t="s">
        <v>71</v>
      </c>
      <c r="E30" s="173" t="s">
        <v>72</v>
      </c>
      <c r="F30" s="171" t="s">
        <v>1309</v>
      </c>
      <c r="G30" s="178">
        <v>1</v>
      </c>
      <c r="H30" s="178">
        <v>8.75</v>
      </c>
      <c r="I30" s="178"/>
      <c r="J30" s="182">
        <v>3.64</v>
      </c>
      <c r="K30" s="179">
        <f t="shared" ref="K30:K43" si="3">ROUND(PRODUCT(G30:J30),2)</f>
        <v>31.85</v>
      </c>
    </row>
    <row r="31" spans="1:11">
      <c r="A31" s="167"/>
      <c r="B31" s="167"/>
      <c r="C31" s="167"/>
      <c r="D31" s="167"/>
      <c r="E31" s="173"/>
      <c r="F31" s="171" t="s">
        <v>1309</v>
      </c>
      <c r="G31" s="178">
        <v>1</v>
      </c>
      <c r="H31" s="178">
        <v>1.58</v>
      </c>
      <c r="I31" s="178"/>
      <c r="J31" s="182">
        <v>3.64</v>
      </c>
      <c r="K31" s="179">
        <f t="shared" si="3"/>
        <v>5.75</v>
      </c>
    </row>
    <row r="32" spans="1:11">
      <c r="A32" s="167"/>
      <c r="B32" s="167"/>
      <c r="C32" s="167"/>
      <c r="D32" s="167"/>
      <c r="E32" s="173"/>
      <c r="F32" s="171" t="s">
        <v>1309</v>
      </c>
      <c r="G32" s="178">
        <v>1</v>
      </c>
      <c r="H32" s="178">
        <v>4</v>
      </c>
      <c r="I32" s="178"/>
      <c r="J32" s="182">
        <v>3.64</v>
      </c>
      <c r="K32" s="179">
        <f t="shared" si="3"/>
        <v>14.56</v>
      </c>
    </row>
    <row r="33" spans="1:11">
      <c r="A33" s="167"/>
      <c r="B33" s="167"/>
      <c r="C33" s="167"/>
      <c r="D33" s="167"/>
      <c r="E33" s="173"/>
      <c r="F33" s="171" t="s">
        <v>1309</v>
      </c>
      <c r="G33" s="178">
        <v>1</v>
      </c>
      <c r="H33" s="178">
        <v>0.9</v>
      </c>
      <c r="I33" s="178"/>
      <c r="J33" s="182">
        <v>3.64</v>
      </c>
      <c r="K33" s="179">
        <f t="shared" si="3"/>
        <v>3.28</v>
      </c>
    </row>
    <row r="34" spans="1:11">
      <c r="A34" s="167"/>
      <c r="B34" s="167"/>
      <c r="C34" s="167"/>
      <c r="D34" s="167"/>
      <c r="E34" s="173"/>
      <c r="F34" s="171" t="s">
        <v>1309</v>
      </c>
      <c r="G34" s="178">
        <v>1</v>
      </c>
      <c r="H34" s="178">
        <v>1.6</v>
      </c>
      <c r="I34" s="178"/>
      <c r="J34" s="182">
        <v>2.74</v>
      </c>
      <c r="K34" s="179">
        <f t="shared" si="3"/>
        <v>4.38</v>
      </c>
    </row>
    <row r="35" spans="1:11">
      <c r="A35" s="167"/>
      <c r="B35" s="167"/>
      <c r="C35" s="167"/>
      <c r="D35" s="167"/>
      <c r="E35" s="173"/>
      <c r="F35" s="171" t="s">
        <v>1309</v>
      </c>
      <c r="G35" s="178">
        <v>-1</v>
      </c>
      <c r="H35" s="178">
        <v>1.05</v>
      </c>
      <c r="I35" s="178"/>
      <c r="J35" s="182">
        <v>2.0499999999999998</v>
      </c>
      <c r="K35" s="179">
        <f t="shared" si="3"/>
        <v>-2.15</v>
      </c>
    </row>
    <row r="36" spans="1:11">
      <c r="A36" s="167"/>
      <c r="B36" s="167"/>
      <c r="C36" s="167"/>
      <c r="D36" s="167"/>
      <c r="E36" s="173"/>
      <c r="F36" s="171" t="s">
        <v>1309</v>
      </c>
      <c r="G36" s="178"/>
      <c r="H36" s="178"/>
      <c r="I36" s="178"/>
      <c r="J36" s="182" t="s">
        <v>1303</v>
      </c>
      <c r="K36" s="179">
        <f>SUM(K30:K35)</f>
        <v>57.670000000000009</v>
      </c>
    </row>
    <row r="37" spans="1:11">
      <c r="A37" s="178"/>
      <c r="B37" s="178"/>
      <c r="C37" s="178"/>
      <c r="D37" s="178"/>
      <c r="E37" s="176"/>
      <c r="F37" s="176"/>
      <c r="G37" s="178"/>
      <c r="H37" s="178"/>
      <c r="I37" s="178"/>
      <c r="J37" s="187" t="s">
        <v>1304</v>
      </c>
      <c r="K37" s="186">
        <f>K36*10.764</f>
        <v>620.75988000000007</v>
      </c>
    </row>
    <row r="38" spans="1:11" ht="72">
      <c r="A38" s="167"/>
      <c r="B38" s="167"/>
      <c r="C38" s="167" t="s">
        <v>76</v>
      </c>
      <c r="D38" s="167" t="s">
        <v>77</v>
      </c>
      <c r="E38" s="173" t="s">
        <v>78</v>
      </c>
      <c r="F38" s="171" t="s">
        <v>1309</v>
      </c>
      <c r="G38" s="178">
        <v>2</v>
      </c>
      <c r="H38" s="178">
        <v>8.75</v>
      </c>
      <c r="I38" s="178"/>
      <c r="J38" s="182">
        <v>3.64</v>
      </c>
      <c r="K38" s="179">
        <f t="shared" si="3"/>
        <v>63.7</v>
      </c>
    </row>
    <row r="39" spans="1:11">
      <c r="A39" s="167"/>
      <c r="B39" s="167"/>
      <c r="C39" s="167"/>
      <c r="D39" s="167"/>
      <c r="E39" s="173"/>
      <c r="F39" s="171" t="s">
        <v>1309</v>
      </c>
      <c r="G39" s="178">
        <v>2</v>
      </c>
      <c r="H39" s="178">
        <v>1.58</v>
      </c>
      <c r="I39" s="178"/>
      <c r="J39" s="182">
        <v>3.64</v>
      </c>
      <c r="K39" s="179">
        <f t="shared" si="3"/>
        <v>11.5</v>
      </c>
    </row>
    <row r="40" spans="1:11">
      <c r="A40" s="167"/>
      <c r="B40" s="167"/>
      <c r="C40" s="167"/>
      <c r="D40" s="167"/>
      <c r="E40" s="173"/>
      <c r="F40" s="171" t="s">
        <v>1309</v>
      </c>
      <c r="G40" s="178">
        <v>2</v>
      </c>
      <c r="H40" s="178">
        <v>4</v>
      </c>
      <c r="I40" s="178"/>
      <c r="J40" s="182">
        <v>3.64</v>
      </c>
      <c r="K40" s="179">
        <f t="shared" si="3"/>
        <v>29.12</v>
      </c>
    </row>
    <row r="41" spans="1:11">
      <c r="A41" s="167"/>
      <c r="B41" s="167"/>
      <c r="C41" s="167"/>
      <c r="D41" s="167"/>
      <c r="E41" s="173"/>
      <c r="F41" s="171" t="s">
        <v>1309</v>
      </c>
      <c r="G41" s="178">
        <v>2</v>
      </c>
      <c r="H41" s="178">
        <v>0.9</v>
      </c>
      <c r="I41" s="178"/>
      <c r="J41" s="182">
        <v>3.64</v>
      </c>
      <c r="K41" s="179">
        <f t="shared" si="3"/>
        <v>6.55</v>
      </c>
    </row>
    <row r="42" spans="1:11">
      <c r="A42" s="167"/>
      <c r="B42" s="167"/>
      <c r="C42" s="167"/>
      <c r="D42" s="167"/>
      <c r="E42" s="173"/>
      <c r="F42" s="171" t="s">
        <v>1309</v>
      </c>
      <c r="G42" s="178">
        <v>2</v>
      </c>
      <c r="H42" s="178">
        <v>1.6</v>
      </c>
      <c r="I42" s="178"/>
      <c r="J42" s="182">
        <v>2.74</v>
      </c>
      <c r="K42" s="179">
        <f t="shared" si="3"/>
        <v>8.77</v>
      </c>
    </row>
    <row r="43" spans="1:11">
      <c r="A43" s="167"/>
      <c r="B43" s="167"/>
      <c r="C43" s="167"/>
      <c r="D43" s="167"/>
      <c r="E43" s="173"/>
      <c r="F43" s="171" t="s">
        <v>1309</v>
      </c>
      <c r="G43" s="178">
        <v>-2</v>
      </c>
      <c r="H43" s="178">
        <v>1.05</v>
      </c>
      <c r="I43" s="178"/>
      <c r="J43" s="182">
        <v>2.0499999999999998</v>
      </c>
      <c r="K43" s="179">
        <f t="shared" si="3"/>
        <v>-4.3099999999999996</v>
      </c>
    </row>
    <row r="44" spans="1:11">
      <c r="A44" s="167"/>
      <c r="B44" s="167"/>
      <c r="C44" s="167"/>
      <c r="D44" s="167"/>
      <c r="E44" s="173"/>
      <c r="F44" s="171" t="s">
        <v>1309</v>
      </c>
      <c r="G44" s="178"/>
      <c r="H44" s="178"/>
      <c r="I44" s="178"/>
      <c r="J44" s="182" t="s">
        <v>1303</v>
      </c>
      <c r="K44" s="179">
        <f>SUM(K38:K43)</f>
        <v>115.33</v>
      </c>
    </row>
    <row r="45" spans="1:11">
      <c r="A45" s="167"/>
      <c r="B45" s="167"/>
      <c r="C45" s="167"/>
      <c r="D45" s="167"/>
      <c r="E45" s="173"/>
      <c r="F45" s="171"/>
      <c r="G45" s="178"/>
      <c r="H45" s="178"/>
      <c r="I45" s="178"/>
      <c r="J45" s="187" t="s">
        <v>1304</v>
      </c>
      <c r="K45" s="185">
        <f>K44*10.764</f>
        <v>1241.41212</v>
      </c>
    </row>
    <row r="46" spans="1:11">
      <c r="A46" s="167"/>
      <c r="B46" s="167" t="s">
        <v>80</v>
      </c>
      <c r="C46" s="167"/>
      <c r="D46" s="167"/>
      <c r="E46" s="173" t="s">
        <v>1357</v>
      </c>
      <c r="F46" s="171"/>
      <c r="G46" s="178"/>
      <c r="H46" s="178"/>
      <c r="I46" s="178"/>
      <c r="J46" s="182"/>
      <c r="K46" s="180"/>
    </row>
    <row r="47" spans="1:11" ht="168">
      <c r="A47" s="167"/>
      <c r="B47" s="167"/>
      <c r="C47" s="167" t="s">
        <v>19</v>
      </c>
      <c r="D47" s="167" t="s">
        <v>82</v>
      </c>
      <c r="E47" s="173" t="s">
        <v>83</v>
      </c>
      <c r="F47" s="174" t="s">
        <v>1308</v>
      </c>
      <c r="G47" s="178">
        <v>1</v>
      </c>
      <c r="H47" s="178">
        <v>2.4</v>
      </c>
      <c r="I47" s="178">
        <v>3</v>
      </c>
      <c r="J47" s="182">
        <v>0.1</v>
      </c>
      <c r="K47" s="179">
        <f t="shared" ref="K47:K48" si="4">ROUND(PRODUCT(G47:J47),2)</f>
        <v>0.72</v>
      </c>
    </row>
    <row r="48" spans="1:11">
      <c r="A48" s="167"/>
      <c r="B48" s="167"/>
      <c r="C48" s="167"/>
      <c r="D48" s="167"/>
      <c r="E48" s="173"/>
      <c r="F48" s="174" t="s">
        <v>1308</v>
      </c>
      <c r="G48" s="178">
        <v>1</v>
      </c>
      <c r="H48" s="178">
        <v>1.2</v>
      </c>
      <c r="I48" s="178">
        <v>0.5</v>
      </c>
      <c r="J48" s="182">
        <v>7.4999999999999997E-2</v>
      </c>
      <c r="K48" s="179">
        <f t="shared" si="4"/>
        <v>0.05</v>
      </c>
    </row>
    <row r="49" spans="1:11">
      <c r="A49" s="167"/>
      <c r="B49" s="167"/>
      <c r="C49" s="167"/>
      <c r="D49" s="167"/>
      <c r="E49" s="173"/>
      <c r="F49" s="171"/>
      <c r="G49" s="178"/>
      <c r="H49" s="178"/>
      <c r="I49" s="178"/>
      <c r="J49" s="182" t="s">
        <v>1306</v>
      </c>
      <c r="K49" s="184">
        <f>SUM(K47:K48)</f>
        <v>0.77</v>
      </c>
    </row>
    <row r="50" spans="1:11">
      <c r="A50" s="167"/>
      <c r="B50" s="167"/>
      <c r="C50" s="167"/>
      <c r="D50" s="167"/>
      <c r="E50" s="173"/>
      <c r="F50" s="171"/>
      <c r="G50" s="178"/>
      <c r="H50" s="178"/>
      <c r="I50" s="178"/>
      <c r="J50" s="187" t="s">
        <v>1307</v>
      </c>
      <c r="K50" s="185">
        <f>K49*35.314</f>
        <v>27.191780000000001</v>
      </c>
    </row>
    <row r="51" spans="1:11">
      <c r="A51" s="178"/>
      <c r="B51" s="178"/>
      <c r="C51" s="178"/>
      <c r="D51" s="178"/>
      <c r="E51" s="176"/>
      <c r="F51" s="176"/>
      <c r="G51" s="178"/>
      <c r="H51" s="178"/>
      <c r="I51" s="178"/>
      <c r="J51" s="184"/>
      <c r="K51" s="184"/>
    </row>
    <row r="52" spans="1:11" ht="84">
      <c r="A52" s="167"/>
      <c r="B52" s="167"/>
      <c r="C52" s="167" t="s">
        <v>49</v>
      </c>
      <c r="D52" s="167" t="s">
        <v>86</v>
      </c>
      <c r="E52" s="173" t="s">
        <v>87</v>
      </c>
      <c r="F52" s="174" t="s">
        <v>1309</v>
      </c>
      <c r="G52" s="178">
        <v>5</v>
      </c>
      <c r="H52" s="178">
        <v>0.45</v>
      </c>
      <c r="I52" s="178">
        <v>0.4</v>
      </c>
      <c r="J52" s="182"/>
      <c r="K52" s="179">
        <f t="shared" ref="K52" si="5">ROUND(PRODUCT(G52:J52),2)</f>
        <v>0.9</v>
      </c>
    </row>
    <row r="53" spans="1:11">
      <c r="A53" s="167"/>
      <c r="B53" s="167"/>
      <c r="C53" s="167"/>
      <c r="D53" s="167"/>
      <c r="E53" s="173"/>
      <c r="F53" s="171"/>
      <c r="G53" s="178"/>
      <c r="H53" s="178"/>
      <c r="I53" s="178"/>
      <c r="J53" s="187" t="s">
        <v>1310</v>
      </c>
      <c r="K53" s="185">
        <f>K52*10.764</f>
        <v>9.6875999999999998</v>
      </c>
    </row>
    <row r="54" spans="1:11" ht="96">
      <c r="A54" s="167"/>
      <c r="B54" s="128" t="s">
        <v>95</v>
      </c>
      <c r="C54" s="128" t="s">
        <v>49</v>
      </c>
      <c r="D54" s="128" t="s">
        <v>101</v>
      </c>
      <c r="E54" s="131" t="s">
        <v>102</v>
      </c>
      <c r="F54" s="171"/>
      <c r="G54" s="178"/>
      <c r="H54" s="178"/>
      <c r="I54" s="178"/>
      <c r="J54" s="178"/>
      <c r="K54" s="176"/>
    </row>
    <row r="55" spans="1:11">
      <c r="A55" s="167"/>
      <c r="B55" s="167"/>
      <c r="C55" s="167"/>
      <c r="D55" s="181" t="s">
        <v>1327</v>
      </c>
      <c r="E55" s="176" t="s">
        <v>1328</v>
      </c>
      <c r="F55" s="176"/>
      <c r="G55" s="178"/>
      <c r="H55" s="176"/>
      <c r="I55" s="176"/>
      <c r="J55" s="176"/>
      <c r="K55" s="176"/>
    </row>
    <row r="56" spans="1:11">
      <c r="A56" s="167"/>
      <c r="B56" s="167"/>
      <c r="C56" s="167"/>
      <c r="D56" s="181"/>
      <c r="E56" s="176" t="s">
        <v>1329</v>
      </c>
      <c r="F56" s="176"/>
      <c r="G56" s="178">
        <v>2</v>
      </c>
      <c r="H56" s="176"/>
      <c r="I56" s="176">
        <f>5.9*3.28</f>
        <v>19.352</v>
      </c>
      <c r="J56" s="176"/>
      <c r="K56" s="176">
        <f>I56*G56</f>
        <v>38.704000000000001</v>
      </c>
    </row>
    <row r="57" spans="1:11">
      <c r="A57" s="167"/>
      <c r="B57" s="167"/>
      <c r="C57" s="167"/>
      <c r="D57" s="181"/>
      <c r="E57" s="176"/>
      <c r="F57" s="176"/>
      <c r="G57" s="178">
        <v>2</v>
      </c>
      <c r="H57" s="176"/>
      <c r="I57" s="176">
        <f>0.85*3.28</f>
        <v>2.7879999999999998</v>
      </c>
      <c r="J57" s="176"/>
      <c r="K57" s="176">
        <f t="shared" ref="K57:K64" si="6">I57*G57</f>
        <v>5.5759999999999996</v>
      </c>
    </row>
    <row r="58" spans="1:11">
      <c r="A58" s="167"/>
      <c r="B58" s="167"/>
      <c r="C58" s="167"/>
      <c r="D58" s="181"/>
      <c r="E58" s="176"/>
      <c r="F58" s="176"/>
      <c r="G58" s="178">
        <v>2</v>
      </c>
      <c r="H58" s="176"/>
      <c r="I58" s="176">
        <f>1*3.28</f>
        <v>3.28</v>
      </c>
      <c r="J58" s="176"/>
      <c r="K58" s="176">
        <f t="shared" si="6"/>
        <v>6.56</v>
      </c>
    </row>
    <row r="59" spans="1:11">
      <c r="A59" s="167"/>
      <c r="B59" s="167"/>
      <c r="C59" s="167"/>
      <c r="D59" s="181"/>
      <c r="E59" s="176"/>
      <c r="F59" s="176"/>
      <c r="G59" s="178">
        <v>2</v>
      </c>
      <c r="H59" s="176"/>
      <c r="I59" s="176">
        <f>0.85*3.28</f>
        <v>2.7879999999999998</v>
      </c>
      <c r="J59" s="176"/>
      <c r="K59" s="176">
        <f t="shared" si="6"/>
        <v>5.5759999999999996</v>
      </c>
    </row>
    <row r="60" spans="1:11">
      <c r="A60" s="167"/>
      <c r="B60" s="167"/>
      <c r="C60" s="167"/>
      <c r="D60" s="181"/>
      <c r="E60" s="176"/>
      <c r="F60" s="176"/>
      <c r="G60" s="178">
        <v>2</v>
      </c>
      <c r="H60" s="176"/>
      <c r="I60" s="176">
        <f>1.2*3.28</f>
        <v>3.9359999999999995</v>
      </c>
      <c r="J60" s="176"/>
      <c r="K60" s="176">
        <f t="shared" si="6"/>
        <v>7.871999999999999</v>
      </c>
    </row>
    <row r="61" spans="1:11">
      <c r="A61" s="167"/>
      <c r="B61" s="167"/>
      <c r="C61" s="167"/>
      <c r="D61" s="181"/>
      <c r="E61" s="176"/>
      <c r="F61" s="176"/>
      <c r="G61" s="178">
        <v>2</v>
      </c>
      <c r="H61" s="176"/>
      <c r="I61" s="176">
        <f>1.4*3.28</f>
        <v>4.5919999999999996</v>
      </c>
      <c r="J61" s="176"/>
      <c r="K61" s="176">
        <f t="shared" si="6"/>
        <v>9.1839999999999993</v>
      </c>
    </row>
    <row r="62" spans="1:11">
      <c r="A62" s="167"/>
      <c r="B62" s="167"/>
      <c r="C62" s="167"/>
      <c r="D62" s="181"/>
      <c r="E62" s="176" t="s">
        <v>1330</v>
      </c>
      <c r="F62" s="176"/>
      <c r="G62" s="178">
        <v>12</v>
      </c>
      <c r="H62" s="176"/>
      <c r="I62" s="176">
        <f>0.8*3.28</f>
        <v>2.6240000000000001</v>
      </c>
      <c r="J62" s="176"/>
      <c r="K62" s="176">
        <f t="shared" si="6"/>
        <v>31.488</v>
      </c>
    </row>
    <row r="63" spans="1:11">
      <c r="A63" s="167"/>
      <c r="B63" s="167"/>
      <c r="C63" s="167"/>
      <c r="D63" s="181"/>
      <c r="E63" s="176"/>
      <c r="F63" s="176"/>
      <c r="G63" s="178">
        <v>4</v>
      </c>
      <c r="H63" s="176"/>
      <c r="I63" s="176">
        <f>1.1*3.28</f>
        <v>3.6080000000000001</v>
      </c>
      <c r="J63" s="176"/>
      <c r="K63" s="176">
        <f t="shared" si="6"/>
        <v>14.432</v>
      </c>
    </row>
    <row r="64" spans="1:11">
      <c r="A64" s="167"/>
      <c r="B64" s="167"/>
      <c r="C64" s="167"/>
      <c r="D64" s="181"/>
      <c r="E64" s="176"/>
      <c r="F64" s="176"/>
      <c r="G64" s="178">
        <v>4</v>
      </c>
      <c r="H64" s="176"/>
      <c r="I64" s="176">
        <f>0.37*3.28</f>
        <v>1.2136</v>
      </c>
      <c r="J64" s="176"/>
      <c r="K64" s="176">
        <f t="shared" si="6"/>
        <v>4.8544</v>
      </c>
    </row>
    <row r="65" spans="1:11">
      <c r="A65" s="167"/>
      <c r="B65" s="167"/>
      <c r="C65" s="167"/>
      <c r="D65" s="181"/>
      <c r="E65" s="176"/>
      <c r="F65" s="190" t="s">
        <v>1331</v>
      </c>
      <c r="G65" s="191"/>
      <c r="H65" s="190"/>
      <c r="I65" s="190"/>
      <c r="J65" s="190"/>
      <c r="K65" s="192">
        <f>SUM(K56:K64)</f>
        <v>124.24639999999999</v>
      </c>
    </row>
    <row r="66" spans="1:11">
      <c r="A66" s="167"/>
      <c r="B66" s="167"/>
      <c r="C66" s="167"/>
      <c r="D66" s="181"/>
      <c r="E66" s="176"/>
      <c r="F66" s="190" t="s">
        <v>103</v>
      </c>
      <c r="G66" s="191"/>
      <c r="H66" s="190"/>
      <c r="I66" s="190"/>
      <c r="J66" s="190"/>
      <c r="K66" s="192">
        <f>K65*1.69</f>
        <v>209.97641599999997</v>
      </c>
    </row>
    <row r="67" spans="1:11">
      <c r="A67" s="167"/>
      <c r="B67" s="167"/>
      <c r="C67" s="167"/>
      <c r="D67" s="181"/>
      <c r="E67" s="176" t="s">
        <v>1332</v>
      </c>
      <c r="F67" s="190"/>
      <c r="G67" s="191"/>
      <c r="H67" s="190"/>
      <c r="I67" s="190"/>
      <c r="J67" s="190"/>
      <c r="K67" s="192"/>
    </row>
    <row r="68" spans="1:11">
      <c r="A68" s="167"/>
      <c r="B68" s="167"/>
      <c r="C68" s="167"/>
      <c r="D68" s="181"/>
      <c r="E68" s="176" t="s">
        <v>1333</v>
      </c>
      <c r="F68" s="190" t="s">
        <v>1331</v>
      </c>
      <c r="G68" s="178">
        <v>6</v>
      </c>
      <c r="H68" s="176"/>
      <c r="I68" s="176">
        <f>1.5*3.28</f>
        <v>4.92</v>
      </c>
      <c r="J68" s="190"/>
      <c r="K68" s="192">
        <f>I68*G68</f>
        <v>29.52</v>
      </c>
    </row>
    <row r="69" spans="1:11">
      <c r="A69" s="167"/>
      <c r="B69" s="167"/>
      <c r="C69" s="167"/>
      <c r="D69" s="181"/>
      <c r="E69" s="176"/>
      <c r="F69" s="190" t="s">
        <v>103</v>
      </c>
      <c r="G69" s="178"/>
      <c r="H69" s="176"/>
      <c r="I69" s="176"/>
      <c r="J69" s="176"/>
      <c r="K69" s="192">
        <f>K68*1.06</f>
        <v>31.2912</v>
      </c>
    </row>
    <row r="70" spans="1:11">
      <c r="A70" s="167"/>
      <c r="B70" s="167"/>
      <c r="C70" s="167"/>
      <c r="D70" s="181"/>
      <c r="E70" s="176" t="s">
        <v>1334</v>
      </c>
      <c r="F70" s="176"/>
      <c r="G70" s="178"/>
      <c r="H70" s="176"/>
      <c r="I70" s="176"/>
      <c r="J70" s="176"/>
      <c r="K70" s="179"/>
    </row>
    <row r="71" spans="1:11">
      <c r="A71" s="167"/>
      <c r="B71" s="167"/>
      <c r="C71" s="167"/>
      <c r="D71" s="181"/>
      <c r="E71" s="176" t="s">
        <v>1335</v>
      </c>
      <c r="F71" s="176"/>
      <c r="G71" s="178">
        <v>60</v>
      </c>
      <c r="H71" s="176"/>
      <c r="I71" s="176">
        <f>0.85*3.28</f>
        <v>2.7879999999999998</v>
      </c>
      <c r="J71" s="176"/>
      <c r="K71" s="179">
        <f>I71*G71</f>
        <v>167.28</v>
      </c>
    </row>
    <row r="72" spans="1:11">
      <c r="A72" s="167"/>
      <c r="B72" s="167"/>
      <c r="C72" s="167"/>
      <c r="D72" s="181"/>
      <c r="E72" s="176"/>
      <c r="F72" s="176"/>
      <c r="G72" s="178">
        <v>10</v>
      </c>
      <c r="H72" s="176"/>
      <c r="I72" s="176">
        <f>0.85*3.28</f>
        <v>2.7879999999999998</v>
      </c>
      <c r="J72" s="176"/>
      <c r="K72" s="179">
        <f t="shared" ref="K72:K73" si="7">I72*G72</f>
        <v>27.88</v>
      </c>
    </row>
    <row r="73" spans="1:11">
      <c r="A73" s="167"/>
      <c r="B73" s="167"/>
      <c r="C73" s="167"/>
      <c r="D73" s="181"/>
      <c r="E73" s="176"/>
      <c r="F73" s="176"/>
      <c r="G73" s="178">
        <v>10</v>
      </c>
      <c r="H73" s="176"/>
      <c r="I73" s="176">
        <f>1*3.28</f>
        <v>3.28</v>
      </c>
      <c r="J73" s="176"/>
      <c r="K73" s="179">
        <f t="shared" si="7"/>
        <v>32.799999999999997</v>
      </c>
    </row>
    <row r="74" spans="1:11">
      <c r="A74" s="167"/>
      <c r="B74" s="167"/>
      <c r="C74" s="167"/>
      <c r="D74" s="181"/>
      <c r="E74" s="176" t="s">
        <v>1336</v>
      </c>
      <c r="F74" s="176"/>
      <c r="G74" s="178">
        <v>40</v>
      </c>
      <c r="H74" s="176"/>
      <c r="I74" s="176">
        <f>1.1*3.28</f>
        <v>3.6080000000000001</v>
      </c>
      <c r="J74" s="176"/>
      <c r="K74" s="179">
        <f>I74*G74</f>
        <v>144.32</v>
      </c>
    </row>
    <row r="75" spans="1:11">
      <c r="A75" s="167"/>
      <c r="B75" s="167"/>
      <c r="C75" s="167"/>
      <c r="D75" s="181"/>
      <c r="E75" s="176"/>
      <c r="F75" s="190" t="s">
        <v>1331</v>
      </c>
      <c r="G75" s="191"/>
      <c r="H75" s="190"/>
      <c r="I75" s="190"/>
      <c r="J75" s="190"/>
      <c r="K75" s="192">
        <f>SUM(K71:K74)</f>
        <v>372.28</v>
      </c>
    </row>
    <row r="76" spans="1:11">
      <c r="A76" s="167"/>
      <c r="B76" s="167"/>
      <c r="C76" s="167"/>
      <c r="D76" s="181"/>
      <c r="E76" s="176"/>
      <c r="F76" s="190" t="s">
        <v>103</v>
      </c>
      <c r="G76" s="191"/>
      <c r="H76" s="190"/>
      <c r="I76" s="190"/>
      <c r="J76" s="190"/>
      <c r="K76" s="192">
        <f>K75*0.24</f>
        <v>89.347199999999987</v>
      </c>
    </row>
    <row r="77" spans="1:11">
      <c r="A77" s="167"/>
      <c r="B77" s="167"/>
      <c r="C77" s="167"/>
      <c r="D77" s="181"/>
      <c r="E77" s="176"/>
      <c r="F77" s="190" t="s">
        <v>1337</v>
      </c>
      <c r="G77" s="191"/>
      <c r="H77" s="190"/>
      <c r="I77" s="190"/>
      <c r="J77" s="190"/>
      <c r="K77" s="192">
        <f>K76+K69+K66</f>
        <v>330.61481599999996</v>
      </c>
    </row>
    <row r="78" spans="1:11">
      <c r="A78" s="167"/>
      <c r="B78" s="167"/>
      <c r="C78" s="167"/>
      <c r="D78" s="167"/>
      <c r="E78" s="173"/>
      <c r="F78" s="171"/>
      <c r="G78" s="178"/>
      <c r="H78" s="178"/>
      <c r="I78" s="178"/>
      <c r="J78" s="178"/>
      <c r="K78" s="176"/>
    </row>
    <row r="79" spans="1:11">
      <c r="A79" s="178"/>
      <c r="B79" s="128" t="s">
        <v>112</v>
      </c>
      <c r="C79" s="178"/>
      <c r="D79" s="178"/>
      <c r="E79" s="176"/>
      <c r="F79" s="176"/>
      <c r="G79" s="178"/>
      <c r="H79" s="178"/>
      <c r="I79" s="178"/>
      <c r="J79" s="182"/>
      <c r="K79" s="184"/>
    </row>
    <row r="80" spans="1:11" ht="168">
      <c r="A80" s="167"/>
      <c r="B80" s="167"/>
      <c r="C80" s="167" t="s">
        <v>89</v>
      </c>
      <c r="D80" s="167" t="s">
        <v>1338</v>
      </c>
      <c r="E80" s="173" t="s">
        <v>121</v>
      </c>
      <c r="F80" s="174" t="s">
        <v>1309</v>
      </c>
      <c r="G80" s="178">
        <v>1</v>
      </c>
      <c r="H80" s="178">
        <v>5.32</v>
      </c>
      <c r="I80" s="178">
        <v>4.91</v>
      </c>
      <c r="J80" s="182"/>
      <c r="K80" s="179">
        <f t="shared" ref="K80:K86" si="8">ROUND(PRODUCT(G80:J80),2)</f>
        <v>26.12</v>
      </c>
    </row>
    <row r="81" spans="1:11">
      <c r="A81" s="167"/>
      <c r="B81" s="167"/>
      <c r="C81" s="167"/>
      <c r="D81" s="167"/>
      <c r="E81" s="173"/>
      <c r="F81" s="174" t="s">
        <v>1309</v>
      </c>
      <c r="G81" s="178">
        <v>1</v>
      </c>
      <c r="H81" s="178">
        <v>1.58</v>
      </c>
      <c r="I81" s="178">
        <v>3.9</v>
      </c>
      <c r="J81" s="182"/>
      <c r="K81" s="179">
        <f t="shared" si="8"/>
        <v>6.16</v>
      </c>
    </row>
    <row r="82" spans="1:11">
      <c r="A82" s="167"/>
      <c r="B82" s="167"/>
      <c r="C82" s="167"/>
      <c r="D82" s="167"/>
      <c r="E82" s="173"/>
      <c r="F82" s="174" t="s">
        <v>1309</v>
      </c>
      <c r="G82" s="178">
        <v>1</v>
      </c>
      <c r="H82" s="178">
        <v>1.37</v>
      </c>
      <c r="I82" s="178">
        <v>0.96</v>
      </c>
      <c r="J82" s="182"/>
      <c r="K82" s="179">
        <f t="shared" si="8"/>
        <v>1.32</v>
      </c>
    </row>
    <row r="83" spans="1:11">
      <c r="A83" s="167"/>
      <c r="B83" s="167"/>
      <c r="C83" s="167"/>
      <c r="D83" s="167"/>
      <c r="E83" s="173"/>
      <c r="F83" s="174" t="s">
        <v>1309</v>
      </c>
      <c r="G83" s="178">
        <v>1</v>
      </c>
      <c r="H83" s="178">
        <v>0.46</v>
      </c>
      <c r="I83" s="178">
        <v>0.77</v>
      </c>
      <c r="J83" s="182"/>
      <c r="K83" s="179">
        <f t="shared" si="8"/>
        <v>0.35</v>
      </c>
    </row>
    <row r="84" spans="1:11">
      <c r="A84" s="167"/>
      <c r="B84" s="167"/>
      <c r="C84" s="167"/>
      <c r="D84" s="167"/>
      <c r="E84" s="173"/>
      <c r="F84" s="174" t="s">
        <v>1309</v>
      </c>
      <c r="G84" s="178">
        <v>1</v>
      </c>
      <c r="H84" s="178">
        <v>1.51</v>
      </c>
      <c r="I84" s="178">
        <v>8.7200000000000006</v>
      </c>
      <c r="J84" s="182"/>
      <c r="K84" s="179">
        <f t="shared" si="8"/>
        <v>13.17</v>
      </c>
    </row>
    <row r="85" spans="1:11">
      <c r="A85" s="167"/>
      <c r="B85" s="167"/>
      <c r="C85" s="167"/>
      <c r="D85" s="167"/>
      <c r="E85" s="173"/>
      <c r="F85" s="174" t="s">
        <v>1309</v>
      </c>
      <c r="G85" s="178">
        <v>1</v>
      </c>
      <c r="H85" s="178">
        <v>0.12</v>
      </c>
      <c r="I85" s="178">
        <v>1.2</v>
      </c>
      <c r="J85" s="182"/>
      <c r="K85" s="179">
        <f t="shared" si="8"/>
        <v>0.14000000000000001</v>
      </c>
    </row>
    <row r="86" spans="1:11">
      <c r="A86" s="167"/>
      <c r="B86" s="167"/>
      <c r="C86" s="167"/>
      <c r="D86" s="167"/>
      <c r="E86" s="173"/>
      <c r="F86" s="174" t="s">
        <v>1309</v>
      </c>
      <c r="G86" s="178">
        <v>1</v>
      </c>
      <c r="H86" s="178">
        <v>2.2650000000000001</v>
      </c>
      <c r="I86" s="178">
        <v>2.8650000000000002</v>
      </c>
      <c r="J86" s="182"/>
      <c r="K86" s="179">
        <f t="shared" si="8"/>
        <v>6.49</v>
      </c>
    </row>
    <row r="87" spans="1:11">
      <c r="A87" s="167"/>
      <c r="B87" s="167"/>
      <c r="C87" s="167"/>
      <c r="D87" s="167"/>
      <c r="E87" s="173"/>
      <c r="F87" s="171"/>
      <c r="G87" s="178"/>
      <c r="H87" s="178"/>
      <c r="I87" s="178"/>
      <c r="J87" s="182" t="s">
        <v>1311</v>
      </c>
      <c r="K87" s="184">
        <f>SUM(K80:K86)</f>
        <v>53.750000000000007</v>
      </c>
    </row>
    <row r="88" spans="1:11">
      <c r="A88" s="167"/>
      <c r="B88" s="167"/>
      <c r="C88" s="167"/>
      <c r="D88" s="167"/>
      <c r="E88" s="173"/>
      <c r="F88" s="171"/>
      <c r="G88" s="178"/>
      <c r="H88" s="178"/>
      <c r="I88" s="178"/>
      <c r="J88" s="187" t="s">
        <v>1312</v>
      </c>
      <c r="K88" s="185">
        <f>K87*10.764</f>
        <v>578.56500000000005</v>
      </c>
    </row>
    <row r="89" spans="1:11">
      <c r="A89" s="178"/>
      <c r="B89" s="178"/>
      <c r="C89" s="178"/>
      <c r="D89" s="178"/>
      <c r="E89" s="176"/>
      <c r="F89" s="176"/>
      <c r="G89" s="178"/>
      <c r="H89" s="178"/>
      <c r="I89" s="178"/>
      <c r="J89" s="182"/>
      <c r="K89" s="184"/>
    </row>
    <row r="90" spans="1:11" ht="72">
      <c r="A90" s="167"/>
      <c r="B90" s="167"/>
      <c r="C90" s="167" t="s">
        <v>139</v>
      </c>
      <c r="D90" s="167" t="s">
        <v>1339</v>
      </c>
      <c r="E90" s="167"/>
      <c r="F90" s="174" t="s">
        <v>384</v>
      </c>
      <c r="G90" s="178">
        <v>1</v>
      </c>
      <c r="H90" s="178">
        <f>5.32+5.32+4.91+4.91+0.6+0.6+0.47+1.58+1.58+3.9+1.37+0.96+0.77+0.77+0.46+0.46+1.51+1.51+7.72+7.72+0.55+0.55+0.2+0.2</f>
        <v>53.94</v>
      </c>
      <c r="I90" s="178"/>
      <c r="J90" s="182"/>
      <c r="K90" s="179">
        <f t="shared" ref="K90" si="9">ROUND(PRODUCT(G90:J90),2)</f>
        <v>53.94</v>
      </c>
    </row>
    <row r="91" spans="1:11">
      <c r="A91" s="167"/>
      <c r="B91" s="167"/>
      <c r="C91" s="167"/>
      <c r="D91" s="167"/>
      <c r="E91" s="173"/>
      <c r="F91" s="171"/>
      <c r="G91" s="178"/>
      <c r="H91" s="178"/>
      <c r="I91" s="178"/>
      <c r="J91" s="187" t="s">
        <v>1313</v>
      </c>
      <c r="K91" s="185">
        <f>K90*3.28</f>
        <v>176.92319999999998</v>
      </c>
    </row>
    <row r="92" spans="1:11">
      <c r="A92" s="167"/>
      <c r="B92" s="167"/>
      <c r="C92" s="167"/>
      <c r="D92" s="167"/>
      <c r="E92" s="173"/>
      <c r="F92" s="171"/>
      <c r="G92" s="178"/>
      <c r="H92" s="178"/>
      <c r="I92" s="178"/>
      <c r="J92" s="182"/>
      <c r="K92" s="184"/>
    </row>
    <row r="93" spans="1:11" ht="72">
      <c r="A93" s="167"/>
      <c r="B93" s="167"/>
      <c r="C93" s="167" t="s">
        <v>170</v>
      </c>
      <c r="D93" s="167" t="s">
        <v>171</v>
      </c>
      <c r="E93" s="173" t="s">
        <v>172</v>
      </c>
      <c r="F93" s="174" t="s">
        <v>384</v>
      </c>
      <c r="G93" s="178">
        <v>1</v>
      </c>
      <c r="H93" s="178">
        <f>1.05+1.2+1.2+1.2+1.2</f>
        <v>5.8500000000000005</v>
      </c>
      <c r="I93" s="178"/>
      <c r="J93" s="182"/>
      <c r="K93" s="179">
        <f t="shared" ref="K93" si="10">ROUND(PRODUCT(G93:J93),2)</f>
        <v>5.85</v>
      </c>
    </row>
    <row r="94" spans="1:11">
      <c r="A94" s="167"/>
      <c r="B94" s="167"/>
      <c r="C94" s="167"/>
      <c r="D94" s="167"/>
      <c r="E94" s="173"/>
      <c r="F94" s="171"/>
      <c r="G94" s="178"/>
      <c r="H94" s="178"/>
      <c r="I94" s="178"/>
      <c r="J94" s="187" t="s">
        <v>1313</v>
      </c>
      <c r="K94" s="185">
        <f>K93*3.28</f>
        <v>19.187999999999999</v>
      </c>
    </row>
    <row r="95" spans="1:11">
      <c r="A95" s="167"/>
      <c r="B95" s="167"/>
      <c r="C95" s="167"/>
      <c r="D95" s="167"/>
      <c r="E95" s="173"/>
      <c r="F95" s="171"/>
      <c r="G95" s="178"/>
      <c r="H95" s="178"/>
      <c r="I95" s="178"/>
      <c r="J95" s="182"/>
      <c r="K95" s="184"/>
    </row>
    <row r="96" spans="1:11">
      <c r="A96" s="178"/>
      <c r="B96" s="178"/>
      <c r="C96" s="178"/>
      <c r="D96" s="178"/>
      <c r="E96" s="176"/>
      <c r="F96" s="176"/>
      <c r="G96" s="178"/>
      <c r="H96" s="178"/>
      <c r="I96" s="178"/>
      <c r="J96" s="184"/>
      <c r="K96" s="184"/>
    </row>
    <row r="97" spans="1:11">
      <c r="A97" s="167"/>
      <c r="B97" s="167" t="s">
        <v>201</v>
      </c>
      <c r="C97" s="167"/>
      <c r="D97" s="167"/>
      <c r="E97" s="173" t="s">
        <v>202</v>
      </c>
      <c r="F97" s="176"/>
      <c r="G97" s="178"/>
      <c r="H97" s="178"/>
      <c r="I97" s="178"/>
      <c r="J97" s="182"/>
      <c r="K97" s="184"/>
    </row>
    <row r="98" spans="1:11" ht="108">
      <c r="A98" s="167"/>
      <c r="B98" s="167"/>
      <c r="C98" s="128" t="s">
        <v>37</v>
      </c>
      <c r="D98" s="128" t="s">
        <v>209</v>
      </c>
      <c r="E98" s="131" t="s">
        <v>210</v>
      </c>
      <c r="F98" s="171" t="s">
        <v>1309</v>
      </c>
      <c r="G98" s="178">
        <v>1</v>
      </c>
      <c r="H98" s="178">
        <v>0.55000000000000004</v>
      </c>
      <c r="I98" s="178"/>
      <c r="J98" s="182">
        <v>2.5499999999999998</v>
      </c>
      <c r="K98" s="179">
        <f t="shared" ref="K98" si="11">ROUND(PRODUCT(G98:J98),2)</f>
        <v>1.4</v>
      </c>
    </row>
    <row r="99" spans="1:11">
      <c r="A99" s="178"/>
      <c r="B99" s="178"/>
      <c r="C99" s="178"/>
      <c r="D99" s="178"/>
      <c r="E99" s="176"/>
      <c r="F99" s="176"/>
      <c r="G99" s="178"/>
      <c r="H99" s="178"/>
      <c r="I99" s="178"/>
      <c r="J99" s="187" t="s">
        <v>1312</v>
      </c>
      <c r="K99" s="185">
        <f>K98*10.764</f>
        <v>15.069599999999998</v>
      </c>
    </row>
    <row r="100" spans="1:11">
      <c r="A100" s="178"/>
      <c r="B100" s="178"/>
      <c r="C100" s="178"/>
      <c r="D100" s="178"/>
      <c r="E100" s="176"/>
      <c r="F100" s="176"/>
      <c r="G100" s="178"/>
      <c r="H100" s="178"/>
      <c r="I100" s="178"/>
      <c r="J100" s="182"/>
      <c r="K100" s="184"/>
    </row>
    <row r="101" spans="1:11" ht="60">
      <c r="A101" s="167"/>
      <c r="B101" s="167"/>
      <c r="C101" s="167" t="s">
        <v>49</v>
      </c>
      <c r="D101" s="167" t="s">
        <v>212</v>
      </c>
      <c r="E101" s="173" t="s">
        <v>213</v>
      </c>
      <c r="F101" s="171" t="s">
        <v>1309</v>
      </c>
      <c r="G101" s="178">
        <v>1</v>
      </c>
      <c r="H101" s="178">
        <v>3.32</v>
      </c>
      <c r="I101" s="178"/>
      <c r="J101" s="182">
        <v>0.92</v>
      </c>
      <c r="K101" s="179">
        <f t="shared" ref="K101:K102" si="12">ROUND(PRODUCT(G101:J101),2)</f>
        <v>3.05</v>
      </c>
    </row>
    <row r="102" spans="1:11">
      <c r="A102" s="167"/>
      <c r="B102" s="167"/>
      <c r="C102" s="167"/>
      <c r="D102" s="167"/>
      <c r="E102" s="173"/>
      <c r="F102" s="171" t="s">
        <v>1309</v>
      </c>
      <c r="G102" s="178">
        <v>1</v>
      </c>
      <c r="H102" s="178">
        <v>4.9400000000000004</v>
      </c>
      <c r="I102" s="178"/>
      <c r="J102" s="182">
        <v>1.1499999999999999</v>
      </c>
      <c r="K102" s="179">
        <f t="shared" si="12"/>
        <v>5.68</v>
      </c>
    </row>
    <row r="103" spans="1:11">
      <c r="A103" s="167"/>
      <c r="B103" s="167"/>
      <c r="C103" s="167"/>
      <c r="D103" s="167"/>
      <c r="E103" s="173"/>
      <c r="F103" s="171"/>
      <c r="G103" s="178"/>
      <c r="H103" s="178"/>
      <c r="I103" s="178"/>
      <c r="J103" s="182" t="s">
        <v>1311</v>
      </c>
      <c r="K103" s="184">
        <f>SUM(K101:K102)</f>
        <v>8.73</v>
      </c>
    </row>
    <row r="104" spans="1:11">
      <c r="A104" s="167"/>
      <c r="B104" s="167"/>
      <c r="C104" s="167"/>
      <c r="D104" s="167"/>
      <c r="E104" s="173"/>
      <c r="F104" s="171"/>
      <c r="G104" s="178"/>
      <c r="H104" s="178"/>
      <c r="I104" s="178"/>
      <c r="J104" s="187" t="s">
        <v>1312</v>
      </c>
      <c r="K104" s="185">
        <f>K103*10.764</f>
        <v>93.969719999999995</v>
      </c>
    </row>
    <row r="105" spans="1:11" ht="24">
      <c r="A105" s="167"/>
      <c r="B105" s="167"/>
      <c r="C105" s="167" t="s">
        <v>89</v>
      </c>
      <c r="D105" s="167" t="s">
        <v>216</v>
      </c>
      <c r="E105" s="173" t="s">
        <v>217</v>
      </c>
      <c r="F105" s="171" t="s">
        <v>1309</v>
      </c>
      <c r="G105" s="178">
        <v>1</v>
      </c>
      <c r="H105" s="178">
        <v>4.9400000000000004</v>
      </c>
      <c r="I105" s="178"/>
      <c r="J105" s="182">
        <v>0.42</v>
      </c>
      <c r="K105" s="179">
        <f t="shared" ref="K105" si="13">ROUND(PRODUCT(G105:J105),2)</f>
        <v>2.0699999999999998</v>
      </c>
    </row>
    <row r="106" spans="1:11">
      <c r="A106" s="167"/>
      <c r="B106" s="167"/>
      <c r="C106" s="167"/>
      <c r="D106" s="167"/>
      <c r="E106" s="173"/>
      <c r="F106" s="171"/>
      <c r="G106" s="178"/>
      <c r="H106" s="178"/>
      <c r="I106" s="178"/>
      <c r="J106" s="187" t="s">
        <v>1312</v>
      </c>
      <c r="K106" s="185">
        <f>K105*10.764</f>
        <v>22.281479999999998</v>
      </c>
    </row>
    <row r="107" spans="1:11" ht="24">
      <c r="A107" s="167"/>
      <c r="B107" s="167"/>
      <c r="C107" s="167" t="s">
        <v>219</v>
      </c>
      <c r="D107" s="167" t="s">
        <v>216</v>
      </c>
      <c r="E107" s="173" t="s">
        <v>220</v>
      </c>
      <c r="F107" s="171" t="s">
        <v>1309</v>
      </c>
      <c r="G107" s="178">
        <v>1</v>
      </c>
      <c r="H107" s="178">
        <v>1.5</v>
      </c>
      <c r="I107" s="178"/>
      <c r="J107" s="182">
        <v>1.2</v>
      </c>
      <c r="K107" s="179">
        <f t="shared" ref="K107:K108" si="14">ROUND(PRODUCT(G107:J107),2)</f>
        <v>1.8</v>
      </c>
    </row>
    <row r="108" spans="1:11">
      <c r="A108" s="167"/>
      <c r="B108" s="167"/>
      <c r="C108" s="167"/>
      <c r="D108" s="167"/>
      <c r="E108" s="173"/>
      <c r="F108" s="171" t="s">
        <v>1309</v>
      </c>
      <c r="G108" s="178">
        <v>1</v>
      </c>
      <c r="H108" s="178">
        <v>0.9</v>
      </c>
      <c r="I108" s="178"/>
      <c r="J108" s="182">
        <v>1.2</v>
      </c>
      <c r="K108" s="179">
        <f t="shared" si="14"/>
        <v>1.08</v>
      </c>
    </row>
    <row r="109" spans="1:11">
      <c r="A109" s="167"/>
      <c r="B109" s="167"/>
      <c r="C109" s="167"/>
      <c r="D109" s="167"/>
      <c r="E109" s="173"/>
      <c r="F109" s="171"/>
      <c r="G109" s="178"/>
      <c r="H109" s="178"/>
      <c r="I109" s="178"/>
      <c r="J109" s="182" t="s">
        <v>1311</v>
      </c>
      <c r="K109" s="184">
        <f>SUM(K107:K108)</f>
        <v>2.88</v>
      </c>
    </row>
    <row r="110" spans="1:11">
      <c r="A110" s="167"/>
      <c r="B110" s="167"/>
      <c r="C110" s="167"/>
      <c r="D110" s="167"/>
      <c r="E110" s="173"/>
      <c r="F110" s="171"/>
      <c r="G110" s="178"/>
      <c r="H110" s="178"/>
      <c r="I110" s="178"/>
      <c r="J110" s="187" t="s">
        <v>1312</v>
      </c>
      <c r="K110" s="185">
        <f>K109*10.764</f>
        <v>31.000319999999999</v>
      </c>
    </row>
    <row r="111" spans="1:11">
      <c r="A111" s="167"/>
      <c r="B111" s="167"/>
      <c r="C111" s="167"/>
      <c r="D111" s="167"/>
      <c r="E111" s="173"/>
      <c r="F111" s="171"/>
      <c r="G111" s="178"/>
      <c r="H111" s="178"/>
      <c r="I111" s="178"/>
      <c r="J111" s="182"/>
      <c r="K111" s="184"/>
    </row>
    <row r="112" spans="1:11" ht="36">
      <c r="A112" s="167"/>
      <c r="B112" s="167"/>
      <c r="C112" s="167" t="s">
        <v>221</v>
      </c>
      <c r="D112" s="167" t="s">
        <v>216</v>
      </c>
      <c r="E112" s="173" t="s">
        <v>222</v>
      </c>
      <c r="F112" s="171" t="s">
        <v>1309</v>
      </c>
      <c r="G112" s="178">
        <v>1</v>
      </c>
      <c r="H112" s="178">
        <v>0.6</v>
      </c>
      <c r="I112" s="178"/>
      <c r="J112" s="182">
        <v>0.6</v>
      </c>
      <c r="K112" s="179">
        <f t="shared" ref="K112:K113" si="15">ROUND(PRODUCT(G112:J112),2)</f>
        <v>0.36</v>
      </c>
    </row>
    <row r="113" spans="1:11">
      <c r="A113" s="167"/>
      <c r="B113" s="167"/>
      <c r="C113" s="167"/>
      <c r="D113" s="167"/>
      <c r="E113" s="173"/>
      <c r="F113" s="171" t="s">
        <v>1309</v>
      </c>
      <c r="G113" s="178">
        <v>1</v>
      </c>
      <c r="H113" s="178">
        <v>0.6</v>
      </c>
      <c r="I113" s="178"/>
      <c r="J113" s="182">
        <v>0.45</v>
      </c>
      <c r="K113" s="179">
        <f t="shared" si="15"/>
        <v>0.27</v>
      </c>
    </row>
    <row r="114" spans="1:11">
      <c r="A114" s="167"/>
      <c r="B114" s="167"/>
      <c r="C114" s="167"/>
      <c r="D114" s="167"/>
      <c r="E114" s="173"/>
      <c r="F114" s="171"/>
      <c r="G114" s="178"/>
      <c r="H114" s="178"/>
      <c r="I114" s="178"/>
      <c r="J114" s="182" t="s">
        <v>1311</v>
      </c>
      <c r="K114" s="184">
        <f>SUM(K112:K113)</f>
        <v>0.63</v>
      </c>
    </row>
    <row r="115" spans="1:11">
      <c r="A115" s="167"/>
      <c r="B115" s="167"/>
      <c r="C115" s="167"/>
      <c r="D115" s="167"/>
      <c r="E115" s="173"/>
      <c r="F115" s="171"/>
      <c r="G115" s="178"/>
      <c r="H115" s="178"/>
      <c r="I115" s="178"/>
      <c r="J115" s="187" t="s">
        <v>1312</v>
      </c>
      <c r="K115" s="185">
        <f>K114*10.764</f>
        <v>6.78132</v>
      </c>
    </row>
    <row r="116" spans="1:11" ht="84">
      <c r="A116" s="167"/>
      <c r="B116" s="167"/>
      <c r="C116" s="167" t="s">
        <v>139</v>
      </c>
      <c r="D116" s="167" t="s">
        <v>237</v>
      </c>
      <c r="E116" s="173" t="s">
        <v>238</v>
      </c>
      <c r="F116" s="171" t="s">
        <v>1309</v>
      </c>
      <c r="G116" s="178">
        <v>1</v>
      </c>
      <c r="H116" s="178">
        <v>4.9400000000000004</v>
      </c>
      <c r="I116" s="178"/>
      <c r="J116" s="182">
        <v>0.42</v>
      </c>
      <c r="K116" s="179">
        <f t="shared" ref="K116" si="16">ROUND(PRODUCT(G116:J116),2)</f>
        <v>2.0699999999999998</v>
      </c>
    </row>
    <row r="117" spans="1:11">
      <c r="A117" s="167"/>
      <c r="B117" s="167"/>
      <c r="C117" s="167"/>
      <c r="D117" s="167"/>
      <c r="E117" s="173"/>
      <c r="F117" s="171"/>
      <c r="G117" s="178"/>
      <c r="H117" s="178"/>
      <c r="I117" s="178"/>
      <c r="J117" s="187" t="s">
        <v>1312</v>
      </c>
      <c r="K117" s="185">
        <f>K116*10.764</f>
        <v>22.281479999999998</v>
      </c>
    </row>
    <row r="118" spans="1:11">
      <c r="A118" s="178"/>
      <c r="B118" s="178"/>
      <c r="C118" s="178"/>
      <c r="D118" s="178"/>
      <c r="E118" s="176"/>
      <c r="F118" s="176"/>
      <c r="G118" s="178"/>
      <c r="H118" s="178"/>
      <c r="I118" s="178"/>
      <c r="J118" s="182"/>
      <c r="K118" s="184"/>
    </row>
    <row r="119" spans="1:11" ht="36">
      <c r="A119" s="167"/>
      <c r="B119" s="167"/>
      <c r="C119" s="167" t="s">
        <v>151</v>
      </c>
      <c r="D119" s="167" t="s">
        <v>244</v>
      </c>
      <c r="E119" s="175" t="s">
        <v>245</v>
      </c>
      <c r="F119" s="171" t="s">
        <v>1314</v>
      </c>
      <c r="G119" s="178">
        <v>13</v>
      </c>
      <c r="H119" s="178">
        <v>2.5</v>
      </c>
      <c r="I119" s="178"/>
      <c r="J119" s="182"/>
      <c r="K119" s="179">
        <f t="shared" ref="K119:K120" si="17">ROUND(PRODUCT(G119:J119),2)</f>
        <v>32.5</v>
      </c>
    </row>
    <row r="120" spans="1:11">
      <c r="A120" s="167"/>
      <c r="B120" s="167"/>
      <c r="C120" s="167"/>
      <c r="D120" s="167"/>
      <c r="E120" s="173"/>
      <c r="F120" s="171" t="s">
        <v>1314</v>
      </c>
      <c r="G120" s="178">
        <v>1</v>
      </c>
      <c r="H120" s="178">
        <v>3.12</v>
      </c>
      <c r="I120" s="178"/>
      <c r="J120" s="182"/>
      <c r="K120" s="179">
        <f t="shared" si="17"/>
        <v>3.12</v>
      </c>
    </row>
    <row r="121" spans="1:11">
      <c r="A121" s="167"/>
      <c r="B121" s="167"/>
      <c r="C121" s="167"/>
      <c r="D121" s="167"/>
      <c r="E121" s="173" t="s">
        <v>1315</v>
      </c>
      <c r="F121" s="171"/>
      <c r="G121" s="178">
        <v>1</v>
      </c>
      <c r="H121" s="178">
        <v>1.18</v>
      </c>
      <c r="I121" s="178"/>
      <c r="J121" s="182"/>
      <c r="K121" s="179">
        <f>H121</f>
        <v>1.18</v>
      </c>
    </row>
    <row r="122" spans="1:11">
      <c r="A122" s="167"/>
      <c r="B122" s="167"/>
      <c r="C122" s="167"/>
      <c r="D122" s="167"/>
      <c r="E122" s="173"/>
      <c r="F122" s="171"/>
      <c r="G122" s="178"/>
      <c r="H122" s="178"/>
      <c r="I122" s="178"/>
      <c r="J122" s="182" t="s">
        <v>1316</v>
      </c>
      <c r="K122" s="180">
        <f>SUM(K119:K121)</f>
        <v>36.799999999999997</v>
      </c>
    </row>
    <row r="123" spans="1:11">
      <c r="A123" s="167"/>
      <c r="B123" s="167" t="s">
        <v>1358</v>
      </c>
      <c r="C123" s="167"/>
      <c r="D123" s="167"/>
      <c r="E123" s="173"/>
      <c r="F123" s="171"/>
      <c r="G123" s="178"/>
      <c r="H123" s="178"/>
      <c r="I123" s="178"/>
      <c r="J123" s="187" t="s">
        <v>1313</v>
      </c>
      <c r="K123" s="185">
        <f>K122*3.28</f>
        <v>120.70399999999998</v>
      </c>
    </row>
    <row r="124" spans="1:11" ht="144">
      <c r="A124" s="167"/>
      <c r="B124" s="167"/>
      <c r="C124" s="167" t="s">
        <v>151</v>
      </c>
      <c r="D124" s="167" t="s">
        <v>1340</v>
      </c>
      <c r="E124" s="173" t="s">
        <v>153</v>
      </c>
      <c r="F124" s="171" t="s">
        <v>1309</v>
      </c>
      <c r="G124" s="178"/>
      <c r="H124" s="178"/>
      <c r="I124" s="178"/>
      <c r="J124" s="182"/>
      <c r="K124" s="184"/>
    </row>
    <row r="125" spans="1:11">
      <c r="A125" s="167"/>
      <c r="B125" s="167"/>
      <c r="C125" s="167"/>
      <c r="D125" s="167"/>
      <c r="E125" s="173" t="s">
        <v>1317</v>
      </c>
      <c r="F125" s="171" t="s">
        <v>1309</v>
      </c>
      <c r="G125" s="178">
        <v>1</v>
      </c>
      <c r="H125" s="178">
        <v>4.9400000000000004</v>
      </c>
      <c r="I125" s="178"/>
      <c r="J125" s="182">
        <v>0.8</v>
      </c>
      <c r="K125" s="179">
        <f t="shared" ref="K125:K139" si="18">ROUND(PRODUCT(G125:J125),2)</f>
        <v>3.95</v>
      </c>
    </row>
    <row r="126" spans="1:11">
      <c r="A126" s="167"/>
      <c r="B126" s="167"/>
      <c r="C126" s="167"/>
      <c r="D126" s="167"/>
      <c r="E126" s="173"/>
      <c r="F126" s="171" t="s">
        <v>1309</v>
      </c>
      <c r="G126" s="178">
        <v>1</v>
      </c>
      <c r="H126" s="178">
        <v>5.4</v>
      </c>
      <c r="I126" s="178"/>
      <c r="J126" s="182">
        <v>2.44</v>
      </c>
      <c r="K126" s="179">
        <f t="shared" si="18"/>
        <v>13.18</v>
      </c>
    </row>
    <row r="127" spans="1:11">
      <c r="A127" s="167"/>
      <c r="B127" s="167"/>
      <c r="C127" s="167"/>
      <c r="D127" s="167"/>
      <c r="E127" s="173"/>
      <c r="F127" s="171" t="s">
        <v>1309</v>
      </c>
      <c r="G127" s="178">
        <v>1</v>
      </c>
      <c r="H127" s="178">
        <v>6.37</v>
      </c>
      <c r="I127" s="178"/>
      <c r="J127" s="182">
        <v>2.54</v>
      </c>
      <c r="K127" s="179">
        <f t="shared" si="18"/>
        <v>16.18</v>
      </c>
    </row>
    <row r="128" spans="1:11">
      <c r="A128" s="167"/>
      <c r="B128" s="167"/>
      <c r="C128" s="167"/>
      <c r="D128" s="167"/>
      <c r="E128" s="173"/>
      <c r="F128" s="171" t="s">
        <v>1309</v>
      </c>
      <c r="G128" s="178">
        <v>1</v>
      </c>
      <c r="H128" s="178">
        <v>3.23</v>
      </c>
      <c r="I128" s="178"/>
      <c r="J128" s="182">
        <v>2.54</v>
      </c>
      <c r="K128" s="179">
        <f t="shared" si="18"/>
        <v>8.1999999999999993</v>
      </c>
    </row>
    <row r="129" spans="1:11">
      <c r="A129" s="167"/>
      <c r="B129" s="167"/>
      <c r="C129" s="167"/>
      <c r="D129" s="167"/>
      <c r="E129" s="173"/>
      <c r="F129" s="171" t="s">
        <v>1309</v>
      </c>
      <c r="G129" s="178">
        <v>1</v>
      </c>
      <c r="H129" s="178">
        <v>2.1</v>
      </c>
      <c r="I129" s="178"/>
      <c r="J129" s="182">
        <v>2.54</v>
      </c>
      <c r="K129" s="179">
        <f t="shared" si="18"/>
        <v>5.33</v>
      </c>
    </row>
    <row r="130" spans="1:11">
      <c r="A130" s="167"/>
      <c r="B130" s="167"/>
      <c r="C130" s="167"/>
      <c r="D130" s="167"/>
      <c r="E130" s="173" t="s">
        <v>1318</v>
      </c>
      <c r="F130" s="171" t="s">
        <v>1309</v>
      </c>
      <c r="G130" s="178">
        <v>-1</v>
      </c>
      <c r="H130" s="178">
        <v>1.05</v>
      </c>
      <c r="I130" s="178"/>
      <c r="J130" s="182">
        <v>2.0499999999999998</v>
      </c>
      <c r="K130" s="179">
        <f t="shared" si="18"/>
        <v>-2.15</v>
      </c>
    </row>
    <row r="131" spans="1:11">
      <c r="A131" s="167"/>
      <c r="B131" s="167"/>
      <c r="C131" s="167"/>
      <c r="D131" s="167"/>
      <c r="E131" s="173" t="s">
        <v>1319</v>
      </c>
      <c r="F131" s="171" t="s">
        <v>1309</v>
      </c>
      <c r="G131" s="178">
        <v>2</v>
      </c>
      <c r="H131" s="178">
        <v>8.7200000000000006</v>
      </c>
      <c r="I131" s="178"/>
      <c r="J131" s="182">
        <v>2.52</v>
      </c>
      <c r="K131" s="179">
        <f t="shared" si="18"/>
        <v>43.95</v>
      </c>
    </row>
    <row r="132" spans="1:11">
      <c r="A132" s="178"/>
      <c r="B132" s="178"/>
      <c r="C132" s="178"/>
      <c r="D132" s="178"/>
      <c r="E132" s="176"/>
      <c r="F132" s="171" t="s">
        <v>1309</v>
      </c>
      <c r="G132" s="178">
        <v>2</v>
      </c>
      <c r="H132" s="178">
        <v>1.51</v>
      </c>
      <c r="I132" s="178"/>
      <c r="J132" s="182">
        <v>2.52</v>
      </c>
      <c r="K132" s="179">
        <f t="shared" si="18"/>
        <v>7.61</v>
      </c>
    </row>
    <row r="133" spans="1:11">
      <c r="A133" s="178"/>
      <c r="B133" s="178"/>
      <c r="C133" s="178"/>
      <c r="D133" s="178"/>
      <c r="E133" s="176"/>
      <c r="F133" s="171" t="s">
        <v>1309</v>
      </c>
      <c r="G133" s="178">
        <v>2</v>
      </c>
      <c r="H133" s="178">
        <v>0.17</v>
      </c>
      <c r="I133" s="178"/>
      <c r="J133" s="182">
        <v>2.52</v>
      </c>
      <c r="K133" s="179">
        <f t="shared" si="18"/>
        <v>0.86</v>
      </c>
    </row>
    <row r="134" spans="1:11">
      <c r="A134" s="178"/>
      <c r="B134" s="178"/>
      <c r="C134" s="178"/>
      <c r="D134" s="178"/>
      <c r="E134" s="176"/>
      <c r="F134" s="171" t="s">
        <v>1309</v>
      </c>
      <c r="G134" s="178">
        <v>2</v>
      </c>
      <c r="H134" s="178">
        <v>0.12</v>
      </c>
      <c r="I134" s="178"/>
      <c r="J134" s="182">
        <v>2.1</v>
      </c>
      <c r="K134" s="179">
        <f t="shared" si="18"/>
        <v>0.5</v>
      </c>
    </row>
    <row r="135" spans="1:11">
      <c r="A135" s="178"/>
      <c r="B135" s="178"/>
      <c r="C135" s="178"/>
      <c r="D135" s="178"/>
      <c r="E135" s="176"/>
      <c r="F135" s="171" t="s">
        <v>1309</v>
      </c>
      <c r="G135" s="178">
        <v>1</v>
      </c>
      <c r="H135" s="178">
        <v>0.12</v>
      </c>
      <c r="I135" s="178"/>
      <c r="J135" s="182">
        <v>1.2</v>
      </c>
      <c r="K135" s="179">
        <f t="shared" si="18"/>
        <v>0.14000000000000001</v>
      </c>
    </row>
    <row r="136" spans="1:11">
      <c r="A136" s="178"/>
      <c r="B136" s="178"/>
      <c r="C136" s="178"/>
      <c r="D136" s="178"/>
      <c r="E136" s="176"/>
      <c r="F136" s="171" t="s">
        <v>1309</v>
      </c>
      <c r="G136" s="178">
        <v>1</v>
      </c>
      <c r="H136" s="178">
        <v>1.3</v>
      </c>
      <c r="I136" s="178"/>
      <c r="J136" s="182">
        <v>2.52</v>
      </c>
      <c r="K136" s="179">
        <f t="shared" si="18"/>
        <v>3.28</v>
      </c>
    </row>
    <row r="137" spans="1:11">
      <c r="A137" s="178"/>
      <c r="B137" s="178"/>
      <c r="C137" s="178"/>
      <c r="D137" s="178"/>
      <c r="E137" s="176"/>
      <c r="F137" s="171" t="s">
        <v>1309</v>
      </c>
      <c r="G137" s="178">
        <v>1</v>
      </c>
      <c r="H137" s="178">
        <v>7.0000000000000007E-2</v>
      </c>
      <c r="I137" s="178"/>
      <c r="J137" s="182">
        <v>3.1</v>
      </c>
      <c r="K137" s="179">
        <f t="shared" si="18"/>
        <v>0.22</v>
      </c>
    </row>
    <row r="138" spans="1:11">
      <c r="A138" s="178"/>
      <c r="B138" s="178"/>
      <c r="C138" s="178"/>
      <c r="D138" s="178"/>
      <c r="E138" s="176" t="s">
        <v>1318</v>
      </c>
      <c r="F138" s="171" t="s">
        <v>1309</v>
      </c>
      <c r="G138" s="178">
        <v>-1</v>
      </c>
      <c r="H138" s="178">
        <v>1.05</v>
      </c>
      <c r="I138" s="178"/>
      <c r="J138" s="182">
        <v>2.0499999999999998</v>
      </c>
      <c r="K138" s="179">
        <f t="shared" si="18"/>
        <v>-2.15</v>
      </c>
    </row>
    <row r="139" spans="1:11">
      <c r="A139" s="178"/>
      <c r="B139" s="178"/>
      <c r="C139" s="178"/>
      <c r="D139" s="178"/>
      <c r="E139" s="176"/>
      <c r="F139" s="171" t="s">
        <v>1309</v>
      </c>
      <c r="G139" s="178">
        <v>-1</v>
      </c>
      <c r="H139" s="178">
        <v>1.1499999999999999</v>
      </c>
      <c r="I139" s="178"/>
      <c r="J139" s="182">
        <v>2.0499999999999998</v>
      </c>
      <c r="K139" s="179">
        <f t="shared" si="18"/>
        <v>-2.36</v>
      </c>
    </row>
    <row r="140" spans="1:11">
      <c r="A140" s="178"/>
      <c r="B140" s="178"/>
      <c r="C140" s="178"/>
      <c r="D140" s="178"/>
      <c r="E140" s="176"/>
      <c r="F140" s="171"/>
      <c r="G140" s="178"/>
      <c r="H140" s="178">
        <v>1</v>
      </c>
      <c r="I140" s="178"/>
      <c r="J140" s="182">
        <v>2.37</v>
      </c>
      <c r="K140" s="179">
        <f>J140*H140</f>
        <v>2.37</v>
      </c>
    </row>
    <row r="141" spans="1:11">
      <c r="A141" s="178"/>
      <c r="B141" s="178"/>
      <c r="C141" s="178"/>
      <c r="D141" s="178"/>
      <c r="E141" s="176"/>
      <c r="F141" s="171"/>
      <c r="G141" s="178"/>
      <c r="H141" s="178">
        <v>2</v>
      </c>
      <c r="I141" s="178"/>
      <c r="J141" s="182">
        <v>0.15</v>
      </c>
      <c r="K141" s="179">
        <f>J141*H141</f>
        <v>0.3</v>
      </c>
    </row>
    <row r="142" spans="1:11">
      <c r="A142" s="178"/>
      <c r="B142" s="178"/>
      <c r="C142" s="178"/>
      <c r="D142" s="178"/>
      <c r="E142" s="176"/>
      <c r="F142" s="176"/>
      <c r="G142" s="178"/>
      <c r="H142" s="178"/>
      <c r="I142" s="178"/>
      <c r="J142" s="182" t="s">
        <v>1311</v>
      </c>
      <c r="K142" s="184">
        <f>SUM(K125:K141)</f>
        <v>99.410000000000011</v>
      </c>
    </row>
    <row r="143" spans="1:11">
      <c r="A143" s="178"/>
      <c r="B143" s="178"/>
      <c r="C143" s="178"/>
      <c r="D143" s="178"/>
      <c r="E143" s="176"/>
      <c r="F143" s="176"/>
      <c r="G143" s="178"/>
      <c r="H143" s="178"/>
      <c r="I143" s="178"/>
      <c r="J143" s="187" t="s">
        <v>1312</v>
      </c>
      <c r="K143" s="185">
        <f>K142*10.764</f>
        <v>1070.0492400000001</v>
      </c>
    </row>
    <row r="144" spans="1:11" ht="96">
      <c r="A144" s="178"/>
      <c r="B144" s="178" t="s">
        <v>1359</v>
      </c>
      <c r="C144" s="128" t="s">
        <v>260</v>
      </c>
      <c r="D144" s="128" t="s">
        <v>261</v>
      </c>
      <c r="E144" s="131" t="s">
        <v>262</v>
      </c>
      <c r="F144" s="176"/>
      <c r="G144" s="178"/>
      <c r="H144" s="178"/>
      <c r="I144" s="178"/>
      <c r="J144" s="178"/>
      <c r="K144" s="176"/>
    </row>
    <row r="145" spans="1:11">
      <c r="A145" s="178"/>
      <c r="B145" s="178"/>
      <c r="C145" s="178"/>
      <c r="D145" s="181"/>
      <c r="E145" s="194" t="s">
        <v>1343</v>
      </c>
      <c r="F145" s="176"/>
      <c r="G145" s="176"/>
      <c r="H145" s="176">
        <f>4.92*3.28</f>
        <v>16.137599999999999</v>
      </c>
      <c r="I145" s="176">
        <f>0.64*3.28</f>
        <v>2.0991999999999997</v>
      </c>
      <c r="J145" s="176"/>
      <c r="K145" s="176">
        <f t="shared" ref="K145:K148" si="19">I145*H145</f>
        <v>33.876049919999993</v>
      </c>
    </row>
    <row r="146" spans="1:11">
      <c r="A146" s="178"/>
      <c r="B146" s="178"/>
      <c r="C146" s="178"/>
      <c r="D146" s="181"/>
      <c r="E146" s="194" t="s">
        <v>1344</v>
      </c>
      <c r="F146" s="176"/>
      <c r="G146" s="176"/>
      <c r="H146" s="176">
        <f>1.86*3.28</f>
        <v>6.1007999999999996</v>
      </c>
      <c r="I146" s="176">
        <f>0.93*3.28</f>
        <v>3.0503999999999998</v>
      </c>
      <c r="J146" s="176"/>
      <c r="K146" s="176">
        <f t="shared" si="19"/>
        <v>18.609880319999998</v>
      </c>
    </row>
    <row r="147" spans="1:11">
      <c r="A147" s="178"/>
      <c r="B147" s="178"/>
      <c r="C147" s="178"/>
      <c r="D147" s="181"/>
      <c r="E147" s="194" t="s">
        <v>1345</v>
      </c>
      <c r="F147" s="176"/>
      <c r="G147" s="176"/>
      <c r="H147" s="176">
        <f>2.73*3.28</f>
        <v>8.9543999999999997</v>
      </c>
      <c r="I147" s="176">
        <f>0.93*3.28</f>
        <v>3.0503999999999998</v>
      </c>
      <c r="J147" s="176"/>
      <c r="K147" s="176">
        <f t="shared" si="19"/>
        <v>27.314501759999999</v>
      </c>
    </row>
    <row r="148" spans="1:11">
      <c r="A148" s="178"/>
      <c r="B148" s="178"/>
      <c r="C148" s="178"/>
      <c r="D148" s="181"/>
      <c r="E148" s="195"/>
      <c r="F148" s="176"/>
      <c r="G148" s="176"/>
      <c r="H148" s="176">
        <f>0.71*3.28</f>
        <v>2.3287999999999998</v>
      </c>
      <c r="I148" s="176">
        <f>0.93*3.28</f>
        <v>3.0503999999999998</v>
      </c>
      <c r="J148" s="176"/>
      <c r="K148" s="176">
        <f t="shared" si="19"/>
        <v>7.1037715199999987</v>
      </c>
    </row>
    <row r="149" spans="1:11">
      <c r="A149" s="178"/>
      <c r="B149" s="178"/>
      <c r="C149" s="178"/>
      <c r="D149" s="181"/>
      <c r="E149" s="176"/>
      <c r="F149" s="176"/>
      <c r="G149" s="178"/>
      <c r="H149" s="176"/>
      <c r="I149" s="176"/>
      <c r="J149" s="185" t="s">
        <v>1346</v>
      </c>
      <c r="K149" s="185">
        <f>SUM(K144:K148)</f>
        <v>86.904203519999982</v>
      </c>
    </row>
    <row r="150" spans="1:11">
      <c r="A150" s="167"/>
      <c r="B150" s="167" t="s">
        <v>275</v>
      </c>
      <c r="C150" s="167"/>
      <c r="D150" s="167"/>
      <c r="E150" s="173" t="s">
        <v>276</v>
      </c>
      <c r="F150" s="176"/>
      <c r="G150" s="178"/>
      <c r="H150" s="178"/>
      <c r="I150" s="178"/>
      <c r="J150" s="184"/>
      <c r="K150" s="184"/>
    </row>
    <row r="151" spans="1:11" ht="36">
      <c r="A151" s="167"/>
      <c r="B151" s="167"/>
      <c r="C151" s="167" t="s">
        <v>49</v>
      </c>
      <c r="D151" s="167" t="s">
        <v>281</v>
      </c>
      <c r="E151" s="167"/>
      <c r="F151" s="171" t="s">
        <v>1309</v>
      </c>
      <c r="G151" s="178">
        <v>1</v>
      </c>
      <c r="H151" s="178">
        <v>1.1000000000000001</v>
      </c>
      <c r="I151" s="178"/>
      <c r="J151" s="182">
        <v>2.12</v>
      </c>
      <c r="K151" s="179">
        <f t="shared" ref="K151" si="20">ROUND(PRODUCT(G151:J151),2)</f>
        <v>2.33</v>
      </c>
    </row>
    <row r="152" spans="1:11">
      <c r="A152" s="167"/>
      <c r="B152" s="167"/>
      <c r="C152" s="167"/>
      <c r="D152" s="167"/>
      <c r="E152" s="173"/>
      <c r="F152" s="171"/>
      <c r="G152" s="178"/>
      <c r="H152" s="178"/>
      <c r="I152" s="178"/>
      <c r="J152" s="187" t="s">
        <v>1312</v>
      </c>
      <c r="K152" s="185">
        <f>K151*10.764</f>
        <v>25.080120000000001</v>
      </c>
    </row>
    <row r="153" spans="1:11" ht="36">
      <c r="A153" s="167"/>
      <c r="B153" s="167"/>
      <c r="C153" s="167" t="s">
        <v>129</v>
      </c>
      <c r="D153" s="167" t="s">
        <v>296</v>
      </c>
      <c r="E153" s="167"/>
      <c r="F153" s="171" t="s">
        <v>1309</v>
      </c>
      <c r="G153" s="178">
        <v>1</v>
      </c>
      <c r="H153" s="178">
        <v>1.22</v>
      </c>
      <c r="I153" s="178"/>
      <c r="J153" s="182">
        <v>2.12</v>
      </c>
      <c r="K153" s="179">
        <f t="shared" ref="K153" si="21">ROUND(PRODUCT(G153:J153),2)</f>
        <v>2.59</v>
      </c>
    </row>
    <row r="154" spans="1:11">
      <c r="A154" s="167"/>
      <c r="B154" s="167"/>
      <c r="C154" s="167"/>
      <c r="D154" s="167"/>
      <c r="E154" s="173"/>
      <c r="F154" s="171"/>
      <c r="G154" s="178"/>
      <c r="H154" s="178"/>
      <c r="I154" s="178"/>
      <c r="J154" s="187" t="s">
        <v>1312</v>
      </c>
      <c r="K154" s="185">
        <f>K153*10.764</f>
        <v>27.878759999999996</v>
      </c>
    </row>
    <row r="155" spans="1:11">
      <c r="A155" s="167"/>
      <c r="B155" s="167" t="s">
        <v>301</v>
      </c>
      <c r="C155" s="167"/>
      <c r="D155" s="167"/>
      <c r="E155" s="173" t="s">
        <v>302</v>
      </c>
      <c r="F155" s="176"/>
      <c r="G155" s="178"/>
      <c r="H155" s="178"/>
      <c r="I155" s="178"/>
      <c r="J155" s="182"/>
      <c r="K155" s="184"/>
    </row>
    <row r="156" spans="1:11" ht="156">
      <c r="A156" s="167"/>
      <c r="B156" s="167"/>
      <c r="C156" s="167" t="s">
        <v>19</v>
      </c>
      <c r="D156" s="167" t="s">
        <v>303</v>
      </c>
      <c r="E156" s="173" t="s">
        <v>304</v>
      </c>
      <c r="F156" s="171" t="s">
        <v>1309</v>
      </c>
      <c r="G156" s="178"/>
      <c r="H156" s="178"/>
      <c r="I156" s="178"/>
      <c r="J156" s="182"/>
      <c r="K156" s="184"/>
    </row>
    <row r="157" spans="1:11">
      <c r="A157" s="167"/>
      <c r="B157" s="167"/>
      <c r="C157" s="167"/>
      <c r="D157" s="167"/>
      <c r="E157" s="173"/>
      <c r="F157" s="171" t="s">
        <v>1309</v>
      </c>
      <c r="G157" s="178">
        <v>1</v>
      </c>
      <c r="H157" s="178">
        <v>6.23</v>
      </c>
      <c r="I157" s="178"/>
      <c r="J157" s="182">
        <v>1</v>
      </c>
      <c r="K157" s="179">
        <f t="shared" ref="K157:K163" si="22">ROUND(PRODUCT(G157:J157),2)</f>
        <v>6.23</v>
      </c>
    </row>
    <row r="158" spans="1:11">
      <c r="A158" s="167"/>
      <c r="B158" s="167"/>
      <c r="C158" s="167"/>
      <c r="D158" s="167"/>
      <c r="E158" s="173"/>
      <c r="F158" s="171" t="s">
        <v>1309</v>
      </c>
      <c r="G158" s="178">
        <v>1</v>
      </c>
      <c r="H158" s="178">
        <v>5.4</v>
      </c>
      <c r="I158" s="178"/>
      <c r="J158" s="182">
        <v>1</v>
      </c>
      <c r="K158" s="179">
        <f t="shared" si="22"/>
        <v>5.4</v>
      </c>
    </row>
    <row r="159" spans="1:11">
      <c r="A159" s="167"/>
      <c r="B159" s="167"/>
      <c r="C159" s="167"/>
      <c r="D159" s="167"/>
      <c r="E159" s="173"/>
      <c r="F159" s="171" t="s">
        <v>1309</v>
      </c>
      <c r="G159" s="178">
        <v>1</v>
      </c>
      <c r="H159" s="178">
        <v>3.23</v>
      </c>
      <c r="I159" s="178"/>
      <c r="J159" s="182">
        <v>1</v>
      </c>
      <c r="K159" s="179">
        <f t="shared" si="22"/>
        <v>3.23</v>
      </c>
    </row>
    <row r="160" spans="1:11">
      <c r="A160" s="167"/>
      <c r="B160" s="167"/>
      <c r="C160" s="167"/>
      <c r="D160" s="167"/>
      <c r="E160" s="173"/>
      <c r="F160" s="171" t="s">
        <v>1309</v>
      </c>
      <c r="G160" s="178">
        <v>1</v>
      </c>
      <c r="H160" s="178">
        <v>2.37</v>
      </c>
      <c r="I160" s="178"/>
      <c r="J160" s="182">
        <v>1</v>
      </c>
      <c r="K160" s="179">
        <f t="shared" si="22"/>
        <v>2.37</v>
      </c>
    </row>
    <row r="161" spans="1:11">
      <c r="A161" s="167"/>
      <c r="B161" s="167"/>
      <c r="C161" s="167"/>
      <c r="D161" s="167"/>
      <c r="E161" s="173"/>
      <c r="F161" s="171" t="s">
        <v>1309</v>
      </c>
      <c r="G161" s="178">
        <v>2</v>
      </c>
      <c r="H161" s="178">
        <v>8.7200000000000006</v>
      </c>
      <c r="I161" s="178"/>
      <c r="J161" s="182">
        <v>0.6</v>
      </c>
      <c r="K161" s="179">
        <f t="shared" si="22"/>
        <v>10.46</v>
      </c>
    </row>
    <row r="162" spans="1:11">
      <c r="A162" s="167"/>
      <c r="B162" s="167"/>
      <c r="C162" s="167"/>
      <c r="D162" s="167"/>
      <c r="E162" s="173"/>
      <c r="F162" s="171" t="s">
        <v>1309</v>
      </c>
      <c r="G162" s="178">
        <v>1</v>
      </c>
      <c r="H162" s="178">
        <v>1.51</v>
      </c>
      <c r="I162" s="178"/>
      <c r="J162" s="182">
        <v>1</v>
      </c>
      <c r="K162" s="179">
        <f t="shared" si="22"/>
        <v>1.51</v>
      </c>
    </row>
    <row r="163" spans="1:11">
      <c r="A163" s="167"/>
      <c r="B163" s="167"/>
      <c r="C163" s="167"/>
      <c r="D163" s="167"/>
      <c r="E163" s="173"/>
      <c r="F163" s="171" t="s">
        <v>1309</v>
      </c>
      <c r="G163" s="178">
        <v>1</v>
      </c>
      <c r="H163" s="178">
        <v>2.4</v>
      </c>
      <c r="I163" s="178"/>
      <c r="J163" s="182">
        <v>0.7</v>
      </c>
      <c r="K163" s="179">
        <f t="shared" si="22"/>
        <v>1.68</v>
      </c>
    </row>
    <row r="164" spans="1:11">
      <c r="A164" s="167"/>
      <c r="B164" s="167"/>
      <c r="C164" s="167"/>
      <c r="D164" s="167"/>
      <c r="E164" s="173"/>
      <c r="F164" s="171"/>
      <c r="G164" s="178"/>
      <c r="H164" s="178"/>
      <c r="I164" s="178"/>
      <c r="J164" s="182" t="s">
        <v>1311</v>
      </c>
      <c r="K164" s="184">
        <f>SUM(K157:K163)</f>
        <v>30.880000000000003</v>
      </c>
    </row>
    <row r="165" spans="1:11">
      <c r="A165" s="167"/>
      <c r="B165" s="167"/>
      <c r="C165" s="167"/>
      <c r="D165" s="167"/>
      <c r="E165" s="173"/>
      <c r="F165" s="171"/>
      <c r="G165" s="178"/>
      <c r="H165" s="178"/>
      <c r="I165" s="178"/>
      <c r="J165" s="187" t="s">
        <v>1312</v>
      </c>
      <c r="K165" s="185">
        <f>K164*10.764</f>
        <v>332.39231999999998</v>
      </c>
    </row>
    <row r="166" spans="1:11">
      <c r="A166" s="178"/>
      <c r="B166" s="178"/>
      <c r="C166" s="178"/>
      <c r="D166" s="178"/>
      <c r="E166" s="176"/>
      <c r="F166" s="176"/>
      <c r="G166" s="178"/>
      <c r="H166" s="178"/>
      <c r="I166" s="178"/>
      <c r="J166" s="182"/>
      <c r="K166" s="184"/>
    </row>
    <row r="167" spans="1:11" ht="132">
      <c r="A167" s="167"/>
      <c r="B167" s="167"/>
      <c r="C167" s="167" t="s">
        <v>49</v>
      </c>
      <c r="D167" s="167" t="s">
        <v>1341</v>
      </c>
      <c r="E167" s="173" t="s">
        <v>309</v>
      </c>
      <c r="F167" s="171" t="s">
        <v>1309</v>
      </c>
      <c r="G167" s="178">
        <v>1</v>
      </c>
      <c r="H167" s="178">
        <v>0.71</v>
      </c>
      <c r="I167" s="178"/>
      <c r="J167" s="184">
        <v>2.34</v>
      </c>
      <c r="K167" s="179">
        <f t="shared" ref="K167:K169" si="23">ROUND(PRODUCT(G167:J167),2)</f>
        <v>1.66</v>
      </c>
    </row>
    <row r="168" spans="1:11">
      <c r="A168" s="167"/>
      <c r="B168" s="167"/>
      <c r="C168" s="167"/>
      <c r="D168" s="167"/>
      <c r="E168" s="173"/>
      <c r="F168" s="171" t="s">
        <v>1309</v>
      </c>
      <c r="G168" s="178">
        <v>1</v>
      </c>
      <c r="H168" s="178">
        <v>1.85</v>
      </c>
      <c r="I168" s="178"/>
      <c r="J168" s="184">
        <v>2.34</v>
      </c>
      <c r="K168" s="179">
        <f t="shared" si="23"/>
        <v>4.33</v>
      </c>
    </row>
    <row r="169" spans="1:11">
      <c r="A169" s="167"/>
      <c r="B169" s="167"/>
      <c r="C169" s="167"/>
      <c r="D169" s="167"/>
      <c r="E169" s="173"/>
      <c r="F169" s="171" t="s">
        <v>1309</v>
      </c>
      <c r="G169" s="178">
        <v>1</v>
      </c>
      <c r="H169" s="178">
        <v>2.87</v>
      </c>
      <c r="I169" s="178"/>
      <c r="J169" s="184">
        <v>2.5</v>
      </c>
      <c r="K169" s="179">
        <f t="shared" si="23"/>
        <v>7.18</v>
      </c>
    </row>
    <row r="170" spans="1:11">
      <c r="A170" s="167"/>
      <c r="B170" s="167"/>
      <c r="C170" s="167"/>
      <c r="D170" s="167"/>
      <c r="E170" s="173"/>
      <c r="F170" s="171"/>
      <c r="G170" s="178"/>
      <c r="H170" s="178"/>
      <c r="I170" s="178"/>
      <c r="J170" s="182" t="s">
        <v>1311</v>
      </c>
      <c r="K170" s="184">
        <f>SUM(K167:K169)</f>
        <v>13.17</v>
      </c>
    </row>
    <row r="171" spans="1:11">
      <c r="A171" s="167"/>
      <c r="B171" s="167"/>
      <c r="C171" s="167"/>
      <c r="D171" s="167"/>
      <c r="E171" s="173"/>
      <c r="F171" s="171"/>
      <c r="G171" s="178"/>
      <c r="H171" s="178"/>
      <c r="I171" s="178"/>
      <c r="J171" s="185" t="s">
        <v>1312</v>
      </c>
      <c r="K171" s="185">
        <f>K170*10.764</f>
        <v>141.76187999999999</v>
      </c>
    </row>
    <row r="172" spans="1:11">
      <c r="A172" s="167"/>
      <c r="B172" s="167"/>
      <c r="C172" s="167"/>
      <c r="D172" s="167"/>
      <c r="E172" s="173"/>
      <c r="F172" s="171"/>
      <c r="G172" s="178"/>
      <c r="H172" s="178"/>
      <c r="I172" s="178"/>
      <c r="J172" s="184"/>
      <c r="K172" s="184"/>
    </row>
    <row r="173" spans="1:11" ht="132">
      <c r="A173" s="167"/>
      <c r="B173" s="167"/>
      <c r="C173" s="167" t="s">
        <v>89</v>
      </c>
      <c r="D173" s="167" t="s">
        <v>310</v>
      </c>
      <c r="E173" s="173" t="s">
        <v>311</v>
      </c>
      <c r="F173" s="171" t="s">
        <v>1309</v>
      </c>
      <c r="G173" s="178"/>
      <c r="H173" s="178"/>
      <c r="I173" s="178"/>
      <c r="J173" s="182"/>
      <c r="K173" s="184"/>
    </row>
    <row r="174" spans="1:11">
      <c r="A174" s="167"/>
      <c r="B174" s="167"/>
      <c r="C174" s="167"/>
      <c r="D174" s="167"/>
      <c r="E174" s="173" t="s">
        <v>1320</v>
      </c>
      <c r="F174" s="171" t="s">
        <v>1309</v>
      </c>
      <c r="G174" s="178">
        <v>1</v>
      </c>
      <c r="H174" s="178">
        <v>8.8000000000000007</v>
      </c>
      <c r="I174" s="178">
        <v>1.55</v>
      </c>
      <c r="J174" s="182"/>
      <c r="K174" s="179">
        <f t="shared" ref="K174:K193" si="24">ROUND(PRODUCT(G174:J174),2)</f>
        <v>13.64</v>
      </c>
    </row>
    <row r="175" spans="1:11">
      <c r="A175" s="167"/>
      <c r="B175" s="167"/>
      <c r="C175" s="167"/>
      <c r="D175" s="167"/>
      <c r="E175" s="173"/>
      <c r="F175" s="171" t="s">
        <v>1309</v>
      </c>
      <c r="G175" s="178">
        <v>2</v>
      </c>
      <c r="H175" s="178">
        <v>1.55</v>
      </c>
      <c r="I175" s="178">
        <v>0.45</v>
      </c>
      <c r="J175" s="182"/>
      <c r="K175" s="179">
        <f t="shared" si="24"/>
        <v>1.4</v>
      </c>
    </row>
    <row r="176" spans="1:11">
      <c r="A176" s="167"/>
      <c r="B176" s="167"/>
      <c r="C176" s="167"/>
      <c r="D176" s="167"/>
      <c r="E176" s="173"/>
      <c r="F176" s="171" t="s">
        <v>1309</v>
      </c>
      <c r="G176" s="178">
        <v>1</v>
      </c>
      <c r="H176" s="178">
        <v>8.8000000000000007</v>
      </c>
      <c r="I176" s="178">
        <v>0.7</v>
      </c>
      <c r="J176" s="182"/>
      <c r="K176" s="179">
        <f t="shared" si="24"/>
        <v>6.16</v>
      </c>
    </row>
    <row r="177" spans="1:11">
      <c r="A177" s="167"/>
      <c r="B177" s="167"/>
      <c r="C177" s="167"/>
      <c r="D177" s="167"/>
      <c r="E177" s="173" t="s">
        <v>1317</v>
      </c>
      <c r="F177" s="171" t="s">
        <v>1309</v>
      </c>
      <c r="G177" s="178">
        <v>1</v>
      </c>
      <c r="H177" s="178">
        <v>5.46</v>
      </c>
      <c r="I177" s="178">
        <v>6.52</v>
      </c>
      <c r="J177" s="182"/>
      <c r="K177" s="179">
        <f t="shared" si="24"/>
        <v>35.6</v>
      </c>
    </row>
    <row r="178" spans="1:11">
      <c r="A178" s="167"/>
      <c r="B178" s="167"/>
      <c r="C178" s="167"/>
      <c r="D178" s="167"/>
      <c r="E178" s="173"/>
      <c r="F178" s="171" t="s">
        <v>1309</v>
      </c>
      <c r="G178" s="178">
        <v>2</v>
      </c>
      <c r="H178" s="178">
        <v>4.9400000000000004</v>
      </c>
      <c r="I178" s="178">
        <v>0.45</v>
      </c>
      <c r="J178" s="182"/>
      <c r="K178" s="179">
        <f t="shared" si="24"/>
        <v>4.45</v>
      </c>
    </row>
    <row r="179" spans="1:11">
      <c r="A179" s="167"/>
      <c r="B179" s="167"/>
      <c r="C179" s="167"/>
      <c r="D179" s="167"/>
      <c r="E179" s="173"/>
      <c r="F179" s="171" t="s">
        <v>1309</v>
      </c>
      <c r="G179" s="178">
        <v>2</v>
      </c>
      <c r="H179" s="178">
        <v>0.15</v>
      </c>
      <c r="I179" s="178">
        <v>0.96</v>
      </c>
      <c r="J179" s="182"/>
      <c r="K179" s="179">
        <f t="shared" si="24"/>
        <v>0.28999999999999998</v>
      </c>
    </row>
    <row r="180" spans="1:11">
      <c r="A180" s="167"/>
      <c r="B180" s="167"/>
      <c r="C180" s="167"/>
      <c r="D180" s="167"/>
      <c r="E180" s="173"/>
      <c r="F180" s="171" t="s">
        <v>1309</v>
      </c>
      <c r="G180" s="178">
        <v>2</v>
      </c>
      <c r="H180" s="178">
        <v>3.95</v>
      </c>
      <c r="I180" s="178">
        <v>0.45</v>
      </c>
      <c r="J180" s="182"/>
      <c r="K180" s="179">
        <f t="shared" si="24"/>
        <v>3.56</v>
      </c>
    </row>
    <row r="181" spans="1:11">
      <c r="A181" s="167"/>
      <c r="B181" s="167"/>
      <c r="C181" s="167"/>
      <c r="D181" s="167"/>
      <c r="E181" s="173"/>
      <c r="F181" s="171" t="s">
        <v>1309</v>
      </c>
      <c r="G181" s="178">
        <v>1</v>
      </c>
      <c r="H181" s="178">
        <v>1</v>
      </c>
      <c r="I181" s="178">
        <v>0.45</v>
      </c>
      <c r="J181" s="182"/>
      <c r="K181" s="179">
        <f t="shared" si="24"/>
        <v>0.45</v>
      </c>
    </row>
    <row r="182" spans="1:11">
      <c r="A182" s="167"/>
      <c r="B182" s="167"/>
      <c r="C182" s="167"/>
      <c r="D182" s="167"/>
      <c r="E182" s="173"/>
      <c r="F182" s="171" t="s">
        <v>1309</v>
      </c>
      <c r="G182" s="178">
        <v>1</v>
      </c>
      <c r="H182" s="178">
        <v>5.46</v>
      </c>
      <c r="I182" s="178">
        <v>3.5</v>
      </c>
      <c r="J182" s="182"/>
      <c r="K182" s="179">
        <f t="shared" si="24"/>
        <v>19.11</v>
      </c>
    </row>
    <row r="183" spans="1:11">
      <c r="A183" s="167"/>
      <c r="B183" s="167"/>
      <c r="C183" s="167"/>
      <c r="D183" s="167"/>
      <c r="E183" s="173" t="s">
        <v>1321</v>
      </c>
      <c r="F183" s="171" t="s">
        <v>1309</v>
      </c>
      <c r="G183" s="178">
        <v>1</v>
      </c>
      <c r="H183" s="178">
        <v>4.9400000000000004</v>
      </c>
      <c r="I183" s="178"/>
      <c r="J183" s="182">
        <v>1.1399999999999999</v>
      </c>
      <c r="K183" s="179">
        <f t="shared" si="24"/>
        <v>5.63</v>
      </c>
    </row>
    <row r="184" spans="1:11">
      <c r="A184" s="167"/>
      <c r="B184" s="167"/>
      <c r="C184" s="167"/>
      <c r="D184" s="167"/>
      <c r="E184" s="173"/>
      <c r="F184" s="171" t="s">
        <v>1309</v>
      </c>
      <c r="G184" s="178">
        <v>1</v>
      </c>
      <c r="H184" s="178">
        <v>5.43</v>
      </c>
      <c r="I184" s="178"/>
      <c r="J184" s="182">
        <v>0.98</v>
      </c>
      <c r="K184" s="179">
        <f t="shared" si="24"/>
        <v>5.32</v>
      </c>
    </row>
    <row r="185" spans="1:11">
      <c r="A185" s="167"/>
      <c r="B185" s="167"/>
      <c r="C185" s="167"/>
      <c r="D185" s="167"/>
      <c r="E185" s="173"/>
      <c r="F185" s="171" t="s">
        <v>1309</v>
      </c>
      <c r="G185" s="178">
        <v>1</v>
      </c>
      <c r="H185" s="178">
        <v>6.32</v>
      </c>
      <c r="I185" s="178"/>
      <c r="J185" s="182">
        <v>0.98</v>
      </c>
      <c r="K185" s="179">
        <f t="shared" si="24"/>
        <v>6.19</v>
      </c>
    </row>
    <row r="186" spans="1:11">
      <c r="A186" s="167"/>
      <c r="B186" s="167"/>
      <c r="C186" s="167"/>
      <c r="D186" s="167"/>
      <c r="E186" s="173"/>
      <c r="F186" s="171" t="s">
        <v>1309</v>
      </c>
      <c r="G186" s="178">
        <v>1</v>
      </c>
      <c r="H186" s="178">
        <v>3.12</v>
      </c>
      <c r="I186" s="178"/>
      <c r="J186" s="182">
        <v>0.98</v>
      </c>
      <c r="K186" s="179">
        <f t="shared" si="24"/>
        <v>3.06</v>
      </c>
    </row>
    <row r="187" spans="1:11">
      <c r="A187" s="167"/>
      <c r="B187" s="167"/>
      <c r="C187" s="167"/>
      <c r="D187" s="167"/>
      <c r="E187" s="173"/>
      <c r="F187" s="171" t="s">
        <v>1309</v>
      </c>
      <c r="G187" s="178">
        <v>1</v>
      </c>
      <c r="H187" s="178">
        <v>2.36</v>
      </c>
      <c r="I187" s="178"/>
      <c r="J187" s="182">
        <v>0.98</v>
      </c>
      <c r="K187" s="179">
        <f t="shared" si="24"/>
        <v>2.31</v>
      </c>
    </row>
    <row r="188" spans="1:11">
      <c r="A188" s="167"/>
      <c r="B188" s="167"/>
      <c r="C188" s="167"/>
      <c r="D188" s="167"/>
      <c r="E188" s="173"/>
      <c r="F188" s="171" t="s">
        <v>1309</v>
      </c>
      <c r="G188" s="178">
        <v>1</v>
      </c>
      <c r="H188" s="178">
        <v>3.25</v>
      </c>
      <c r="I188" s="178"/>
      <c r="J188" s="182">
        <v>0.98</v>
      </c>
      <c r="K188" s="179">
        <f t="shared" si="24"/>
        <v>3.19</v>
      </c>
    </row>
    <row r="189" spans="1:11">
      <c r="A189" s="167"/>
      <c r="B189" s="167"/>
      <c r="C189" s="167"/>
      <c r="D189" s="167"/>
      <c r="E189" s="173"/>
      <c r="F189" s="171" t="s">
        <v>1309</v>
      </c>
      <c r="G189" s="178">
        <v>1</v>
      </c>
      <c r="H189" s="178">
        <v>2.11</v>
      </c>
      <c r="I189" s="178"/>
      <c r="J189" s="182">
        <v>0.98</v>
      </c>
      <c r="K189" s="179">
        <f t="shared" si="24"/>
        <v>2.0699999999999998</v>
      </c>
    </row>
    <row r="190" spans="1:11">
      <c r="A190" s="167"/>
      <c r="B190" s="167"/>
      <c r="C190" s="167"/>
      <c r="D190" s="167"/>
      <c r="E190" s="173"/>
      <c r="F190" s="171" t="s">
        <v>1309</v>
      </c>
      <c r="G190" s="178">
        <v>1</v>
      </c>
      <c r="H190" s="178">
        <v>2.4</v>
      </c>
      <c r="I190" s="178"/>
      <c r="J190" s="182">
        <v>0.98</v>
      </c>
      <c r="K190" s="179">
        <f t="shared" si="24"/>
        <v>2.35</v>
      </c>
    </row>
    <row r="191" spans="1:11">
      <c r="A191" s="167"/>
      <c r="B191" s="167"/>
      <c r="C191" s="167"/>
      <c r="D191" s="167"/>
      <c r="E191" s="173" t="s">
        <v>1319</v>
      </c>
      <c r="F191" s="171" t="s">
        <v>1309</v>
      </c>
      <c r="G191" s="178">
        <v>2</v>
      </c>
      <c r="H191" s="178">
        <v>8.8000000000000007</v>
      </c>
      <c r="I191" s="178"/>
      <c r="J191" s="182">
        <v>1</v>
      </c>
      <c r="K191" s="179">
        <f t="shared" si="24"/>
        <v>17.600000000000001</v>
      </c>
    </row>
    <row r="192" spans="1:11">
      <c r="A192" s="167"/>
      <c r="B192" s="167"/>
      <c r="C192" s="167"/>
      <c r="D192" s="167"/>
      <c r="E192" s="173"/>
      <c r="F192" s="171" t="s">
        <v>1309</v>
      </c>
      <c r="G192" s="178">
        <v>3</v>
      </c>
      <c r="H192" s="178">
        <v>1.55</v>
      </c>
      <c r="I192" s="178"/>
      <c r="J192" s="182">
        <v>1</v>
      </c>
      <c r="K192" s="179">
        <f t="shared" si="24"/>
        <v>4.6500000000000004</v>
      </c>
    </row>
    <row r="193" spans="1:11">
      <c r="A193" s="167"/>
      <c r="B193" s="167"/>
      <c r="C193" s="167"/>
      <c r="D193" s="167"/>
      <c r="E193" s="173"/>
      <c r="F193" s="171" t="s">
        <v>1309</v>
      </c>
      <c r="G193" s="178">
        <v>2</v>
      </c>
      <c r="H193" s="178">
        <v>0.15</v>
      </c>
      <c r="I193" s="178"/>
      <c r="J193" s="182">
        <v>1</v>
      </c>
      <c r="K193" s="179">
        <f t="shared" si="24"/>
        <v>0.3</v>
      </c>
    </row>
    <row r="194" spans="1:11">
      <c r="A194" s="167"/>
      <c r="B194" s="167"/>
      <c r="C194" s="167"/>
      <c r="D194" s="167"/>
      <c r="E194" s="173"/>
      <c r="F194" s="171"/>
      <c r="G194" s="178"/>
      <c r="H194" s="178"/>
      <c r="I194" s="178"/>
      <c r="J194" s="182" t="s">
        <v>1322</v>
      </c>
      <c r="K194" s="180">
        <f>SUM(K174:K193)</f>
        <v>137.33000000000001</v>
      </c>
    </row>
    <row r="195" spans="1:11">
      <c r="A195" s="167"/>
      <c r="B195" s="167"/>
      <c r="C195" s="167"/>
      <c r="D195" s="167"/>
      <c r="E195" s="173"/>
      <c r="F195" s="171"/>
      <c r="G195" s="178"/>
      <c r="H195" s="178"/>
      <c r="I195" s="178"/>
      <c r="J195" s="187" t="s">
        <v>1312</v>
      </c>
      <c r="K195" s="185">
        <f>K194*10.764</f>
        <v>1478.22012</v>
      </c>
    </row>
    <row r="196" spans="1:11" ht="96">
      <c r="A196" s="167"/>
      <c r="B196" s="167"/>
      <c r="C196" s="167" t="s">
        <v>92</v>
      </c>
      <c r="D196" s="167" t="s">
        <v>312</v>
      </c>
      <c r="E196" s="173" t="s">
        <v>313</v>
      </c>
      <c r="F196" s="171" t="s">
        <v>1309</v>
      </c>
      <c r="G196" s="178"/>
      <c r="H196" s="178"/>
      <c r="I196" s="178"/>
      <c r="J196" s="182"/>
      <c r="K196" s="184"/>
    </row>
    <row r="197" spans="1:11">
      <c r="A197" s="167"/>
      <c r="B197" s="167"/>
      <c r="C197" s="167"/>
      <c r="D197" s="167"/>
      <c r="E197" s="173" t="s">
        <v>1323</v>
      </c>
      <c r="F197" s="171" t="s">
        <v>1309</v>
      </c>
      <c r="G197" s="178">
        <v>1</v>
      </c>
      <c r="H197" s="178">
        <v>0.5</v>
      </c>
      <c r="I197" s="178">
        <v>5.5</v>
      </c>
      <c r="J197" s="182"/>
      <c r="K197" s="179">
        <f t="shared" ref="K197:K204" si="25">ROUND(PRODUCT(G197:J197),2)</f>
        <v>2.75</v>
      </c>
    </row>
    <row r="198" spans="1:11">
      <c r="A198" s="167"/>
      <c r="B198" s="167"/>
      <c r="C198" s="167"/>
      <c r="D198" s="167"/>
      <c r="E198" s="173"/>
      <c r="F198" s="171" t="s">
        <v>1309</v>
      </c>
      <c r="G198" s="178">
        <v>1</v>
      </c>
      <c r="H198" s="178">
        <v>0.3</v>
      </c>
      <c r="I198" s="178">
        <v>2.5</v>
      </c>
      <c r="J198" s="182"/>
      <c r="K198" s="179">
        <f t="shared" si="25"/>
        <v>0.75</v>
      </c>
    </row>
    <row r="199" spans="1:11">
      <c r="A199" s="167"/>
      <c r="B199" s="167"/>
      <c r="C199" s="167"/>
      <c r="D199" s="167"/>
      <c r="E199" s="173" t="s">
        <v>1324</v>
      </c>
      <c r="F199" s="171" t="s">
        <v>1309</v>
      </c>
      <c r="G199" s="178">
        <v>1</v>
      </c>
      <c r="H199" s="178">
        <v>10</v>
      </c>
      <c r="I199" s="178">
        <v>0.25</v>
      </c>
      <c r="J199" s="182"/>
      <c r="K199" s="179">
        <f t="shared" si="25"/>
        <v>2.5</v>
      </c>
    </row>
    <row r="200" spans="1:11">
      <c r="A200" s="167"/>
      <c r="B200" s="167"/>
      <c r="C200" s="167"/>
      <c r="D200" s="167"/>
      <c r="E200" s="173"/>
      <c r="F200" s="171" t="s">
        <v>1309</v>
      </c>
      <c r="G200" s="178">
        <v>1</v>
      </c>
      <c r="H200" s="178">
        <v>8.4499999999999993</v>
      </c>
      <c r="I200" s="178">
        <v>0.3</v>
      </c>
      <c r="J200" s="182"/>
      <c r="K200" s="179">
        <f t="shared" si="25"/>
        <v>2.54</v>
      </c>
    </row>
    <row r="201" spans="1:11">
      <c r="A201" s="167"/>
      <c r="B201" s="167"/>
      <c r="C201" s="167"/>
      <c r="D201" s="167"/>
      <c r="E201" s="173"/>
      <c r="F201" s="171" t="s">
        <v>1309</v>
      </c>
      <c r="G201" s="178">
        <v>2</v>
      </c>
      <c r="H201" s="178">
        <v>1.5</v>
      </c>
      <c r="I201" s="178">
        <v>0.3</v>
      </c>
      <c r="J201" s="182"/>
      <c r="K201" s="179">
        <f t="shared" si="25"/>
        <v>0.9</v>
      </c>
    </row>
    <row r="202" spans="1:11">
      <c r="A202" s="167"/>
      <c r="B202" s="167"/>
      <c r="C202" s="167"/>
      <c r="D202" s="167"/>
      <c r="E202" s="173" t="s">
        <v>1325</v>
      </c>
      <c r="F202" s="171" t="s">
        <v>1309</v>
      </c>
      <c r="G202" s="178">
        <v>1</v>
      </c>
      <c r="H202" s="178">
        <v>2</v>
      </c>
      <c r="I202" s="178">
        <v>1.8</v>
      </c>
      <c r="J202" s="182"/>
      <c r="K202" s="179">
        <f t="shared" si="25"/>
        <v>3.6</v>
      </c>
    </row>
    <row r="203" spans="1:11">
      <c r="A203" s="167"/>
      <c r="B203" s="167"/>
      <c r="C203" s="167"/>
      <c r="D203" s="167"/>
      <c r="E203" s="173"/>
      <c r="F203" s="171" t="s">
        <v>1309</v>
      </c>
      <c r="G203" s="178">
        <v>1</v>
      </c>
      <c r="H203" s="178">
        <v>3.8</v>
      </c>
      <c r="I203" s="178">
        <v>1.8</v>
      </c>
      <c r="J203" s="182"/>
      <c r="K203" s="179">
        <f t="shared" si="25"/>
        <v>6.84</v>
      </c>
    </row>
    <row r="204" spans="1:11">
      <c r="A204" s="167"/>
      <c r="B204" s="167"/>
      <c r="C204" s="167"/>
      <c r="D204" s="167"/>
      <c r="E204" s="173"/>
      <c r="F204" s="171" t="s">
        <v>1309</v>
      </c>
      <c r="G204" s="178">
        <v>1</v>
      </c>
      <c r="H204" s="178">
        <v>2.5</v>
      </c>
      <c r="I204" s="178">
        <v>1.8</v>
      </c>
      <c r="J204" s="182"/>
      <c r="K204" s="179">
        <f t="shared" si="25"/>
        <v>4.5</v>
      </c>
    </row>
    <row r="205" spans="1:11">
      <c r="A205" s="167"/>
      <c r="B205" s="167"/>
      <c r="C205" s="167"/>
      <c r="D205" s="167"/>
      <c r="E205" s="173"/>
      <c r="F205" s="171"/>
      <c r="G205" s="178"/>
      <c r="H205" s="178"/>
      <c r="I205" s="178"/>
      <c r="J205" s="182" t="s">
        <v>1322</v>
      </c>
      <c r="K205" s="184">
        <f>SUM(K197:K204)</f>
        <v>24.38</v>
      </c>
    </row>
    <row r="206" spans="1:11">
      <c r="A206" s="167"/>
      <c r="B206" s="167"/>
      <c r="C206" s="167"/>
      <c r="D206" s="167"/>
      <c r="E206" s="173"/>
      <c r="F206" s="171"/>
      <c r="G206" s="178"/>
      <c r="H206" s="178"/>
      <c r="I206" s="178"/>
      <c r="J206" s="187" t="s">
        <v>1312</v>
      </c>
      <c r="K206" s="185">
        <f>K205*10.764</f>
        <v>262.42631999999998</v>
      </c>
    </row>
    <row r="207" spans="1:11" ht="84">
      <c r="A207" s="167"/>
      <c r="B207" s="167"/>
      <c r="C207" s="167" t="s">
        <v>108</v>
      </c>
      <c r="D207" s="167" t="s">
        <v>314</v>
      </c>
      <c r="E207" s="173" t="s">
        <v>315</v>
      </c>
      <c r="F207" s="171" t="s">
        <v>1309</v>
      </c>
      <c r="G207" s="178">
        <v>1</v>
      </c>
      <c r="H207" s="178">
        <v>2.7</v>
      </c>
      <c r="I207" s="178"/>
      <c r="J207" s="182">
        <v>0.55000000000000004</v>
      </c>
      <c r="K207" s="179">
        <f t="shared" ref="K207:K209" si="26">ROUND(PRODUCT(G207:J207),2)</f>
        <v>1.49</v>
      </c>
    </row>
    <row r="208" spans="1:11">
      <c r="A208" s="167"/>
      <c r="B208" s="167"/>
      <c r="C208" s="167"/>
      <c r="D208" s="167"/>
      <c r="E208" s="173"/>
      <c r="F208" s="171" t="s">
        <v>1309</v>
      </c>
      <c r="G208" s="178">
        <v>2</v>
      </c>
      <c r="H208" s="178">
        <v>3.02</v>
      </c>
      <c r="I208" s="178"/>
      <c r="J208" s="182">
        <v>0.12</v>
      </c>
      <c r="K208" s="179">
        <f t="shared" si="26"/>
        <v>0.72</v>
      </c>
    </row>
    <row r="209" spans="1:11">
      <c r="A209" s="167"/>
      <c r="B209" s="167"/>
      <c r="C209" s="167"/>
      <c r="D209" s="167"/>
      <c r="E209" s="173"/>
      <c r="F209" s="171" t="s">
        <v>1309</v>
      </c>
      <c r="G209" s="178">
        <v>2</v>
      </c>
      <c r="H209" s="178">
        <v>0.55000000000000004</v>
      </c>
      <c r="I209" s="178"/>
      <c r="J209" s="182">
        <v>0.12</v>
      </c>
      <c r="K209" s="179">
        <f t="shared" si="26"/>
        <v>0.13</v>
      </c>
    </row>
    <row r="210" spans="1:11">
      <c r="A210" s="167"/>
      <c r="B210" s="167"/>
      <c r="C210" s="167"/>
      <c r="D210" s="167"/>
      <c r="E210" s="173"/>
      <c r="F210" s="171"/>
      <c r="G210" s="178"/>
      <c r="H210" s="178"/>
      <c r="I210" s="178"/>
      <c r="J210" s="182" t="s">
        <v>1322</v>
      </c>
      <c r="K210" s="184">
        <f>SUM(K207:K209)</f>
        <v>2.34</v>
      </c>
    </row>
    <row r="211" spans="1:11">
      <c r="A211" s="167"/>
      <c r="B211" s="167"/>
      <c r="C211" s="167"/>
      <c r="D211" s="167"/>
      <c r="E211" s="173"/>
      <c r="F211" s="171"/>
      <c r="G211" s="178"/>
      <c r="H211" s="178"/>
      <c r="I211" s="178"/>
      <c r="J211" s="187" t="s">
        <v>1312</v>
      </c>
      <c r="K211" s="185">
        <f>K210*10.764</f>
        <v>25.187759999999997</v>
      </c>
    </row>
    <row r="212" spans="1:11">
      <c r="A212" s="178"/>
      <c r="B212" s="178" t="s">
        <v>1360</v>
      </c>
      <c r="C212" s="178"/>
      <c r="D212" s="178"/>
      <c r="E212" s="176"/>
      <c r="F212" s="176"/>
      <c r="G212" s="178"/>
      <c r="H212" s="178"/>
      <c r="I212" s="178"/>
      <c r="J212" s="182"/>
      <c r="K212" s="184"/>
    </row>
    <row r="213" spans="1:11" ht="144">
      <c r="A213" s="167"/>
      <c r="B213" s="167"/>
      <c r="C213" s="167" t="s">
        <v>19</v>
      </c>
      <c r="D213" s="167" t="s">
        <v>321</v>
      </c>
      <c r="E213" s="173" t="s">
        <v>1342</v>
      </c>
      <c r="F213" s="171" t="s">
        <v>1309</v>
      </c>
      <c r="G213" s="178">
        <v>1</v>
      </c>
      <c r="H213" s="178">
        <v>4.9400000000000004</v>
      </c>
      <c r="I213" s="178"/>
      <c r="J213" s="182">
        <v>0.85</v>
      </c>
      <c r="K213" s="179">
        <f t="shared" ref="K213" si="27">ROUND(PRODUCT(G213:J213),2)</f>
        <v>4.2</v>
      </c>
    </row>
    <row r="214" spans="1:11">
      <c r="A214" s="167"/>
      <c r="B214" s="167"/>
      <c r="C214" s="167"/>
      <c r="D214" s="167"/>
      <c r="E214" s="173"/>
      <c r="F214" s="171"/>
      <c r="G214" s="178"/>
      <c r="H214" s="178"/>
      <c r="I214" s="178"/>
      <c r="J214" s="187" t="s">
        <v>1312</v>
      </c>
      <c r="K214" s="185">
        <f>K213*10.764</f>
        <v>45.208799999999997</v>
      </c>
    </row>
    <row r="215" spans="1:11">
      <c r="A215" s="178"/>
      <c r="B215" s="178"/>
      <c r="C215" s="178"/>
      <c r="D215" s="178"/>
      <c r="E215" s="176"/>
      <c r="F215" s="176"/>
      <c r="G215" s="178"/>
      <c r="H215" s="178"/>
      <c r="I215" s="178"/>
      <c r="J215" s="184"/>
      <c r="K215" s="184"/>
    </row>
    <row r="216" spans="1:11" ht="120">
      <c r="A216" s="167"/>
      <c r="B216" s="167"/>
      <c r="C216" s="167" t="s">
        <v>92</v>
      </c>
      <c r="D216" s="167" t="s">
        <v>330</v>
      </c>
      <c r="E216" s="173" t="s">
        <v>331</v>
      </c>
      <c r="F216" s="171" t="s">
        <v>1309</v>
      </c>
      <c r="G216" s="178">
        <v>1</v>
      </c>
      <c r="H216" s="178">
        <v>1.97</v>
      </c>
      <c r="I216" s="178"/>
      <c r="J216" s="182">
        <v>1.42</v>
      </c>
      <c r="K216" s="179">
        <f t="shared" ref="K216:K217" si="28">ROUND(PRODUCT(G216:J216),2)</f>
        <v>2.8</v>
      </c>
    </row>
    <row r="217" spans="1:11">
      <c r="A217" s="167"/>
      <c r="B217" s="167"/>
      <c r="C217" s="167"/>
      <c r="D217" s="167"/>
      <c r="E217" s="173"/>
      <c r="F217" s="171" t="s">
        <v>1309</v>
      </c>
      <c r="G217" s="178">
        <v>1</v>
      </c>
      <c r="H217" s="178">
        <v>0.64</v>
      </c>
      <c r="I217" s="178"/>
      <c r="J217" s="182">
        <v>1.42</v>
      </c>
      <c r="K217" s="179">
        <f t="shared" si="28"/>
        <v>0.91</v>
      </c>
    </row>
    <row r="218" spans="1:11">
      <c r="A218" s="167"/>
      <c r="B218" s="167"/>
      <c r="C218" s="167"/>
      <c r="D218" s="167"/>
      <c r="E218" s="173"/>
      <c r="F218" s="171" t="s">
        <v>1309</v>
      </c>
      <c r="G218" s="178"/>
      <c r="H218" s="178"/>
      <c r="I218" s="178"/>
      <c r="J218" s="182" t="s">
        <v>1326</v>
      </c>
      <c r="K218" s="184">
        <f>SUM(K216:K217)</f>
        <v>3.71</v>
      </c>
    </row>
    <row r="219" spans="1:11">
      <c r="A219" s="167"/>
      <c r="B219" s="167"/>
      <c r="C219" s="167"/>
      <c r="D219" s="167"/>
      <c r="E219" s="173"/>
      <c r="F219" s="171"/>
      <c r="G219" s="178"/>
      <c r="H219" s="178"/>
      <c r="I219" s="178"/>
      <c r="J219" s="187" t="s">
        <v>1312</v>
      </c>
      <c r="K219" s="185">
        <f>K218*10.764</f>
        <v>39.934439999999995</v>
      </c>
    </row>
    <row r="220" spans="1:11">
      <c r="A220" s="176"/>
      <c r="B220" s="167" t="s">
        <v>341</v>
      </c>
      <c r="C220" s="167"/>
      <c r="D220" s="167"/>
      <c r="E220" s="173" t="s">
        <v>342</v>
      </c>
      <c r="F220" s="171"/>
      <c r="G220" s="176"/>
      <c r="H220" s="176"/>
      <c r="I220" s="176"/>
      <c r="J220" s="176"/>
      <c r="K220" s="176"/>
    </row>
    <row r="221" spans="1:11" ht="84">
      <c r="A221" s="176"/>
      <c r="B221" s="167"/>
      <c r="C221" s="167" t="s">
        <v>19</v>
      </c>
      <c r="D221" s="167" t="s">
        <v>343</v>
      </c>
      <c r="E221" s="173" t="s">
        <v>1347</v>
      </c>
      <c r="F221" s="171" t="s">
        <v>345</v>
      </c>
      <c r="G221" s="196">
        <v>7.25</v>
      </c>
      <c r="H221" s="196"/>
      <c r="I221" s="196"/>
      <c r="J221" s="196"/>
      <c r="K221" s="196">
        <f>G221</f>
        <v>7.25</v>
      </c>
    </row>
    <row r="222" spans="1:11">
      <c r="A222" s="176"/>
      <c r="B222" s="176"/>
      <c r="C222" s="176"/>
      <c r="D222" s="176"/>
      <c r="E222" s="176"/>
      <c r="F222" s="176"/>
      <c r="G222" s="176"/>
      <c r="H222" s="176"/>
      <c r="I222" s="176"/>
      <c r="J222" s="187" t="s">
        <v>1313</v>
      </c>
      <c r="K222" s="185">
        <f>SUM(K221)</f>
        <v>7.25</v>
      </c>
    </row>
    <row r="223" spans="1:11" ht="60">
      <c r="A223" s="176"/>
      <c r="B223" s="176"/>
      <c r="C223" s="167" t="s">
        <v>37</v>
      </c>
      <c r="D223" s="167" t="s">
        <v>348</v>
      </c>
      <c r="E223" s="173" t="s">
        <v>1348</v>
      </c>
      <c r="F223" s="171" t="s">
        <v>345</v>
      </c>
      <c r="G223" s="176"/>
      <c r="H223" s="176"/>
      <c r="I223" s="176"/>
      <c r="J223" s="176"/>
      <c r="K223" s="176"/>
    </row>
    <row r="224" spans="1:11">
      <c r="A224" s="176"/>
      <c r="B224" s="176"/>
      <c r="C224" s="176"/>
      <c r="D224" s="176"/>
      <c r="E224" s="176" t="s">
        <v>1349</v>
      </c>
      <c r="F224" s="176"/>
      <c r="G224" s="179">
        <v>16.138000000000002</v>
      </c>
      <c r="H224" s="179"/>
      <c r="I224" s="179"/>
      <c r="J224" s="179"/>
      <c r="K224" s="179">
        <f>G224</f>
        <v>16.138000000000002</v>
      </c>
    </row>
    <row r="225" spans="1:11">
      <c r="A225" s="176"/>
      <c r="B225" s="176"/>
      <c r="C225" s="176"/>
      <c r="D225" s="176"/>
      <c r="E225" s="176" t="s">
        <v>1349</v>
      </c>
      <c r="F225" s="176"/>
      <c r="G225" s="179">
        <v>8.9499999999999993</v>
      </c>
      <c r="H225" s="179"/>
      <c r="I225" s="179"/>
      <c r="J225" s="179"/>
      <c r="K225" s="179">
        <f t="shared" ref="K225:K226" si="29">G225</f>
        <v>8.9499999999999993</v>
      </c>
    </row>
    <row r="226" spans="1:11">
      <c r="A226" s="176"/>
      <c r="B226" s="176"/>
      <c r="C226" s="176"/>
      <c r="D226" s="176"/>
      <c r="E226" s="176"/>
      <c r="F226" s="176"/>
      <c r="G226" s="179">
        <v>2.2999999999999998</v>
      </c>
      <c r="H226" s="179"/>
      <c r="I226" s="179"/>
      <c r="J226" s="179"/>
      <c r="K226" s="179">
        <f t="shared" si="29"/>
        <v>2.2999999999999998</v>
      </c>
    </row>
    <row r="227" spans="1:11">
      <c r="A227" s="176"/>
      <c r="B227" s="176"/>
      <c r="C227" s="176"/>
      <c r="D227" s="176"/>
      <c r="E227" s="176"/>
      <c r="F227" s="176"/>
      <c r="G227" s="176"/>
      <c r="H227" s="176"/>
      <c r="I227" s="176"/>
      <c r="J227" s="187" t="s">
        <v>1313</v>
      </c>
      <c r="K227" s="186">
        <f>SUM(K224:K226)</f>
        <v>27.388000000000002</v>
      </c>
    </row>
    <row r="228" spans="1:11" ht="36">
      <c r="A228" s="167"/>
      <c r="B228" s="167"/>
      <c r="C228" s="167" t="s">
        <v>89</v>
      </c>
      <c r="D228" s="167" t="s">
        <v>352</v>
      </c>
      <c r="E228" s="173" t="s">
        <v>353</v>
      </c>
      <c r="F228" s="171" t="s">
        <v>42</v>
      </c>
      <c r="G228" s="178">
        <v>4</v>
      </c>
      <c r="H228" s="178"/>
      <c r="I228" s="178"/>
      <c r="J228" s="182"/>
      <c r="K228" s="179">
        <f t="shared" ref="K228:K229" si="30">ROUND(PRODUCT(G228:J228),2)</f>
        <v>4</v>
      </c>
    </row>
    <row r="229" spans="1:11" ht="48">
      <c r="A229" s="167"/>
      <c r="B229" s="167"/>
      <c r="C229" s="167" t="s">
        <v>139</v>
      </c>
      <c r="D229" s="167" t="s">
        <v>366</v>
      </c>
      <c r="E229" s="173" t="s">
        <v>367</v>
      </c>
      <c r="F229" s="171" t="s">
        <v>1309</v>
      </c>
      <c r="G229" s="178">
        <v>1</v>
      </c>
      <c r="H229" s="178">
        <v>3.72</v>
      </c>
      <c r="I229" s="178"/>
      <c r="J229" s="182">
        <v>1.472</v>
      </c>
      <c r="K229" s="179">
        <f t="shared" si="30"/>
        <v>5.48</v>
      </c>
    </row>
    <row r="230" spans="1:11">
      <c r="A230" s="167"/>
      <c r="B230" s="167"/>
      <c r="C230" s="167"/>
      <c r="D230" s="167"/>
      <c r="E230" s="173"/>
      <c r="F230" s="171"/>
      <c r="G230" s="178"/>
      <c r="H230" s="178"/>
      <c r="I230" s="178"/>
      <c r="J230" s="187" t="s">
        <v>1312</v>
      </c>
      <c r="K230" s="185">
        <f>K229*10.764</f>
        <v>58.986719999999998</v>
      </c>
    </row>
    <row r="232" spans="1:11" ht="14.5">
      <c r="A232" s="167" t="s">
        <v>378</v>
      </c>
      <c r="B232" s="167"/>
      <c r="C232" s="167"/>
      <c r="D232" s="167"/>
      <c r="E232" s="197" t="s">
        <v>379</v>
      </c>
      <c r="F232" s="42"/>
      <c r="G232" s="32"/>
      <c r="H232" s="32"/>
      <c r="I232" s="32"/>
      <c r="J232" s="16"/>
      <c r="K232" s="15"/>
    </row>
    <row r="233" spans="1:11" ht="14.5">
      <c r="A233" s="167"/>
      <c r="B233" s="167" t="s">
        <v>380</v>
      </c>
      <c r="C233" s="167"/>
      <c r="D233" s="167"/>
      <c r="E233" s="173" t="s">
        <v>381</v>
      </c>
      <c r="F233" s="42"/>
      <c r="G233" s="32"/>
      <c r="H233" s="32"/>
      <c r="I233" s="32"/>
      <c r="J233" s="16"/>
      <c r="K233" s="16"/>
    </row>
    <row r="234" spans="1:11" ht="72">
      <c r="A234" s="167"/>
      <c r="B234" s="167"/>
      <c r="C234" s="167" t="s">
        <v>19</v>
      </c>
      <c r="D234" s="167"/>
      <c r="E234" s="173" t="s">
        <v>382</v>
      </c>
      <c r="F234" s="42"/>
      <c r="G234" s="32"/>
      <c r="H234" s="32"/>
      <c r="I234" s="32"/>
      <c r="J234" s="16"/>
      <c r="K234" s="16"/>
    </row>
    <row r="235" spans="1:11" ht="24">
      <c r="A235" s="167"/>
      <c r="B235" s="167"/>
      <c r="C235" s="167" t="s">
        <v>25</v>
      </c>
      <c r="D235" s="167"/>
      <c r="E235" s="173" t="s">
        <v>385</v>
      </c>
      <c r="F235" s="171"/>
      <c r="G235" s="32"/>
      <c r="H235" s="32"/>
      <c r="I235" s="32"/>
      <c r="J235" s="16"/>
      <c r="K235" s="16"/>
    </row>
    <row r="236" spans="1:11" ht="14.5">
      <c r="A236" s="167"/>
      <c r="B236" s="167"/>
      <c r="C236" s="167"/>
      <c r="D236" s="167"/>
      <c r="E236" s="173" t="s">
        <v>1320</v>
      </c>
      <c r="F236" s="171" t="s">
        <v>384</v>
      </c>
      <c r="G236" s="32"/>
      <c r="H236" s="32">
        <f>2.7+2.7+2.2+2.2+1.6+1.6+0.2+0.2+3.8+3.8+1.3+1.3+0.85+0.85+0.85+0.85+0.85+0.85+0.65+0.65+0.3+0.35+0.2+0.25</f>
        <v>31.100000000000009</v>
      </c>
      <c r="I236" s="32"/>
      <c r="J236" s="16"/>
      <c r="K236" s="198">
        <f t="shared" ref="K236:K240" si="31">ROUND(PRODUCT(G236:J236),2)</f>
        <v>31.1</v>
      </c>
    </row>
    <row r="237" spans="1:11" ht="14.5">
      <c r="A237" s="167"/>
      <c r="B237" s="167"/>
      <c r="C237" s="167"/>
      <c r="D237" s="167"/>
      <c r="E237" s="173" t="s">
        <v>1317</v>
      </c>
      <c r="F237" s="171" t="s">
        <v>384</v>
      </c>
      <c r="G237" s="32"/>
      <c r="H237" s="32">
        <f>0.8+0.8+2.2+2.2+0.2+0.2</f>
        <v>6.4</v>
      </c>
      <c r="I237" s="32"/>
      <c r="J237" s="16"/>
      <c r="K237" s="198">
        <f t="shared" si="31"/>
        <v>6.4</v>
      </c>
    </row>
    <row r="238" spans="1:11" ht="14.5">
      <c r="A238" s="167"/>
      <c r="B238" s="167"/>
      <c r="C238" s="167"/>
      <c r="D238" s="167"/>
      <c r="E238" s="173" t="s">
        <v>1350</v>
      </c>
      <c r="F238" s="171" t="s">
        <v>384</v>
      </c>
      <c r="G238" s="32"/>
      <c r="H238" s="32">
        <f>2.4</f>
        <v>2.4</v>
      </c>
      <c r="I238" s="32"/>
      <c r="J238" s="16"/>
      <c r="K238" s="198">
        <f t="shared" si="31"/>
        <v>2.4</v>
      </c>
    </row>
    <row r="239" spans="1:11" ht="14.5">
      <c r="A239" s="167"/>
      <c r="B239" s="167"/>
      <c r="C239" s="167"/>
      <c r="D239" s="167"/>
      <c r="E239" s="173"/>
      <c r="F239" s="171" t="s">
        <v>384</v>
      </c>
      <c r="G239" s="32"/>
      <c r="H239" s="32">
        <f>0.15+0.25+0.2+0.2+2.4</f>
        <v>3.2</v>
      </c>
      <c r="I239" s="32"/>
      <c r="J239" s="16"/>
      <c r="K239" s="198">
        <f t="shared" si="31"/>
        <v>3.2</v>
      </c>
    </row>
    <row r="240" spans="1:11" ht="14.5">
      <c r="A240" s="167"/>
      <c r="B240" s="167"/>
      <c r="C240" s="167"/>
      <c r="D240" s="167"/>
      <c r="E240" s="173" t="s">
        <v>1351</v>
      </c>
      <c r="F240" s="171" t="s">
        <v>384</v>
      </c>
      <c r="G240" s="32"/>
      <c r="H240" s="32">
        <f>0.45+0.45</f>
        <v>0.9</v>
      </c>
      <c r="I240" s="32"/>
      <c r="J240" s="16"/>
      <c r="K240" s="198">
        <f t="shared" si="31"/>
        <v>0.9</v>
      </c>
    </row>
    <row r="241" spans="1:11" ht="14.5">
      <c r="A241" s="167"/>
      <c r="B241" s="167"/>
      <c r="C241" s="167"/>
      <c r="D241" s="167"/>
      <c r="E241" s="173"/>
      <c r="F241" s="171"/>
      <c r="G241" s="32"/>
      <c r="H241" s="32"/>
      <c r="I241" s="32"/>
      <c r="J241" s="16" t="s">
        <v>1326</v>
      </c>
      <c r="K241" s="199">
        <f>SUM(K236:K240)</f>
        <v>44</v>
      </c>
    </row>
    <row r="242" spans="1:11" ht="24">
      <c r="A242" s="167"/>
      <c r="B242" s="167"/>
      <c r="C242" s="167" t="s">
        <v>43</v>
      </c>
      <c r="D242" s="167"/>
      <c r="E242" s="173" t="s">
        <v>385</v>
      </c>
      <c r="F242" s="171" t="s">
        <v>42</v>
      </c>
      <c r="G242" s="32">
        <v>3</v>
      </c>
      <c r="H242" s="32"/>
      <c r="I242" s="32"/>
      <c r="J242" s="16"/>
      <c r="K242" s="16">
        <f>G242</f>
        <v>3</v>
      </c>
    </row>
    <row r="243" spans="1:11" ht="14.5">
      <c r="A243" s="167"/>
      <c r="B243" s="167" t="s">
        <v>412</v>
      </c>
      <c r="C243" s="167"/>
      <c r="D243" s="167"/>
      <c r="E243" s="173" t="s">
        <v>413</v>
      </c>
      <c r="F243" s="42"/>
      <c r="G243" s="32"/>
      <c r="H243" s="32"/>
      <c r="I243" s="32"/>
      <c r="J243" s="16"/>
      <c r="K243" s="16"/>
    </row>
    <row r="244" spans="1:11" ht="144">
      <c r="A244" s="167"/>
      <c r="B244" s="167"/>
      <c r="C244" s="167" t="s">
        <v>19</v>
      </c>
      <c r="D244" s="167"/>
      <c r="E244" s="173" t="s">
        <v>414</v>
      </c>
      <c r="F244" s="42"/>
      <c r="G244" s="32"/>
      <c r="H244" s="32"/>
      <c r="I244" s="32"/>
      <c r="J244" s="16"/>
      <c r="K244" s="16"/>
    </row>
    <row r="245" spans="1:11" ht="14.5">
      <c r="A245" s="167"/>
      <c r="B245" s="167"/>
      <c r="C245" s="167"/>
      <c r="D245" s="167"/>
      <c r="E245" s="173"/>
      <c r="F245" s="171"/>
      <c r="G245" s="32"/>
      <c r="H245" s="32"/>
      <c r="I245" s="32"/>
      <c r="J245" s="16"/>
      <c r="K245" s="16"/>
    </row>
    <row r="246" spans="1:11" ht="14.5">
      <c r="A246" s="167"/>
      <c r="B246" s="167"/>
      <c r="C246" s="167" t="s">
        <v>33</v>
      </c>
      <c r="D246" s="167"/>
      <c r="E246" s="173" t="s">
        <v>420</v>
      </c>
      <c r="F246" s="171" t="s">
        <v>151</v>
      </c>
      <c r="G246" s="32"/>
      <c r="H246" s="32">
        <f>2.7+2.1+0.7+1+1.7+0.8+2.1+1.5</f>
        <v>12.600000000000001</v>
      </c>
      <c r="I246" s="32"/>
      <c r="J246" s="16"/>
      <c r="K246" s="16">
        <f>H246</f>
        <v>12.600000000000001</v>
      </c>
    </row>
    <row r="247" spans="1:11" ht="14.5">
      <c r="A247" s="88"/>
      <c r="B247" s="88"/>
      <c r="C247" s="88"/>
      <c r="D247" s="88"/>
      <c r="E247" s="42"/>
      <c r="F247" s="42"/>
      <c r="G247" s="32"/>
      <c r="H247" s="32"/>
      <c r="I247" s="32"/>
      <c r="J247" s="16"/>
      <c r="K247" s="16"/>
    </row>
    <row r="248" spans="1:11" ht="60">
      <c r="A248" s="167"/>
      <c r="B248" s="167"/>
      <c r="C248" s="167" t="s">
        <v>37</v>
      </c>
      <c r="D248" s="167"/>
      <c r="E248" s="173" t="s">
        <v>422</v>
      </c>
      <c r="F248" s="171" t="s">
        <v>42</v>
      </c>
      <c r="G248" s="32">
        <v>7</v>
      </c>
      <c r="H248" s="32"/>
      <c r="I248" s="32"/>
      <c r="J248" s="16"/>
      <c r="K248" s="16">
        <f>G248:G250</f>
        <v>7</v>
      </c>
    </row>
    <row r="249" spans="1:11" ht="36">
      <c r="A249" s="167"/>
      <c r="B249" s="167"/>
      <c r="C249" s="128" t="s">
        <v>49</v>
      </c>
      <c r="D249" s="128"/>
      <c r="E249" s="161" t="s">
        <v>423</v>
      </c>
      <c r="F249" s="126" t="s">
        <v>327</v>
      </c>
      <c r="G249" s="32">
        <v>6</v>
      </c>
      <c r="H249" s="32"/>
      <c r="I249" s="32"/>
      <c r="J249" s="16"/>
      <c r="K249" s="16">
        <f>G249</f>
        <v>6</v>
      </c>
    </row>
    <row r="250" spans="1:11" ht="24">
      <c r="A250" s="167"/>
      <c r="B250" s="167"/>
      <c r="C250" s="167" t="s">
        <v>89</v>
      </c>
      <c r="D250" s="167"/>
      <c r="E250" s="175" t="s">
        <v>424</v>
      </c>
      <c r="F250" s="42"/>
      <c r="G250" s="32"/>
      <c r="H250" s="32"/>
      <c r="I250" s="32"/>
      <c r="J250" s="16"/>
      <c r="K250" s="16"/>
    </row>
    <row r="251" spans="1:11" ht="14.5">
      <c r="A251" s="167"/>
      <c r="B251" s="167"/>
      <c r="C251" s="167" t="s">
        <v>426</v>
      </c>
      <c r="D251" s="167"/>
      <c r="E251" s="175" t="s">
        <v>427</v>
      </c>
      <c r="F251" s="171" t="s">
        <v>327</v>
      </c>
      <c r="G251" s="32">
        <v>2</v>
      </c>
      <c r="H251" s="32"/>
      <c r="I251" s="32"/>
      <c r="J251" s="16"/>
      <c r="K251" s="16">
        <f>G251</f>
        <v>2</v>
      </c>
    </row>
    <row r="252" spans="1:11" ht="14.5">
      <c r="A252" s="42"/>
      <c r="B252" s="42"/>
      <c r="C252" s="167" t="s">
        <v>475</v>
      </c>
      <c r="D252" s="167" t="s">
        <v>476</v>
      </c>
      <c r="E252" s="175"/>
      <c r="F252" s="171" t="s">
        <v>437</v>
      </c>
      <c r="G252" s="210">
        <v>9</v>
      </c>
      <c r="H252" s="42"/>
      <c r="I252" s="42"/>
      <c r="J252" s="42"/>
      <c r="K252" s="211">
        <f>G252</f>
        <v>9</v>
      </c>
    </row>
    <row r="253" spans="1:11" ht="14.5">
      <c r="A253" s="167"/>
      <c r="B253" s="167"/>
      <c r="C253" s="167"/>
      <c r="D253" s="200"/>
      <c r="E253" s="173"/>
      <c r="F253" s="42"/>
      <c r="G253" s="42"/>
      <c r="H253" s="42"/>
      <c r="I253" s="42"/>
      <c r="J253" s="42"/>
      <c r="K253" s="42"/>
    </row>
    <row r="254" spans="1:11" ht="14.5">
      <c r="A254" s="167"/>
      <c r="B254" s="167"/>
      <c r="C254" s="167"/>
      <c r="D254" s="200"/>
      <c r="E254" s="173"/>
      <c r="F254" s="42"/>
      <c r="G254" s="42"/>
      <c r="H254" s="42"/>
      <c r="I254" s="42"/>
      <c r="J254" s="42"/>
      <c r="K254" s="42"/>
    </row>
    <row r="255" spans="1:11" ht="14.5">
      <c r="A255" s="42"/>
      <c r="B255" s="42"/>
      <c r="C255" s="42"/>
      <c r="D255" s="93"/>
      <c r="E255" s="42"/>
      <c r="F255" s="42"/>
      <c r="G255" s="42"/>
      <c r="H255" s="42"/>
      <c r="I255" s="42"/>
      <c r="J255" s="42"/>
      <c r="K255" s="42"/>
    </row>
    <row r="256" spans="1:11" ht="14.5">
      <c r="A256" s="167" t="s">
        <v>495</v>
      </c>
      <c r="B256" s="167"/>
      <c r="C256" s="167"/>
      <c r="D256" s="167"/>
      <c r="E256" s="173" t="s">
        <v>496</v>
      </c>
      <c r="F256" s="42"/>
      <c r="G256" s="42"/>
      <c r="H256" s="42"/>
      <c r="I256" s="42"/>
      <c r="J256" s="42"/>
      <c r="K256" s="42"/>
    </row>
    <row r="257" spans="1:11" ht="14.5">
      <c r="A257" s="167"/>
      <c r="B257" s="167"/>
      <c r="C257" s="167"/>
      <c r="D257" s="167"/>
      <c r="E257" s="173"/>
      <c r="F257" s="42" t="s">
        <v>11</v>
      </c>
      <c r="G257" s="42" t="s">
        <v>42</v>
      </c>
      <c r="H257" s="42" t="s">
        <v>1362</v>
      </c>
      <c r="I257" s="42"/>
      <c r="J257" s="42"/>
      <c r="K257" s="42" t="s">
        <v>1363</v>
      </c>
    </row>
    <row r="258" spans="1:11" ht="14.5">
      <c r="A258" s="167"/>
      <c r="B258" s="167" t="s">
        <v>515</v>
      </c>
      <c r="C258" s="167"/>
      <c r="D258" s="167"/>
      <c r="E258" s="173" t="s">
        <v>516</v>
      </c>
      <c r="F258" s="42"/>
      <c r="G258" s="42"/>
      <c r="H258" s="42"/>
      <c r="I258" s="42"/>
      <c r="J258" s="42"/>
      <c r="K258" s="42"/>
    </row>
    <row r="259" spans="1:11" ht="36">
      <c r="A259" s="167"/>
      <c r="B259" s="167"/>
      <c r="C259" s="128" t="s">
        <v>22</v>
      </c>
      <c r="D259" s="128" t="s">
        <v>499</v>
      </c>
      <c r="E259" s="131" t="s">
        <v>500</v>
      </c>
      <c r="F259" s="167" t="s">
        <v>327</v>
      </c>
      <c r="G259" s="42">
        <v>1</v>
      </c>
      <c r="H259" s="42"/>
      <c r="I259" s="42"/>
      <c r="J259" s="42"/>
      <c r="K259" s="42">
        <f>G259</f>
        <v>1</v>
      </c>
    </row>
    <row r="260" spans="1:11" ht="14.5">
      <c r="A260" s="167"/>
      <c r="B260" s="167" t="s">
        <v>533</v>
      </c>
      <c r="C260" s="167"/>
      <c r="D260" s="167"/>
      <c r="E260" s="173" t="s">
        <v>534</v>
      </c>
      <c r="F260" s="42"/>
      <c r="G260" s="42"/>
      <c r="H260" s="42"/>
      <c r="I260" s="42"/>
      <c r="J260" s="42"/>
      <c r="K260" s="42"/>
    </row>
    <row r="261" spans="1:11" ht="24">
      <c r="A261" s="167"/>
      <c r="B261" s="167"/>
      <c r="C261" s="167" t="s">
        <v>76</v>
      </c>
      <c r="D261" s="167" t="s">
        <v>535</v>
      </c>
      <c r="E261" s="173" t="s">
        <v>536</v>
      </c>
      <c r="F261" s="167" t="s">
        <v>327</v>
      </c>
      <c r="G261" s="42">
        <v>1</v>
      </c>
      <c r="H261" s="42"/>
      <c r="I261" s="42"/>
      <c r="J261" s="42"/>
      <c r="K261" s="42">
        <f>G261</f>
        <v>1</v>
      </c>
    </row>
    <row r="262" spans="1:11" ht="14.5">
      <c r="A262" s="167"/>
      <c r="B262" s="167"/>
      <c r="C262" s="167"/>
      <c r="D262" s="167"/>
      <c r="E262" s="173"/>
      <c r="F262" s="167"/>
      <c r="G262" s="42"/>
      <c r="H262" s="42"/>
      <c r="I262" s="42"/>
      <c r="J262" s="42"/>
      <c r="K262" s="42"/>
    </row>
    <row r="263" spans="1:11" ht="24">
      <c r="A263" s="167"/>
      <c r="B263" s="167" t="s">
        <v>550</v>
      </c>
      <c r="C263" s="167" t="s">
        <v>481</v>
      </c>
      <c r="D263" s="167"/>
      <c r="E263" s="173" t="s">
        <v>567</v>
      </c>
      <c r="F263" s="171" t="s">
        <v>437</v>
      </c>
      <c r="G263" s="42">
        <v>2</v>
      </c>
      <c r="H263" s="42"/>
      <c r="I263" s="42"/>
      <c r="J263" s="42"/>
      <c r="K263" s="42">
        <f>G263</f>
        <v>2</v>
      </c>
    </row>
    <row r="264" spans="1:11" ht="14.5">
      <c r="A264" s="167"/>
      <c r="B264" s="167"/>
      <c r="C264" s="167"/>
      <c r="D264" s="167"/>
      <c r="E264" s="173"/>
      <c r="F264" s="167"/>
      <c r="G264" s="42"/>
      <c r="H264" s="42"/>
      <c r="I264" s="42"/>
      <c r="J264" s="42"/>
      <c r="K264" s="42"/>
    </row>
    <row r="265" spans="1:11" ht="300">
      <c r="A265" s="167"/>
      <c r="B265" s="167"/>
      <c r="C265" s="167"/>
      <c r="D265" s="167" t="s">
        <v>573</v>
      </c>
      <c r="E265" s="173" t="s">
        <v>574</v>
      </c>
      <c r="F265" s="42"/>
      <c r="G265" s="42"/>
      <c r="H265" s="42"/>
      <c r="I265" s="42"/>
      <c r="J265" s="42"/>
      <c r="K265" s="42"/>
    </row>
    <row r="266" spans="1:11" ht="120">
      <c r="A266" s="167"/>
      <c r="B266" s="167"/>
      <c r="C266" s="167" t="s">
        <v>89</v>
      </c>
      <c r="D266" s="167" t="s">
        <v>575</v>
      </c>
      <c r="E266" s="173" t="s">
        <v>576</v>
      </c>
      <c r="F266" s="42"/>
      <c r="G266" s="42"/>
      <c r="H266" s="42"/>
      <c r="I266" s="42"/>
      <c r="J266" s="42"/>
      <c r="K266" s="42"/>
    </row>
    <row r="267" spans="1:11" ht="14.5">
      <c r="A267" s="167"/>
      <c r="B267" s="167"/>
      <c r="C267" s="167" t="s">
        <v>219</v>
      </c>
      <c r="D267" s="167"/>
      <c r="E267" s="173" t="s">
        <v>577</v>
      </c>
      <c r="F267" s="42" t="s">
        <v>327</v>
      </c>
      <c r="G267" s="42">
        <v>5</v>
      </c>
      <c r="H267" s="42"/>
      <c r="I267" s="42"/>
      <c r="J267" s="42"/>
      <c r="K267" s="42">
        <f>G267</f>
        <v>5</v>
      </c>
    </row>
    <row r="268" spans="1:11" ht="24">
      <c r="A268" s="167"/>
      <c r="B268" s="167"/>
      <c r="C268" s="167" t="s">
        <v>221</v>
      </c>
      <c r="D268" s="167"/>
      <c r="E268" s="173" t="s">
        <v>579</v>
      </c>
      <c r="F268" s="42"/>
      <c r="G268" s="42"/>
      <c r="H268" s="42"/>
      <c r="I268" s="42"/>
      <c r="J268" s="42"/>
      <c r="K268" s="42"/>
    </row>
    <row r="269" spans="1:11" ht="24">
      <c r="A269" s="167"/>
      <c r="B269" s="167"/>
      <c r="C269" s="167" t="s">
        <v>580</v>
      </c>
      <c r="D269" s="167"/>
      <c r="E269" s="173" t="s">
        <v>581</v>
      </c>
      <c r="F269" s="42" t="s">
        <v>327</v>
      </c>
      <c r="G269" s="42">
        <v>23</v>
      </c>
      <c r="H269" s="42"/>
      <c r="I269" s="42"/>
      <c r="J269" s="42"/>
      <c r="K269" s="42">
        <f>G269</f>
        <v>23</v>
      </c>
    </row>
    <row r="270" spans="1:11" ht="84">
      <c r="A270" s="167"/>
      <c r="B270" s="167"/>
      <c r="C270" s="167" t="s">
        <v>582</v>
      </c>
      <c r="D270" s="167"/>
      <c r="E270" s="173" t="s">
        <v>583</v>
      </c>
      <c r="F270" s="42"/>
      <c r="G270" s="42"/>
      <c r="H270" s="42"/>
      <c r="I270" s="42"/>
      <c r="J270" s="42"/>
      <c r="K270" s="42"/>
    </row>
    <row r="271" spans="1:11" ht="60">
      <c r="A271" s="167"/>
      <c r="B271" s="167"/>
      <c r="C271" s="167" t="s">
        <v>584</v>
      </c>
      <c r="D271" s="167"/>
      <c r="E271" s="173" t="s">
        <v>585</v>
      </c>
      <c r="F271" s="42"/>
      <c r="G271" s="42"/>
      <c r="H271" s="42"/>
      <c r="I271" s="42"/>
      <c r="J271" s="42"/>
      <c r="K271" s="42"/>
    </row>
    <row r="272" spans="1:11" ht="14.5">
      <c r="A272" s="167"/>
      <c r="B272" s="167"/>
      <c r="C272" s="167"/>
      <c r="D272" s="167"/>
      <c r="E272" s="42" t="s">
        <v>1364</v>
      </c>
      <c r="F272" s="42"/>
      <c r="G272" s="32">
        <v>1</v>
      </c>
      <c r="H272" s="42">
        <f>0.5+2+0.5+0.5+2.3+1+4.5+3+1.5</f>
        <v>15.8</v>
      </c>
      <c r="I272" s="42"/>
      <c r="J272" s="42"/>
      <c r="K272" s="42">
        <f t="shared" ref="K272:K283" si="32">G272*H272</f>
        <v>15.8</v>
      </c>
    </row>
    <row r="273" spans="1:11" ht="14.5">
      <c r="A273" s="167"/>
      <c r="B273" s="167"/>
      <c r="C273" s="167"/>
      <c r="D273" s="167"/>
      <c r="E273" s="42" t="s">
        <v>1365</v>
      </c>
      <c r="F273" s="42"/>
      <c r="G273" s="32">
        <v>1</v>
      </c>
      <c r="H273" s="42">
        <f>3.5+1+5.5+1+1+7.5+1.5+2+1</f>
        <v>24</v>
      </c>
      <c r="I273" s="42"/>
      <c r="J273" s="42"/>
      <c r="K273" s="42">
        <f t="shared" si="32"/>
        <v>24</v>
      </c>
    </row>
    <row r="274" spans="1:11" ht="14.5">
      <c r="A274" s="167"/>
      <c r="B274" s="167"/>
      <c r="C274" s="167"/>
      <c r="D274" s="167"/>
      <c r="E274" s="42" t="s">
        <v>1366</v>
      </c>
      <c r="F274" s="42"/>
      <c r="G274" s="32">
        <v>1</v>
      </c>
      <c r="H274" s="42">
        <f>3.5+1+5.5+1+9+1.5+2+1</f>
        <v>24.5</v>
      </c>
      <c r="I274" s="42"/>
      <c r="J274" s="42"/>
      <c r="K274" s="42">
        <f t="shared" si="32"/>
        <v>24.5</v>
      </c>
    </row>
    <row r="275" spans="1:11" ht="14.5">
      <c r="A275" s="167"/>
      <c r="B275" s="167"/>
      <c r="C275" s="167"/>
      <c r="D275" s="167"/>
      <c r="E275" s="42" t="s">
        <v>1367</v>
      </c>
      <c r="F275" s="42"/>
      <c r="G275" s="32">
        <v>1</v>
      </c>
      <c r="H275" s="42">
        <f>1.5+4.5+1.5</f>
        <v>7.5</v>
      </c>
      <c r="I275" s="42"/>
      <c r="J275" s="42"/>
      <c r="K275" s="42">
        <f t="shared" si="32"/>
        <v>7.5</v>
      </c>
    </row>
    <row r="276" spans="1:11" ht="14.5">
      <c r="A276" s="167"/>
      <c r="B276" s="167"/>
      <c r="C276" s="167"/>
      <c r="D276" s="167"/>
      <c r="E276" s="42" t="s">
        <v>1368</v>
      </c>
      <c r="F276" s="42"/>
      <c r="G276" s="32">
        <v>1</v>
      </c>
      <c r="H276" s="42">
        <f>0.5+1.5+3+9+1.5+2+1</f>
        <v>18.5</v>
      </c>
      <c r="I276" s="42"/>
      <c r="J276" s="42"/>
      <c r="K276" s="42">
        <f t="shared" si="32"/>
        <v>18.5</v>
      </c>
    </row>
    <row r="277" spans="1:11" ht="14.5">
      <c r="A277" s="167"/>
      <c r="B277" s="167"/>
      <c r="C277" s="167"/>
      <c r="D277" s="167"/>
      <c r="E277" s="42" t="s">
        <v>1369</v>
      </c>
      <c r="F277" s="42"/>
      <c r="G277" s="32">
        <v>1</v>
      </c>
      <c r="H277" s="42">
        <f>1.5</f>
        <v>1.5</v>
      </c>
      <c r="I277" s="42"/>
      <c r="J277" s="42"/>
      <c r="K277" s="42">
        <f t="shared" si="32"/>
        <v>1.5</v>
      </c>
    </row>
    <row r="278" spans="1:11" ht="14.5">
      <c r="A278" s="167"/>
      <c r="B278" s="167"/>
      <c r="C278" s="167"/>
      <c r="D278" s="167"/>
      <c r="E278" s="42" t="s">
        <v>1370</v>
      </c>
      <c r="F278" s="42"/>
      <c r="G278" s="32">
        <v>1</v>
      </c>
      <c r="H278" s="42">
        <f>1.5</f>
        <v>1.5</v>
      </c>
      <c r="I278" s="42"/>
      <c r="J278" s="42"/>
      <c r="K278" s="42">
        <f t="shared" si="32"/>
        <v>1.5</v>
      </c>
    </row>
    <row r="279" spans="1:11" ht="14.5">
      <c r="A279" s="167"/>
      <c r="B279" s="167"/>
      <c r="C279" s="167"/>
      <c r="D279" s="167"/>
      <c r="E279" s="42" t="s">
        <v>1371</v>
      </c>
      <c r="F279" s="42"/>
      <c r="G279" s="32">
        <v>1</v>
      </c>
      <c r="H279" s="42">
        <f>1.5</f>
        <v>1.5</v>
      </c>
      <c r="I279" s="42"/>
      <c r="J279" s="42"/>
      <c r="K279" s="42">
        <f t="shared" si="32"/>
        <v>1.5</v>
      </c>
    </row>
    <row r="280" spans="1:11" ht="14.5">
      <c r="A280" s="167"/>
      <c r="B280" s="167"/>
      <c r="C280" s="167"/>
      <c r="D280" s="167"/>
      <c r="E280" s="42" t="s">
        <v>1372</v>
      </c>
      <c r="F280" s="42"/>
      <c r="G280" s="32">
        <v>1</v>
      </c>
      <c r="H280" s="42">
        <f>2.5+3+2.3+3+1+7.5+1+2+1</f>
        <v>23.3</v>
      </c>
      <c r="I280" s="42"/>
      <c r="J280" s="42"/>
      <c r="K280" s="42">
        <f t="shared" si="32"/>
        <v>23.3</v>
      </c>
    </row>
    <row r="281" spans="1:11" ht="14.5">
      <c r="A281" s="167"/>
      <c r="B281" s="167"/>
      <c r="C281" s="167"/>
      <c r="D281" s="167"/>
      <c r="E281" s="42" t="s">
        <v>1373</v>
      </c>
      <c r="F281" s="42"/>
      <c r="G281" s="32">
        <v>1</v>
      </c>
      <c r="H281" s="42">
        <f>3+0.8+2+3+1+7.5+1+2+1</f>
        <v>21.3</v>
      </c>
      <c r="I281" s="42"/>
      <c r="J281" s="42"/>
      <c r="K281" s="42">
        <f t="shared" si="32"/>
        <v>21.3</v>
      </c>
    </row>
    <row r="282" spans="1:11" ht="14.5">
      <c r="A282" s="167"/>
      <c r="B282" s="167"/>
      <c r="C282" s="167"/>
      <c r="D282" s="167"/>
      <c r="E282" s="42" t="s">
        <v>1374</v>
      </c>
      <c r="F282" s="42"/>
      <c r="G282" s="32">
        <v>1</v>
      </c>
      <c r="H282" s="42">
        <f>4</f>
        <v>4</v>
      </c>
      <c r="I282" s="42"/>
      <c r="J282" s="42"/>
      <c r="K282" s="42">
        <f t="shared" si="32"/>
        <v>4</v>
      </c>
    </row>
    <row r="283" spans="1:11" ht="14.5">
      <c r="A283" s="167"/>
      <c r="B283" s="167"/>
      <c r="C283" s="167"/>
      <c r="D283" s="167"/>
      <c r="E283" s="42" t="s">
        <v>1375</v>
      </c>
      <c r="F283" s="42"/>
      <c r="G283" s="32">
        <v>1</v>
      </c>
      <c r="H283" s="42">
        <f>2.5</f>
        <v>2.5</v>
      </c>
      <c r="I283" s="42"/>
      <c r="J283" s="42"/>
      <c r="K283" s="42">
        <f t="shared" si="32"/>
        <v>2.5</v>
      </c>
    </row>
    <row r="284" spans="1:11" ht="14.5">
      <c r="A284" s="167"/>
      <c r="B284" s="167"/>
      <c r="C284" s="167"/>
      <c r="D284" s="167"/>
      <c r="E284" s="42"/>
      <c r="F284" s="42"/>
      <c r="G284" s="32"/>
      <c r="H284" s="42"/>
      <c r="I284" s="42"/>
      <c r="J284" s="193" t="s">
        <v>1376</v>
      </c>
      <c r="K284" s="193">
        <f>SUM(K272:K283)</f>
        <v>145.9</v>
      </c>
    </row>
    <row r="285" spans="1:11" ht="48">
      <c r="A285" s="167"/>
      <c r="B285" s="167"/>
      <c r="C285" s="167" t="s">
        <v>586</v>
      </c>
      <c r="D285" s="167"/>
      <c r="E285" s="173" t="s">
        <v>587</v>
      </c>
      <c r="F285" s="42"/>
      <c r="G285" s="42"/>
      <c r="H285" s="42"/>
      <c r="I285" s="42"/>
      <c r="J285" s="42"/>
      <c r="K285" s="42"/>
    </row>
    <row r="286" spans="1:11" ht="14.5">
      <c r="A286" s="167"/>
      <c r="B286" s="167"/>
      <c r="C286" s="167"/>
      <c r="D286" s="167"/>
      <c r="E286" s="42" t="s">
        <v>1377</v>
      </c>
      <c r="F286" s="42"/>
      <c r="G286" s="32">
        <v>1</v>
      </c>
      <c r="H286" s="42">
        <f>0.5+2+0.5</f>
        <v>3</v>
      </c>
      <c r="I286" s="42"/>
      <c r="J286" s="42"/>
      <c r="K286" s="42">
        <f t="shared" ref="K286:K311" si="33">G286*H286</f>
        <v>3</v>
      </c>
    </row>
    <row r="287" spans="1:11" ht="14.5">
      <c r="A287" s="167"/>
      <c r="B287" s="167"/>
      <c r="C287" s="167"/>
      <c r="D287" s="167"/>
      <c r="E287" s="42" t="s">
        <v>1378</v>
      </c>
      <c r="F287" s="42"/>
      <c r="G287" s="32">
        <v>1</v>
      </c>
      <c r="H287" s="42">
        <f>0.5+2.3+1+4.5+3+1.5+1.6+3</f>
        <v>17.399999999999999</v>
      </c>
      <c r="I287" s="42"/>
      <c r="J287" s="42"/>
      <c r="K287" s="42">
        <f t="shared" si="33"/>
        <v>17.399999999999999</v>
      </c>
    </row>
    <row r="288" spans="1:11" ht="14.5">
      <c r="A288" s="167"/>
      <c r="B288" s="167"/>
      <c r="C288" s="167"/>
      <c r="D288" s="167"/>
      <c r="E288" s="42" t="s">
        <v>1379</v>
      </c>
      <c r="F288" s="42"/>
      <c r="G288" s="32">
        <v>1</v>
      </c>
      <c r="H288" s="42">
        <f>0.5+1+4.5+3+1.5+1.6+3</f>
        <v>15.1</v>
      </c>
      <c r="I288" s="42"/>
      <c r="J288" s="42"/>
      <c r="K288" s="42">
        <f t="shared" si="33"/>
        <v>15.1</v>
      </c>
    </row>
    <row r="289" spans="1:11" ht="14.5">
      <c r="A289" s="167"/>
      <c r="B289" s="167"/>
      <c r="C289" s="167"/>
      <c r="D289" s="167"/>
      <c r="E289" s="42" t="s">
        <v>1380</v>
      </c>
      <c r="F289" s="42"/>
      <c r="G289" s="32">
        <v>1</v>
      </c>
      <c r="H289" s="42">
        <f>0.5+2+0.7+4.2+1.5+1.6+3</f>
        <v>13.5</v>
      </c>
      <c r="I289" s="42"/>
      <c r="J289" s="42"/>
      <c r="K289" s="42">
        <f t="shared" si="33"/>
        <v>13.5</v>
      </c>
    </row>
    <row r="290" spans="1:11" ht="14.5">
      <c r="A290" s="167"/>
      <c r="B290" s="167"/>
      <c r="C290" s="167"/>
      <c r="D290" s="167"/>
      <c r="E290" s="42" t="s">
        <v>1381</v>
      </c>
      <c r="F290" s="42"/>
      <c r="G290" s="32">
        <v>1</v>
      </c>
      <c r="H290" s="42">
        <f>0.5+2.5+0.7+4.2+1.5+1.6+3</f>
        <v>14</v>
      </c>
      <c r="I290" s="42"/>
      <c r="J290" s="42"/>
      <c r="K290" s="42">
        <f t="shared" si="33"/>
        <v>14</v>
      </c>
    </row>
    <row r="291" spans="1:11" ht="14.5">
      <c r="A291" s="167"/>
      <c r="B291" s="167"/>
      <c r="C291" s="167"/>
      <c r="D291" s="167"/>
      <c r="E291" s="42" t="s">
        <v>1382</v>
      </c>
      <c r="F291" s="42"/>
      <c r="G291" s="32">
        <v>1</v>
      </c>
      <c r="H291" s="42">
        <f>2</f>
        <v>2</v>
      </c>
      <c r="I291" s="42"/>
      <c r="J291" s="42"/>
      <c r="K291" s="42">
        <f t="shared" si="33"/>
        <v>2</v>
      </c>
    </row>
    <row r="292" spans="1:11" ht="14.5">
      <c r="A292" s="167"/>
      <c r="B292" s="167"/>
      <c r="C292" s="167"/>
      <c r="D292" s="167"/>
      <c r="E292" s="42" t="s">
        <v>1383</v>
      </c>
      <c r="F292" s="42"/>
      <c r="G292" s="32">
        <v>1</v>
      </c>
      <c r="H292" s="42">
        <f>3+2.1+2.7+0.8+7.5+1.5+1.6+3</f>
        <v>22.200000000000003</v>
      </c>
      <c r="I292" s="42"/>
      <c r="J292" s="42"/>
      <c r="K292" s="42">
        <f t="shared" si="33"/>
        <v>22.200000000000003</v>
      </c>
    </row>
    <row r="293" spans="1:11" ht="14.5">
      <c r="A293" s="167"/>
      <c r="B293" s="167"/>
      <c r="C293" s="167"/>
      <c r="D293" s="167"/>
      <c r="E293" s="42" t="s">
        <v>1384</v>
      </c>
      <c r="F293" s="42"/>
      <c r="G293" s="32">
        <v>1</v>
      </c>
      <c r="H293" s="42">
        <f>0.5+2+2+9+1.5+1.6+3</f>
        <v>19.600000000000001</v>
      </c>
      <c r="I293" s="42"/>
      <c r="J293" s="42"/>
      <c r="K293" s="42">
        <f t="shared" si="33"/>
        <v>19.600000000000001</v>
      </c>
    </row>
    <row r="294" spans="1:11" ht="14.5">
      <c r="A294" s="167"/>
      <c r="B294" s="167"/>
      <c r="C294" s="167"/>
      <c r="D294" s="167"/>
      <c r="E294" s="42" t="s">
        <v>1385</v>
      </c>
      <c r="F294" s="42"/>
      <c r="G294" s="32">
        <v>1</v>
      </c>
      <c r="H294" s="42">
        <f>0.5+2+1+2+9+1.5+1.6+3</f>
        <v>20.6</v>
      </c>
      <c r="I294" s="42"/>
      <c r="J294" s="42"/>
      <c r="K294" s="42">
        <f t="shared" si="33"/>
        <v>20.6</v>
      </c>
    </row>
    <row r="295" spans="1:11" ht="14.5">
      <c r="A295" s="167"/>
      <c r="B295" s="167"/>
      <c r="C295" s="167"/>
      <c r="D295" s="167"/>
      <c r="E295" s="42" t="s">
        <v>1386</v>
      </c>
      <c r="F295" s="42"/>
      <c r="G295" s="32">
        <v>1</v>
      </c>
      <c r="H295" s="42">
        <f>0.5+3+1+2+9+1.5+1.6+3</f>
        <v>21.6</v>
      </c>
      <c r="I295" s="42"/>
      <c r="J295" s="42"/>
      <c r="K295" s="42">
        <f t="shared" si="33"/>
        <v>21.6</v>
      </c>
    </row>
    <row r="296" spans="1:11" ht="14.5">
      <c r="A296" s="167"/>
      <c r="B296" s="167"/>
      <c r="C296" s="167"/>
      <c r="D296" s="167"/>
      <c r="E296" s="42" t="s">
        <v>1387</v>
      </c>
      <c r="F296" s="42"/>
      <c r="G296" s="32">
        <v>1</v>
      </c>
      <c r="H296" s="42">
        <f>0.5+3+1.5+1+2.7+9+1.5+1.6+3</f>
        <v>23.8</v>
      </c>
      <c r="I296" s="42"/>
      <c r="J296" s="42"/>
      <c r="K296" s="42">
        <f t="shared" si="33"/>
        <v>23.8</v>
      </c>
    </row>
    <row r="297" spans="1:11" ht="14.5">
      <c r="A297" s="167"/>
      <c r="B297" s="167"/>
      <c r="C297" s="167"/>
      <c r="D297" s="167"/>
      <c r="E297" s="42" t="s">
        <v>1388</v>
      </c>
      <c r="F297" s="42"/>
      <c r="G297" s="32">
        <v>1</v>
      </c>
      <c r="H297" s="42">
        <f>0.5+1.5+3.5+1+1+2+9+1.5+1.6+3</f>
        <v>24.6</v>
      </c>
      <c r="I297" s="42"/>
      <c r="J297" s="42"/>
      <c r="K297" s="42">
        <f t="shared" si="33"/>
        <v>24.6</v>
      </c>
    </row>
    <row r="298" spans="1:11" ht="14.5">
      <c r="A298" s="167"/>
      <c r="B298" s="167"/>
      <c r="C298" s="167"/>
      <c r="D298" s="167"/>
      <c r="E298" s="42" t="s">
        <v>1389</v>
      </c>
      <c r="F298" s="42"/>
      <c r="G298" s="32">
        <v>1</v>
      </c>
      <c r="H298" s="42">
        <f>0.5+3+3.5+1+1+2+9+1.5+1.6+3</f>
        <v>26.1</v>
      </c>
      <c r="I298" s="42"/>
      <c r="J298" s="42"/>
      <c r="K298" s="42">
        <f t="shared" si="33"/>
        <v>26.1</v>
      </c>
    </row>
    <row r="299" spans="1:11" ht="14.5">
      <c r="A299" s="167"/>
      <c r="B299" s="167"/>
      <c r="C299" s="167"/>
      <c r="D299" s="167"/>
      <c r="E299" s="42" t="s">
        <v>1390</v>
      </c>
      <c r="F299" s="42"/>
      <c r="G299" s="32"/>
      <c r="H299" s="42"/>
      <c r="I299" s="42"/>
      <c r="J299" s="42"/>
      <c r="K299" s="42">
        <f t="shared" si="33"/>
        <v>0</v>
      </c>
    </row>
    <row r="300" spans="1:11" ht="14.5">
      <c r="A300" s="167"/>
      <c r="B300" s="167"/>
      <c r="C300" s="167"/>
      <c r="D300" s="167"/>
      <c r="E300" s="42" t="s">
        <v>1391</v>
      </c>
      <c r="F300" s="42"/>
      <c r="G300" s="32">
        <v>1</v>
      </c>
      <c r="H300" s="42">
        <f>0.5+2+0.7+4+1+1.5+1.6+3</f>
        <v>14.299999999999999</v>
      </c>
      <c r="I300" s="42"/>
      <c r="J300" s="42"/>
      <c r="K300" s="42">
        <f t="shared" si="33"/>
        <v>14.299999999999999</v>
      </c>
    </row>
    <row r="301" spans="1:11" ht="14.5">
      <c r="A301" s="167"/>
      <c r="B301" s="167"/>
      <c r="C301" s="167"/>
      <c r="D301" s="167"/>
      <c r="E301" s="42" t="s">
        <v>1392</v>
      </c>
      <c r="F301" s="42"/>
      <c r="G301" s="32">
        <v>1</v>
      </c>
      <c r="H301" s="42">
        <f>0.5+2+0.7+4+1+1.5+1.6+3</f>
        <v>14.299999999999999</v>
      </c>
      <c r="I301" s="42"/>
      <c r="J301" s="42"/>
      <c r="K301" s="42">
        <f t="shared" si="33"/>
        <v>14.299999999999999</v>
      </c>
    </row>
    <row r="302" spans="1:11" ht="14.5">
      <c r="A302" s="167"/>
      <c r="B302" s="167"/>
      <c r="C302" s="167"/>
      <c r="D302" s="167"/>
      <c r="E302" s="42" t="s">
        <v>1393</v>
      </c>
      <c r="F302" s="42"/>
      <c r="G302" s="32">
        <v>1</v>
      </c>
      <c r="H302" s="42">
        <f>1.5</f>
        <v>1.5</v>
      </c>
      <c r="I302" s="42"/>
      <c r="J302" s="42"/>
      <c r="K302" s="42">
        <f t="shared" si="33"/>
        <v>1.5</v>
      </c>
    </row>
    <row r="303" spans="1:11" ht="14.5">
      <c r="A303" s="167"/>
      <c r="B303" s="167"/>
      <c r="C303" s="167"/>
      <c r="D303" s="167"/>
      <c r="E303" s="42" t="s">
        <v>1394</v>
      </c>
      <c r="F303" s="42"/>
      <c r="G303" s="32">
        <v>1</v>
      </c>
      <c r="H303" s="42">
        <f>3</f>
        <v>3</v>
      </c>
      <c r="I303" s="42"/>
      <c r="J303" s="42"/>
      <c r="K303" s="42">
        <f t="shared" si="33"/>
        <v>3</v>
      </c>
    </row>
    <row r="304" spans="1:11" ht="14.5">
      <c r="A304" s="167"/>
      <c r="B304" s="167"/>
      <c r="C304" s="167"/>
      <c r="D304" s="167"/>
      <c r="E304" s="42" t="s">
        <v>1395</v>
      </c>
      <c r="F304" s="42"/>
      <c r="G304" s="32">
        <v>1</v>
      </c>
      <c r="H304" s="42">
        <f>2.5+9+1.5+1.6+3</f>
        <v>17.600000000000001</v>
      </c>
      <c r="I304" s="42"/>
      <c r="J304" s="42"/>
      <c r="K304" s="42">
        <f t="shared" si="33"/>
        <v>17.600000000000001</v>
      </c>
    </row>
    <row r="305" spans="1:11" ht="14.5">
      <c r="A305" s="167"/>
      <c r="B305" s="167"/>
      <c r="C305" s="167"/>
      <c r="D305" s="167"/>
      <c r="E305" s="42" t="s">
        <v>1396</v>
      </c>
      <c r="F305" s="42"/>
      <c r="G305" s="32">
        <v>1</v>
      </c>
      <c r="H305" s="42">
        <f>2+0.7+4+1+1.6+3</f>
        <v>12.3</v>
      </c>
      <c r="I305" s="42"/>
      <c r="J305" s="42"/>
      <c r="K305" s="42">
        <f t="shared" si="33"/>
        <v>12.3</v>
      </c>
    </row>
    <row r="306" spans="1:11" ht="14.5">
      <c r="A306" s="167"/>
      <c r="B306" s="167"/>
      <c r="C306" s="167"/>
      <c r="D306" s="167"/>
      <c r="E306" s="42" t="s">
        <v>1397</v>
      </c>
      <c r="F306" s="42"/>
      <c r="G306" s="32">
        <v>1</v>
      </c>
      <c r="H306" s="42">
        <f>2+0.7+4+1+1.6+3</f>
        <v>12.3</v>
      </c>
      <c r="I306" s="42"/>
      <c r="J306" s="42"/>
      <c r="K306" s="42">
        <f t="shared" si="33"/>
        <v>12.3</v>
      </c>
    </row>
    <row r="307" spans="1:11" ht="14.5">
      <c r="A307" s="167"/>
      <c r="B307" s="167"/>
      <c r="C307" s="167"/>
      <c r="D307" s="167"/>
      <c r="E307" s="42" t="s">
        <v>1398</v>
      </c>
      <c r="F307" s="42"/>
      <c r="G307" s="32">
        <v>1</v>
      </c>
      <c r="H307" s="42">
        <f>0.5+2+3</f>
        <v>5.5</v>
      </c>
      <c r="I307" s="42"/>
      <c r="J307" s="42"/>
      <c r="K307" s="42">
        <f t="shared" si="33"/>
        <v>5.5</v>
      </c>
    </row>
    <row r="308" spans="1:11" ht="14.5">
      <c r="A308" s="167"/>
      <c r="B308" s="167"/>
      <c r="C308" s="167"/>
      <c r="D308" s="167"/>
      <c r="E308" s="42" t="s">
        <v>1399</v>
      </c>
      <c r="F308" s="42"/>
      <c r="G308" s="32">
        <v>1</v>
      </c>
      <c r="H308" s="42">
        <f>3.5</f>
        <v>3.5</v>
      </c>
      <c r="I308" s="42"/>
      <c r="J308" s="42"/>
      <c r="K308" s="42">
        <f t="shared" si="33"/>
        <v>3.5</v>
      </c>
    </row>
    <row r="309" spans="1:11" ht="14.5">
      <c r="A309" s="167"/>
      <c r="B309" s="167"/>
      <c r="C309" s="167"/>
      <c r="D309" s="167"/>
      <c r="E309" s="42" t="s">
        <v>1400</v>
      </c>
      <c r="F309" s="42"/>
      <c r="G309" s="32">
        <v>1</v>
      </c>
      <c r="H309" s="42">
        <f>0.5+3+3</f>
        <v>6.5</v>
      </c>
      <c r="I309" s="42"/>
      <c r="J309" s="42"/>
      <c r="K309" s="42">
        <f t="shared" si="33"/>
        <v>6.5</v>
      </c>
    </row>
    <row r="310" spans="1:11" ht="14.5">
      <c r="A310" s="167"/>
      <c r="B310" s="167"/>
      <c r="C310" s="167"/>
      <c r="D310" s="167"/>
      <c r="E310" s="42" t="s">
        <v>1401</v>
      </c>
      <c r="F310" s="42"/>
      <c r="G310" s="32">
        <v>1</v>
      </c>
      <c r="H310" s="42">
        <f>0.5+3+3</f>
        <v>6.5</v>
      </c>
      <c r="I310" s="42"/>
      <c r="J310" s="42"/>
      <c r="K310" s="42">
        <f t="shared" si="33"/>
        <v>6.5</v>
      </c>
    </row>
    <row r="311" spans="1:11" ht="14.5">
      <c r="A311" s="167"/>
      <c r="B311" s="167"/>
      <c r="C311" s="167"/>
      <c r="D311" s="167"/>
      <c r="E311" s="42" t="s">
        <v>1402</v>
      </c>
      <c r="F311" s="42"/>
      <c r="G311" s="32">
        <v>1</v>
      </c>
      <c r="H311" s="42">
        <f>3.5+1+5.5+1+1+9+1.5+2+1</f>
        <v>25.5</v>
      </c>
      <c r="I311" s="42"/>
      <c r="J311" s="42"/>
      <c r="K311" s="42">
        <f t="shared" si="33"/>
        <v>25.5</v>
      </c>
    </row>
    <row r="312" spans="1:11" ht="14.5">
      <c r="A312" s="167"/>
      <c r="B312" s="167"/>
      <c r="C312" s="167"/>
      <c r="D312" s="167"/>
      <c r="E312" s="42"/>
      <c r="F312" s="42"/>
      <c r="G312" s="32"/>
      <c r="H312" s="42"/>
      <c r="I312" s="42"/>
      <c r="J312" s="213" t="s">
        <v>1376</v>
      </c>
      <c r="K312" s="213">
        <f>SUM(K286:K311)</f>
        <v>346.30000000000007</v>
      </c>
    </row>
    <row r="313" spans="1:11" ht="60">
      <c r="A313" s="167"/>
      <c r="B313" s="167"/>
      <c r="C313" s="167" t="s">
        <v>1403</v>
      </c>
      <c r="D313" s="167"/>
      <c r="E313" s="173" t="s">
        <v>615</v>
      </c>
      <c r="F313" s="42"/>
      <c r="G313" s="42"/>
      <c r="H313" s="42"/>
      <c r="I313" s="42"/>
      <c r="J313" s="42"/>
      <c r="K313" s="42"/>
    </row>
    <row r="314" spans="1:11" ht="14.5">
      <c r="A314" s="167"/>
      <c r="B314" s="167"/>
      <c r="C314" s="167"/>
      <c r="D314" s="167"/>
      <c r="E314" s="173" t="s">
        <v>1404</v>
      </c>
      <c r="F314" s="42" t="s">
        <v>327</v>
      </c>
      <c r="G314" s="42">
        <v>5</v>
      </c>
      <c r="H314" s="42"/>
      <c r="I314" s="42"/>
      <c r="J314" s="42"/>
      <c r="K314" s="42">
        <f>G314</f>
        <v>5</v>
      </c>
    </row>
    <row r="315" spans="1:11" ht="14.5">
      <c r="A315" s="167"/>
      <c r="B315" s="167"/>
      <c r="C315" s="167"/>
      <c r="D315" s="167"/>
      <c r="E315" s="173" t="s">
        <v>1405</v>
      </c>
      <c r="F315" s="42" t="s">
        <v>327</v>
      </c>
      <c r="G315" s="42">
        <v>13</v>
      </c>
      <c r="H315" s="42"/>
      <c r="I315" s="42"/>
      <c r="J315" s="42"/>
      <c r="K315" s="42">
        <f>G315</f>
        <v>13</v>
      </c>
    </row>
    <row r="316" spans="1:11" ht="14.5">
      <c r="A316" s="167"/>
      <c r="B316" s="167"/>
      <c r="C316" s="167"/>
      <c r="D316" s="167"/>
      <c r="E316" s="173"/>
      <c r="F316" s="42"/>
      <c r="G316" s="42"/>
      <c r="H316" s="42"/>
      <c r="I316" s="42"/>
      <c r="J316" s="42" t="s">
        <v>1326</v>
      </c>
      <c r="K316" s="42">
        <f>SUM(K314:K315)</f>
        <v>18</v>
      </c>
    </row>
    <row r="317" spans="1:11" ht="48">
      <c r="A317" s="167"/>
      <c r="B317" s="167"/>
      <c r="C317" s="167" t="s">
        <v>139</v>
      </c>
      <c r="D317" s="167" t="s">
        <v>629</v>
      </c>
      <c r="E317" s="173" t="s">
        <v>630</v>
      </c>
      <c r="F317" s="42"/>
      <c r="G317" s="42"/>
      <c r="H317" s="42"/>
      <c r="I317" s="42"/>
      <c r="J317" s="42"/>
      <c r="K317" s="42"/>
    </row>
    <row r="318" spans="1:11" ht="14.5">
      <c r="A318" s="167"/>
      <c r="B318" s="167"/>
      <c r="C318" s="167" t="s">
        <v>633</v>
      </c>
      <c r="D318" s="167"/>
      <c r="E318" s="173" t="s">
        <v>634</v>
      </c>
      <c r="F318" s="42"/>
      <c r="G318" s="42"/>
      <c r="H318" s="42"/>
      <c r="I318" s="42"/>
      <c r="J318" s="42"/>
      <c r="K318" s="42"/>
    </row>
    <row r="319" spans="1:11" ht="14.5">
      <c r="A319" s="167"/>
      <c r="B319" s="167"/>
      <c r="C319" s="167"/>
      <c r="D319" s="167"/>
      <c r="E319" s="42" t="s">
        <v>1406</v>
      </c>
      <c r="F319" s="42"/>
      <c r="G319" s="32">
        <v>2</v>
      </c>
      <c r="H319" s="42">
        <f>3+1.5+3+1+4.5+3+1.5+1.6</f>
        <v>19.100000000000001</v>
      </c>
      <c r="I319" s="42"/>
      <c r="J319" s="42"/>
      <c r="K319" s="42">
        <f t="shared" ref="K319:K360" si="34">G319*H319</f>
        <v>38.200000000000003</v>
      </c>
    </row>
    <row r="320" spans="1:11" ht="14.5">
      <c r="A320" s="167"/>
      <c r="B320" s="167"/>
      <c r="C320" s="167"/>
      <c r="D320" s="167"/>
      <c r="E320" s="42" t="s">
        <v>1407</v>
      </c>
      <c r="F320" s="42"/>
      <c r="G320" s="32">
        <v>1</v>
      </c>
      <c r="H320" s="42">
        <f>0.8+4.5+3+1.5+1.6</f>
        <v>11.4</v>
      </c>
      <c r="I320" s="42"/>
      <c r="J320" s="42"/>
      <c r="K320" s="42">
        <f t="shared" si="34"/>
        <v>11.4</v>
      </c>
    </row>
    <row r="321" spans="1:11" ht="14.5">
      <c r="A321" s="167"/>
      <c r="B321" s="167"/>
      <c r="C321" s="167"/>
      <c r="D321" s="167"/>
      <c r="E321" s="42" t="s">
        <v>1408</v>
      </c>
      <c r="F321" s="42"/>
      <c r="G321" s="32">
        <v>1</v>
      </c>
      <c r="H321" s="42">
        <f>1+4.5+1.1+1+3+1.5+2</f>
        <v>14.1</v>
      </c>
      <c r="I321" s="42"/>
      <c r="J321" s="42"/>
      <c r="K321" s="42">
        <f t="shared" si="34"/>
        <v>14.1</v>
      </c>
    </row>
    <row r="322" spans="1:11" ht="14.5">
      <c r="A322" s="167"/>
      <c r="B322" s="167"/>
      <c r="C322" s="167"/>
      <c r="D322" s="167"/>
      <c r="E322" s="42" t="s">
        <v>1409</v>
      </c>
      <c r="F322" s="42"/>
      <c r="G322" s="32">
        <v>1</v>
      </c>
      <c r="H322" s="42">
        <f>1</f>
        <v>1</v>
      </c>
      <c r="I322" s="42"/>
      <c r="J322" s="42"/>
      <c r="K322" s="42">
        <f t="shared" si="34"/>
        <v>1</v>
      </c>
    </row>
    <row r="323" spans="1:11" ht="14.5">
      <c r="A323" s="167"/>
      <c r="B323" s="167"/>
      <c r="C323" s="167"/>
      <c r="D323" s="167"/>
      <c r="E323" s="42" t="s">
        <v>1410</v>
      </c>
      <c r="F323" s="42"/>
      <c r="G323" s="32">
        <v>1</v>
      </c>
      <c r="H323" s="42">
        <f>2.2+1+1.1+1+3+1.3+1.6</f>
        <v>11.200000000000001</v>
      </c>
      <c r="I323" s="42"/>
      <c r="J323" s="42"/>
      <c r="K323" s="42">
        <f t="shared" si="34"/>
        <v>11.200000000000001</v>
      </c>
    </row>
    <row r="324" spans="1:11" ht="14.5">
      <c r="A324" s="167"/>
      <c r="B324" s="167"/>
      <c r="C324" s="167"/>
      <c r="D324" s="167"/>
      <c r="E324" s="42" t="s">
        <v>1411</v>
      </c>
      <c r="F324" s="42"/>
      <c r="G324" s="32">
        <v>1</v>
      </c>
      <c r="H324" s="42">
        <f>0.5+2.2+1+1.1+1+3+1.3+1.6</f>
        <v>11.700000000000001</v>
      </c>
      <c r="I324" s="42"/>
      <c r="J324" s="42"/>
      <c r="K324" s="42">
        <f t="shared" si="34"/>
        <v>11.700000000000001</v>
      </c>
    </row>
    <row r="325" spans="1:11" ht="14.5">
      <c r="A325" s="167"/>
      <c r="B325" s="167"/>
      <c r="C325" s="167"/>
      <c r="D325" s="167"/>
      <c r="E325" s="42" t="s">
        <v>1412</v>
      </c>
      <c r="F325" s="42"/>
      <c r="G325" s="32">
        <v>1</v>
      </c>
      <c r="H325" s="42">
        <f>1.5+1+4.2+1.5</f>
        <v>8.1999999999999993</v>
      </c>
      <c r="I325" s="42"/>
      <c r="J325" s="42"/>
      <c r="K325" s="42">
        <f t="shared" si="34"/>
        <v>8.1999999999999993</v>
      </c>
    </row>
    <row r="326" spans="1:11" ht="14.5">
      <c r="A326" s="167"/>
      <c r="B326" s="167"/>
      <c r="C326" s="167"/>
      <c r="D326" s="167"/>
      <c r="E326" s="42" t="s">
        <v>1413</v>
      </c>
      <c r="F326" s="42"/>
      <c r="G326" s="32">
        <v>1</v>
      </c>
      <c r="H326" s="42">
        <f>1+0.7+4+1+3+1.3+1.6</f>
        <v>12.6</v>
      </c>
      <c r="I326" s="42"/>
      <c r="J326" s="42"/>
      <c r="K326" s="42">
        <f t="shared" si="34"/>
        <v>12.6</v>
      </c>
    </row>
    <row r="327" spans="1:11" ht="14.5">
      <c r="A327" s="167"/>
      <c r="B327" s="167"/>
      <c r="C327" s="167"/>
      <c r="D327" s="167"/>
      <c r="E327" s="42" t="s">
        <v>1414</v>
      </c>
      <c r="F327" s="42"/>
      <c r="G327" s="32">
        <v>1</v>
      </c>
      <c r="H327" s="42">
        <f>1.5+3+1</f>
        <v>5.5</v>
      </c>
      <c r="I327" s="42"/>
      <c r="J327" s="42"/>
      <c r="K327" s="42">
        <f t="shared" si="34"/>
        <v>5.5</v>
      </c>
    </row>
    <row r="328" spans="1:11" ht="14.5">
      <c r="A328" s="167"/>
      <c r="B328" s="167"/>
      <c r="C328" s="167"/>
      <c r="D328" s="167"/>
      <c r="E328" s="42" t="s">
        <v>1415</v>
      </c>
      <c r="F328" s="42"/>
      <c r="G328" s="32">
        <v>1</v>
      </c>
      <c r="H328" s="42">
        <f>2+1.5+0.7+4+1+2+1+2</f>
        <v>14.2</v>
      </c>
      <c r="I328" s="42"/>
      <c r="J328" s="42"/>
      <c r="K328" s="42">
        <f t="shared" si="34"/>
        <v>14.2</v>
      </c>
    </row>
    <row r="329" spans="1:11" ht="14.5">
      <c r="A329" s="167"/>
      <c r="B329" s="167"/>
      <c r="C329" s="167"/>
      <c r="D329" s="167"/>
      <c r="E329" s="42" t="s">
        <v>1416</v>
      </c>
      <c r="F329" s="42"/>
      <c r="G329" s="32">
        <v>1</v>
      </c>
      <c r="H329" s="42">
        <f>2</f>
        <v>2</v>
      </c>
      <c r="I329" s="42"/>
      <c r="J329" s="42"/>
      <c r="K329" s="42">
        <f t="shared" si="34"/>
        <v>2</v>
      </c>
    </row>
    <row r="330" spans="1:11" ht="14.5">
      <c r="A330" s="167"/>
      <c r="B330" s="167"/>
      <c r="C330" s="167"/>
      <c r="D330" s="167"/>
      <c r="E330" s="42" t="s">
        <v>1417</v>
      </c>
      <c r="F330" s="42"/>
      <c r="G330" s="32">
        <v>1</v>
      </c>
      <c r="H330" s="42">
        <f>3.5+3+0.7+4+1+3+1.3+1.6</f>
        <v>18.100000000000001</v>
      </c>
      <c r="I330" s="42"/>
      <c r="J330" s="42"/>
      <c r="K330" s="42">
        <f t="shared" si="34"/>
        <v>18.100000000000001</v>
      </c>
    </row>
    <row r="331" spans="1:11" ht="14.5">
      <c r="A331" s="167"/>
      <c r="B331" s="167"/>
      <c r="C331" s="167"/>
      <c r="D331" s="167"/>
      <c r="E331" s="42" t="s">
        <v>1418</v>
      </c>
      <c r="F331" s="42"/>
      <c r="G331" s="32">
        <v>1</v>
      </c>
      <c r="H331" s="42">
        <f>2.2+2.7+0.7+4+1+3+1.3+1.6</f>
        <v>16.500000000000004</v>
      </c>
      <c r="I331" s="42"/>
      <c r="J331" s="42"/>
      <c r="K331" s="42">
        <f t="shared" si="34"/>
        <v>16.500000000000004</v>
      </c>
    </row>
    <row r="332" spans="1:11" ht="14.5">
      <c r="A332" s="167"/>
      <c r="B332" s="167"/>
      <c r="C332" s="167"/>
      <c r="D332" s="167"/>
      <c r="E332" s="42" t="s">
        <v>1419</v>
      </c>
      <c r="F332" s="42"/>
      <c r="G332" s="32">
        <v>1</v>
      </c>
      <c r="H332" s="42">
        <f>1+2.3+3</f>
        <v>6.3</v>
      </c>
      <c r="I332" s="42"/>
      <c r="J332" s="42"/>
      <c r="K332" s="42">
        <f t="shared" si="34"/>
        <v>6.3</v>
      </c>
    </row>
    <row r="333" spans="1:11" ht="14.5">
      <c r="A333" s="167"/>
      <c r="B333" s="167"/>
      <c r="C333" s="167"/>
      <c r="D333" s="167"/>
      <c r="E333" s="42" t="s">
        <v>1420</v>
      </c>
      <c r="F333" s="42"/>
      <c r="G333" s="32">
        <v>1</v>
      </c>
      <c r="H333" s="42">
        <f>2+0.7+4.5+1+1.3+1.6</f>
        <v>11.1</v>
      </c>
      <c r="I333" s="42"/>
      <c r="J333" s="42"/>
      <c r="K333" s="42">
        <f t="shared" si="34"/>
        <v>11.1</v>
      </c>
    </row>
    <row r="334" spans="1:11" ht="14.5">
      <c r="A334" s="167"/>
      <c r="B334" s="167"/>
      <c r="C334" s="167"/>
      <c r="D334" s="167"/>
      <c r="E334" s="42" t="s">
        <v>1421</v>
      </c>
      <c r="F334" s="42"/>
      <c r="G334" s="32">
        <v>1</v>
      </c>
      <c r="H334" s="42">
        <f>2+1+5+1+3+1.3+1.6</f>
        <v>14.9</v>
      </c>
      <c r="I334" s="42"/>
      <c r="J334" s="42"/>
      <c r="K334" s="42">
        <f t="shared" si="34"/>
        <v>14.9</v>
      </c>
    </row>
    <row r="335" spans="1:11" ht="14.5">
      <c r="A335" s="167"/>
      <c r="B335" s="167"/>
      <c r="C335" s="167"/>
      <c r="D335" s="167"/>
      <c r="E335" s="42" t="s">
        <v>1422</v>
      </c>
      <c r="F335" s="42"/>
      <c r="G335" s="32">
        <v>1</v>
      </c>
      <c r="H335" s="42">
        <f>2</f>
        <v>2</v>
      </c>
      <c r="I335" s="42"/>
      <c r="J335" s="42"/>
      <c r="K335" s="42">
        <f t="shared" si="34"/>
        <v>2</v>
      </c>
    </row>
    <row r="336" spans="1:11" ht="14.5">
      <c r="A336" s="167"/>
      <c r="B336" s="167"/>
      <c r="C336" s="167"/>
      <c r="D336" s="167"/>
      <c r="E336" s="42" t="s">
        <v>1423</v>
      </c>
      <c r="F336" s="42"/>
      <c r="G336" s="32">
        <v>1</v>
      </c>
      <c r="H336" s="42">
        <f>0.5</f>
        <v>0.5</v>
      </c>
      <c r="I336" s="42"/>
      <c r="J336" s="42"/>
      <c r="K336" s="42">
        <f t="shared" si="34"/>
        <v>0.5</v>
      </c>
    </row>
    <row r="337" spans="1:11" ht="14.5">
      <c r="A337" s="167"/>
      <c r="B337" s="167"/>
      <c r="C337" s="167"/>
      <c r="D337" s="167"/>
      <c r="E337" s="42" t="s">
        <v>1424</v>
      </c>
      <c r="F337" s="42"/>
      <c r="G337" s="32">
        <v>1</v>
      </c>
      <c r="H337" s="42">
        <f>1+2.5+3+1+1+1.6</f>
        <v>10.1</v>
      </c>
      <c r="I337" s="42"/>
      <c r="J337" s="42"/>
      <c r="K337" s="42">
        <f t="shared" si="34"/>
        <v>10.1</v>
      </c>
    </row>
    <row r="338" spans="1:11" ht="14.5">
      <c r="A338" s="167"/>
      <c r="B338" s="167"/>
      <c r="C338" s="167"/>
      <c r="D338" s="167"/>
      <c r="E338" s="42" t="s">
        <v>1425</v>
      </c>
      <c r="F338" s="42"/>
      <c r="G338" s="32">
        <v>1</v>
      </c>
      <c r="H338" s="42">
        <f>1.5</f>
        <v>1.5</v>
      </c>
      <c r="I338" s="42"/>
      <c r="J338" s="42"/>
      <c r="K338" s="42">
        <f t="shared" si="34"/>
        <v>1.5</v>
      </c>
    </row>
    <row r="339" spans="1:11" ht="14.5">
      <c r="A339" s="167"/>
      <c r="B339" s="167"/>
      <c r="C339" s="167"/>
      <c r="D339" s="167"/>
      <c r="E339" s="42" t="s">
        <v>1426</v>
      </c>
      <c r="F339" s="42"/>
      <c r="G339" s="32">
        <v>1</v>
      </c>
      <c r="H339" s="42">
        <f>1</f>
        <v>1</v>
      </c>
      <c r="I339" s="42"/>
      <c r="J339" s="42"/>
      <c r="K339" s="42">
        <f t="shared" si="34"/>
        <v>1</v>
      </c>
    </row>
    <row r="340" spans="1:11" ht="14.5">
      <c r="A340" s="167"/>
      <c r="B340" s="167"/>
      <c r="C340" s="167"/>
      <c r="D340" s="167"/>
      <c r="E340" s="42" t="s">
        <v>1427</v>
      </c>
      <c r="F340" s="42"/>
      <c r="G340" s="32">
        <v>1</v>
      </c>
      <c r="H340" s="42">
        <f>2</f>
        <v>2</v>
      </c>
      <c r="I340" s="42"/>
      <c r="J340" s="42"/>
      <c r="K340" s="42">
        <f t="shared" si="34"/>
        <v>2</v>
      </c>
    </row>
    <row r="341" spans="1:11" ht="14.5">
      <c r="A341" s="167"/>
      <c r="B341" s="167"/>
      <c r="C341" s="167"/>
      <c r="D341" s="167"/>
      <c r="E341" s="42" t="s">
        <v>1428</v>
      </c>
      <c r="F341" s="42"/>
      <c r="G341" s="32">
        <v>1</v>
      </c>
      <c r="H341" s="42">
        <f>2.5+0.5+2+1.6</f>
        <v>6.6</v>
      </c>
      <c r="I341" s="42"/>
      <c r="J341" s="42"/>
      <c r="K341" s="42">
        <f t="shared" si="34"/>
        <v>6.6</v>
      </c>
    </row>
    <row r="342" spans="1:11" ht="14.5">
      <c r="A342" s="167"/>
      <c r="B342" s="167"/>
      <c r="C342" s="167"/>
      <c r="D342" s="167"/>
      <c r="E342" s="42" t="s">
        <v>1429</v>
      </c>
      <c r="F342" s="42"/>
      <c r="G342" s="32">
        <v>1</v>
      </c>
      <c r="H342" s="42">
        <f>1.5</f>
        <v>1.5</v>
      </c>
      <c r="I342" s="42"/>
      <c r="J342" s="42"/>
      <c r="K342" s="42">
        <f t="shared" si="34"/>
        <v>1.5</v>
      </c>
    </row>
    <row r="343" spans="1:11" ht="14.5">
      <c r="A343" s="167"/>
      <c r="B343" s="167"/>
      <c r="C343" s="167"/>
      <c r="D343" s="167"/>
      <c r="E343" s="42" t="s">
        <v>1430</v>
      </c>
      <c r="F343" s="42"/>
      <c r="G343" s="32">
        <v>1</v>
      </c>
      <c r="H343" s="42">
        <f>3</f>
        <v>3</v>
      </c>
      <c r="I343" s="42"/>
      <c r="J343" s="42"/>
      <c r="K343" s="42">
        <f t="shared" si="34"/>
        <v>3</v>
      </c>
    </row>
    <row r="344" spans="1:11" ht="14.5">
      <c r="A344" s="167"/>
      <c r="B344" s="167"/>
      <c r="C344" s="167"/>
      <c r="D344" s="167"/>
      <c r="E344" s="42" t="s">
        <v>1431</v>
      </c>
      <c r="F344" s="42"/>
      <c r="G344" s="32">
        <v>1</v>
      </c>
      <c r="H344" s="42">
        <f>3.5</f>
        <v>3.5</v>
      </c>
      <c r="I344" s="42"/>
      <c r="J344" s="42"/>
      <c r="K344" s="42">
        <f t="shared" si="34"/>
        <v>3.5</v>
      </c>
    </row>
    <row r="345" spans="1:11" ht="14.5">
      <c r="A345" s="167"/>
      <c r="B345" s="167"/>
      <c r="C345" s="167"/>
      <c r="D345" s="167"/>
      <c r="E345" s="42" t="s">
        <v>1432</v>
      </c>
      <c r="F345" s="42"/>
      <c r="G345" s="42"/>
      <c r="H345" s="42"/>
      <c r="I345" s="15"/>
      <c r="J345" s="15"/>
      <c r="K345" s="42">
        <f t="shared" si="34"/>
        <v>0</v>
      </c>
    </row>
    <row r="346" spans="1:11" ht="14.5">
      <c r="A346" s="167"/>
      <c r="B346" s="167"/>
      <c r="C346" s="167"/>
      <c r="D346" s="167"/>
      <c r="E346" s="42" t="s">
        <v>1433</v>
      </c>
      <c r="F346" s="42"/>
      <c r="G346" s="32">
        <v>1</v>
      </c>
      <c r="H346" s="42">
        <f>2.5+1+9</f>
        <v>12.5</v>
      </c>
      <c r="I346" s="42"/>
      <c r="J346" s="42"/>
      <c r="K346" s="42">
        <f t="shared" si="34"/>
        <v>12.5</v>
      </c>
    </row>
    <row r="347" spans="1:11" ht="14.5">
      <c r="A347" s="167"/>
      <c r="B347" s="167"/>
      <c r="C347" s="167"/>
      <c r="D347" s="167"/>
      <c r="E347" s="42" t="s">
        <v>1434</v>
      </c>
      <c r="F347" s="42"/>
      <c r="G347" s="32">
        <v>1</v>
      </c>
      <c r="H347" s="42">
        <f>1+2.3+2.5+0.7+1.5+1</f>
        <v>9</v>
      </c>
      <c r="I347" s="42"/>
      <c r="J347" s="42"/>
      <c r="K347" s="42">
        <f t="shared" si="34"/>
        <v>9</v>
      </c>
    </row>
    <row r="348" spans="1:11" ht="14.5">
      <c r="A348" s="167"/>
      <c r="B348" s="167"/>
      <c r="C348" s="167"/>
      <c r="D348" s="167"/>
      <c r="E348" s="42" t="s">
        <v>1435</v>
      </c>
      <c r="F348" s="42"/>
      <c r="G348" s="32">
        <v>1</v>
      </c>
      <c r="H348" s="42">
        <f>3+1+3+1+4.5+5.5+1</f>
        <v>19</v>
      </c>
      <c r="I348" s="42"/>
      <c r="J348" s="42"/>
      <c r="K348" s="42">
        <f t="shared" si="34"/>
        <v>19</v>
      </c>
    </row>
    <row r="349" spans="1:11" ht="14.5">
      <c r="A349" s="167"/>
      <c r="B349" s="167"/>
      <c r="C349" s="167"/>
      <c r="D349" s="167"/>
      <c r="E349" s="42" t="s">
        <v>1436</v>
      </c>
      <c r="F349" s="42"/>
      <c r="G349" s="32">
        <v>1</v>
      </c>
      <c r="H349" s="42">
        <f>5</f>
        <v>5</v>
      </c>
      <c r="I349" s="42"/>
      <c r="J349" s="42"/>
      <c r="K349" s="42">
        <f t="shared" si="34"/>
        <v>5</v>
      </c>
    </row>
    <row r="350" spans="1:11" ht="14.5">
      <c r="A350" s="167"/>
      <c r="B350" s="167"/>
      <c r="C350" s="167"/>
      <c r="D350" s="167"/>
      <c r="E350" s="42" t="s">
        <v>1437</v>
      </c>
      <c r="F350" s="42"/>
      <c r="G350" s="32">
        <v>1</v>
      </c>
      <c r="H350" s="42">
        <f>1.5+2+1.5+1</f>
        <v>6</v>
      </c>
      <c r="I350" s="42"/>
      <c r="J350" s="42"/>
      <c r="K350" s="42">
        <f t="shared" si="34"/>
        <v>6</v>
      </c>
    </row>
    <row r="351" spans="1:11" ht="14.5">
      <c r="A351" s="167"/>
      <c r="B351" s="167"/>
      <c r="C351" s="167"/>
      <c r="D351" s="167"/>
      <c r="E351" s="42" t="s">
        <v>1438</v>
      </c>
      <c r="F351" s="42"/>
      <c r="G351" s="32">
        <v>1</v>
      </c>
      <c r="H351" s="42">
        <f>1+0.5+4.6+1</f>
        <v>7.1</v>
      </c>
      <c r="I351" s="42"/>
      <c r="J351" s="42"/>
      <c r="K351" s="42">
        <f t="shared" si="34"/>
        <v>7.1</v>
      </c>
    </row>
    <row r="352" spans="1:11" ht="14.5">
      <c r="A352" s="167"/>
      <c r="B352" s="167"/>
      <c r="C352" s="167"/>
      <c r="D352" s="167"/>
      <c r="E352" s="42" t="s">
        <v>1439</v>
      </c>
      <c r="F352" s="42"/>
      <c r="G352" s="32">
        <v>1</v>
      </c>
      <c r="H352" s="42"/>
      <c r="I352" s="42"/>
      <c r="J352" s="42"/>
      <c r="K352" s="42">
        <f t="shared" si="34"/>
        <v>0</v>
      </c>
    </row>
    <row r="353" spans="1:11" ht="14.5">
      <c r="A353" s="167"/>
      <c r="B353" s="167"/>
      <c r="C353" s="167"/>
      <c r="D353" s="167"/>
      <c r="E353" s="42" t="s">
        <v>1440</v>
      </c>
      <c r="F353" s="42"/>
      <c r="G353" s="32">
        <v>1</v>
      </c>
      <c r="H353" s="42">
        <f>2+4+1+1.4</f>
        <v>8.4</v>
      </c>
      <c r="I353" s="42"/>
      <c r="J353" s="42"/>
      <c r="K353" s="42">
        <f t="shared" si="34"/>
        <v>8.4</v>
      </c>
    </row>
    <row r="354" spans="1:11" ht="14.5">
      <c r="A354" s="167"/>
      <c r="B354" s="167"/>
      <c r="C354" s="167"/>
      <c r="D354" s="167"/>
      <c r="E354" s="42" t="s">
        <v>1441</v>
      </c>
      <c r="F354" s="42"/>
      <c r="G354" s="32">
        <v>1</v>
      </c>
      <c r="H354" s="42">
        <f>2</f>
        <v>2</v>
      </c>
      <c r="I354" s="42"/>
      <c r="J354" s="42"/>
      <c r="K354" s="42">
        <f t="shared" si="34"/>
        <v>2</v>
      </c>
    </row>
    <row r="355" spans="1:11" ht="14.5">
      <c r="A355" s="167"/>
      <c r="B355" s="167"/>
      <c r="C355" s="167"/>
      <c r="D355" s="167"/>
      <c r="E355" s="42" t="s">
        <v>1442</v>
      </c>
      <c r="F355" s="42"/>
      <c r="G355" s="32">
        <v>1</v>
      </c>
      <c r="H355" s="42">
        <f>3</f>
        <v>3</v>
      </c>
      <c r="I355" s="42"/>
      <c r="J355" s="42"/>
      <c r="K355" s="42">
        <f t="shared" si="34"/>
        <v>3</v>
      </c>
    </row>
    <row r="356" spans="1:11" ht="14.5">
      <c r="A356" s="167"/>
      <c r="B356" s="167"/>
      <c r="C356" s="167"/>
      <c r="D356" s="167"/>
      <c r="E356" s="42" t="s">
        <v>1443</v>
      </c>
      <c r="F356" s="42"/>
      <c r="G356" s="32">
        <v>1</v>
      </c>
      <c r="H356" s="42">
        <f>1.5</f>
        <v>1.5</v>
      </c>
      <c r="I356" s="42"/>
      <c r="J356" s="42"/>
      <c r="K356" s="42">
        <f t="shared" si="34"/>
        <v>1.5</v>
      </c>
    </row>
    <row r="357" spans="1:11" ht="14.5">
      <c r="A357" s="167"/>
      <c r="B357" s="167"/>
      <c r="C357" s="167"/>
      <c r="D357" s="167"/>
      <c r="E357" s="42" t="s">
        <v>1444</v>
      </c>
      <c r="F357" s="42"/>
      <c r="G357" s="32">
        <v>1</v>
      </c>
      <c r="H357" s="42">
        <f>5</f>
        <v>5</v>
      </c>
      <c r="I357" s="42"/>
      <c r="J357" s="42"/>
      <c r="K357" s="42">
        <f t="shared" si="34"/>
        <v>5</v>
      </c>
    </row>
    <row r="358" spans="1:11" ht="14.5">
      <c r="A358" s="167"/>
      <c r="B358" s="167"/>
      <c r="C358" s="167"/>
      <c r="D358" s="167"/>
      <c r="E358" s="42" t="s">
        <v>1445</v>
      </c>
      <c r="F358" s="42"/>
      <c r="G358" s="32">
        <v>1</v>
      </c>
      <c r="H358" s="42">
        <f>4</f>
        <v>4</v>
      </c>
      <c r="I358" s="42"/>
      <c r="J358" s="42"/>
      <c r="K358" s="42">
        <f t="shared" si="34"/>
        <v>4</v>
      </c>
    </row>
    <row r="359" spans="1:11" ht="14.5">
      <c r="A359" s="167"/>
      <c r="B359" s="167"/>
      <c r="C359" s="167"/>
      <c r="D359" s="167"/>
      <c r="E359" s="42" t="s">
        <v>1446</v>
      </c>
      <c r="F359" s="42"/>
      <c r="G359" s="32">
        <v>1</v>
      </c>
      <c r="H359" s="42">
        <f>6+0.7+2</f>
        <v>8.6999999999999993</v>
      </c>
      <c r="I359" s="42"/>
      <c r="J359" s="42"/>
      <c r="K359" s="42">
        <f t="shared" si="34"/>
        <v>8.6999999999999993</v>
      </c>
    </row>
    <row r="360" spans="1:11" ht="14.5">
      <c r="A360" s="167"/>
      <c r="B360" s="167"/>
      <c r="C360" s="167"/>
      <c r="D360" s="167"/>
      <c r="E360" s="42" t="s">
        <v>1447</v>
      </c>
      <c r="F360" s="42"/>
      <c r="G360" s="32">
        <v>1</v>
      </c>
      <c r="H360" s="42">
        <f>3</f>
        <v>3</v>
      </c>
      <c r="I360" s="42"/>
      <c r="J360" s="42"/>
      <c r="K360" s="42">
        <f t="shared" si="34"/>
        <v>3</v>
      </c>
    </row>
    <row r="361" spans="1:11" ht="14.5">
      <c r="A361" s="167"/>
      <c r="B361" s="167"/>
      <c r="C361" s="167"/>
      <c r="D361" s="167"/>
      <c r="E361" s="42" t="s">
        <v>1521</v>
      </c>
      <c r="F361" s="42"/>
      <c r="G361" s="32"/>
      <c r="H361" s="42">
        <f xml:space="preserve"> (1+2.5)</f>
        <v>3.5</v>
      </c>
      <c r="I361" s="42"/>
      <c r="J361" s="42"/>
      <c r="K361" s="42">
        <f>H361</f>
        <v>3.5</v>
      </c>
    </row>
    <row r="362" spans="1:11" ht="14.5">
      <c r="A362" s="167"/>
      <c r="B362" s="167"/>
      <c r="C362" s="167"/>
      <c r="D362" s="167"/>
      <c r="E362" s="173"/>
      <c r="F362" s="193" t="s">
        <v>1522</v>
      </c>
      <c r="G362" s="193"/>
      <c r="H362" s="193"/>
      <c r="I362" s="193"/>
      <c r="J362" s="193"/>
      <c r="K362" s="193">
        <f>SUM(K319:K361)</f>
        <v>326.39999999999998</v>
      </c>
    </row>
    <row r="363" spans="1:11" ht="14.5">
      <c r="A363" s="167"/>
      <c r="B363" s="167"/>
      <c r="C363" s="167"/>
      <c r="D363" s="167"/>
      <c r="E363" s="173"/>
      <c r="F363" s="42"/>
      <c r="G363" s="42"/>
      <c r="H363" s="42"/>
      <c r="I363" s="42"/>
      <c r="J363" s="42"/>
      <c r="K363" s="42"/>
    </row>
    <row r="364" spans="1:11" ht="14.5">
      <c r="A364" s="167"/>
      <c r="B364" s="167"/>
      <c r="C364" s="167"/>
      <c r="D364" s="167"/>
      <c r="E364" s="175" t="s">
        <v>652</v>
      </c>
      <c r="F364" s="42"/>
      <c r="G364" s="42"/>
      <c r="H364" s="42"/>
      <c r="I364" s="42"/>
      <c r="J364" s="42"/>
      <c r="K364" s="42"/>
    </row>
    <row r="365" spans="1:11" ht="14.5">
      <c r="A365" s="167"/>
      <c r="B365" s="167"/>
      <c r="C365" s="167"/>
      <c r="D365" s="167"/>
      <c r="E365" s="175" t="s">
        <v>653</v>
      </c>
      <c r="F365" s="42" t="s">
        <v>327</v>
      </c>
      <c r="G365" s="42">
        <v>25</v>
      </c>
      <c r="H365" s="42"/>
      <c r="I365" s="42"/>
      <c r="J365" s="42"/>
      <c r="K365" s="42">
        <f>G365</f>
        <v>25</v>
      </c>
    </row>
    <row r="366" spans="1:11" ht="96">
      <c r="A366" s="167"/>
      <c r="B366" s="128" t="s">
        <v>662</v>
      </c>
      <c r="C366" s="167" t="s">
        <v>19</v>
      </c>
      <c r="D366" s="167" t="s">
        <v>664</v>
      </c>
      <c r="E366" s="173" t="s">
        <v>665</v>
      </c>
      <c r="F366" s="42"/>
      <c r="G366" s="42"/>
      <c r="H366" s="42"/>
      <c r="I366" s="42"/>
      <c r="J366" s="42"/>
      <c r="K366" s="42"/>
    </row>
    <row r="367" spans="1:11" ht="14.5">
      <c r="A367" s="167"/>
      <c r="B367" s="167"/>
      <c r="C367" s="167" t="s">
        <v>33</v>
      </c>
      <c r="D367" s="167"/>
      <c r="E367" s="173" t="s">
        <v>671</v>
      </c>
      <c r="F367" s="42"/>
      <c r="G367" s="42"/>
      <c r="H367" s="42"/>
      <c r="I367" s="42"/>
      <c r="J367" s="42"/>
      <c r="K367" s="42"/>
    </row>
    <row r="368" spans="1:11" ht="14.5">
      <c r="A368" s="167"/>
      <c r="B368" s="167"/>
      <c r="C368" s="167"/>
      <c r="D368" s="167"/>
      <c r="E368" s="42" t="s">
        <v>1448</v>
      </c>
      <c r="F368" s="42" t="s">
        <v>1449</v>
      </c>
      <c r="G368" s="42">
        <v>1</v>
      </c>
      <c r="H368" s="42">
        <f>4+2+2+5+2+4+10+3.2+3</f>
        <v>35.200000000000003</v>
      </c>
      <c r="I368" s="42"/>
      <c r="J368" s="42"/>
      <c r="K368" s="193">
        <f>G368*H368</f>
        <v>35.200000000000003</v>
      </c>
    </row>
    <row r="369" spans="1:11" ht="108">
      <c r="A369" s="167"/>
      <c r="B369" s="167"/>
      <c r="C369" s="167"/>
      <c r="D369" s="167" t="s">
        <v>679</v>
      </c>
      <c r="E369" s="173" t="s">
        <v>680</v>
      </c>
      <c r="F369" s="42"/>
      <c r="G369" s="42"/>
      <c r="H369" s="42"/>
      <c r="I369" s="42"/>
      <c r="J369" s="42"/>
      <c r="K369" s="42"/>
    </row>
    <row r="370" spans="1:11" ht="14.5">
      <c r="A370" s="167"/>
      <c r="B370" s="167"/>
      <c r="C370" s="167" t="s">
        <v>43</v>
      </c>
      <c r="D370" s="167"/>
      <c r="E370" s="173" t="s">
        <v>684</v>
      </c>
      <c r="F370" s="42" t="s">
        <v>327</v>
      </c>
      <c r="G370" s="42">
        <v>2</v>
      </c>
      <c r="H370" s="42"/>
      <c r="I370" s="42"/>
      <c r="J370" s="42"/>
      <c r="K370" s="42">
        <f>G370</f>
        <v>2</v>
      </c>
    </row>
    <row r="371" spans="1:11" ht="72">
      <c r="A371" s="167"/>
      <c r="B371" s="167"/>
      <c r="C371" s="167" t="s">
        <v>49</v>
      </c>
      <c r="D371" s="167"/>
      <c r="E371" s="173" t="s">
        <v>686</v>
      </c>
      <c r="F371" s="42"/>
      <c r="G371" s="42"/>
      <c r="H371" s="42"/>
      <c r="I371" s="42"/>
      <c r="J371" s="42"/>
      <c r="K371" s="42"/>
    </row>
    <row r="372" spans="1:11" ht="25.5">
      <c r="A372" s="167"/>
      <c r="B372" s="167"/>
      <c r="C372" s="167" t="s">
        <v>76</v>
      </c>
      <c r="D372" s="167"/>
      <c r="E372" s="173" t="s">
        <v>687</v>
      </c>
      <c r="F372" s="42"/>
      <c r="G372" s="42"/>
      <c r="H372" s="42"/>
      <c r="I372" s="42"/>
      <c r="J372" s="42"/>
      <c r="K372" s="42"/>
    </row>
    <row r="373" spans="1:11" ht="14.5">
      <c r="A373" s="167"/>
      <c r="B373" s="167"/>
      <c r="C373" s="167"/>
      <c r="D373" s="167"/>
      <c r="E373" s="42" t="s">
        <v>1450</v>
      </c>
      <c r="F373" s="42" t="s">
        <v>1449</v>
      </c>
      <c r="G373" s="42">
        <v>1</v>
      </c>
      <c r="H373" s="42">
        <f>2+2</f>
        <v>4</v>
      </c>
      <c r="I373" s="42"/>
      <c r="J373" s="42"/>
      <c r="K373" s="42">
        <f>G373*H373</f>
        <v>4</v>
      </c>
    </row>
    <row r="374" spans="1:11" ht="14.5">
      <c r="A374" s="167"/>
      <c r="B374" s="167"/>
      <c r="C374" s="167"/>
      <c r="D374" s="167"/>
      <c r="E374" s="42" t="s">
        <v>1451</v>
      </c>
      <c r="F374" s="42" t="s">
        <v>1449</v>
      </c>
      <c r="G374" s="42">
        <v>1</v>
      </c>
      <c r="H374" s="42">
        <f>1+3+1.5+1+10+3+3</f>
        <v>22.5</v>
      </c>
      <c r="I374" s="42"/>
      <c r="J374" s="42"/>
      <c r="K374" s="42">
        <f>G374*H374</f>
        <v>22.5</v>
      </c>
    </row>
    <row r="375" spans="1:11" ht="14.5">
      <c r="A375" s="167"/>
      <c r="B375" s="167"/>
      <c r="C375" s="167"/>
      <c r="D375" s="167"/>
      <c r="E375" s="42" t="s">
        <v>1452</v>
      </c>
      <c r="F375" s="42" t="s">
        <v>1449</v>
      </c>
      <c r="G375" s="42">
        <v>1</v>
      </c>
      <c r="H375" s="42">
        <v>3.5</v>
      </c>
      <c r="I375" s="42"/>
      <c r="J375" s="42"/>
      <c r="K375" s="42">
        <f>G375*H375</f>
        <v>3.5</v>
      </c>
    </row>
    <row r="376" spans="1:11" ht="14.5">
      <c r="A376" s="167"/>
      <c r="B376" s="167"/>
      <c r="C376" s="167"/>
      <c r="D376" s="167"/>
      <c r="E376" s="173"/>
      <c r="F376" s="42" t="s">
        <v>1449</v>
      </c>
      <c r="G376" s="42"/>
      <c r="H376" s="42"/>
      <c r="I376" s="42"/>
      <c r="J376" s="42" t="s">
        <v>1326</v>
      </c>
      <c r="K376" s="42">
        <f>SUM(K373:K375)</f>
        <v>30</v>
      </c>
    </row>
    <row r="377" spans="1:11" ht="14.5">
      <c r="A377" s="167"/>
      <c r="B377" s="167" t="s">
        <v>690</v>
      </c>
      <c r="C377" s="167"/>
      <c r="D377" s="167"/>
      <c r="E377" s="173" t="s">
        <v>691</v>
      </c>
      <c r="F377" s="42"/>
      <c r="G377" s="42"/>
      <c r="H377" s="42"/>
      <c r="I377" s="42"/>
      <c r="J377" s="42"/>
      <c r="K377" s="42"/>
    </row>
    <row r="378" spans="1:11" ht="36">
      <c r="A378" s="167"/>
      <c r="B378" s="167"/>
      <c r="C378" s="167" t="s">
        <v>31</v>
      </c>
      <c r="D378" s="167"/>
      <c r="E378" s="173" t="s">
        <v>697</v>
      </c>
      <c r="F378" s="42" t="s">
        <v>1449</v>
      </c>
      <c r="G378" s="42">
        <v>1</v>
      </c>
      <c r="H378" s="42">
        <v>50</v>
      </c>
      <c r="I378" s="42"/>
      <c r="J378" s="42"/>
      <c r="K378" s="42">
        <f>G378*H378</f>
        <v>50</v>
      </c>
    </row>
    <row r="379" spans="1:11" ht="72">
      <c r="A379" s="167"/>
      <c r="B379" s="167"/>
      <c r="C379" s="167" t="s">
        <v>37</v>
      </c>
      <c r="D379" s="167" t="s">
        <v>719</v>
      </c>
      <c r="E379" s="173" t="s">
        <v>720</v>
      </c>
      <c r="F379" s="42"/>
      <c r="G379" s="42"/>
      <c r="H379" s="42"/>
      <c r="I379" s="42"/>
      <c r="J379" s="42"/>
      <c r="K379" s="42"/>
    </row>
    <row r="380" spans="1:11" ht="14.5">
      <c r="A380" s="167"/>
      <c r="B380" s="167"/>
      <c r="C380" s="167" t="s">
        <v>40</v>
      </c>
      <c r="D380" s="167"/>
      <c r="E380" s="173" t="s">
        <v>721</v>
      </c>
      <c r="F380" s="42"/>
      <c r="G380" s="42"/>
      <c r="H380" s="42"/>
      <c r="I380" s="42"/>
      <c r="J380" s="42"/>
      <c r="K380" s="42"/>
    </row>
    <row r="381" spans="1:11" ht="14.5">
      <c r="A381" s="167"/>
      <c r="B381" s="167"/>
      <c r="C381" s="167" t="s">
        <v>43</v>
      </c>
      <c r="D381" s="167"/>
      <c r="E381" s="173" t="s">
        <v>722</v>
      </c>
      <c r="F381" s="42" t="s">
        <v>1449</v>
      </c>
      <c r="G381" s="42">
        <v>1</v>
      </c>
      <c r="H381" s="42">
        <v>9</v>
      </c>
      <c r="I381" s="42"/>
      <c r="J381" s="42"/>
      <c r="K381" s="42">
        <f>G381*H381</f>
        <v>9</v>
      </c>
    </row>
    <row r="382" spans="1:11" ht="14.5">
      <c r="A382" s="167"/>
      <c r="B382" s="167"/>
      <c r="C382" s="167" t="s">
        <v>45</v>
      </c>
      <c r="D382" s="167"/>
      <c r="E382" s="173" t="s">
        <v>723</v>
      </c>
      <c r="F382" s="42"/>
      <c r="G382" s="42"/>
      <c r="H382" s="42"/>
      <c r="I382" s="42"/>
      <c r="J382" s="42"/>
      <c r="K382" s="42"/>
    </row>
    <row r="383" spans="1:11" ht="14.5">
      <c r="A383" s="167"/>
      <c r="B383" s="167"/>
      <c r="C383" s="167" t="s">
        <v>47</v>
      </c>
      <c r="D383" s="167"/>
      <c r="E383" s="173" t="s">
        <v>724</v>
      </c>
      <c r="F383" s="42"/>
      <c r="G383" s="42"/>
      <c r="H383" s="42"/>
      <c r="I383" s="42"/>
      <c r="J383" s="42"/>
      <c r="K383" s="42"/>
    </row>
    <row r="384" spans="1:11" ht="14.5">
      <c r="A384" s="167"/>
      <c r="B384" s="167"/>
      <c r="C384" s="167" t="s">
        <v>31</v>
      </c>
      <c r="D384" s="167"/>
      <c r="E384" s="173" t="s">
        <v>743</v>
      </c>
      <c r="F384" s="42"/>
      <c r="G384" s="42"/>
      <c r="H384" s="42"/>
      <c r="I384" s="42"/>
      <c r="J384" s="42"/>
      <c r="K384" s="42"/>
    </row>
    <row r="385" spans="1:11" ht="14.5">
      <c r="A385" s="167"/>
      <c r="B385" s="167"/>
      <c r="C385" s="167"/>
      <c r="D385" s="167"/>
      <c r="E385" s="213" t="s">
        <v>1453</v>
      </c>
      <c r="F385" s="214" t="s">
        <v>1314</v>
      </c>
      <c r="G385" s="42"/>
      <c r="H385" s="42"/>
      <c r="I385" s="42"/>
      <c r="J385" s="42"/>
      <c r="K385" s="42"/>
    </row>
    <row r="386" spans="1:11" ht="14.5">
      <c r="A386" s="167"/>
      <c r="B386" s="167"/>
      <c r="C386" s="167"/>
      <c r="D386" s="167"/>
      <c r="E386" s="42" t="s">
        <v>1454</v>
      </c>
      <c r="F386" s="42"/>
      <c r="G386" s="42">
        <v>2</v>
      </c>
      <c r="H386" s="42">
        <f>1+2.5+1+9+5</f>
        <v>18.5</v>
      </c>
      <c r="I386" s="42"/>
      <c r="J386" s="42"/>
      <c r="K386" s="42">
        <f t="shared" ref="K386:K391" si="35">G386*H386</f>
        <v>37</v>
      </c>
    </row>
    <row r="387" spans="1:11" ht="14.5">
      <c r="A387" s="167"/>
      <c r="B387" s="167"/>
      <c r="C387" s="167"/>
      <c r="D387" s="167"/>
      <c r="E387" s="42" t="s">
        <v>1455</v>
      </c>
      <c r="F387" s="42"/>
      <c r="G387" s="42">
        <v>2</v>
      </c>
      <c r="H387" s="42">
        <f>1+2.3+2.5+0.7+1.5+1+5+I391</f>
        <v>14</v>
      </c>
      <c r="I387" s="42"/>
      <c r="J387" s="42"/>
      <c r="K387" s="42">
        <f t="shared" si="35"/>
        <v>28</v>
      </c>
    </row>
    <row r="388" spans="1:11" ht="14.5">
      <c r="A388" s="167"/>
      <c r="B388" s="167"/>
      <c r="C388" s="167"/>
      <c r="D388" s="167"/>
      <c r="E388" s="42" t="s">
        <v>1456</v>
      </c>
      <c r="F388" s="42"/>
      <c r="G388" s="42">
        <v>6</v>
      </c>
      <c r="H388" s="42">
        <f>1+3+1+3+1+4.5+5.5+1+5</f>
        <v>25</v>
      </c>
      <c r="I388" s="42"/>
      <c r="J388" s="42"/>
      <c r="K388" s="42">
        <f t="shared" si="35"/>
        <v>150</v>
      </c>
    </row>
    <row r="389" spans="1:11" ht="14.5">
      <c r="A389" s="167"/>
      <c r="B389" s="167"/>
      <c r="C389" s="167"/>
      <c r="D389" s="167"/>
      <c r="E389" s="42" t="s">
        <v>1457</v>
      </c>
      <c r="F389" s="42"/>
      <c r="G389" s="42">
        <v>1</v>
      </c>
      <c r="H389" s="42">
        <f>1+11.5</f>
        <v>12.5</v>
      </c>
      <c r="I389" s="42"/>
      <c r="J389" s="42"/>
      <c r="K389" s="42">
        <f t="shared" si="35"/>
        <v>12.5</v>
      </c>
    </row>
    <row r="390" spans="1:11" ht="14.5">
      <c r="A390" s="167"/>
      <c r="B390" s="167"/>
      <c r="C390" s="167"/>
      <c r="D390" s="167"/>
      <c r="E390" s="42" t="s">
        <v>1458</v>
      </c>
      <c r="F390" s="42"/>
      <c r="G390" s="42">
        <v>1</v>
      </c>
      <c r="H390" s="42">
        <f>1+1.5+2+1.5+1+5</f>
        <v>12</v>
      </c>
      <c r="I390" s="42"/>
      <c r="J390" s="42"/>
      <c r="K390" s="42">
        <f t="shared" si="35"/>
        <v>12</v>
      </c>
    </row>
    <row r="391" spans="1:11" ht="14.5">
      <c r="A391" s="167"/>
      <c r="B391" s="167"/>
      <c r="C391" s="167"/>
      <c r="D391" s="167"/>
      <c r="E391" s="42" t="s">
        <v>1459</v>
      </c>
      <c r="F391" s="42"/>
      <c r="G391" s="42">
        <v>5</v>
      </c>
      <c r="H391" s="42">
        <f>1+1+0.5+4.6+1</f>
        <v>8.1</v>
      </c>
      <c r="I391" s="42"/>
      <c r="J391" s="42"/>
      <c r="K391" s="42">
        <f t="shared" si="35"/>
        <v>40.5</v>
      </c>
    </row>
    <row r="392" spans="1:11" ht="14.5">
      <c r="A392" s="167"/>
      <c r="B392" s="167"/>
      <c r="C392" s="167"/>
      <c r="D392" s="167"/>
      <c r="E392" s="213" t="s">
        <v>1460</v>
      </c>
      <c r="F392" s="214" t="s">
        <v>1314</v>
      </c>
      <c r="G392" s="42"/>
      <c r="H392" s="42"/>
      <c r="I392" s="42"/>
      <c r="J392" s="42"/>
      <c r="K392" s="42"/>
    </row>
    <row r="393" spans="1:11" ht="14.5">
      <c r="A393" s="167"/>
      <c r="B393" s="167"/>
      <c r="C393" s="167"/>
      <c r="D393" s="167"/>
      <c r="E393" s="42" t="s">
        <v>1461</v>
      </c>
      <c r="F393" s="42"/>
      <c r="G393" s="42">
        <v>1</v>
      </c>
      <c r="H393" s="42">
        <f>2+3.5+0.5+7.5+4</f>
        <v>17.5</v>
      </c>
      <c r="I393" s="42"/>
      <c r="J393" s="42"/>
      <c r="K393" s="42">
        <f t="shared" ref="K393:K400" si="36">G393*H393</f>
        <v>17.5</v>
      </c>
    </row>
    <row r="394" spans="1:11" ht="14.5">
      <c r="A394" s="167"/>
      <c r="B394" s="167"/>
      <c r="C394" s="167"/>
      <c r="D394" s="167"/>
      <c r="E394" s="42" t="s">
        <v>1462</v>
      </c>
      <c r="F394" s="42"/>
      <c r="G394" s="42">
        <v>1</v>
      </c>
      <c r="H394" s="42">
        <f>2+2+7.5+4</f>
        <v>15.5</v>
      </c>
      <c r="I394" s="42"/>
      <c r="J394" s="42"/>
      <c r="K394" s="42">
        <f t="shared" si="36"/>
        <v>15.5</v>
      </c>
    </row>
    <row r="395" spans="1:11" ht="14.5">
      <c r="A395" s="167"/>
      <c r="B395" s="167"/>
      <c r="C395" s="167"/>
      <c r="D395" s="167"/>
      <c r="E395" s="42" t="s">
        <v>1463</v>
      </c>
      <c r="F395" s="42"/>
      <c r="G395" s="42">
        <v>1</v>
      </c>
      <c r="H395" s="42">
        <f>1+1.5+6.5+4</f>
        <v>13</v>
      </c>
      <c r="I395" s="42"/>
      <c r="J395" s="42"/>
      <c r="K395" s="42">
        <f t="shared" si="36"/>
        <v>13</v>
      </c>
    </row>
    <row r="396" spans="1:11" ht="14.5">
      <c r="A396" s="167"/>
      <c r="B396" s="167"/>
      <c r="C396" s="167"/>
      <c r="D396" s="167"/>
      <c r="E396" s="42" t="s">
        <v>1464</v>
      </c>
      <c r="F396" s="42"/>
      <c r="G396" s="42">
        <v>1</v>
      </c>
      <c r="H396" s="42">
        <f>1+1.5+5+4</f>
        <v>11.5</v>
      </c>
      <c r="I396" s="42"/>
      <c r="J396" s="42"/>
      <c r="K396" s="42">
        <f t="shared" si="36"/>
        <v>11.5</v>
      </c>
    </row>
    <row r="397" spans="1:11" ht="14.5">
      <c r="A397" s="167"/>
      <c r="B397" s="167"/>
      <c r="C397" s="167"/>
      <c r="D397" s="167"/>
      <c r="E397" s="42" t="s">
        <v>1465</v>
      </c>
      <c r="F397" s="42"/>
      <c r="G397" s="42">
        <v>1</v>
      </c>
      <c r="H397" s="42">
        <f>1+1.5+2.5+3.1+2.5+1+1.5+4</f>
        <v>17.100000000000001</v>
      </c>
      <c r="I397" s="42"/>
      <c r="J397" s="42"/>
      <c r="K397" s="42">
        <f t="shared" si="36"/>
        <v>17.100000000000001</v>
      </c>
    </row>
    <row r="398" spans="1:11" ht="14.5">
      <c r="A398" s="167"/>
      <c r="B398" s="167"/>
      <c r="C398" s="167"/>
      <c r="D398" s="167"/>
      <c r="E398" s="42" t="s">
        <v>1466</v>
      </c>
      <c r="F398" s="42"/>
      <c r="G398" s="42">
        <v>1</v>
      </c>
      <c r="H398" s="42">
        <f>1+3+1.5+1.5+4</f>
        <v>11</v>
      </c>
      <c r="I398" s="42"/>
      <c r="J398" s="42"/>
      <c r="K398" s="42">
        <f t="shared" si="36"/>
        <v>11</v>
      </c>
    </row>
    <row r="399" spans="1:11" ht="14.5">
      <c r="A399" s="167"/>
      <c r="B399" s="167"/>
      <c r="C399" s="167"/>
      <c r="D399" s="167"/>
      <c r="E399" s="42" t="s">
        <v>1467</v>
      </c>
      <c r="F399" s="42"/>
      <c r="G399" s="42">
        <v>1</v>
      </c>
      <c r="H399" s="42">
        <f>1+2.5+0.8+1+6.5+1+4</f>
        <v>16.8</v>
      </c>
      <c r="I399" s="42"/>
      <c r="J399" s="42"/>
      <c r="K399" s="42">
        <f t="shared" si="36"/>
        <v>16.8</v>
      </c>
    </row>
    <row r="400" spans="1:11" ht="14.5">
      <c r="A400" s="167"/>
      <c r="B400" s="167"/>
      <c r="C400" s="167"/>
      <c r="D400" s="167"/>
      <c r="E400" s="42" t="s">
        <v>1468</v>
      </c>
      <c r="F400" s="42"/>
      <c r="G400" s="42">
        <v>1</v>
      </c>
      <c r="H400" s="42">
        <f>1+1.5+6.5+1+4</f>
        <v>14</v>
      </c>
      <c r="I400" s="42"/>
      <c r="J400" s="42"/>
      <c r="K400" s="42">
        <f t="shared" si="36"/>
        <v>14</v>
      </c>
    </row>
    <row r="401" spans="1:11" ht="14.5">
      <c r="A401" s="167"/>
      <c r="B401" s="167"/>
      <c r="C401" s="167"/>
      <c r="D401" s="167"/>
      <c r="E401" s="42"/>
      <c r="F401" s="42"/>
      <c r="G401" s="42"/>
      <c r="H401" s="42"/>
      <c r="I401" s="42"/>
      <c r="J401" s="213" t="s">
        <v>1314</v>
      </c>
      <c r="K401" s="213">
        <f>SUM(K386:K400)</f>
        <v>396.40000000000003</v>
      </c>
    </row>
    <row r="402" spans="1:11" ht="14.5">
      <c r="A402" s="167"/>
      <c r="B402" s="167"/>
      <c r="C402" s="167"/>
      <c r="D402" s="167"/>
      <c r="E402" s="173"/>
      <c r="F402" s="42"/>
      <c r="G402" s="42"/>
      <c r="H402" s="42"/>
      <c r="I402" s="42"/>
      <c r="J402" s="42"/>
      <c r="K402" s="42"/>
    </row>
    <row r="403" spans="1:11" ht="24">
      <c r="A403" s="167" t="s">
        <v>751</v>
      </c>
      <c r="B403" s="167"/>
      <c r="C403" s="167"/>
      <c r="D403" s="167"/>
      <c r="E403" s="173"/>
      <c r="F403" s="42"/>
      <c r="G403" s="42"/>
      <c r="H403" s="42"/>
      <c r="I403" s="42"/>
      <c r="J403" s="42"/>
      <c r="K403" s="42"/>
    </row>
    <row r="404" spans="1:11" ht="14.5">
      <c r="A404" s="167" t="s">
        <v>752</v>
      </c>
      <c r="B404" s="167"/>
      <c r="C404" s="167"/>
      <c r="D404" s="167"/>
      <c r="E404" s="173" t="s">
        <v>753</v>
      </c>
      <c r="F404" s="42"/>
      <c r="G404" s="42"/>
      <c r="H404" s="42"/>
      <c r="I404" s="42"/>
      <c r="J404" s="42"/>
      <c r="K404" s="42"/>
    </row>
    <row r="405" spans="1:11" ht="14.5">
      <c r="A405" s="167"/>
      <c r="B405" s="167" t="s">
        <v>754</v>
      </c>
      <c r="C405" s="167"/>
      <c r="D405" s="167"/>
      <c r="E405" s="173"/>
      <c r="F405" s="42"/>
      <c r="G405" s="42"/>
      <c r="H405" s="42"/>
      <c r="I405" s="42"/>
      <c r="J405" s="42"/>
      <c r="K405" s="42"/>
    </row>
    <row r="406" spans="1:11" ht="72">
      <c r="A406" s="167"/>
      <c r="B406" s="167"/>
      <c r="C406" s="167" t="s">
        <v>22</v>
      </c>
      <c r="D406" s="167"/>
      <c r="E406" s="173" t="s">
        <v>756</v>
      </c>
      <c r="F406" s="42" t="s">
        <v>327</v>
      </c>
      <c r="G406" s="42">
        <v>2</v>
      </c>
      <c r="H406" s="42"/>
      <c r="I406" s="42"/>
      <c r="J406" s="42"/>
      <c r="K406" s="42">
        <v>2</v>
      </c>
    </row>
    <row r="407" spans="1:11" ht="72">
      <c r="A407" s="167"/>
      <c r="B407" s="167"/>
      <c r="C407" s="167" t="s">
        <v>37</v>
      </c>
      <c r="D407" s="167"/>
      <c r="E407" s="173" t="s">
        <v>757</v>
      </c>
      <c r="F407" s="42" t="s">
        <v>327</v>
      </c>
      <c r="G407" s="42">
        <v>2</v>
      </c>
      <c r="H407" s="42"/>
      <c r="I407" s="42"/>
      <c r="J407" s="42"/>
      <c r="K407" s="42">
        <v>2</v>
      </c>
    </row>
    <row r="408" spans="1:11" ht="36">
      <c r="A408" s="167"/>
      <c r="B408" s="167"/>
      <c r="C408" s="167" t="s">
        <v>108</v>
      </c>
      <c r="D408" s="167"/>
      <c r="E408" s="173" t="s">
        <v>765</v>
      </c>
      <c r="F408" s="42"/>
      <c r="G408" s="42"/>
      <c r="H408" s="42"/>
      <c r="I408" s="42"/>
      <c r="J408" s="42"/>
      <c r="K408" s="42"/>
    </row>
    <row r="409" spans="1:11" ht="14.5">
      <c r="A409" s="167"/>
      <c r="B409" s="167"/>
      <c r="C409" s="167"/>
      <c r="D409" s="167"/>
      <c r="E409" s="42" t="s">
        <v>1469</v>
      </c>
      <c r="F409" s="42"/>
      <c r="G409" s="42">
        <v>1</v>
      </c>
      <c r="H409" s="42">
        <f>1+8+0.5</f>
        <v>9.5</v>
      </c>
      <c r="I409" s="42"/>
      <c r="J409" s="42"/>
      <c r="K409" s="42">
        <f>G409*H409</f>
        <v>9.5</v>
      </c>
    </row>
    <row r="410" spans="1:11" ht="14.5">
      <c r="A410" s="167"/>
      <c r="B410" s="167"/>
      <c r="C410" s="167"/>
      <c r="D410" s="167"/>
      <c r="E410" s="42" t="s">
        <v>1470</v>
      </c>
      <c r="F410" s="42"/>
      <c r="G410" s="42">
        <v>1</v>
      </c>
      <c r="H410" s="42">
        <f>0.5+6.5+0.5</f>
        <v>7.5</v>
      </c>
      <c r="I410" s="42"/>
      <c r="J410" s="42"/>
      <c r="K410" s="42">
        <f>G410*H410</f>
        <v>7.5</v>
      </c>
    </row>
    <row r="411" spans="1:11" ht="14.5">
      <c r="A411" s="167"/>
      <c r="B411" s="167"/>
      <c r="C411" s="167"/>
      <c r="D411" s="167"/>
      <c r="E411" s="42" t="s">
        <v>1471</v>
      </c>
      <c r="F411" s="42"/>
      <c r="G411" s="42">
        <v>1</v>
      </c>
      <c r="H411" s="42">
        <f>0.5+7+0.5</f>
        <v>8</v>
      </c>
      <c r="I411" s="42"/>
      <c r="J411" s="42"/>
      <c r="K411" s="42">
        <f>G411*H411</f>
        <v>8</v>
      </c>
    </row>
    <row r="412" spans="1:11" ht="14.5">
      <c r="A412" s="167"/>
      <c r="B412" s="167"/>
      <c r="C412" s="167"/>
      <c r="D412" s="167"/>
      <c r="E412" s="42" t="s">
        <v>1472</v>
      </c>
      <c r="F412" s="42"/>
      <c r="G412" s="42">
        <v>1</v>
      </c>
      <c r="H412" s="42">
        <f>0.5+7.5+1+2.5+0.5</f>
        <v>12</v>
      </c>
      <c r="I412" s="42"/>
      <c r="J412" s="42"/>
      <c r="K412" s="42">
        <f>G412*H412</f>
        <v>12</v>
      </c>
    </row>
    <row r="413" spans="1:11" ht="14.5">
      <c r="A413" s="167"/>
      <c r="B413" s="167"/>
      <c r="C413" s="167"/>
      <c r="D413" s="167"/>
      <c r="E413" s="42" t="s">
        <v>1473</v>
      </c>
      <c r="F413" s="42"/>
      <c r="G413" s="42">
        <v>1</v>
      </c>
      <c r="H413" s="42">
        <f>0.5+5+0.5</f>
        <v>6</v>
      </c>
      <c r="I413" s="42"/>
      <c r="J413" s="42"/>
      <c r="K413" s="42">
        <f>G413*H413</f>
        <v>6</v>
      </c>
    </row>
    <row r="414" spans="1:11" ht="14.5">
      <c r="A414" s="167"/>
      <c r="B414" s="167"/>
      <c r="C414" s="167"/>
      <c r="D414" s="167"/>
      <c r="E414" s="173"/>
      <c r="F414" s="42"/>
      <c r="G414" s="42"/>
      <c r="H414" s="42"/>
      <c r="I414" s="42"/>
      <c r="J414" s="42" t="s">
        <v>1326</v>
      </c>
      <c r="K414" s="42">
        <f>SUM(K409:K413)</f>
        <v>43</v>
      </c>
    </row>
    <row r="415" spans="1:11" ht="14.5">
      <c r="A415" s="277" t="s">
        <v>1527</v>
      </c>
      <c r="B415" s="277"/>
      <c r="C415" s="277"/>
      <c r="D415" s="277"/>
      <c r="E415" s="277"/>
      <c r="F415" s="277"/>
      <c r="G415" s="277"/>
      <c r="H415" s="277"/>
      <c r="I415" s="277"/>
      <c r="J415" s="277"/>
      <c r="K415" s="277"/>
    </row>
    <row r="416" spans="1:11">
      <c r="A416" s="178">
        <v>1</v>
      </c>
      <c r="B416" s="176"/>
      <c r="C416" s="176"/>
      <c r="D416" s="176" t="s">
        <v>1519</v>
      </c>
      <c r="E416" s="176" t="s">
        <v>1520</v>
      </c>
      <c r="F416" s="176"/>
      <c r="G416" s="176"/>
      <c r="H416" s="176"/>
      <c r="I416" s="176"/>
      <c r="J416" s="176"/>
      <c r="K416" s="176">
        <v>5</v>
      </c>
    </row>
    <row r="417" spans="1:16">
      <c r="A417" s="176"/>
      <c r="B417" s="176"/>
      <c r="C417" s="176"/>
      <c r="D417" s="176"/>
      <c r="E417" s="176"/>
      <c r="F417" s="176"/>
      <c r="G417" s="176"/>
      <c r="H417" s="176"/>
      <c r="I417" s="176"/>
      <c r="J417" s="176"/>
      <c r="K417" s="176"/>
    </row>
    <row r="418" spans="1:16" ht="14.5">
      <c r="A418" s="167">
        <v>2</v>
      </c>
      <c r="B418" s="167"/>
      <c r="C418" s="167"/>
      <c r="D418" s="253" t="s">
        <v>1523</v>
      </c>
      <c r="E418" s="15" t="s">
        <v>1524</v>
      </c>
      <c r="F418" s="250"/>
      <c r="G418" s="251"/>
      <c r="H418" s="250"/>
      <c r="I418" s="15"/>
      <c r="J418" s="250"/>
      <c r="K418" s="250"/>
    </row>
    <row r="419" spans="1:16" ht="14.5">
      <c r="A419" s="167"/>
      <c r="B419" s="167"/>
      <c r="C419" s="167"/>
      <c r="D419" s="200"/>
      <c r="E419" s="15" t="s">
        <v>1525</v>
      </c>
      <c r="F419" s="250"/>
      <c r="G419" s="16">
        <v>3</v>
      </c>
      <c r="H419" s="250"/>
      <c r="I419" s="15">
        <v>46</v>
      </c>
      <c r="J419" s="250"/>
      <c r="K419" s="15">
        <f>I419*G419</f>
        <v>138</v>
      </c>
    </row>
    <row r="420" spans="1:16" ht="14.5">
      <c r="A420" s="167"/>
      <c r="B420" s="167"/>
      <c r="C420" s="167"/>
      <c r="D420" s="200"/>
      <c r="E420" s="15" t="s">
        <v>1525</v>
      </c>
      <c r="F420" s="250"/>
      <c r="G420" s="251"/>
      <c r="H420" s="250"/>
      <c r="I420" s="15">
        <v>45</v>
      </c>
      <c r="J420" s="250"/>
      <c r="K420" s="15">
        <f>I420</f>
        <v>45</v>
      </c>
    </row>
    <row r="421" spans="1:16" ht="14.5">
      <c r="A421" s="167"/>
      <c r="B421" s="167"/>
      <c r="C421" s="167"/>
      <c r="D421" s="200"/>
      <c r="E421" s="15" t="s">
        <v>1526</v>
      </c>
      <c r="F421" s="250"/>
      <c r="G421" s="251"/>
      <c r="H421" s="250"/>
      <c r="I421" s="15">
        <f xml:space="preserve"> (35+37)</f>
        <v>72</v>
      </c>
      <c r="J421" s="250"/>
      <c r="K421" s="15">
        <f>I421</f>
        <v>72</v>
      </c>
    </row>
    <row r="422" spans="1:16" ht="13">
      <c r="A422" s="176"/>
      <c r="B422" s="176"/>
      <c r="C422" s="176"/>
      <c r="D422" s="176"/>
      <c r="E422" s="176"/>
      <c r="F422" s="252" t="s">
        <v>1522</v>
      </c>
      <c r="G422" s="252"/>
      <c r="H422" s="252"/>
      <c r="I422" s="252"/>
      <c r="J422" s="252"/>
      <c r="K422" s="252">
        <f>SUM(K419:K421)</f>
        <v>255</v>
      </c>
    </row>
    <row r="423" spans="1:16" s="158" customFormat="1" ht="14.5">
      <c r="A423" s="167">
        <v>3</v>
      </c>
      <c r="B423" s="167"/>
      <c r="C423" s="167"/>
      <c r="D423" s="200" t="s">
        <v>1528</v>
      </c>
      <c r="E423" s="15" t="s">
        <v>1529</v>
      </c>
      <c r="F423" s="250" t="s">
        <v>42</v>
      </c>
      <c r="G423" s="16">
        <v>8</v>
      </c>
      <c r="H423" s="250"/>
      <c r="I423" s="250"/>
      <c r="J423" s="250"/>
      <c r="K423" s="250">
        <f>G423</f>
        <v>8</v>
      </c>
      <c r="L423" s="36"/>
      <c r="M423" s="36"/>
      <c r="N423" s="36"/>
      <c r="O423" s="36"/>
      <c r="P423" s="36"/>
    </row>
    <row r="424" spans="1:16" s="158" customFormat="1" ht="14.5">
      <c r="A424" s="167"/>
      <c r="B424" s="167"/>
      <c r="C424" s="167"/>
      <c r="D424" s="200"/>
      <c r="E424" s="173"/>
      <c r="F424" s="15"/>
      <c r="G424" s="15"/>
      <c r="H424" s="15"/>
      <c r="I424" s="15"/>
      <c r="J424" s="15"/>
      <c r="K424" s="15"/>
      <c r="L424" s="36"/>
      <c r="M424" s="36"/>
      <c r="N424" s="36"/>
      <c r="O424" s="36"/>
      <c r="P424" s="36"/>
    </row>
    <row r="425" spans="1:16" s="158" customFormat="1" ht="14.5">
      <c r="A425" s="167">
        <v>4</v>
      </c>
      <c r="B425" s="167"/>
      <c r="C425" s="167"/>
      <c r="D425" s="200" t="s">
        <v>1530</v>
      </c>
      <c r="E425" s="173" t="s">
        <v>1531</v>
      </c>
      <c r="F425" s="250" t="s">
        <v>42</v>
      </c>
      <c r="G425" s="16">
        <v>2</v>
      </c>
      <c r="H425" s="250"/>
      <c r="I425" s="250"/>
      <c r="J425" s="250"/>
      <c r="K425" s="250">
        <f>G425</f>
        <v>2</v>
      </c>
      <c r="L425" s="36"/>
      <c r="M425" s="36"/>
      <c r="N425" s="36"/>
      <c r="O425" s="36"/>
      <c r="P425" s="36"/>
    </row>
    <row r="426" spans="1:16">
      <c r="A426" s="176"/>
      <c r="B426" s="176"/>
      <c r="C426" s="176"/>
      <c r="D426" s="176"/>
      <c r="E426" s="176"/>
      <c r="F426" s="176"/>
      <c r="G426" s="176"/>
      <c r="H426" s="176"/>
      <c r="I426" s="176"/>
      <c r="J426" s="176"/>
      <c r="K426" s="176"/>
    </row>
    <row r="427" spans="1:16" ht="96">
      <c r="A427" s="181">
        <v>5</v>
      </c>
      <c r="B427" s="176"/>
      <c r="C427" s="176"/>
      <c r="D427" s="181" t="s">
        <v>1532</v>
      </c>
      <c r="E427" s="173" t="s">
        <v>665</v>
      </c>
      <c r="F427" s="176"/>
      <c r="G427" s="176"/>
      <c r="H427" s="176"/>
      <c r="I427" s="176"/>
      <c r="J427" s="176"/>
      <c r="K427" s="176"/>
    </row>
    <row r="428" spans="1:16">
      <c r="A428" s="176"/>
      <c r="B428" s="176"/>
      <c r="C428" s="176"/>
      <c r="D428" s="176"/>
      <c r="E428" s="176" t="s">
        <v>1533</v>
      </c>
      <c r="F428" s="176"/>
      <c r="G428" s="176"/>
      <c r="H428" s="176"/>
      <c r="I428" s="176"/>
      <c r="J428" s="176"/>
      <c r="K428" s="176"/>
    </row>
    <row r="429" spans="1:16">
      <c r="A429" s="176"/>
      <c r="B429" s="176"/>
      <c r="C429" s="176"/>
      <c r="D429" s="176"/>
      <c r="E429" s="176" t="s">
        <v>1534</v>
      </c>
      <c r="F429" s="176"/>
      <c r="G429" s="176"/>
      <c r="H429" s="176"/>
      <c r="I429" s="176">
        <f xml:space="preserve"> (2+3+14+4+2+4.5+4+2+3)</f>
        <v>38.5</v>
      </c>
      <c r="J429" s="176"/>
      <c r="K429" s="176">
        <f>I429</f>
        <v>38.5</v>
      </c>
    </row>
    <row r="430" spans="1:16">
      <c r="A430" s="176"/>
      <c r="B430" s="176"/>
      <c r="C430" s="176"/>
      <c r="D430" s="176"/>
      <c r="E430" s="176" t="s">
        <v>1535</v>
      </c>
      <c r="F430" s="176"/>
      <c r="G430" s="176"/>
      <c r="H430" s="176"/>
      <c r="I430" s="176">
        <f xml:space="preserve"> (2+3+14+4+2+4.5+4+2+2+3)</f>
        <v>40.5</v>
      </c>
      <c r="J430" s="176"/>
      <c r="K430" s="176">
        <f t="shared" ref="K430:K433" si="37">I430</f>
        <v>40.5</v>
      </c>
    </row>
    <row r="431" spans="1:16">
      <c r="A431" s="176"/>
      <c r="B431" s="176"/>
      <c r="C431" s="176"/>
      <c r="D431" s="176"/>
      <c r="E431" s="176" t="s">
        <v>1536</v>
      </c>
      <c r="F431" s="176"/>
      <c r="G431" s="176"/>
      <c r="H431" s="176"/>
      <c r="I431" s="176">
        <f xml:space="preserve"> (2+3+14+4+2+4.5+4+2+4+3)</f>
        <v>42.5</v>
      </c>
      <c r="J431" s="176"/>
      <c r="K431" s="176">
        <f t="shared" si="37"/>
        <v>42.5</v>
      </c>
    </row>
    <row r="432" spans="1:16">
      <c r="A432" s="176"/>
      <c r="B432" s="176"/>
      <c r="C432" s="176"/>
      <c r="D432" s="176"/>
      <c r="E432" s="176" t="s">
        <v>1537</v>
      </c>
      <c r="F432" s="176"/>
      <c r="G432" s="176"/>
      <c r="H432" s="176"/>
      <c r="I432" s="176">
        <f xml:space="preserve"> (2+3+14+4+2+4.5+4+2+6+3)</f>
        <v>44.5</v>
      </c>
      <c r="J432" s="176"/>
      <c r="K432" s="176">
        <f t="shared" si="37"/>
        <v>44.5</v>
      </c>
    </row>
    <row r="433" spans="1:11">
      <c r="A433" s="176"/>
      <c r="B433" s="176"/>
      <c r="C433" s="176"/>
      <c r="D433" s="176"/>
      <c r="E433" s="176" t="s">
        <v>1538</v>
      </c>
      <c r="F433" s="176"/>
      <c r="G433" s="176"/>
      <c r="H433" s="176"/>
      <c r="I433" s="176">
        <f>(2+3+14+4+2+4.5+4+2+8+3)</f>
        <v>46.5</v>
      </c>
      <c r="J433" s="176"/>
      <c r="K433" s="176">
        <f t="shared" si="37"/>
        <v>46.5</v>
      </c>
    </row>
    <row r="434" spans="1:11" ht="13">
      <c r="A434" s="176"/>
      <c r="B434" s="176"/>
      <c r="C434" s="176"/>
      <c r="D434" s="176"/>
      <c r="E434" s="176"/>
      <c r="F434" s="252" t="s">
        <v>1522</v>
      </c>
      <c r="G434" s="252"/>
      <c r="H434" s="252"/>
      <c r="I434" s="252"/>
      <c r="J434" s="252"/>
      <c r="K434" s="252">
        <f>SUM(K429:K433)</f>
        <v>212.5</v>
      </c>
    </row>
  </sheetData>
  <mergeCells count="4">
    <mergeCell ref="A1:J1"/>
    <mergeCell ref="A2:J2"/>
    <mergeCell ref="A3:J3"/>
    <mergeCell ref="A415:K415"/>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75"/>
  <sheetViews>
    <sheetView zoomScaleNormal="100" workbookViewId="0">
      <selection activeCell="K75" sqref="K75"/>
    </sheetView>
  </sheetViews>
  <sheetFormatPr defaultColWidth="8.81640625" defaultRowHeight="12"/>
  <cols>
    <col min="1" max="1" width="7.453125" style="121" customWidth="1"/>
    <col min="2" max="2" width="4.54296875" style="121" bestFit="1" customWidth="1"/>
    <col min="3" max="3" width="3.26953125" style="121" bestFit="1" customWidth="1"/>
    <col min="4" max="4" width="5" style="120" bestFit="1" customWidth="1"/>
    <col min="5" max="5" width="53.1796875" style="139" customWidth="1"/>
    <col min="6" max="6" width="9.54296875" style="139" customWidth="1"/>
    <col min="7" max="8" width="8.81640625" style="153"/>
    <col min="9" max="9" width="11.7265625" style="153" customWidth="1"/>
    <col min="10" max="10" width="10.7265625" style="154" customWidth="1"/>
    <col min="11" max="11" width="8.81640625" style="237"/>
    <col min="12" max="16384" width="8.81640625" style="120"/>
  </cols>
  <sheetData>
    <row r="1" spans="1:11" ht="12" customHeight="1">
      <c r="A1" s="128"/>
      <c r="B1" s="128"/>
      <c r="C1" s="128"/>
      <c r="D1" s="127"/>
      <c r="E1" s="133"/>
      <c r="F1" s="133"/>
      <c r="G1" s="144"/>
      <c r="H1" s="234"/>
      <c r="I1" s="279"/>
      <c r="J1" s="280"/>
    </row>
    <row r="2" spans="1:11">
      <c r="A2" s="278" t="s">
        <v>878</v>
      </c>
      <c r="B2" s="278"/>
      <c r="C2" s="278"/>
      <c r="D2" s="278"/>
      <c r="E2" s="278"/>
      <c r="F2" s="134"/>
      <c r="G2" s="144"/>
      <c r="H2" s="235"/>
      <c r="I2" s="281"/>
      <c r="J2" s="282"/>
    </row>
    <row r="3" spans="1:11">
      <c r="A3" s="140"/>
      <c r="B3" s="140"/>
      <c r="C3" s="140"/>
      <c r="D3" s="140"/>
      <c r="E3" s="123" t="s">
        <v>10</v>
      </c>
      <c r="F3" s="122" t="s">
        <v>11</v>
      </c>
      <c r="G3" s="146" t="s">
        <v>1477</v>
      </c>
      <c r="H3" s="146" t="s">
        <v>1476</v>
      </c>
      <c r="I3" s="146" t="s">
        <v>13</v>
      </c>
      <c r="J3" s="145" t="s">
        <v>1478</v>
      </c>
      <c r="K3" s="236" t="s">
        <v>1479</v>
      </c>
    </row>
    <row r="4" spans="1:11" s="138" customFormat="1">
      <c r="A4" s="134"/>
      <c r="B4" s="134" t="s">
        <v>17</v>
      </c>
      <c r="C4" s="134"/>
      <c r="D4" s="134"/>
      <c r="E4" s="134" t="s">
        <v>880</v>
      </c>
      <c r="F4" s="134"/>
      <c r="G4" s="147"/>
      <c r="H4" s="147"/>
      <c r="I4" s="147"/>
      <c r="J4" s="207"/>
      <c r="K4" s="238"/>
    </row>
    <row r="5" spans="1:11" s="138" customFormat="1" ht="36">
      <c r="A5" s="135"/>
      <c r="B5" s="135"/>
      <c r="C5" s="122" t="s">
        <v>19</v>
      </c>
      <c r="D5" s="137" t="s">
        <v>881</v>
      </c>
      <c r="E5" s="141" t="s">
        <v>882</v>
      </c>
      <c r="F5" s="136" t="s">
        <v>883</v>
      </c>
      <c r="G5" s="145">
        <v>0</v>
      </c>
      <c r="H5" s="145"/>
      <c r="I5" s="145">
        <v>75000</v>
      </c>
      <c r="J5" s="207">
        <f>$G5*I5</f>
        <v>0</v>
      </c>
      <c r="K5" s="239">
        <f>H5*I5</f>
        <v>0</v>
      </c>
    </row>
    <row r="6" spans="1:11" s="138" customFormat="1" ht="36">
      <c r="A6" s="135"/>
      <c r="B6" s="135"/>
      <c r="C6" s="122"/>
      <c r="D6" s="137"/>
      <c r="E6" s="141" t="s">
        <v>884</v>
      </c>
      <c r="F6" s="136"/>
      <c r="G6" s="145"/>
      <c r="H6" s="145"/>
      <c r="I6" s="145"/>
      <c r="J6" s="207"/>
      <c r="K6" s="239"/>
    </row>
    <row r="7" spans="1:11" s="138" customFormat="1" ht="48">
      <c r="A7" s="135"/>
      <c r="B7" s="135"/>
      <c r="C7" s="122"/>
      <c r="D7" s="137"/>
      <c r="E7" s="141" t="s">
        <v>885</v>
      </c>
      <c r="F7" s="136"/>
      <c r="G7" s="145"/>
      <c r="H7" s="145"/>
      <c r="I7" s="145"/>
      <c r="J7" s="207"/>
      <c r="K7" s="239"/>
    </row>
    <row r="8" spans="1:11" s="138" customFormat="1" ht="60">
      <c r="A8" s="135"/>
      <c r="B8" s="135"/>
      <c r="C8" s="122"/>
      <c r="D8" s="137"/>
      <c r="E8" s="141" t="s">
        <v>886</v>
      </c>
      <c r="F8" s="136"/>
      <c r="G8" s="145"/>
      <c r="H8" s="145"/>
      <c r="I8" s="145"/>
      <c r="J8" s="207"/>
      <c r="K8" s="239"/>
    </row>
    <row r="9" spans="1:11" s="138" customFormat="1" ht="36">
      <c r="A9" s="135"/>
      <c r="B9" s="135"/>
      <c r="C9" s="122"/>
      <c r="D9" s="137"/>
      <c r="E9" s="141" t="s">
        <v>887</v>
      </c>
      <c r="F9" s="136"/>
      <c r="G9" s="145"/>
      <c r="H9" s="145"/>
      <c r="I9" s="145"/>
      <c r="J9" s="207"/>
      <c r="K9" s="239"/>
    </row>
    <row r="10" spans="1:11" s="138" customFormat="1">
      <c r="A10" s="135"/>
      <c r="B10" s="135"/>
      <c r="C10" s="122"/>
      <c r="D10" s="136"/>
      <c r="E10" s="141" t="s">
        <v>888</v>
      </c>
      <c r="F10" s="136"/>
      <c r="G10" s="148"/>
      <c r="H10" s="148"/>
      <c r="I10" s="145"/>
      <c r="J10" s="207"/>
      <c r="K10" s="239"/>
    </row>
    <row r="11" spans="1:11" ht="24">
      <c r="A11" s="132" t="s">
        <v>52</v>
      </c>
      <c r="B11" s="132"/>
      <c r="C11" s="132"/>
      <c r="D11" s="132"/>
      <c r="E11" s="132"/>
      <c r="F11" s="132"/>
      <c r="G11" s="149"/>
      <c r="H11" s="149"/>
      <c r="I11" s="145"/>
      <c r="J11" s="206"/>
      <c r="K11" s="239"/>
    </row>
    <row r="12" spans="1:11" s="138" customFormat="1">
      <c r="A12" s="134"/>
      <c r="B12" s="134" t="s">
        <v>53</v>
      </c>
      <c r="C12" s="134"/>
      <c r="D12" s="134"/>
      <c r="E12" s="134" t="s">
        <v>889</v>
      </c>
      <c r="F12" s="134"/>
      <c r="G12" s="147"/>
      <c r="H12" s="147"/>
      <c r="I12" s="145"/>
      <c r="J12" s="207"/>
      <c r="K12" s="239"/>
    </row>
    <row r="13" spans="1:11" s="138" customFormat="1">
      <c r="A13" s="135"/>
      <c r="B13" s="135"/>
      <c r="C13" s="122" t="s">
        <v>19</v>
      </c>
      <c r="D13" s="132"/>
      <c r="E13" s="125" t="s">
        <v>890</v>
      </c>
      <c r="F13" s="128"/>
      <c r="G13" s="148"/>
      <c r="H13" s="148"/>
      <c r="I13" s="145"/>
      <c r="J13" s="207"/>
      <c r="K13" s="239"/>
    </row>
    <row r="14" spans="1:11" s="138" customFormat="1" ht="84">
      <c r="A14" s="135"/>
      <c r="B14" s="135"/>
      <c r="C14" s="122"/>
      <c r="D14" s="132"/>
      <c r="E14" s="141" t="s">
        <v>891</v>
      </c>
      <c r="F14" s="128"/>
      <c r="G14" s="148"/>
      <c r="H14" s="148"/>
      <c r="I14" s="145"/>
      <c r="J14" s="207"/>
      <c r="K14" s="239"/>
    </row>
    <row r="15" spans="1:11" s="138" customFormat="1">
      <c r="A15" s="135"/>
      <c r="B15" s="135"/>
      <c r="C15" s="142" t="s">
        <v>22</v>
      </c>
      <c r="D15" s="132"/>
      <c r="E15" s="141" t="s">
        <v>892</v>
      </c>
      <c r="F15" s="142" t="s">
        <v>893</v>
      </c>
      <c r="G15" s="151">
        <v>0</v>
      </c>
      <c r="H15" s="151"/>
      <c r="I15" s="145">
        <v>2650</v>
      </c>
      <c r="J15" s="207"/>
      <c r="K15" s="239"/>
    </row>
    <row r="16" spans="1:11" s="138" customFormat="1">
      <c r="A16" s="135"/>
      <c r="B16" s="135"/>
      <c r="C16" s="142" t="s">
        <v>25</v>
      </c>
      <c r="D16" s="132"/>
      <c r="E16" s="141" t="s">
        <v>894</v>
      </c>
      <c r="F16" s="142" t="s">
        <v>893</v>
      </c>
      <c r="G16" s="151">
        <v>0</v>
      </c>
      <c r="H16" s="151"/>
      <c r="I16" s="145">
        <v>2250</v>
      </c>
      <c r="J16" s="207"/>
      <c r="K16" s="239"/>
    </row>
    <row r="17" spans="1:11" s="138" customFormat="1">
      <c r="A17" s="135"/>
      <c r="B17" s="135"/>
      <c r="C17" s="142" t="s">
        <v>27</v>
      </c>
      <c r="D17" s="132"/>
      <c r="E17" s="141" t="s">
        <v>895</v>
      </c>
      <c r="F17" s="142" t="s">
        <v>893</v>
      </c>
      <c r="G17" s="151">
        <v>0</v>
      </c>
      <c r="H17" s="151"/>
      <c r="I17" s="145">
        <v>1750</v>
      </c>
      <c r="J17" s="207"/>
      <c r="K17" s="239"/>
    </row>
    <row r="18" spans="1:11" s="138" customFormat="1">
      <c r="A18" s="135"/>
      <c r="B18" s="135"/>
      <c r="C18" s="122" t="s">
        <v>29</v>
      </c>
      <c r="D18" s="137"/>
      <c r="E18" s="141" t="s">
        <v>896</v>
      </c>
      <c r="F18" s="136" t="s">
        <v>893</v>
      </c>
      <c r="G18" s="151">
        <v>10</v>
      </c>
      <c r="H18" s="151">
        <f>'MB Fire '!L8</f>
        <v>11.2</v>
      </c>
      <c r="I18" s="145">
        <v>1350</v>
      </c>
      <c r="J18" s="207">
        <f t="shared" ref="J18:J22" si="0">$G18*I18</f>
        <v>13500</v>
      </c>
      <c r="K18" s="239">
        <f>H18*I18</f>
        <v>15119.999999999998</v>
      </c>
    </row>
    <row r="19" spans="1:11" s="138" customFormat="1">
      <c r="A19" s="135"/>
      <c r="B19" s="135"/>
      <c r="C19" s="122" t="s">
        <v>31</v>
      </c>
      <c r="D19" s="137"/>
      <c r="E19" s="141" t="s">
        <v>897</v>
      </c>
      <c r="F19" s="136" t="s">
        <v>893</v>
      </c>
      <c r="G19" s="151">
        <v>0</v>
      </c>
      <c r="H19" s="151">
        <f>'MB Fire '!L9</f>
        <v>3</v>
      </c>
      <c r="I19" s="145">
        <v>1220</v>
      </c>
      <c r="J19" s="207">
        <f t="shared" si="0"/>
        <v>0</v>
      </c>
      <c r="K19" s="239">
        <f>H19*I19</f>
        <v>3660</v>
      </c>
    </row>
    <row r="20" spans="1:11" s="138" customFormat="1">
      <c r="A20" s="135"/>
      <c r="B20" s="135"/>
      <c r="C20" s="122" t="s">
        <v>33</v>
      </c>
      <c r="D20" s="137"/>
      <c r="E20" s="141" t="s">
        <v>898</v>
      </c>
      <c r="F20" s="136" t="s">
        <v>893</v>
      </c>
      <c r="G20" s="151">
        <v>0</v>
      </c>
      <c r="H20" s="151"/>
      <c r="I20" s="145">
        <v>950</v>
      </c>
      <c r="J20" s="207">
        <f t="shared" si="0"/>
        <v>0</v>
      </c>
      <c r="K20" s="239"/>
    </row>
    <row r="21" spans="1:11" s="138" customFormat="1">
      <c r="A21" s="135"/>
      <c r="B21" s="135"/>
      <c r="C21" s="122" t="s">
        <v>35</v>
      </c>
      <c r="D21" s="137"/>
      <c r="E21" s="141" t="s">
        <v>899</v>
      </c>
      <c r="F21" s="136" t="s">
        <v>893</v>
      </c>
      <c r="G21" s="151">
        <v>0</v>
      </c>
      <c r="H21" s="151"/>
      <c r="I21" s="145">
        <v>815</v>
      </c>
      <c r="J21" s="207">
        <f t="shared" si="0"/>
        <v>0</v>
      </c>
      <c r="K21" s="239"/>
    </row>
    <row r="22" spans="1:11" s="138" customFormat="1">
      <c r="A22" s="135"/>
      <c r="B22" s="135"/>
      <c r="C22" s="122" t="s">
        <v>457</v>
      </c>
      <c r="D22" s="137"/>
      <c r="E22" s="141" t="s">
        <v>900</v>
      </c>
      <c r="F22" s="136" t="s">
        <v>893</v>
      </c>
      <c r="G22" s="151">
        <v>25</v>
      </c>
      <c r="H22" s="151">
        <f>'MB Fire '!L10</f>
        <v>20.5</v>
      </c>
      <c r="I22" s="145">
        <v>750</v>
      </c>
      <c r="J22" s="207">
        <f t="shared" si="0"/>
        <v>18750</v>
      </c>
      <c r="K22" s="239">
        <f>H22*I22</f>
        <v>15375</v>
      </c>
    </row>
    <row r="23" spans="1:11" s="138" customFormat="1">
      <c r="A23" s="135"/>
      <c r="B23" s="135"/>
      <c r="C23" s="122" t="s">
        <v>37</v>
      </c>
      <c r="D23" s="137"/>
      <c r="E23" s="141" t="s">
        <v>901</v>
      </c>
      <c r="F23" s="136"/>
      <c r="G23" s="145"/>
      <c r="H23" s="145"/>
      <c r="I23" s="145"/>
      <c r="J23" s="207"/>
      <c r="K23" s="239"/>
    </row>
    <row r="24" spans="1:11" s="138" customFormat="1" ht="48">
      <c r="A24" s="135"/>
      <c r="B24" s="135"/>
      <c r="C24" s="122"/>
      <c r="D24" s="137"/>
      <c r="E24" s="141" t="s">
        <v>902</v>
      </c>
      <c r="F24" s="136"/>
      <c r="G24" s="145"/>
      <c r="H24" s="145"/>
      <c r="I24" s="145"/>
      <c r="J24" s="207"/>
      <c r="K24" s="239"/>
    </row>
    <row r="25" spans="1:11" s="138" customFormat="1">
      <c r="A25" s="135"/>
      <c r="B25" s="135"/>
      <c r="C25" s="122" t="s">
        <v>40</v>
      </c>
      <c r="D25" s="137"/>
      <c r="E25" s="141" t="s">
        <v>903</v>
      </c>
      <c r="F25" s="136" t="s">
        <v>437</v>
      </c>
      <c r="G25" s="145">
        <v>0</v>
      </c>
      <c r="H25" s="145"/>
      <c r="I25" s="145">
        <v>4125</v>
      </c>
      <c r="J25" s="207">
        <f t="shared" ref="J25:J26" si="1">$G25*I25</f>
        <v>0</v>
      </c>
      <c r="K25" s="239"/>
    </row>
    <row r="26" spans="1:11" s="138" customFormat="1">
      <c r="A26" s="135"/>
      <c r="B26" s="135"/>
      <c r="C26" s="122" t="s">
        <v>43</v>
      </c>
      <c r="D26" s="137"/>
      <c r="E26" s="141" t="s">
        <v>904</v>
      </c>
      <c r="F26" s="136" t="s">
        <v>437</v>
      </c>
      <c r="G26" s="145">
        <v>1</v>
      </c>
      <c r="H26" s="145">
        <f>'MB Fire '!L13</f>
        <v>1</v>
      </c>
      <c r="I26" s="145">
        <v>3700</v>
      </c>
      <c r="J26" s="207">
        <f t="shared" si="1"/>
        <v>3700</v>
      </c>
      <c r="K26" s="239">
        <f>H26*I26</f>
        <v>3700</v>
      </c>
    </row>
    <row r="27" spans="1:11" s="138" customFormat="1">
      <c r="A27" s="135"/>
      <c r="B27" s="135"/>
      <c r="C27" s="122" t="s">
        <v>45</v>
      </c>
      <c r="D27" s="137"/>
      <c r="E27" s="141" t="s">
        <v>905</v>
      </c>
      <c r="F27" s="136" t="s">
        <v>437</v>
      </c>
      <c r="G27" s="145">
        <v>0</v>
      </c>
      <c r="H27" s="145"/>
      <c r="I27" s="145">
        <v>4180</v>
      </c>
      <c r="J27" s="207"/>
      <c r="K27" s="239"/>
    </row>
    <row r="28" spans="1:11" s="138" customFormat="1">
      <c r="A28" s="135"/>
      <c r="B28" s="135"/>
      <c r="C28" s="122" t="s">
        <v>47</v>
      </c>
      <c r="D28" s="137"/>
      <c r="E28" s="141" t="s">
        <v>640</v>
      </c>
      <c r="F28" s="136" t="s">
        <v>437</v>
      </c>
      <c r="G28" s="145"/>
      <c r="H28" s="145"/>
      <c r="I28" s="145">
        <v>3520</v>
      </c>
      <c r="J28" s="207"/>
      <c r="K28" s="239"/>
    </row>
    <row r="29" spans="1:11" s="138" customFormat="1">
      <c r="A29" s="135"/>
      <c r="B29" s="135"/>
      <c r="C29" s="122" t="s">
        <v>49</v>
      </c>
      <c r="D29" s="137"/>
      <c r="E29" s="141" t="s">
        <v>906</v>
      </c>
      <c r="F29" s="136"/>
      <c r="G29" s="145"/>
      <c r="H29" s="145"/>
      <c r="I29" s="145"/>
      <c r="J29" s="207"/>
      <c r="K29" s="239"/>
    </row>
    <row r="30" spans="1:11" s="138" customFormat="1" ht="48">
      <c r="A30" s="135"/>
      <c r="B30" s="135"/>
      <c r="C30" s="122"/>
      <c r="D30" s="137"/>
      <c r="E30" s="141" t="s">
        <v>907</v>
      </c>
      <c r="F30" s="136"/>
      <c r="G30" s="145"/>
      <c r="H30" s="145"/>
      <c r="I30" s="145"/>
      <c r="J30" s="207"/>
      <c r="K30" s="239"/>
    </row>
    <row r="31" spans="1:11" s="138" customFormat="1">
      <c r="A31" s="135"/>
      <c r="B31" s="135"/>
      <c r="C31" s="122" t="s">
        <v>76</v>
      </c>
      <c r="D31" s="137"/>
      <c r="E31" s="141" t="s">
        <v>894</v>
      </c>
      <c r="F31" s="136" t="s">
        <v>437</v>
      </c>
      <c r="G31" s="145">
        <v>0</v>
      </c>
      <c r="H31" s="145"/>
      <c r="I31" s="145">
        <v>12500</v>
      </c>
      <c r="J31" s="207"/>
      <c r="K31" s="239"/>
    </row>
    <row r="32" spans="1:11" s="138" customFormat="1">
      <c r="A32" s="135"/>
      <c r="B32" s="135"/>
      <c r="C32" s="122" t="s">
        <v>285</v>
      </c>
      <c r="D32" s="137"/>
      <c r="E32" s="141" t="s">
        <v>908</v>
      </c>
      <c r="F32" s="136" t="s">
        <v>437</v>
      </c>
      <c r="G32" s="145">
        <v>0</v>
      </c>
      <c r="H32" s="145"/>
      <c r="I32" s="145">
        <v>10450</v>
      </c>
      <c r="J32" s="207"/>
      <c r="K32" s="239"/>
    </row>
    <row r="33" spans="1:11" s="138" customFormat="1">
      <c r="A33" s="135"/>
      <c r="B33" s="135"/>
      <c r="C33" s="122" t="s">
        <v>397</v>
      </c>
      <c r="D33" s="137"/>
      <c r="E33" s="141" t="s">
        <v>896</v>
      </c>
      <c r="F33" s="136" t="s">
        <v>437</v>
      </c>
      <c r="G33" s="145">
        <v>1</v>
      </c>
      <c r="H33" s="145">
        <f>'MB Fire '!L16</f>
        <v>1</v>
      </c>
      <c r="I33" s="145">
        <v>6500</v>
      </c>
      <c r="J33" s="207">
        <f>$G33*I33</f>
        <v>6500</v>
      </c>
      <c r="K33" s="239">
        <f>H33*I33</f>
        <v>6500</v>
      </c>
    </row>
    <row r="34" spans="1:11" s="138" customFormat="1">
      <c r="A34" s="135"/>
      <c r="B34" s="135"/>
      <c r="C34" s="122" t="s">
        <v>89</v>
      </c>
      <c r="D34" s="137"/>
      <c r="E34" s="141" t="s">
        <v>909</v>
      </c>
      <c r="F34" s="136"/>
      <c r="G34" s="145"/>
      <c r="H34" s="145"/>
      <c r="I34" s="145"/>
      <c r="J34" s="207"/>
      <c r="K34" s="239"/>
    </row>
    <row r="35" spans="1:11" s="138" customFormat="1" ht="36">
      <c r="A35" s="135"/>
      <c r="B35" s="135"/>
      <c r="C35" s="122"/>
      <c r="D35" s="137"/>
      <c r="E35" s="141" t="s">
        <v>910</v>
      </c>
      <c r="F35" s="136"/>
      <c r="G35" s="145"/>
      <c r="H35" s="145"/>
      <c r="I35" s="145"/>
      <c r="J35" s="207"/>
      <c r="K35" s="239"/>
    </row>
    <row r="36" spans="1:11" s="138" customFormat="1">
      <c r="A36" s="135"/>
      <c r="B36" s="135"/>
      <c r="C36" s="122" t="s">
        <v>219</v>
      </c>
      <c r="D36" s="137"/>
      <c r="E36" s="141" t="s">
        <v>897</v>
      </c>
      <c r="F36" s="136" t="s">
        <v>437</v>
      </c>
      <c r="G36" s="145">
        <v>0</v>
      </c>
      <c r="H36" s="145"/>
      <c r="I36" s="145">
        <v>3500</v>
      </c>
      <c r="J36" s="207"/>
      <c r="K36" s="239"/>
    </row>
    <row r="37" spans="1:11" s="138" customFormat="1">
      <c r="A37" s="135"/>
      <c r="B37" s="135"/>
      <c r="C37" s="122" t="s">
        <v>92</v>
      </c>
      <c r="D37" s="137"/>
      <c r="E37" s="141" t="s">
        <v>911</v>
      </c>
      <c r="F37" s="136"/>
      <c r="G37" s="145"/>
      <c r="H37" s="145"/>
      <c r="I37" s="145"/>
      <c r="J37" s="207"/>
      <c r="K37" s="239"/>
    </row>
    <row r="38" spans="1:11" s="138" customFormat="1" ht="48">
      <c r="A38" s="135"/>
      <c r="B38" s="135"/>
      <c r="C38" s="122"/>
      <c r="D38" s="137"/>
      <c r="E38" s="141" t="s">
        <v>912</v>
      </c>
      <c r="F38" s="136"/>
      <c r="G38" s="145"/>
      <c r="H38" s="145"/>
      <c r="I38" s="145"/>
      <c r="J38" s="207"/>
      <c r="K38" s="239"/>
    </row>
    <row r="39" spans="1:11" s="138" customFormat="1">
      <c r="A39" s="135"/>
      <c r="B39" s="135"/>
      <c r="C39" s="122" t="s">
        <v>590</v>
      </c>
      <c r="D39" s="137"/>
      <c r="E39" s="141" t="s">
        <v>913</v>
      </c>
      <c r="F39" s="136" t="s">
        <v>437</v>
      </c>
      <c r="G39" s="145">
        <v>0</v>
      </c>
      <c r="H39" s="145"/>
      <c r="I39" s="145">
        <v>11000</v>
      </c>
      <c r="J39" s="207"/>
      <c r="K39" s="239"/>
    </row>
    <row r="40" spans="1:11" s="138" customFormat="1">
      <c r="A40" s="135"/>
      <c r="B40" s="135"/>
      <c r="C40" s="122" t="s">
        <v>108</v>
      </c>
      <c r="D40" s="137"/>
      <c r="E40" s="141" t="s">
        <v>914</v>
      </c>
      <c r="F40" s="136"/>
      <c r="G40" s="145"/>
      <c r="H40" s="145"/>
      <c r="I40" s="145"/>
      <c r="J40" s="207"/>
      <c r="K40" s="239"/>
    </row>
    <row r="41" spans="1:11" s="138" customFormat="1" ht="60">
      <c r="A41" s="135"/>
      <c r="B41" s="135"/>
      <c r="C41" s="122"/>
      <c r="D41" s="137"/>
      <c r="E41" s="141" t="s">
        <v>915</v>
      </c>
      <c r="F41" s="136" t="s">
        <v>437</v>
      </c>
      <c r="G41" s="145"/>
      <c r="H41" s="145"/>
      <c r="I41" s="145">
        <v>3245</v>
      </c>
      <c r="J41" s="207"/>
      <c r="K41" s="239"/>
    </row>
    <row r="42" spans="1:11" s="138" customFormat="1">
      <c r="A42" s="135"/>
      <c r="B42" s="135"/>
      <c r="C42" s="122" t="s">
        <v>129</v>
      </c>
      <c r="D42" s="137"/>
      <c r="E42" s="141" t="s">
        <v>916</v>
      </c>
      <c r="F42" s="136"/>
      <c r="G42" s="145"/>
      <c r="H42" s="145"/>
      <c r="I42" s="145"/>
      <c r="J42" s="207"/>
      <c r="K42" s="239"/>
    </row>
    <row r="43" spans="1:11" s="138" customFormat="1" ht="36">
      <c r="A43" s="135"/>
      <c r="B43" s="135"/>
      <c r="C43" s="122"/>
      <c r="D43" s="137"/>
      <c r="E43" s="141" t="s">
        <v>917</v>
      </c>
      <c r="F43" s="136" t="s">
        <v>437</v>
      </c>
      <c r="G43" s="145">
        <v>1</v>
      </c>
      <c r="H43" s="145"/>
      <c r="I43" s="145">
        <v>2850</v>
      </c>
      <c r="J43" s="207">
        <f>$G43*I43</f>
        <v>2850</v>
      </c>
      <c r="K43" s="239">
        <f>H43*I43</f>
        <v>0</v>
      </c>
    </row>
    <row r="44" spans="1:11" s="138" customFormat="1">
      <c r="A44" s="135"/>
      <c r="B44" s="135"/>
      <c r="C44" s="122" t="s">
        <v>132</v>
      </c>
      <c r="D44" s="137"/>
      <c r="E44" s="141" t="s">
        <v>918</v>
      </c>
      <c r="F44" s="136"/>
      <c r="G44" s="145"/>
      <c r="H44" s="145"/>
      <c r="I44" s="145"/>
      <c r="J44" s="207"/>
      <c r="K44" s="239"/>
    </row>
    <row r="45" spans="1:11" s="138" customFormat="1" ht="48">
      <c r="A45" s="135"/>
      <c r="B45" s="135"/>
      <c r="C45" s="122"/>
      <c r="D45" s="137"/>
      <c r="E45" s="141" t="s">
        <v>919</v>
      </c>
      <c r="F45" s="136" t="s">
        <v>437</v>
      </c>
      <c r="G45" s="145">
        <v>0</v>
      </c>
      <c r="H45" s="145"/>
      <c r="I45" s="145"/>
      <c r="J45" s="207"/>
      <c r="K45" s="239"/>
    </row>
    <row r="46" spans="1:11" s="138" customFormat="1">
      <c r="A46" s="135"/>
      <c r="B46" s="135"/>
      <c r="C46" s="122" t="s">
        <v>136</v>
      </c>
      <c r="D46" s="137"/>
      <c r="E46" s="141" t="s">
        <v>920</v>
      </c>
      <c r="F46" s="136"/>
      <c r="G46" s="145"/>
      <c r="H46" s="145"/>
      <c r="I46" s="145"/>
      <c r="J46" s="207"/>
      <c r="K46" s="239"/>
    </row>
    <row r="47" spans="1:11" s="138" customFormat="1" ht="48">
      <c r="A47" s="135"/>
      <c r="B47" s="135"/>
      <c r="C47" s="122" t="s">
        <v>627</v>
      </c>
      <c r="D47" s="137"/>
      <c r="E47" s="141" t="s">
        <v>921</v>
      </c>
      <c r="F47" s="136" t="s">
        <v>437</v>
      </c>
      <c r="G47" s="145">
        <v>0</v>
      </c>
      <c r="H47" s="145"/>
      <c r="I47" s="145">
        <v>2350</v>
      </c>
      <c r="J47" s="207"/>
      <c r="K47" s="239"/>
    </row>
    <row r="48" spans="1:11" s="138" customFormat="1" ht="60">
      <c r="A48" s="135"/>
      <c r="B48" s="135"/>
      <c r="C48" s="122" t="s">
        <v>628</v>
      </c>
      <c r="D48" s="137"/>
      <c r="E48" s="141" t="s">
        <v>922</v>
      </c>
      <c r="F48" s="136" t="s">
        <v>437</v>
      </c>
      <c r="G48" s="145">
        <v>0</v>
      </c>
      <c r="H48" s="145"/>
      <c r="I48" s="145">
        <v>4785</v>
      </c>
      <c r="J48" s="207"/>
      <c r="K48" s="239"/>
    </row>
    <row r="49" spans="1:11" s="138" customFormat="1" ht="24">
      <c r="A49" s="135" t="s">
        <v>61</v>
      </c>
      <c r="B49" s="135"/>
      <c r="C49" s="122"/>
      <c r="D49" s="137"/>
      <c r="E49" s="141"/>
      <c r="F49" s="136"/>
      <c r="G49" s="145"/>
      <c r="H49" s="145"/>
      <c r="I49" s="145"/>
      <c r="J49" s="207"/>
      <c r="K49" s="239"/>
    </row>
    <row r="50" spans="1:11" s="138" customFormat="1">
      <c r="A50" s="135"/>
      <c r="B50" s="135" t="s">
        <v>62</v>
      </c>
      <c r="C50" s="122"/>
      <c r="D50" s="137"/>
      <c r="E50" s="141" t="s">
        <v>923</v>
      </c>
      <c r="F50" s="136"/>
      <c r="G50" s="145"/>
      <c r="H50" s="145"/>
      <c r="I50" s="145"/>
      <c r="J50" s="207"/>
      <c r="K50" s="239"/>
    </row>
    <row r="51" spans="1:11" s="138" customFormat="1">
      <c r="A51" s="135"/>
      <c r="B51" s="135"/>
      <c r="C51" s="122"/>
      <c r="D51" s="137"/>
      <c r="E51" s="141" t="s">
        <v>924</v>
      </c>
      <c r="F51" s="136"/>
      <c r="G51" s="145"/>
      <c r="H51" s="145"/>
      <c r="I51" s="145"/>
      <c r="J51" s="207"/>
      <c r="K51" s="239"/>
    </row>
    <row r="52" spans="1:11" s="138" customFormat="1" ht="48">
      <c r="A52" s="135"/>
      <c r="B52" s="135"/>
      <c r="C52" s="122" t="s">
        <v>19</v>
      </c>
      <c r="D52" s="137"/>
      <c r="E52" s="141" t="s">
        <v>921</v>
      </c>
      <c r="F52" s="136" t="s">
        <v>437</v>
      </c>
      <c r="G52" s="145"/>
      <c r="H52" s="145"/>
      <c r="I52" s="145">
        <v>7350</v>
      </c>
      <c r="J52" s="207"/>
      <c r="K52" s="239"/>
    </row>
    <row r="53" spans="1:11" s="138" customFormat="1">
      <c r="A53" s="135"/>
      <c r="B53" s="135"/>
      <c r="C53" s="122"/>
      <c r="D53" s="137"/>
      <c r="E53" s="141" t="s">
        <v>925</v>
      </c>
      <c r="F53" s="136"/>
      <c r="G53" s="145"/>
      <c r="H53" s="145"/>
      <c r="I53" s="145"/>
      <c r="J53" s="207"/>
      <c r="K53" s="239"/>
    </row>
    <row r="54" spans="1:11" s="138" customFormat="1" ht="24">
      <c r="A54" s="135"/>
      <c r="B54" s="135"/>
      <c r="C54" s="122" t="s">
        <v>37</v>
      </c>
      <c r="D54" s="137"/>
      <c r="E54" s="141" t="s">
        <v>926</v>
      </c>
      <c r="F54" s="136" t="s">
        <v>437</v>
      </c>
      <c r="G54" s="145"/>
      <c r="H54" s="145"/>
      <c r="I54" s="145">
        <v>2585</v>
      </c>
      <c r="J54" s="207"/>
      <c r="K54" s="239"/>
    </row>
    <row r="55" spans="1:11" s="138" customFormat="1">
      <c r="A55" s="135"/>
      <c r="B55" s="135"/>
      <c r="C55" s="122"/>
      <c r="D55" s="137"/>
      <c r="E55" s="141" t="s">
        <v>927</v>
      </c>
      <c r="F55" s="136" t="s">
        <v>437</v>
      </c>
      <c r="G55" s="145">
        <v>0</v>
      </c>
      <c r="H55" s="145"/>
      <c r="I55" s="145">
        <v>2250</v>
      </c>
      <c r="J55" s="207">
        <f>$G55*I55</f>
        <v>0</v>
      </c>
      <c r="K55" s="239"/>
    </row>
    <row r="56" spans="1:11" s="138" customFormat="1">
      <c r="A56" s="135"/>
      <c r="B56" s="135"/>
      <c r="C56" s="122"/>
      <c r="D56" s="137"/>
      <c r="E56" s="141" t="s">
        <v>928</v>
      </c>
      <c r="F56" s="136"/>
      <c r="G56" s="145"/>
      <c r="H56" s="145"/>
      <c r="I56" s="145"/>
      <c r="J56" s="207"/>
      <c r="K56" s="239"/>
    </row>
    <row r="57" spans="1:11" s="138" customFormat="1" ht="60">
      <c r="A57" s="135"/>
      <c r="B57" s="135"/>
      <c r="C57" s="122" t="s">
        <v>49</v>
      </c>
      <c r="D57" s="137"/>
      <c r="E57" s="141" t="s">
        <v>922</v>
      </c>
      <c r="F57" s="136" t="s">
        <v>437</v>
      </c>
      <c r="G57" s="145"/>
      <c r="H57" s="145"/>
      <c r="I57" s="145">
        <v>7700</v>
      </c>
      <c r="J57" s="207"/>
      <c r="K57" s="239"/>
    </row>
    <row r="58" spans="1:11" s="138" customFormat="1">
      <c r="A58" s="135"/>
      <c r="B58" s="135"/>
      <c r="C58" s="122"/>
      <c r="D58" s="137"/>
      <c r="E58" s="141" t="s">
        <v>929</v>
      </c>
      <c r="F58" s="136"/>
      <c r="G58" s="145"/>
      <c r="H58" s="145"/>
      <c r="I58" s="145"/>
      <c r="J58" s="207"/>
      <c r="K58" s="239"/>
    </row>
    <row r="59" spans="1:11" s="138" customFormat="1" ht="48">
      <c r="A59" s="135"/>
      <c r="B59" s="135"/>
      <c r="C59" s="122" t="s">
        <v>89</v>
      </c>
      <c r="D59" s="137"/>
      <c r="E59" s="141" t="s">
        <v>930</v>
      </c>
      <c r="F59" s="136" t="s">
        <v>437</v>
      </c>
      <c r="G59" s="145">
        <v>0</v>
      </c>
      <c r="H59" s="145"/>
      <c r="I59" s="145">
        <v>8500</v>
      </c>
      <c r="J59" s="207">
        <f>$G59*I59</f>
        <v>0</v>
      </c>
      <c r="K59" s="239"/>
    </row>
    <row r="60" spans="1:11" s="138" customFormat="1">
      <c r="A60" s="135"/>
      <c r="B60" s="135"/>
      <c r="C60" s="122"/>
      <c r="D60" s="137"/>
      <c r="E60" s="141" t="s">
        <v>931</v>
      </c>
      <c r="F60" s="136"/>
      <c r="G60" s="145"/>
      <c r="H60" s="145"/>
      <c r="I60" s="145"/>
      <c r="J60" s="207"/>
      <c r="K60" s="239"/>
    </row>
    <row r="61" spans="1:11" s="138" customFormat="1" ht="24">
      <c r="A61" s="135"/>
      <c r="B61" s="135"/>
      <c r="C61" s="122" t="s">
        <v>92</v>
      </c>
      <c r="D61" s="137"/>
      <c r="E61" s="141" t="s">
        <v>932</v>
      </c>
      <c r="F61" s="136" t="s">
        <v>42</v>
      </c>
      <c r="G61" s="145"/>
      <c r="H61" s="145"/>
      <c r="I61" s="145">
        <v>1750</v>
      </c>
      <c r="J61" s="207"/>
      <c r="K61" s="239"/>
    </row>
    <row r="62" spans="1:11" s="138" customFormat="1" ht="24">
      <c r="A62" s="135"/>
      <c r="B62" s="135"/>
      <c r="C62" s="122"/>
      <c r="D62" s="137"/>
      <c r="E62" s="141" t="s">
        <v>933</v>
      </c>
      <c r="F62" s="136"/>
      <c r="G62" s="145"/>
      <c r="H62" s="145"/>
      <c r="I62" s="145"/>
      <c r="J62" s="207"/>
      <c r="K62" s="239"/>
    </row>
    <row r="63" spans="1:11" s="138" customFormat="1" ht="36">
      <c r="A63" s="135"/>
      <c r="B63" s="135"/>
      <c r="C63" s="122" t="s">
        <v>108</v>
      </c>
      <c r="D63" s="137"/>
      <c r="E63" s="141" t="s">
        <v>934</v>
      </c>
      <c r="F63" s="136"/>
      <c r="G63" s="145"/>
      <c r="H63" s="145"/>
      <c r="I63" s="145"/>
      <c r="J63" s="207"/>
      <c r="K63" s="239"/>
    </row>
    <row r="64" spans="1:11" s="138" customFormat="1">
      <c r="A64" s="135"/>
      <c r="B64" s="135"/>
      <c r="C64" s="122" t="s">
        <v>405</v>
      </c>
      <c r="D64" s="137"/>
      <c r="E64" s="141" t="s">
        <v>935</v>
      </c>
      <c r="F64" s="136" t="s">
        <v>437</v>
      </c>
      <c r="G64" s="145">
        <v>0</v>
      </c>
      <c r="H64" s="145"/>
      <c r="I64" s="145">
        <v>755</v>
      </c>
      <c r="J64" s="207">
        <f>$G64*I64</f>
        <v>0</v>
      </c>
      <c r="K64" s="239"/>
    </row>
    <row r="65" spans="1:11" s="138" customFormat="1">
      <c r="A65" s="135"/>
      <c r="B65" s="135"/>
      <c r="C65" s="122" t="s">
        <v>407</v>
      </c>
      <c r="D65" s="137"/>
      <c r="E65" s="141" t="s">
        <v>936</v>
      </c>
      <c r="F65" s="136" t="s">
        <v>437</v>
      </c>
      <c r="G65" s="145"/>
      <c r="H65" s="145">
        <f>'MB Fire '!L20</f>
        <v>8</v>
      </c>
      <c r="I65" s="145">
        <v>930</v>
      </c>
      <c r="J65" s="207"/>
      <c r="K65" s="239">
        <f>H65*I65</f>
        <v>7440</v>
      </c>
    </row>
    <row r="66" spans="1:11" s="138" customFormat="1">
      <c r="A66" s="135"/>
      <c r="B66" s="135"/>
      <c r="C66" s="122"/>
      <c r="D66" s="137"/>
      <c r="E66" s="141" t="s">
        <v>937</v>
      </c>
      <c r="F66" s="136"/>
      <c r="G66" s="145"/>
      <c r="H66" s="145"/>
      <c r="I66" s="145"/>
      <c r="J66" s="207"/>
      <c r="K66" s="239"/>
    </row>
    <row r="67" spans="1:11" s="138" customFormat="1" ht="48">
      <c r="A67" s="135"/>
      <c r="B67" s="135"/>
      <c r="C67" s="122" t="s">
        <v>129</v>
      </c>
      <c r="D67" s="137"/>
      <c r="E67" s="141" t="s">
        <v>938</v>
      </c>
      <c r="F67" s="136" t="s">
        <v>437</v>
      </c>
      <c r="G67" s="145"/>
      <c r="H67" s="145"/>
      <c r="I67" s="145">
        <v>7000</v>
      </c>
      <c r="J67" s="207"/>
      <c r="K67" s="239"/>
    </row>
    <row r="68" spans="1:11" s="138" customFormat="1">
      <c r="A68" s="135"/>
      <c r="B68" s="135"/>
      <c r="C68" s="122"/>
      <c r="D68" s="137"/>
      <c r="E68" s="141" t="s">
        <v>939</v>
      </c>
      <c r="F68" s="136"/>
      <c r="G68" s="145"/>
      <c r="H68" s="145"/>
      <c r="I68" s="145"/>
      <c r="J68" s="207"/>
      <c r="K68" s="239"/>
    </row>
    <row r="69" spans="1:11" s="138" customFormat="1" ht="36">
      <c r="A69" s="135"/>
      <c r="B69" s="135"/>
      <c r="C69" s="122" t="s">
        <v>132</v>
      </c>
      <c r="D69" s="137"/>
      <c r="E69" s="141" t="s">
        <v>940</v>
      </c>
      <c r="F69" s="136" t="s">
        <v>437</v>
      </c>
      <c r="G69" s="145">
        <v>0</v>
      </c>
      <c r="H69" s="145"/>
      <c r="I69" s="145">
        <v>7100</v>
      </c>
      <c r="J69" s="207">
        <f t="shared" ref="J69:J70" si="2">$G69*I69</f>
        <v>0</v>
      </c>
      <c r="K69" s="239"/>
    </row>
    <row r="70" spans="1:11" s="138" customFormat="1" ht="60">
      <c r="A70" s="135"/>
      <c r="B70" s="135"/>
      <c r="C70" s="122" t="s">
        <v>136</v>
      </c>
      <c r="D70" s="137"/>
      <c r="E70" s="141" t="s">
        <v>941</v>
      </c>
      <c r="F70" s="136" t="s">
        <v>437</v>
      </c>
      <c r="G70" s="145">
        <v>0</v>
      </c>
      <c r="H70" s="145"/>
      <c r="I70" s="145">
        <v>1700</v>
      </c>
      <c r="J70" s="207">
        <f t="shared" si="2"/>
        <v>0</v>
      </c>
      <c r="K70" s="239"/>
    </row>
    <row r="71" spans="1:11" s="138" customFormat="1">
      <c r="A71" s="135"/>
      <c r="B71" s="135"/>
      <c r="C71" s="142" t="s">
        <v>139</v>
      </c>
      <c r="D71" s="143"/>
      <c r="E71" s="127" t="s">
        <v>942</v>
      </c>
      <c r="F71" s="142" t="s">
        <v>437</v>
      </c>
      <c r="G71" s="145">
        <v>0</v>
      </c>
      <c r="H71" s="145"/>
      <c r="I71" s="152">
        <v>9450</v>
      </c>
      <c r="J71" s="207"/>
      <c r="K71" s="239"/>
    </row>
    <row r="72" spans="1:11" s="138" customFormat="1">
      <c r="A72" s="135"/>
      <c r="B72" s="135"/>
      <c r="C72" s="142" t="s">
        <v>145</v>
      </c>
      <c r="D72" s="142"/>
      <c r="E72" s="127" t="s">
        <v>943</v>
      </c>
      <c r="F72" s="142" t="s">
        <v>437</v>
      </c>
      <c r="G72" s="145">
        <v>0</v>
      </c>
      <c r="H72" s="145"/>
      <c r="I72" s="152">
        <v>6500</v>
      </c>
      <c r="J72" s="207"/>
      <c r="K72" s="239"/>
    </row>
    <row r="73" spans="1:11" s="138" customFormat="1">
      <c r="A73" s="135"/>
      <c r="B73" s="135"/>
      <c r="C73" s="142" t="s">
        <v>148</v>
      </c>
      <c r="D73" s="142"/>
      <c r="E73" s="127" t="s">
        <v>944</v>
      </c>
      <c r="F73" s="142" t="s">
        <v>437</v>
      </c>
      <c r="G73" s="145">
        <v>0</v>
      </c>
      <c r="H73" s="145"/>
      <c r="I73" s="152">
        <v>10000</v>
      </c>
      <c r="J73" s="207"/>
      <c r="K73" s="239"/>
    </row>
    <row r="74" spans="1:11" ht="24">
      <c r="A74" s="132" t="s">
        <v>79</v>
      </c>
      <c r="B74" s="132"/>
      <c r="C74" s="132"/>
      <c r="D74" s="132"/>
      <c r="E74" s="132"/>
      <c r="F74" s="132"/>
      <c r="G74" s="149"/>
      <c r="H74" s="149"/>
      <c r="I74" s="149"/>
      <c r="J74" s="206"/>
      <c r="K74" s="239"/>
    </row>
    <row r="75" spans="1:11" ht="24">
      <c r="A75" s="132" t="s">
        <v>945</v>
      </c>
      <c r="B75" s="132"/>
      <c r="C75" s="132"/>
      <c r="D75" s="132"/>
      <c r="E75" s="132"/>
      <c r="F75" s="132"/>
      <c r="G75" s="149"/>
      <c r="H75" s="149"/>
      <c r="I75" s="149"/>
      <c r="J75" s="206">
        <f>SUM(J5:J74)</f>
        <v>45300</v>
      </c>
      <c r="K75" s="238">
        <f>SUM(K5:K74)</f>
        <v>51795</v>
      </c>
    </row>
  </sheetData>
  <autoFilter ref="E3:J73" xr:uid="{00000000-0009-0000-0000-000002000000}"/>
  <mergeCells count="2">
    <mergeCell ref="A2:E2"/>
    <mergeCell ref="I1:J2"/>
  </mergeCells>
  <conditionalFormatting sqref="J5 J18:J70">
    <cfRule type="expression" dxfId="0" priority="24">
      <formula>#REF!=$J5</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30F4-3850-4D5B-B4A6-D139B0DE9FFD}">
  <dimension ref="A1:L20"/>
  <sheetViews>
    <sheetView topLeftCell="A10" workbookViewId="0">
      <selection activeCell="L13" sqref="L13"/>
    </sheetView>
  </sheetViews>
  <sheetFormatPr defaultRowHeight="14.5"/>
  <cols>
    <col min="4" max="4" width="10.81640625" customWidth="1"/>
    <col min="5" max="5" width="44.26953125" customWidth="1"/>
  </cols>
  <sheetData>
    <row r="1" spans="1:12">
      <c r="A1" s="167"/>
      <c r="B1" s="167"/>
      <c r="C1" s="167"/>
      <c r="D1" s="172"/>
      <c r="E1" s="189"/>
      <c r="F1" s="189"/>
      <c r="G1" s="216"/>
      <c r="H1" s="172"/>
      <c r="I1" s="172"/>
      <c r="J1" s="172"/>
      <c r="K1" s="172"/>
      <c r="L1" s="172"/>
    </row>
    <row r="2" spans="1:12">
      <c r="A2" s="283" t="s">
        <v>878</v>
      </c>
      <c r="B2" s="283"/>
      <c r="C2" s="283"/>
      <c r="D2" s="283"/>
      <c r="E2" s="283"/>
      <c r="F2" s="218"/>
      <c r="G2" s="216"/>
      <c r="H2" s="172"/>
      <c r="I2" s="172"/>
      <c r="J2" s="172"/>
      <c r="K2" s="172"/>
      <c r="L2" s="172"/>
    </row>
    <row r="3" spans="1:12">
      <c r="A3" s="219"/>
      <c r="B3" s="219"/>
      <c r="C3" s="219"/>
      <c r="D3" s="219"/>
      <c r="E3" s="220" t="s">
        <v>10</v>
      </c>
      <c r="F3" s="217" t="s">
        <v>11</v>
      </c>
      <c r="G3" s="221" t="s">
        <v>879</v>
      </c>
      <c r="H3" s="217" t="s">
        <v>42</v>
      </c>
      <c r="I3" s="217" t="s">
        <v>1300</v>
      </c>
      <c r="J3" s="217" t="s">
        <v>181</v>
      </c>
      <c r="K3" s="217" t="s">
        <v>769</v>
      </c>
      <c r="L3" s="217" t="s">
        <v>1363</v>
      </c>
    </row>
    <row r="4" spans="1:12">
      <c r="A4" s="218"/>
      <c r="B4" s="218" t="s">
        <v>17</v>
      </c>
      <c r="C4" s="218"/>
      <c r="D4" s="218"/>
      <c r="E4" s="218" t="s">
        <v>880</v>
      </c>
      <c r="F4" s="218"/>
      <c r="G4" s="222"/>
      <c r="H4" s="223"/>
      <c r="I4" s="223"/>
      <c r="J4" s="223"/>
      <c r="K4" s="223"/>
      <c r="L4" s="223"/>
    </row>
    <row r="5" spans="1:12">
      <c r="A5" s="218"/>
      <c r="B5" s="218" t="s">
        <v>53</v>
      </c>
      <c r="C5" s="218"/>
      <c r="D5" s="218"/>
      <c r="E5" s="218" t="s">
        <v>889</v>
      </c>
      <c r="F5" s="218"/>
      <c r="G5" s="222"/>
      <c r="H5" s="223"/>
      <c r="I5" s="223"/>
      <c r="J5" s="223"/>
      <c r="K5" s="223"/>
      <c r="L5" s="223"/>
    </row>
    <row r="6" spans="1:12">
      <c r="A6" s="224"/>
      <c r="B6" s="224"/>
      <c r="C6" s="217" t="s">
        <v>19</v>
      </c>
      <c r="D6" s="230"/>
      <c r="E6" s="231" t="s">
        <v>890</v>
      </c>
      <c r="F6" s="167"/>
      <c r="G6" s="229"/>
      <c r="H6" s="223"/>
      <c r="I6" s="223"/>
      <c r="J6" s="223"/>
      <c r="K6" s="223"/>
      <c r="L6" s="223"/>
    </row>
    <row r="7" spans="1:12" ht="108">
      <c r="A7" s="224"/>
      <c r="B7" s="224"/>
      <c r="C7" s="217"/>
      <c r="D7" s="230"/>
      <c r="E7" s="226" t="s">
        <v>891</v>
      </c>
      <c r="F7" s="167"/>
      <c r="G7" s="229"/>
      <c r="H7" s="223"/>
      <c r="I7" s="223"/>
      <c r="J7" s="223"/>
      <c r="K7" s="223"/>
      <c r="L7" s="223"/>
    </row>
    <row r="8" spans="1:12">
      <c r="A8" s="224"/>
      <c r="B8" s="224"/>
      <c r="C8" s="217" t="s">
        <v>29</v>
      </c>
      <c r="D8" s="225"/>
      <c r="E8" s="226" t="s">
        <v>1474</v>
      </c>
      <c r="F8" s="227" t="s">
        <v>893</v>
      </c>
      <c r="G8" s="232">
        <v>10</v>
      </c>
      <c r="H8" s="223"/>
      <c r="I8" s="226">
        <f xml:space="preserve"> (5.3+5.9)</f>
        <v>11.2</v>
      </c>
      <c r="J8" s="223"/>
      <c r="K8" s="223"/>
      <c r="L8" s="223">
        <f>I8</f>
        <v>11.2</v>
      </c>
    </row>
    <row r="9" spans="1:12">
      <c r="A9" s="224"/>
      <c r="B9" s="224"/>
      <c r="C9" s="217" t="s">
        <v>31</v>
      </c>
      <c r="D9" s="225"/>
      <c r="E9" s="226" t="s">
        <v>897</v>
      </c>
      <c r="F9" s="227" t="s">
        <v>893</v>
      </c>
      <c r="G9" s="232">
        <v>0</v>
      </c>
      <c r="H9" s="223"/>
      <c r="I9" s="233">
        <v>3</v>
      </c>
      <c r="J9" s="223"/>
      <c r="K9" s="223"/>
      <c r="L9" s="223">
        <f>I9</f>
        <v>3</v>
      </c>
    </row>
    <row r="10" spans="1:12">
      <c r="A10" s="224"/>
      <c r="B10" s="224"/>
      <c r="C10" s="217" t="s">
        <v>457</v>
      </c>
      <c r="D10" s="225"/>
      <c r="E10" s="226" t="s">
        <v>1475</v>
      </c>
      <c r="F10" s="227" t="s">
        <v>893</v>
      </c>
      <c r="G10" s="232">
        <v>25</v>
      </c>
      <c r="H10" s="223"/>
      <c r="I10" s="226">
        <f>(17.5+3)</f>
        <v>20.5</v>
      </c>
      <c r="J10" s="223"/>
      <c r="K10" s="223"/>
      <c r="L10" s="223">
        <f>I10</f>
        <v>20.5</v>
      </c>
    </row>
    <row r="11" spans="1:12">
      <c r="A11" s="224"/>
      <c r="B11" s="224"/>
      <c r="C11" s="217" t="s">
        <v>37</v>
      </c>
      <c r="D11" s="225"/>
      <c r="E11" s="226" t="s">
        <v>901</v>
      </c>
      <c r="F11" s="227"/>
      <c r="G11" s="228"/>
      <c r="H11" s="223"/>
      <c r="I11" s="223"/>
      <c r="J11" s="223"/>
      <c r="K11" s="223"/>
      <c r="L11" s="223"/>
    </row>
    <row r="12" spans="1:12" ht="60">
      <c r="A12" s="224"/>
      <c r="B12" s="224"/>
      <c r="C12" s="217"/>
      <c r="D12" s="225"/>
      <c r="E12" s="226" t="s">
        <v>902</v>
      </c>
      <c r="F12" s="227"/>
      <c r="G12" s="228"/>
      <c r="H12" s="223"/>
      <c r="I12" s="223"/>
      <c r="J12" s="223"/>
      <c r="K12" s="223"/>
      <c r="L12" s="223"/>
    </row>
    <row r="13" spans="1:12">
      <c r="A13" s="224"/>
      <c r="B13" s="224"/>
      <c r="C13" s="217" t="s">
        <v>43</v>
      </c>
      <c r="D13" s="225"/>
      <c r="E13" s="226" t="s">
        <v>904</v>
      </c>
      <c r="F13" s="227" t="s">
        <v>437</v>
      </c>
      <c r="G13" s="228">
        <v>1</v>
      </c>
      <c r="H13" s="233">
        <v>1</v>
      </c>
      <c r="I13" s="223"/>
      <c r="J13" s="223"/>
      <c r="K13" s="223"/>
      <c r="L13" s="223">
        <f>H13</f>
        <v>1</v>
      </c>
    </row>
    <row r="14" spans="1:12">
      <c r="A14" s="224"/>
      <c r="B14" s="224"/>
      <c r="C14" s="217" t="s">
        <v>49</v>
      </c>
      <c r="D14" s="225"/>
      <c r="E14" s="226" t="s">
        <v>906</v>
      </c>
      <c r="F14" s="227"/>
      <c r="G14" s="228"/>
      <c r="H14" s="223"/>
      <c r="I14" s="223"/>
      <c r="J14" s="223"/>
      <c r="K14" s="223"/>
      <c r="L14" s="223"/>
    </row>
    <row r="15" spans="1:12" ht="48">
      <c r="A15" s="224"/>
      <c r="B15" s="224"/>
      <c r="C15" s="217"/>
      <c r="D15" s="225"/>
      <c r="E15" s="226" t="s">
        <v>907</v>
      </c>
      <c r="F15" s="227"/>
      <c r="G15" s="228"/>
      <c r="H15" s="223"/>
      <c r="I15" s="223"/>
      <c r="J15" s="223"/>
      <c r="K15" s="223"/>
      <c r="L15" s="223"/>
    </row>
    <row r="16" spans="1:12">
      <c r="A16" s="224"/>
      <c r="B16" s="224"/>
      <c r="C16" s="217" t="s">
        <v>397</v>
      </c>
      <c r="D16" s="225"/>
      <c r="E16" s="226" t="s">
        <v>896</v>
      </c>
      <c r="F16" s="227" t="s">
        <v>437</v>
      </c>
      <c r="G16" s="228">
        <v>1</v>
      </c>
      <c r="H16" s="233">
        <v>1</v>
      </c>
      <c r="I16" s="223"/>
      <c r="J16" s="223"/>
      <c r="K16" s="223"/>
      <c r="L16" s="223">
        <f>H16</f>
        <v>1</v>
      </c>
    </row>
    <row r="17" spans="1:12">
      <c r="A17" s="224"/>
      <c r="B17" s="224" t="s">
        <v>62</v>
      </c>
      <c r="C17" s="217"/>
      <c r="D17" s="225"/>
      <c r="E17" s="226" t="s">
        <v>923</v>
      </c>
      <c r="F17" s="227"/>
      <c r="G17" s="228"/>
      <c r="H17" s="223"/>
      <c r="I17" s="223"/>
      <c r="J17" s="223"/>
      <c r="K17" s="223"/>
      <c r="L17" s="223"/>
    </row>
    <row r="18" spans="1:12" ht="36">
      <c r="A18" s="224"/>
      <c r="B18" s="224"/>
      <c r="C18" s="217" t="s">
        <v>108</v>
      </c>
      <c r="D18" s="225"/>
      <c r="E18" s="226" t="s">
        <v>934</v>
      </c>
      <c r="F18" s="227"/>
      <c r="G18" s="228"/>
      <c r="H18" s="223"/>
      <c r="I18" s="223"/>
      <c r="J18" s="223"/>
      <c r="K18" s="223"/>
      <c r="L18" s="223"/>
    </row>
    <row r="19" spans="1:12">
      <c r="A19" s="224"/>
      <c r="B19" s="224"/>
      <c r="C19" s="217" t="s">
        <v>405</v>
      </c>
      <c r="D19" s="225"/>
      <c r="E19" s="226" t="s">
        <v>935</v>
      </c>
      <c r="F19" s="227" t="s">
        <v>437</v>
      </c>
      <c r="G19" s="228">
        <v>0</v>
      </c>
      <c r="H19" s="223"/>
      <c r="I19" s="223"/>
      <c r="J19" s="223"/>
      <c r="K19" s="223"/>
      <c r="L19" s="223"/>
    </row>
    <row r="20" spans="1:12">
      <c r="A20" s="224"/>
      <c r="B20" s="224"/>
      <c r="C20" s="217" t="s">
        <v>407</v>
      </c>
      <c r="D20" s="225"/>
      <c r="E20" s="226" t="s">
        <v>936</v>
      </c>
      <c r="F20" s="227" t="s">
        <v>437</v>
      </c>
      <c r="G20" s="228"/>
      <c r="H20" s="233">
        <v>8</v>
      </c>
      <c r="I20" s="223"/>
      <c r="J20" s="223"/>
      <c r="K20" s="223"/>
      <c r="L20" s="223">
        <f>H20</f>
        <v>8</v>
      </c>
    </row>
  </sheetData>
  <mergeCells count="1">
    <mergeCell ref="A2:E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E8C6F-3020-4858-BD27-FE46C47BC15D}">
  <dimension ref="A1:F13"/>
  <sheetViews>
    <sheetView topLeftCell="A7" workbookViewId="0">
      <selection activeCell="H6" sqref="H6"/>
    </sheetView>
  </sheetViews>
  <sheetFormatPr defaultRowHeight="14.5"/>
  <cols>
    <col min="1" max="1" width="8.7265625" style="44"/>
    <col min="2" max="2" width="57.90625" bestFit="1" customWidth="1"/>
    <col min="3" max="3" width="8.7265625" style="22"/>
    <col min="4" max="4" width="8.7265625" style="44"/>
  </cols>
  <sheetData>
    <row r="1" spans="1:6">
      <c r="A1" s="284" t="s">
        <v>1506</v>
      </c>
      <c r="B1" s="284"/>
      <c r="C1" s="284"/>
      <c r="D1" s="284"/>
      <c r="E1" s="284"/>
      <c r="F1" s="284"/>
    </row>
    <row r="2" spans="1:6" s="22" customFormat="1">
      <c r="A2" s="89" t="s">
        <v>1507</v>
      </c>
      <c r="B2" s="88" t="s">
        <v>1482</v>
      </c>
      <c r="C2" s="89" t="s">
        <v>11</v>
      </c>
      <c r="D2" s="89" t="s">
        <v>1508</v>
      </c>
      <c r="E2" s="89" t="s">
        <v>1509</v>
      </c>
      <c r="F2" s="89" t="s">
        <v>14</v>
      </c>
    </row>
    <row r="3" spans="1:6" ht="56">
      <c r="A3" s="56">
        <v>1</v>
      </c>
      <c r="B3" s="240" t="s">
        <v>1510</v>
      </c>
      <c r="C3" s="32"/>
      <c r="D3" s="56"/>
      <c r="E3" s="42"/>
      <c r="F3" s="42"/>
    </row>
    <row r="4" spans="1:6">
      <c r="A4" s="56"/>
      <c r="B4" s="42" t="s">
        <v>1511</v>
      </c>
      <c r="C4" s="32" t="s">
        <v>327</v>
      </c>
      <c r="D4" s="56">
        <v>1</v>
      </c>
      <c r="E4" s="42">
        <v>42000</v>
      </c>
      <c r="F4" s="42">
        <f>E4*D4</f>
        <v>42000</v>
      </c>
    </row>
    <row r="5" spans="1:6">
      <c r="A5" s="56"/>
      <c r="B5" s="42"/>
      <c r="C5" s="56"/>
      <c r="D5" s="56"/>
      <c r="E5" s="242"/>
      <c r="F5" s="242"/>
    </row>
    <row r="6" spans="1:6" ht="58">
      <c r="A6" s="56">
        <v>6</v>
      </c>
      <c r="B6" s="93" t="s">
        <v>1512</v>
      </c>
      <c r="C6" s="56" t="s">
        <v>1513</v>
      </c>
      <c r="D6" s="56">
        <f>'HVAC extra work '!E27</f>
        <v>161</v>
      </c>
      <c r="E6" s="242">
        <v>1150</v>
      </c>
      <c r="F6" s="242">
        <f>E6*D6</f>
        <v>185150</v>
      </c>
    </row>
    <row r="7" spans="1:6">
      <c r="A7" s="56"/>
      <c r="B7" s="42"/>
      <c r="C7" s="56"/>
      <c r="D7" s="56"/>
      <c r="E7" s="242"/>
      <c r="F7" s="242"/>
    </row>
    <row r="8" spans="1:6" ht="43.5">
      <c r="A8" s="56">
        <v>7</v>
      </c>
      <c r="B8" s="93" t="s">
        <v>1514</v>
      </c>
      <c r="C8" s="56" t="s">
        <v>327</v>
      </c>
      <c r="D8" s="56">
        <v>1</v>
      </c>
      <c r="E8" s="242">
        <v>1700</v>
      </c>
      <c r="F8" s="242">
        <f>E8*D8</f>
        <v>1700</v>
      </c>
    </row>
    <row r="9" spans="1:6">
      <c r="A9" s="56"/>
      <c r="B9" s="42"/>
      <c r="C9" s="56"/>
      <c r="D9" s="56"/>
      <c r="E9" s="242"/>
      <c r="F9" s="242"/>
    </row>
    <row r="10" spans="1:6" ht="29">
      <c r="A10" s="56">
        <v>9</v>
      </c>
      <c r="B10" s="93" t="s">
        <v>1515</v>
      </c>
      <c r="C10" s="56" t="s">
        <v>1513</v>
      </c>
      <c r="D10" s="56">
        <f>'[1]Cable Tray'!D16*0.304</f>
        <v>21.431999999999999</v>
      </c>
      <c r="E10" s="242">
        <v>160</v>
      </c>
      <c r="F10" s="242">
        <f>E10*D10</f>
        <v>3429.12</v>
      </c>
    </row>
    <row r="11" spans="1:6">
      <c r="A11" s="56"/>
      <c r="B11" s="42"/>
      <c r="C11" s="32"/>
      <c r="D11" s="56"/>
      <c r="E11" s="42"/>
      <c r="F11" s="42"/>
    </row>
    <row r="12" spans="1:6">
      <c r="A12" s="56"/>
      <c r="B12" s="243"/>
      <c r="C12" s="244"/>
      <c r="D12" s="245"/>
      <c r="E12" s="246"/>
      <c r="F12" s="42"/>
    </row>
    <row r="13" spans="1:6">
      <c r="A13" s="56"/>
      <c r="B13" s="285" t="s">
        <v>1488</v>
      </c>
      <c r="C13" s="286"/>
      <c r="D13" s="286"/>
      <c r="E13" s="287"/>
      <c r="F13" s="241">
        <f>SUM(F5:F12)</f>
        <v>190279.12</v>
      </c>
    </row>
  </sheetData>
  <mergeCells count="2">
    <mergeCell ref="A1:F1"/>
    <mergeCell ref="B13:E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13F59-DB74-4B89-9132-254CB6E3A71D}">
  <dimension ref="A1:E38"/>
  <sheetViews>
    <sheetView topLeftCell="A16" workbookViewId="0">
      <selection activeCell="F37" sqref="F37"/>
    </sheetView>
  </sheetViews>
  <sheetFormatPr defaultRowHeight="14.5"/>
  <cols>
    <col min="2" max="2" width="19.36328125" bestFit="1" customWidth="1"/>
    <col min="3" max="3" width="10.7265625" bestFit="1" customWidth="1"/>
  </cols>
  <sheetData>
    <row r="1" spans="1:4">
      <c r="A1" s="284" t="s">
        <v>1480</v>
      </c>
      <c r="B1" s="284"/>
      <c r="C1" s="284"/>
      <c r="D1" s="284"/>
    </row>
    <row r="2" spans="1:4">
      <c r="A2" s="32" t="s">
        <v>1481</v>
      </c>
      <c r="B2" s="32" t="s">
        <v>1482</v>
      </c>
      <c r="C2" s="32" t="s">
        <v>11</v>
      </c>
      <c r="D2" s="32" t="s">
        <v>879</v>
      </c>
    </row>
    <row r="3" spans="1:4">
      <c r="A3" s="32">
        <v>1</v>
      </c>
      <c r="B3" s="32" t="s">
        <v>1483</v>
      </c>
      <c r="C3" s="32" t="s">
        <v>1484</v>
      </c>
      <c r="D3" s="32">
        <v>79</v>
      </c>
    </row>
    <row r="4" spans="1:4">
      <c r="A4" s="32">
        <v>2</v>
      </c>
      <c r="B4" s="32" t="s">
        <v>1485</v>
      </c>
      <c r="C4" s="32" t="s">
        <v>1484</v>
      </c>
      <c r="D4" s="32">
        <v>52</v>
      </c>
    </row>
    <row r="5" spans="1:4">
      <c r="A5" s="32">
        <v>3</v>
      </c>
      <c r="B5" s="32" t="s">
        <v>1486</v>
      </c>
      <c r="C5" s="32" t="s">
        <v>1484</v>
      </c>
      <c r="D5" s="32">
        <v>40.200000000000003</v>
      </c>
    </row>
    <row r="6" spans="1:4">
      <c r="A6" s="32">
        <v>4</v>
      </c>
      <c r="B6" s="32" t="s">
        <v>1487</v>
      </c>
      <c r="C6" s="32" t="s">
        <v>1484</v>
      </c>
      <c r="D6" s="32">
        <v>11</v>
      </c>
    </row>
    <row r="7" spans="1:4">
      <c r="A7" s="32"/>
      <c r="B7" s="32" t="s">
        <v>1504</v>
      </c>
      <c r="C7" s="32" t="s">
        <v>1505</v>
      </c>
      <c r="D7" s="32">
        <v>-60</v>
      </c>
    </row>
    <row r="8" spans="1:4">
      <c r="A8" s="288" t="s">
        <v>1488</v>
      </c>
      <c r="B8" s="288"/>
      <c r="C8" s="288"/>
      <c r="D8" s="32">
        <f>SUM(D3:D7)</f>
        <v>122.19999999999999</v>
      </c>
    </row>
    <row r="10" spans="1:4">
      <c r="A10" s="284" t="s">
        <v>1489</v>
      </c>
      <c r="B10" s="284"/>
      <c r="C10" s="284"/>
      <c r="D10" s="284"/>
    </row>
    <row r="11" spans="1:4">
      <c r="A11" s="32" t="s">
        <v>1481</v>
      </c>
      <c r="B11" s="32" t="s">
        <v>1482</v>
      </c>
      <c r="C11" s="32" t="s">
        <v>11</v>
      </c>
      <c r="D11" s="32" t="s">
        <v>879</v>
      </c>
    </row>
    <row r="12" spans="1:4">
      <c r="A12" s="32">
        <v>1</v>
      </c>
      <c r="B12" s="32" t="s">
        <v>1490</v>
      </c>
      <c r="C12" s="32" t="s">
        <v>1484</v>
      </c>
      <c r="D12" s="42">
        <v>11.9</v>
      </c>
    </row>
    <row r="13" spans="1:4">
      <c r="A13" s="32">
        <v>2</v>
      </c>
      <c r="B13" s="32" t="s">
        <v>1485</v>
      </c>
      <c r="C13" s="32" t="s">
        <v>1484</v>
      </c>
      <c r="D13" s="42">
        <v>22.6</v>
      </c>
    </row>
    <row r="14" spans="1:4">
      <c r="A14" s="32">
        <v>3</v>
      </c>
      <c r="B14" s="32" t="s">
        <v>1491</v>
      </c>
      <c r="C14" s="32" t="s">
        <v>1484</v>
      </c>
      <c r="D14" s="42">
        <v>27</v>
      </c>
    </row>
    <row r="15" spans="1:4">
      <c r="A15" s="32">
        <v>4</v>
      </c>
      <c r="B15" s="32" t="s">
        <v>1492</v>
      </c>
      <c r="C15" s="32" t="s">
        <v>1484</v>
      </c>
      <c r="D15" s="42">
        <v>9</v>
      </c>
    </row>
    <row r="16" spans="1:4">
      <c r="A16" s="32"/>
      <c r="B16" s="32" t="s">
        <v>1504</v>
      </c>
      <c r="C16" s="32" t="s">
        <v>1505</v>
      </c>
      <c r="D16" s="32">
        <v>-60</v>
      </c>
    </row>
    <row r="17" spans="1:5">
      <c r="A17" s="288" t="s">
        <v>1488</v>
      </c>
      <c r="B17" s="288"/>
      <c r="C17" s="288"/>
      <c r="D17" s="42">
        <f>SUM(D12:D16)</f>
        <v>10.5</v>
      </c>
    </row>
    <row r="19" spans="1:5">
      <c r="A19" s="284" t="s">
        <v>1493</v>
      </c>
      <c r="B19" s="284"/>
      <c r="C19" s="284"/>
      <c r="D19" s="284"/>
      <c r="E19" s="284"/>
    </row>
    <row r="20" spans="1:5">
      <c r="A20" s="32" t="s">
        <v>1494</v>
      </c>
      <c r="B20" s="32" t="s">
        <v>1495</v>
      </c>
      <c r="C20" s="32" t="s">
        <v>1496</v>
      </c>
      <c r="D20" s="32" t="s">
        <v>1497</v>
      </c>
      <c r="E20" s="32" t="s">
        <v>879</v>
      </c>
    </row>
    <row r="21" spans="1:5">
      <c r="A21" s="32">
        <v>1</v>
      </c>
      <c r="B21" s="32" t="s">
        <v>1498</v>
      </c>
      <c r="C21" s="32" t="s">
        <v>1499</v>
      </c>
      <c r="D21" s="32" t="s">
        <v>1484</v>
      </c>
      <c r="E21" s="32">
        <v>75</v>
      </c>
    </row>
    <row r="22" spans="1:5">
      <c r="A22" s="32">
        <v>2</v>
      </c>
      <c r="B22" s="32" t="s">
        <v>1498</v>
      </c>
      <c r="C22" s="32" t="s">
        <v>1499</v>
      </c>
      <c r="D22" s="32" t="s">
        <v>1484</v>
      </c>
      <c r="E22" s="32">
        <v>69</v>
      </c>
    </row>
    <row r="23" spans="1:5">
      <c r="A23" s="32">
        <v>3</v>
      </c>
      <c r="B23" s="32" t="s">
        <v>1500</v>
      </c>
      <c r="C23" s="32" t="s">
        <v>1501</v>
      </c>
      <c r="D23" s="32" t="s">
        <v>1484</v>
      </c>
      <c r="E23" s="32">
        <v>62</v>
      </c>
    </row>
    <row r="24" spans="1:5">
      <c r="A24" s="32">
        <v>4</v>
      </c>
      <c r="B24" s="32" t="s">
        <v>1498</v>
      </c>
      <c r="C24" s="32" t="s">
        <v>1499</v>
      </c>
      <c r="D24" s="32" t="s">
        <v>1484</v>
      </c>
      <c r="E24" s="32">
        <v>101</v>
      </c>
    </row>
    <row r="25" spans="1:5">
      <c r="A25" s="32">
        <v>5</v>
      </c>
      <c r="B25" s="32" t="s">
        <v>1502</v>
      </c>
      <c r="C25" s="32" t="s">
        <v>1499</v>
      </c>
      <c r="D25" s="32" t="s">
        <v>1484</v>
      </c>
      <c r="E25" s="32">
        <v>86</v>
      </c>
    </row>
    <row r="26" spans="1:5">
      <c r="A26" s="32"/>
      <c r="B26" s="32" t="s">
        <v>1504</v>
      </c>
      <c r="C26" s="32"/>
      <c r="D26" s="32"/>
      <c r="E26" s="32">
        <v>-232</v>
      </c>
    </row>
    <row r="27" spans="1:5">
      <c r="A27" s="42"/>
      <c r="B27" s="284" t="s">
        <v>1326</v>
      </c>
      <c r="C27" s="284"/>
      <c r="D27" s="88"/>
      <c r="E27" s="32">
        <f>SUM(E21:E26)</f>
        <v>161</v>
      </c>
    </row>
    <row r="29" spans="1:5">
      <c r="A29" s="284" t="s">
        <v>1503</v>
      </c>
      <c r="B29" s="284"/>
      <c r="C29" s="284"/>
      <c r="D29" s="284"/>
      <c r="E29" s="284"/>
    </row>
    <row r="30" spans="1:5">
      <c r="A30" s="32" t="s">
        <v>1494</v>
      </c>
      <c r="B30" s="32" t="s">
        <v>1495</v>
      </c>
      <c r="C30" s="32" t="s">
        <v>1496</v>
      </c>
      <c r="D30" s="32" t="s">
        <v>1497</v>
      </c>
      <c r="E30" s="32" t="s">
        <v>879</v>
      </c>
    </row>
    <row r="31" spans="1:5">
      <c r="A31" s="32">
        <v>1</v>
      </c>
      <c r="B31" s="32" t="s">
        <v>1498</v>
      </c>
      <c r="C31" s="32" t="s">
        <v>1499</v>
      </c>
      <c r="D31" s="32" t="s">
        <v>1484</v>
      </c>
      <c r="E31" s="32">
        <v>77</v>
      </c>
    </row>
    <row r="32" spans="1:5">
      <c r="A32" s="32">
        <v>2</v>
      </c>
      <c r="B32" s="32" t="s">
        <v>1498</v>
      </c>
      <c r="C32" s="32" t="s">
        <v>1499</v>
      </c>
      <c r="D32" s="32" t="s">
        <v>1484</v>
      </c>
      <c r="E32" s="32">
        <v>71</v>
      </c>
    </row>
    <row r="33" spans="1:5">
      <c r="A33" s="32">
        <v>3</v>
      </c>
      <c r="B33" s="32" t="s">
        <v>1500</v>
      </c>
      <c r="C33" s="32" t="s">
        <v>1501</v>
      </c>
      <c r="D33" s="32" t="s">
        <v>1484</v>
      </c>
      <c r="E33" s="32">
        <v>63</v>
      </c>
    </row>
    <row r="34" spans="1:5">
      <c r="A34" s="32">
        <v>4</v>
      </c>
      <c r="B34" s="32" t="s">
        <v>1498</v>
      </c>
      <c r="C34" s="32" t="s">
        <v>1499</v>
      </c>
      <c r="D34" s="32" t="s">
        <v>1484</v>
      </c>
      <c r="E34" s="32">
        <v>103</v>
      </c>
    </row>
    <row r="35" spans="1:5">
      <c r="A35" s="32">
        <v>5</v>
      </c>
      <c r="B35" s="32" t="s">
        <v>1502</v>
      </c>
      <c r="C35" s="32" t="s">
        <v>1499</v>
      </c>
      <c r="D35" s="32" t="s">
        <v>1484</v>
      </c>
      <c r="E35" s="32">
        <v>88</v>
      </c>
    </row>
    <row r="36" spans="1:5">
      <c r="A36" s="32"/>
      <c r="B36" s="32"/>
      <c r="C36" s="32"/>
      <c r="D36" s="32"/>
      <c r="E36" s="32"/>
    </row>
    <row r="37" spans="1:5">
      <c r="A37" s="42"/>
      <c r="B37" s="284" t="s">
        <v>1326</v>
      </c>
      <c r="C37" s="284"/>
      <c r="D37" s="88"/>
      <c r="E37" s="32">
        <f>SUM(E31:E35)</f>
        <v>402</v>
      </c>
    </row>
    <row r="38" spans="1:5">
      <c r="E38">
        <f>E37/3.28</f>
        <v>122.5609756097561</v>
      </c>
    </row>
  </sheetData>
  <mergeCells count="8">
    <mergeCell ref="A29:E29"/>
    <mergeCell ref="B37:C37"/>
    <mergeCell ref="A1:D1"/>
    <mergeCell ref="A8:C8"/>
    <mergeCell ref="A10:D10"/>
    <mergeCell ref="A17:C17"/>
    <mergeCell ref="A19:E19"/>
    <mergeCell ref="B27:C2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0"/>
  <sheetViews>
    <sheetView topLeftCell="A46" workbookViewId="0">
      <selection sqref="A1:H1"/>
    </sheetView>
  </sheetViews>
  <sheetFormatPr defaultColWidth="8.81640625" defaultRowHeight="14.5"/>
  <cols>
    <col min="2" max="2" width="24.1796875" customWidth="1"/>
    <col min="3" max="3" width="17.26953125" customWidth="1"/>
    <col min="4" max="4" width="26" hidden="1" customWidth="1"/>
    <col min="5" max="5" width="21.81640625" hidden="1" customWidth="1"/>
    <col min="6" max="6" width="40.7265625" customWidth="1"/>
    <col min="7" max="7" width="37.1796875" customWidth="1"/>
    <col min="8" max="8" width="43.453125" customWidth="1"/>
  </cols>
  <sheetData>
    <row r="1" spans="1:8" ht="27.75" customHeight="1">
      <c r="A1" s="301" t="s">
        <v>946</v>
      </c>
      <c r="B1" s="302"/>
      <c r="C1" s="302"/>
      <c r="D1" s="302"/>
      <c r="E1" s="302"/>
      <c r="F1" s="302"/>
      <c r="G1" s="302"/>
      <c r="H1" s="303"/>
    </row>
    <row r="2" spans="1:8">
      <c r="A2" s="3" t="s">
        <v>947</v>
      </c>
      <c r="B2" s="4" t="s">
        <v>948</v>
      </c>
      <c r="C2" s="5" t="s">
        <v>949</v>
      </c>
      <c r="D2" s="4" t="s">
        <v>950</v>
      </c>
      <c r="E2" s="4" t="s">
        <v>951</v>
      </c>
      <c r="F2" s="4" t="s">
        <v>952</v>
      </c>
      <c r="G2" s="4" t="s">
        <v>953</v>
      </c>
      <c r="H2" s="6" t="s">
        <v>954</v>
      </c>
    </row>
    <row r="3" spans="1:8" ht="15" thickBot="1">
      <c r="A3" s="1"/>
      <c r="H3" s="2"/>
    </row>
    <row r="4" spans="1:8" ht="15" thickBot="1">
      <c r="A4" s="7" t="s">
        <v>15</v>
      </c>
      <c r="B4" s="292" t="s">
        <v>955</v>
      </c>
      <c r="C4" s="292"/>
      <c r="D4" s="292"/>
      <c r="E4" s="292"/>
      <c r="F4" s="292"/>
      <c r="G4" s="292"/>
      <c r="H4" s="293"/>
    </row>
    <row r="5" spans="1:8">
      <c r="A5" s="1"/>
      <c r="H5" s="2"/>
    </row>
    <row r="6" spans="1:8" s="13" customFormat="1" ht="76.5" customHeight="1">
      <c r="A6" s="8">
        <v>1</v>
      </c>
      <c r="B6" s="9" t="s">
        <v>956</v>
      </c>
      <c r="C6" s="10" t="s">
        <v>957</v>
      </c>
      <c r="D6" s="9" t="s">
        <v>958</v>
      </c>
      <c r="E6" s="10" t="s">
        <v>959</v>
      </c>
      <c r="F6" s="101" t="s">
        <v>960</v>
      </c>
      <c r="G6" s="11" t="s">
        <v>961</v>
      </c>
      <c r="H6" s="12" t="s">
        <v>962</v>
      </c>
    </row>
    <row r="7" spans="1:8" ht="73.900000000000006" customHeight="1">
      <c r="A7" s="8">
        <v>2</v>
      </c>
      <c r="B7" s="26" t="s">
        <v>963</v>
      </c>
      <c r="C7" s="10" t="s">
        <v>964</v>
      </c>
      <c r="D7" s="15" t="s">
        <v>965</v>
      </c>
      <c r="E7" s="16" t="s">
        <v>959</v>
      </c>
      <c r="F7" s="101" t="s">
        <v>966</v>
      </c>
      <c r="G7" s="11"/>
      <c r="H7" s="12" t="s">
        <v>962</v>
      </c>
    </row>
    <row r="8" spans="1:8" ht="48.65" customHeight="1">
      <c r="A8" s="8" t="s">
        <v>967</v>
      </c>
      <c r="B8" s="26" t="s">
        <v>963</v>
      </c>
      <c r="C8" s="10" t="s">
        <v>968</v>
      </c>
      <c r="D8" s="15"/>
      <c r="E8" s="16"/>
      <c r="F8" s="101" t="s">
        <v>969</v>
      </c>
      <c r="G8" s="101" t="s">
        <v>970</v>
      </c>
      <c r="H8" s="12"/>
    </row>
    <row r="9" spans="1:8" ht="43.5">
      <c r="A9" s="14">
        <v>3</v>
      </c>
      <c r="B9" s="9" t="s">
        <v>955</v>
      </c>
      <c r="C9" s="10" t="s">
        <v>971</v>
      </c>
      <c r="D9" s="15" t="s">
        <v>972</v>
      </c>
      <c r="E9" s="18" t="s">
        <v>973</v>
      </c>
      <c r="F9" s="19" t="s">
        <v>974</v>
      </c>
      <c r="G9" s="20" t="s">
        <v>975</v>
      </c>
      <c r="H9" s="12" t="s">
        <v>962</v>
      </c>
    </row>
    <row r="10" spans="1:8" ht="29">
      <c r="A10" s="14">
        <v>4</v>
      </c>
      <c r="B10" s="9" t="s">
        <v>955</v>
      </c>
      <c r="C10" s="10" t="s">
        <v>976</v>
      </c>
      <c r="D10" s="15" t="s">
        <v>958</v>
      </c>
      <c r="E10" s="16" t="s">
        <v>977</v>
      </c>
      <c r="F10" s="20" t="s">
        <v>978</v>
      </c>
      <c r="G10" s="20" t="s">
        <v>979</v>
      </c>
      <c r="H10" s="12" t="s">
        <v>962</v>
      </c>
    </row>
    <row r="11" spans="1:8" ht="29.5" customHeight="1">
      <c r="A11" s="14">
        <v>5</v>
      </c>
      <c r="B11" s="9" t="s">
        <v>955</v>
      </c>
      <c r="C11" s="10" t="s">
        <v>980</v>
      </c>
      <c r="D11" s="15" t="s">
        <v>958</v>
      </c>
      <c r="E11" s="16" t="s">
        <v>977</v>
      </c>
      <c r="F11" s="20" t="s">
        <v>981</v>
      </c>
      <c r="G11" s="20" t="s">
        <v>982</v>
      </c>
      <c r="H11" s="12" t="s">
        <v>962</v>
      </c>
    </row>
    <row r="12" spans="1:8" ht="15" thickBot="1">
      <c r="A12" s="21"/>
      <c r="C12" s="22"/>
      <c r="E12" s="22"/>
      <c r="F12" s="22"/>
      <c r="G12" s="22"/>
      <c r="H12" s="23"/>
    </row>
    <row r="13" spans="1:8" ht="15" thickBot="1">
      <c r="A13" s="7" t="s">
        <v>181</v>
      </c>
      <c r="B13" s="292" t="s">
        <v>983</v>
      </c>
      <c r="C13" s="292"/>
      <c r="D13" s="292"/>
      <c r="E13" s="292"/>
      <c r="F13" s="292"/>
      <c r="G13" s="292"/>
      <c r="H13" s="293"/>
    </row>
    <row r="14" spans="1:8" ht="45.65" customHeight="1">
      <c r="A14" s="8">
        <v>1</v>
      </c>
      <c r="B14" s="9" t="s">
        <v>984</v>
      </c>
      <c r="C14" s="10" t="s">
        <v>985</v>
      </c>
      <c r="D14" s="24" t="s">
        <v>986</v>
      </c>
      <c r="E14" s="16" t="s">
        <v>987</v>
      </c>
      <c r="F14" s="11" t="s">
        <v>988</v>
      </c>
      <c r="G14" s="101" t="s">
        <v>989</v>
      </c>
      <c r="H14" s="12" t="s">
        <v>990</v>
      </c>
    </row>
    <row r="15" spans="1:8" ht="38.5" customHeight="1">
      <c r="A15" s="14">
        <v>2</v>
      </c>
      <c r="B15" s="9" t="s">
        <v>984</v>
      </c>
      <c r="C15" s="10" t="s">
        <v>991</v>
      </c>
      <c r="D15" s="24" t="s">
        <v>986</v>
      </c>
      <c r="E15" s="16" t="s">
        <v>987</v>
      </c>
      <c r="F15" s="11" t="s">
        <v>992</v>
      </c>
      <c r="G15" s="101" t="s">
        <v>993</v>
      </c>
      <c r="H15" s="12" t="s">
        <v>994</v>
      </c>
    </row>
    <row r="16" spans="1:8" ht="63" customHeight="1">
      <c r="A16" s="8">
        <v>3</v>
      </c>
      <c r="B16" s="9" t="s">
        <v>995</v>
      </c>
      <c r="C16" s="10" t="s">
        <v>996</v>
      </c>
      <c r="D16" s="24"/>
      <c r="E16" s="16"/>
      <c r="F16" s="26" t="s">
        <v>997</v>
      </c>
      <c r="G16" s="20"/>
      <c r="H16" s="17"/>
    </row>
    <row r="17" spans="1:8" ht="43.5">
      <c r="A17" s="14">
        <v>4</v>
      </c>
      <c r="B17" s="9" t="s">
        <v>998</v>
      </c>
      <c r="C17" s="10" t="s">
        <v>999</v>
      </c>
      <c r="D17" s="24"/>
      <c r="E17" s="16"/>
      <c r="F17" s="24" t="s">
        <v>1000</v>
      </c>
      <c r="G17" s="20"/>
      <c r="H17" s="17"/>
    </row>
    <row r="18" spans="1:8" ht="15" thickBot="1">
      <c r="A18" s="21"/>
      <c r="C18" s="22"/>
      <c r="E18" s="22"/>
      <c r="F18" s="22"/>
      <c r="G18" s="22"/>
      <c r="H18" s="23"/>
    </row>
    <row r="19" spans="1:8" ht="15" thickBot="1">
      <c r="A19" s="7" t="s">
        <v>317</v>
      </c>
      <c r="B19" s="292" t="s">
        <v>1001</v>
      </c>
      <c r="C19" s="292"/>
      <c r="D19" s="292"/>
      <c r="E19" s="292"/>
      <c r="F19" s="292"/>
      <c r="G19" s="292"/>
      <c r="H19" s="293"/>
    </row>
    <row r="20" spans="1:8" ht="29">
      <c r="A20" s="27">
        <v>1</v>
      </c>
      <c r="B20" s="28" t="s">
        <v>1002</v>
      </c>
      <c r="C20" s="29"/>
      <c r="D20" s="28" t="s">
        <v>958</v>
      </c>
      <c r="E20" s="29" t="s">
        <v>977</v>
      </c>
      <c r="F20" s="30" t="s">
        <v>1003</v>
      </c>
      <c r="G20" s="20" t="s">
        <v>1004</v>
      </c>
      <c r="H20" s="31" t="s">
        <v>1005</v>
      </c>
    </row>
    <row r="21" spans="1:8" ht="29">
      <c r="A21" s="14">
        <v>2</v>
      </c>
      <c r="B21" s="15" t="s">
        <v>1002</v>
      </c>
      <c r="C21" s="16" t="s">
        <v>980</v>
      </c>
      <c r="D21" s="15" t="s">
        <v>958</v>
      </c>
      <c r="E21" s="16" t="s">
        <v>977</v>
      </c>
      <c r="F21" s="20" t="s">
        <v>981</v>
      </c>
      <c r="G21" s="20" t="s">
        <v>982</v>
      </c>
      <c r="H21" s="17" t="s">
        <v>1006</v>
      </c>
    </row>
    <row r="22" spans="1:8" ht="29">
      <c r="A22" s="14">
        <v>3</v>
      </c>
      <c r="B22" s="15" t="s">
        <v>1002</v>
      </c>
      <c r="C22" s="16"/>
      <c r="D22" s="15" t="s">
        <v>958</v>
      </c>
      <c r="E22" s="16" t="s">
        <v>977</v>
      </c>
      <c r="F22" s="20" t="s">
        <v>1007</v>
      </c>
      <c r="G22" s="30" t="s">
        <v>1008</v>
      </c>
      <c r="H22" s="17" t="s">
        <v>1005</v>
      </c>
    </row>
    <row r="23" spans="1:8" ht="29">
      <c r="A23" s="14">
        <v>4</v>
      </c>
      <c r="B23" s="15" t="s">
        <v>1002</v>
      </c>
      <c r="C23" s="16" t="s">
        <v>976</v>
      </c>
      <c r="D23" s="15" t="s">
        <v>958</v>
      </c>
      <c r="E23" s="16" t="s">
        <v>977</v>
      </c>
      <c r="F23" s="20" t="s">
        <v>1009</v>
      </c>
      <c r="G23" s="20" t="s">
        <v>979</v>
      </c>
      <c r="H23" s="17" t="s">
        <v>1006</v>
      </c>
    </row>
    <row r="24" spans="1:8" ht="15" thickBot="1">
      <c r="A24" s="21"/>
      <c r="C24" s="32"/>
      <c r="E24" s="22"/>
      <c r="F24" s="22"/>
      <c r="G24" s="22"/>
      <c r="H24" s="2"/>
    </row>
    <row r="25" spans="1:8" ht="15" thickBot="1">
      <c r="A25" s="7" t="s">
        <v>339</v>
      </c>
      <c r="B25" s="292" t="s">
        <v>1010</v>
      </c>
      <c r="C25" s="292"/>
      <c r="D25" s="292"/>
      <c r="E25" s="292"/>
      <c r="F25" s="292"/>
      <c r="G25" s="292"/>
      <c r="H25" s="293"/>
    </row>
    <row r="26" spans="1:8" ht="30" customHeight="1">
      <c r="A26" s="27">
        <v>1</v>
      </c>
      <c r="B26" s="111" t="s">
        <v>1011</v>
      </c>
      <c r="C26" s="29"/>
      <c r="D26" s="28" t="s">
        <v>1012</v>
      </c>
      <c r="E26" s="29" t="s">
        <v>1013</v>
      </c>
      <c r="F26" s="33" t="s">
        <v>1014</v>
      </c>
      <c r="G26" s="11" t="s">
        <v>1015</v>
      </c>
      <c r="H26" s="34" t="s">
        <v>1016</v>
      </c>
    </row>
    <row r="27" spans="1:8" ht="37.15" customHeight="1">
      <c r="A27" s="14">
        <v>2</v>
      </c>
      <c r="B27" s="9" t="s">
        <v>1017</v>
      </c>
      <c r="C27" s="16"/>
      <c r="D27" s="15" t="s">
        <v>1012</v>
      </c>
      <c r="E27" s="16" t="s">
        <v>1013</v>
      </c>
      <c r="F27" s="11" t="s">
        <v>1018</v>
      </c>
      <c r="G27" s="11" t="s">
        <v>1015</v>
      </c>
      <c r="H27" s="12" t="s">
        <v>1016</v>
      </c>
    </row>
    <row r="28" spans="1:8">
      <c r="A28" s="14">
        <v>3</v>
      </c>
      <c r="B28" s="15" t="s">
        <v>1019</v>
      </c>
      <c r="C28" s="15"/>
      <c r="D28" s="15" t="s">
        <v>1020</v>
      </c>
      <c r="E28" s="16"/>
      <c r="F28" s="25" t="s">
        <v>1021</v>
      </c>
      <c r="G28" s="16"/>
      <c r="H28" s="17" t="s">
        <v>1016</v>
      </c>
    </row>
    <row r="29" spans="1:8">
      <c r="A29" s="35"/>
      <c r="B29" s="36"/>
      <c r="C29" s="36"/>
      <c r="D29" s="36"/>
      <c r="E29" s="37"/>
      <c r="F29" s="36"/>
      <c r="G29" s="36"/>
      <c r="H29" s="38"/>
    </row>
    <row r="30" spans="1:8">
      <c r="A30" s="39" t="s">
        <v>378</v>
      </c>
      <c r="B30" s="40" t="s">
        <v>1022</v>
      </c>
      <c r="C30" s="40"/>
      <c r="D30" s="40"/>
      <c r="E30" s="40"/>
      <c r="F30" s="40"/>
      <c r="G30" s="40"/>
      <c r="H30" s="41"/>
    </row>
    <row r="31" spans="1:8">
      <c r="A31" s="14"/>
      <c r="B31" s="15"/>
      <c r="C31" s="15"/>
      <c r="D31" s="15"/>
      <c r="E31" s="16"/>
      <c r="F31" s="15"/>
      <c r="G31" s="15"/>
      <c r="H31" s="43"/>
    </row>
    <row r="32" spans="1:8">
      <c r="A32" s="14">
        <v>1</v>
      </c>
      <c r="B32" s="15" t="s">
        <v>1023</v>
      </c>
      <c r="C32" s="15"/>
      <c r="D32" s="15"/>
      <c r="E32" s="16"/>
      <c r="F32" s="15" t="s">
        <v>1024</v>
      </c>
      <c r="G32" s="15" t="s">
        <v>1025</v>
      </c>
      <c r="H32" s="46" t="s">
        <v>1026</v>
      </c>
    </row>
    <row r="33" spans="1:8">
      <c r="A33" s="14"/>
      <c r="B33" s="15"/>
      <c r="C33" s="15"/>
      <c r="D33" s="15"/>
      <c r="E33" s="16"/>
      <c r="G33" s="15"/>
      <c r="H33" s="43"/>
    </row>
    <row r="34" spans="1:8" ht="84.65" customHeight="1">
      <c r="A34" s="14"/>
      <c r="B34" s="15"/>
      <c r="C34" s="15"/>
      <c r="D34" s="15"/>
      <c r="E34" s="16"/>
      <c r="F34" s="42"/>
      <c r="G34" s="15"/>
      <c r="H34" s="43"/>
    </row>
    <row r="35" spans="1:8" ht="15" thickBot="1">
      <c r="A35" s="21"/>
      <c r="H35" s="2"/>
    </row>
    <row r="36" spans="1:8" ht="15" thickBot="1">
      <c r="A36" s="7" t="s">
        <v>752</v>
      </c>
      <c r="B36" s="292" t="s">
        <v>1027</v>
      </c>
      <c r="C36" s="292"/>
      <c r="D36" s="292"/>
      <c r="E36" s="292"/>
      <c r="F36" s="292"/>
      <c r="G36" s="292"/>
      <c r="H36" s="293"/>
    </row>
    <row r="37" spans="1:8">
      <c r="A37" s="21"/>
      <c r="H37" s="2"/>
    </row>
    <row r="38" spans="1:8" ht="45.65" customHeight="1">
      <c r="A38" s="14">
        <v>1</v>
      </c>
      <c r="B38" s="11" t="s">
        <v>1028</v>
      </c>
      <c r="C38" s="10" t="s">
        <v>1029</v>
      </c>
      <c r="D38" s="15" t="s">
        <v>1028</v>
      </c>
      <c r="E38" s="15"/>
      <c r="F38" s="101" t="s">
        <v>1030</v>
      </c>
      <c r="G38" s="10"/>
      <c r="H38" s="46" t="s">
        <v>1031</v>
      </c>
    </row>
    <row r="39" spans="1:8" ht="40.15" customHeight="1">
      <c r="A39" s="14">
        <v>2</v>
      </c>
      <c r="B39" s="11" t="s">
        <v>1028</v>
      </c>
      <c r="C39" s="10" t="s">
        <v>1032</v>
      </c>
      <c r="D39" s="15" t="s">
        <v>1028</v>
      </c>
      <c r="E39" s="15"/>
      <c r="F39" s="101" t="s">
        <v>1033</v>
      </c>
      <c r="G39" s="10"/>
      <c r="H39" s="46" t="s">
        <v>1031</v>
      </c>
    </row>
    <row r="40" spans="1:8" ht="15" thickBot="1">
      <c r="A40" s="21"/>
      <c r="F40" s="44"/>
      <c r="G40" s="44"/>
      <c r="H40" s="2"/>
    </row>
    <row r="41" spans="1:8" ht="15" thickBot="1">
      <c r="A41" s="7" t="s">
        <v>769</v>
      </c>
      <c r="B41" s="294" t="s">
        <v>1034</v>
      </c>
      <c r="C41" s="294"/>
      <c r="D41" s="294"/>
      <c r="E41" s="294"/>
      <c r="F41" s="294"/>
      <c r="G41" s="294"/>
      <c r="H41" s="295"/>
    </row>
    <row r="42" spans="1:8">
      <c r="A42" s="104"/>
      <c r="B42" s="105"/>
      <c r="C42" s="105"/>
      <c r="D42" s="105"/>
      <c r="E42" s="105"/>
      <c r="F42" s="105"/>
      <c r="G42" s="105"/>
      <c r="H42" s="106"/>
    </row>
    <row r="43" spans="1:8" ht="29">
      <c r="A43" s="112">
        <v>1</v>
      </c>
      <c r="B43" s="101" t="s">
        <v>1035</v>
      </c>
      <c r="C43" s="110"/>
      <c r="D43" s="110"/>
      <c r="E43" s="110"/>
      <c r="F43" s="101" t="s">
        <v>1036</v>
      </c>
      <c r="G43" s="101"/>
      <c r="H43" s="113"/>
    </row>
    <row r="44" spans="1:8" ht="25.9" customHeight="1">
      <c r="A44" s="114"/>
      <c r="B44" s="110"/>
      <c r="C44" s="110"/>
      <c r="D44" s="110"/>
      <c r="E44" s="110"/>
      <c r="F44" s="101" t="s">
        <v>1037</v>
      </c>
      <c r="G44" s="110"/>
      <c r="H44" s="113"/>
    </row>
    <row r="45" spans="1:8" ht="25.9" customHeight="1">
      <c r="A45" s="114"/>
      <c r="B45" s="110"/>
      <c r="C45" s="110"/>
      <c r="D45" s="110"/>
      <c r="E45" s="110"/>
      <c r="F45" s="101" t="s">
        <v>1038</v>
      </c>
      <c r="G45" s="110"/>
      <c r="H45" s="113"/>
    </row>
    <row r="46" spans="1:8" ht="43.9" customHeight="1" thickBot="1">
      <c r="A46" s="107"/>
      <c r="B46" s="108"/>
      <c r="C46" s="108"/>
      <c r="D46" s="108"/>
      <c r="E46" s="108"/>
      <c r="F46" s="108"/>
      <c r="G46" s="108"/>
      <c r="H46" s="109"/>
    </row>
    <row r="47" spans="1:8" ht="15" thickBot="1">
      <c r="A47" s="7" t="s">
        <v>806</v>
      </c>
      <c r="B47" s="294" t="s">
        <v>1039</v>
      </c>
      <c r="C47" s="294"/>
      <c r="D47" s="294"/>
      <c r="E47" s="294"/>
      <c r="F47" s="294"/>
      <c r="G47" s="294"/>
      <c r="H47" s="295"/>
    </row>
    <row r="48" spans="1:8">
      <c r="A48" s="1"/>
      <c r="H48" s="2"/>
    </row>
    <row r="49" spans="1:8" s="13" customFormat="1" ht="38.5" customHeight="1">
      <c r="A49" s="45"/>
      <c r="B49" s="9" t="s">
        <v>1040</v>
      </c>
      <c r="C49" s="10" t="s">
        <v>1041</v>
      </c>
      <c r="D49" s="9" t="s">
        <v>1042</v>
      </c>
      <c r="E49" s="9"/>
      <c r="F49" s="101" t="s">
        <v>1043</v>
      </c>
      <c r="G49" s="9"/>
      <c r="H49" s="46" t="s">
        <v>1044</v>
      </c>
    </row>
    <row r="50" spans="1:8" ht="75" customHeight="1">
      <c r="A50" s="47"/>
      <c r="B50" s="9" t="s">
        <v>1045</v>
      </c>
      <c r="C50" s="10" t="s">
        <v>1046</v>
      </c>
      <c r="D50" s="15" t="s">
        <v>1042</v>
      </c>
      <c r="E50" s="15"/>
      <c r="F50" s="101" t="s">
        <v>1047</v>
      </c>
      <c r="G50" s="36"/>
      <c r="H50" s="43" t="s">
        <v>1044</v>
      </c>
    </row>
    <row r="51" spans="1:8" ht="39" customHeight="1">
      <c r="A51" s="47"/>
      <c r="B51" s="9" t="s">
        <v>1048</v>
      </c>
      <c r="C51" s="10"/>
      <c r="D51" s="15" t="s">
        <v>1042</v>
      </c>
      <c r="E51" s="15"/>
      <c r="F51" s="26" t="s">
        <v>1049</v>
      </c>
      <c r="G51" s="101"/>
      <c r="H51" s="43"/>
    </row>
    <row r="52" spans="1:8" ht="24" customHeight="1">
      <c r="A52" s="47"/>
      <c r="B52" s="9"/>
      <c r="C52" s="10"/>
      <c r="D52" s="15"/>
      <c r="E52" s="15"/>
      <c r="F52" s="26" t="s">
        <v>1050</v>
      </c>
      <c r="G52" s="101"/>
      <c r="H52" s="43"/>
    </row>
    <row r="53" spans="1:8" ht="24" customHeight="1">
      <c r="A53" s="47"/>
      <c r="B53" s="9"/>
      <c r="C53" s="10"/>
      <c r="D53" s="15"/>
      <c r="E53" s="15"/>
      <c r="F53" s="42"/>
      <c r="G53" s="101"/>
      <c r="H53" s="43"/>
    </row>
    <row r="54" spans="1:8" ht="15" thickBot="1">
      <c r="A54" s="1"/>
      <c r="C54" s="22"/>
      <c r="H54" s="2"/>
    </row>
    <row r="55" spans="1:8" ht="15" thickBot="1">
      <c r="A55" s="48" t="s">
        <v>1051</v>
      </c>
      <c r="B55" s="49" t="s">
        <v>1052</v>
      </c>
      <c r="C55" s="49" t="s">
        <v>1053</v>
      </c>
      <c r="D55" s="49" t="s">
        <v>1054</v>
      </c>
      <c r="E55" s="49" t="s">
        <v>1055</v>
      </c>
      <c r="F55" s="50" t="s">
        <v>1056</v>
      </c>
      <c r="G55" s="51" t="s">
        <v>1055</v>
      </c>
      <c r="H55" s="115" t="s">
        <v>1057</v>
      </c>
    </row>
    <row r="56" spans="1:8" ht="44" thickBot="1">
      <c r="A56" s="52">
        <v>1</v>
      </c>
      <c r="B56" s="53" t="s">
        <v>1058</v>
      </c>
      <c r="C56" s="54" t="s">
        <v>42</v>
      </c>
      <c r="D56" s="54">
        <v>2</v>
      </c>
      <c r="E56" s="55" t="s">
        <v>1059</v>
      </c>
      <c r="F56" s="102" t="s">
        <v>1060</v>
      </c>
      <c r="G56" s="56" t="s">
        <v>1059</v>
      </c>
      <c r="H56" s="116">
        <v>2</v>
      </c>
    </row>
    <row r="57" spans="1:8" ht="29.5" thickBot="1">
      <c r="A57" s="52">
        <v>2</v>
      </c>
      <c r="B57" s="53" t="s">
        <v>1061</v>
      </c>
      <c r="C57" s="54" t="s">
        <v>42</v>
      </c>
      <c r="D57" s="54">
        <v>2</v>
      </c>
      <c r="E57" s="55" t="s">
        <v>1059</v>
      </c>
      <c r="F57" s="102" t="s">
        <v>1062</v>
      </c>
      <c r="G57" s="56" t="s">
        <v>1059</v>
      </c>
      <c r="H57" s="117">
        <v>2</v>
      </c>
    </row>
    <row r="58" spans="1:8" ht="15" thickBot="1">
      <c r="A58" s="52">
        <v>3</v>
      </c>
      <c r="B58" s="53" t="s">
        <v>1063</v>
      </c>
      <c r="C58" s="54" t="s">
        <v>42</v>
      </c>
      <c r="D58" s="54">
        <v>2</v>
      </c>
      <c r="E58" s="54" t="s">
        <v>1059</v>
      </c>
      <c r="F58" s="57" t="s">
        <v>1064</v>
      </c>
      <c r="G58" s="56" t="s">
        <v>1059</v>
      </c>
      <c r="H58" s="117">
        <v>2</v>
      </c>
    </row>
    <row r="59" spans="1:8" ht="29.5" thickBot="1">
      <c r="A59" s="52">
        <v>4</v>
      </c>
      <c r="B59" s="53" t="s">
        <v>1065</v>
      </c>
      <c r="C59" s="54" t="s">
        <v>42</v>
      </c>
      <c r="D59" s="54">
        <v>5</v>
      </c>
      <c r="E59" s="55" t="s">
        <v>1059</v>
      </c>
      <c r="F59" s="102" t="s">
        <v>1066</v>
      </c>
      <c r="G59" s="56" t="s">
        <v>1059</v>
      </c>
      <c r="H59" s="117">
        <v>5</v>
      </c>
    </row>
    <row r="60" spans="1:8" ht="15" thickBot="1">
      <c r="A60" s="52">
        <v>5</v>
      </c>
      <c r="B60" s="53" t="s">
        <v>1067</v>
      </c>
      <c r="C60" s="54" t="s">
        <v>42</v>
      </c>
      <c r="D60" s="54" t="s">
        <v>852</v>
      </c>
      <c r="E60" s="54" t="s">
        <v>1068</v>
      </c>
      <c r="F60" s="57" t="s">
        <v>1069</v>
      </c>
      <c r="G60" s="42"/>
      <c r="H60" s="118" t="s">
        <v>852</v>
      </c>
    </row>
    <row r="61" spans="1:8" ht="44" thickBot="1">
      <c r="A61" s="52">
        <v>6</v>
      </c>
      <c r="B61" s="53" t="s">
        <v>1070</v>
      </c>
      <c r="C61" s="54" t="s">
        <v>42</v>
      </c>
      <c r="D61" s="54">
        <v>1</v>
      </c>
      <c r="E61" s="54" t="s">
        <v>1068</v>
      </c>
      <c r="F61" s="57" t="s">
        <v>1071</v>
      </c>
      <c r="G61" s="56" t="s">
        <v>1068</v>
      </c>
      <c r="H61" s="119">
        <v>1</v>
      </c>
    </row>
    <row r="62" spans="1:8" ht="29.5" thickBot="1">
      <c r="A62" s="52">
        <v>7</v>
      </c>
      <c r="B62" s="53" t="s">
        <v>1072</v>
      </c>
      <c r="C62" s="54" t="s">
        <v>42</v>
      </c>
      <c r="D62" s="54" t="s">
        <v>852</v>
      </c>
      <c r="E62" s="55" t="s">
        <v>1059</v>
      </c>
      <c r="F62" s="102" t="s">
        <v>1073</v>
      </c>
      <c r="G62" s="56" t="s">
        <v>1059</v>
      </c>
      <c r="H62" s="117" t="s">
        <v>852</v>
      </c>
    </row>
    <row r="63" spans="1:8" ht="44" thickBot="1">
      <c r="A63" s="52">
        <v>8</v>
      </c>
      <c r="B63" s="53" t="s">
        <v>1074</v>
      </c>
      <c r="C63" s="54" t="s">
        <v>42</v>
      </c>
      <c r="D63" s="54">
        <v>1</v>
      </c>
      <c r="E63" s="55" t="s">
        <v>1075</v>
      </c>
      <c r="F63" s="102" t="s">
        <v>1076</v>
      </c>
      <c r="G63" s="56" t="s">
        <v>1077</v>
      </c>
      <c r="H63" s="117">
        <v>1</v>
      </c>
    </row>
    <row r="64" spans="1:8" ht="15" thickBot="1">
      <c r="A64" s="52">
        <v>9</v>
      </c>
      <c r="B64" s="53" t="s">
        <v>1078</v>
      </c>
      <c r="C64" s="54" t="s">
        <v>42</v>
      </c>
      <c r="D64" s="54" t="s">
        <v>852</v>
      </c>
      <c r="E64" s="55" t="s">
        <v>1059</v>
      </c>
      <c r="F64" s="102" t="s">
        <v>1079</v>
      </c>
      <c r="G64" s="56" t="s">
        <v>1059</v>
      </c>
      <c r="H64" s="117" t="s">
        <v>852</v>
      </c>
    </row>
    <row r="65" spans="1:8" ht="15" thickBot="1">
      <c r="A65" s="7" t="s">
        <v>806</v>
      </c>
      <c r="B65" s="296" t="s">
        <v>1080</v>
      </c>
      <c r="C65" s="296"/>
      <c r="D65" s="296"/>
      <c r="E65" s="296"/>
      <c r="F65" s="296"/>
      <c r="G65" s="297"/>
      <c r="H65" s="298"/>
    </row>
    <row r="66" spans="1:8">
      <c r="A66" s="58"/>
      <c r="B66" s="59"/>
      <c r="C66" s="59"/>
      <c r="D66" s="59"/>
      <c r="E66" s="59"/>
      <c r="F66" s="59"/>
      <c r="G66" s="59"/>
      <c r="H66" s="60"/>
    </row>
    <row r="67" spans="1:8" s="13" customFormat="1">
      <c r="A67" s="45"/>
      <c r="B67" s="15" t="s">
        <v>1081</v>
      </c>
      <c r="C67" s="299" t="s">
        <v>1082</v>
      </c>
      <c r="D67" s="299"/>
      <c r="E67" s="299"/>
      <c r="F67" s="299"/>
      <c r="G67" s="299"/>
      <c r="H67" s="300"/>
    </row>
    <row r="68" spans="1:8" ht="29">
      <c r="A68" s="47"/>
      <c r="B68" s="101" t="s">
        <v>1083</v>
      </c>
      <c r="C68" s="299" t="s">
        <v>1084</v>
      </c>
      <c r="D68" s="299"/>
      <c r="E68" s="299"/>
      <c r="F68" s="299"/>
      <c r="G68" s="299"/>
      <c r="H68" s="300"/>
    </row>
    <row r="69" spans="1:8" ht="43.15" customHeight="1">
      <c r="A69" s="47"/>
      <c r="B69" s="24" t="s">
        <v>1085</v>
      </c>
      <c r="C69" s="299" t="s">
        <v>1086</v>
      </c>
      <c r="D69" s="299"/>
      <c r="E69" s="299"/>
      <c r="F69" s="299"/>
      <c r="G69" s="299"/>
      <c r="H69" s="300"/>
    </row>
    <row r="70" spans="1:8" ht="44" thickBot="1">
      <c r="A70" s="61"/>
      <c r="B70" s="62" t="s">
        <v>1087</v>
      </c>
      <c r="C70" s="289" t="s">
        <v>1088</v>
      </c>
      <c r="D70" s="290"/>
      <c r="E70" s="290"/>
      <c r="F70" s="290"/>
      <c r="G70" s="290"/>
      <c r="H70" s="291"/>
    </row>
  </sheetData>
  <mergeCells count="13">
    <mergeCell ref="A1:H1"/>
    <mergeCell ref="B4:H4"/>
    <mergeCell ref="B13:H13"/>
    <mergeCell ref="B19:H19"/>
    <mergeCell ref="B25:H25"/>
    <mergeCell ref="C70:H70"/>
    <mergeCell ref="B36:H36"/>
    <mergeCell ref="B47:H47"/>
    <mergeCell ref="B65:H65"/>
    <mergeCell ref="C67:H67"/>
    <mergeCell ref="C68:H68"/>
    <mergeCell ref="C69:H69"/>
    <mergeCell ref="B41:H41"/>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70"/>
  <sheetViews>
    <sheetView workbookViewId="0">
      <selection activeCell="C19" sqref="C19"/>
    </sheetView>
  </sheetViews>
  <sheetFormatPr defaultColWidth="8.81640625" defaultRowHeight="14"/>
  <cols>
    <col min="1" max="1" width="9" style="65" customWidth="1"/>
    <col min="2" max="2" width="42.453125" style="72" customWidth="1"/>
    <col min="3" max="3" width="57.7265625" style="63" customWidth="1"/>
    <col min="4" max="4" width="9.453125" style="63" customWidth="1"/>
    <col min="5" max="256" width="8.81640625" style="63"/>
    <col min="257" max="257" width="9" style="63" customWidth="1"/>
    <col min="258" max="258" width="28.7265625" style="63" customWidth="1"/>
    <col min="259" max="259" width="57.7265625" style="63" customWidth="1"/>
    <col min="260" max="260" width="9.453125" style="63" customWidth="1"/>
    <col min="261" max="512" width="8.81640625" style="63"/>
    <col min="513" max="513" width="9" style="63" customWidth="1"/>
    <col min="514" max="514" width="28.7265625" style="63" customWidth="1"/>
    <col min="515" max="515" width="57.7265625" style="63" customWidth="1"/>
    <col min="516" max="516" width="9.453125" style="63" customWidth="1"/>
    <col min="517" max="768" width="8.81640625" style="63"/>
    <col min="769" max="769" width="9" style="63" customWidth="1"/>
    <col min="770" max="770" width="28.7265625" style="63" customWidth="1"/>
    <col min="771" max="771" width="57.7265625" style="63" customWidth="1"/>
    <col min="772" max="772" width="9.453125" style="63" customWidth="1"/>
    <col min="773" max="1024" width="8.81640625" style="63"/>
    <col min="1025" max="1025" width="9" style="63" customWidth="1"/>
    <col min="1026" max="1026" width="28.7265625" style="63" customWidth="1"/>
    <col min="1027" max="1027" width="57.7265625" style="63" customWidth="1"/>
    <col min="1028" max="1028" width="9.453125" style="63" customWidth="1"/>
    <col min="1029" max="1280" width="8.81640625" style="63"/>
    <col min="1281" max="1281" width="9" style="63" customWidth="1"/>
    <col min="1282" max="1282" width="28.7265625" style="63" customWidth="1"/>
    <col min="1283" max="1283" width="57.7265625" style="63" customWidth="1"/>
    <col min="1284" max="1284" width="9.453125" style="63" customWidth="1"/>
    <col min="1285" max="1536" width="8.81640625" style="63"/>
    <col min="1537" max="1537" width="9" style="63" customWidth="1"/>
    <col min="1538" max="1538" width="28.7265625" style="63" customWidth="1"/>
    <col min="1539" max="1539" width="57.7265625" style="63" customWidth="1"/>
    <col min="1540" max="1540" width="9.453125" style="63" customWidth="1"/>
    <col min="1541" max="1792" width="8.81640625" style="63"/>
    <col min="1793" max="1793" width="9" style="63" customWidth="1"/>
    <col min="1794" max="1794" width="28.7265625" style="63" customWidth="1"/>
    <col min="1795" max="1795" width="57.7265625" style="63" customWidth="1"/>
    <col min="1796" max="1796" width="9.453125" style="63" customWidth="1"/>
    <col min="1797" max="2048" width="8.81640625" style="63"/>
    <col min="2049" max="2049" width="9" style="63" customWidth="1"/>
    <col min="2050" max="2050" width="28.7265625" style="63" customWidth="1"/>
    <col min="2051" max="2051" width="57.7265625" style="63" customWidth="1"/>
    <col min="2052" max="2052" width="9.453125" style="63" customWidth="1"/>
    <col min="2053" max="2304" width="8.81640625" style="63"/>
    <col min="2305" max="2305" width="9" style="63" customWidth="1"/>
    <col min="2306" max="2306" width="28.7265625" style="63" customWidth="1"/>
    <col min="2307" max="2307" width="57.7265625" style="63" customWidth="1"/>
    <col min="2308" max="2308" width="9.453125" style="63" customWidth="1"/>
    <col min="2309" max="2560" width="8.81640625" style="63"/>
    <col min="2561" max="2561" width="9" style="63" customWidth="1"/>
    <col min="2562" max="2562" width="28.7265625" style="63" customWidth="1"/>
    <col min="2563" max="2563" width="57.7265625" style="63" customWidth="1"/>
    <col min="2564" max="2564" width="9.453125" style="63" customWidth="1"/>
    <col min="2565" max="2816" width="8.81640625" style="63"/>
    <col min="2817" max="2817" width="9" style="63" customWidth="1"/>
    <col min="2818" max="2818" width="28.7265625" style="63" customWidth="1"/>
    <col min="2819" max="2819" width="57.7265625" style="63" customWidth="1"/>
    <col min="2820" max="2820" width="9.453125" style="63" customWidth="1"/>
    <col min="2821" max="3072" width="8.81640625" style="63"/>
    <col min="3073" max="3073" width="9" style="63" customWidth="1"/>
    <col min="3074" max="3074" width="28.7265625" style="63" customWidth="1"/>
    <col min="3075" max="3075" width="57.7265625" style="63" customWidth="1"/>
    <col min="3076" max="3076" width="9.453125" style="63" customWidth="1"/>
    <col min="3077" max="3328" width="8.81640625" style="63"/>
    <col min="3329" max="3329" width="9" style="63" customWidth="1"/>
    <col min="3330" max="3330" width="28.7265625" style="63" customWidth="1"/>
    <col min="3331" max="3331" width="57.7265625" style="63" customWidth="1"/>
    <col min="3332" max="3332" width="9.453125" style="63" customWidth="1"/>
    <col min="3333" max="3584" width="8.81640625" style="63"/>
    <col min="3585" max="3585" width="9" style="63" customWidth="1"/>
    <col min="3586" max="3586" width="28.7265625" style="63" customWidth="1"/>
    <col min="3587" max="3587" width="57.7265625" style="63" customWidth="1"/>
    <col min="3588" max="3588" width="9.453125" style="63" customWidth="1"/>
    <col min="3589" max="3840" width="8.81640625" style="63"/>
    <col min="3841" max="3841" width="9" style="63" customWidth="1"/>
    <col min="3842" max="3842" width="28.7265625" style="63" customWidth="1"/>
    <col min="3843" max="3843" width="57.7265625" style="63" customWidth="1"/>
    <col min="3844" max="3844" width="9.453125" style="63" customWidth="1"/>
    <col min="3845" max="4096" width="8.81640625" style="63"/>
    <col min="4097" max="4097" width="9" style="63" customWidth="1"/>
    <col min="4098" max="4098" width="28.7265625" style="63" customWidth="1"/>
    <col min="4099" max="4099" width="57.7265625" style="63" customWidth="1"/>
    <col min="4100" max="4100" width="9.453125" style="63" customWidth="1"/>
    <col min="4101" max="4352" width="8.81640625" style="63"/>
    <col min="4353" max="4353" width="9" style="63" customWidth="1"/>
    <col min="4354" max="4354" width="28.7265625" style="63" customWidth="1"/>
    <col min="4355" max="4355" width="57.7265625" style="63" customWidth="1"/>
    <col min="4356" max="4356" width="9.453125" style="63" customWidth="1"/>
    <col min="4357" max="4608" width="8.81640625" style="63"/>
    <col min="4609" max="4609" width="9" style="63" customWidth="1"/>
    <col min="4610" max="4610" width="28.7265625" style="63" customWidth="1"/>
    <col min="4611" max="4611" width="57.7265625" style="63" customWidth="1"/>
    <col min="4612" max="4612" width="9.453125" style="63" customWidth="1"/>
    <col min="4613" max="4864" width="8.81640625" style="63"/>
    <col min="4865" max="4865" width="9" style="63" customWidth="1"/>
    <col min="4866" max="4866" width="28.7265625" style="63" customWidth="1"/>
    <col min="4867" max="4867" width="57.7265625" style="63" customWidth="1"/>
    <col min="4868" max="4868" width="9.453125" style="63" customWidth="1"/>
    <col min="4869" max="5120" width="8.81640625" style="63"/>
    <col min="5121" max="5121" width="9" style="63" customWidth="1"/>
    <col min="5122" max="5122" width="28.7265625" style="63" customWidth="1"/>
    <col min="5123" max="5123" width="57.7265625" style="63" customWidth="1"/>
    <col min="5124" max="5124" width="9.453125" style="63" customWidth="1"/>
    <col min="5125" max="5376" width="8.81640625" style="63"/>
    <col min="5377" max="5377" width="9" style="63" customWidth="1"/>
    <col min="5378" max="5378" width="28.7265625" style="63" customWidth="1"/>
    <col min="5379" max="5379" width="57.7265625" style="63" customWidth="1"/>
    <col min="5380" max="5380" width="9.453125" style="63" customWidth="1"/>
    <col min="5381" max="5632" width="8.81640625" style="63"/>
    <col min="5633" max="5633" width="9" style="63" customWidth="1"/>
    <col min="5634" max="5634" width="28.7265625" style="63" customWidth="1"/>
    <col min="5635" max="5635" width="57.7265625" style="63" customWidth="1"/>
    <col min="5636" max="5636" width="9.453125" style="63" customWidth="1"/>
    <col min="5637" max="5888" width="8.81640625" style="63"/>
    <col min="5889" max="5889" width="9" style="63" customWidth="1"/>
    <col min="5890" max="5890" width="28.7265625" style="63" customWidth="1"/>
    <col min="5891" max="5891" width="57.7265625" style="63" customWidth="1"/>
    <col min="5892" max="5892" width="9.453125" style="63" customWidth="1"/>
    <col min="5893" max="6144" width="8.81640625" style="63"/>
    <col min="6145" max="6145" width="9" style="63" customWidth="1"/>
    <col min="6146" max="6146" width="28.7265625" style="63" customWidth="1"/>
    <col min="6147" max="6147" width="57.7265625" style="63" customWidth="1"/>
    <col min="6148" max="6148" width="9.453125" style="63" customWidth="1"/>
    <col min="6149" max="6400" width="8.81640625" style="63"/>
    <col min="6401" max="6401" width="9" style="63" customWidth="1"/>
    <col min="6402" max="6402" width="28.7265625" style="63" customWidth="1"/>
    <col min="6403" max="6403" width="57.7265625" style="63" customWidth="1"/>
    <col min="6404" max="6404" width="9.453125" style="63" customWidth="1"/>
    <col min="6405" max="6656" width="8.81640625" style="63"/>
    <col min="6657" max="6657" width="9" style="63" customWidth="1"/>
    <col min="6658" max="6658" width="28.7265625" style="63" customWidth="1"/>
    <col min="6659" max="6659" width="57.7265625" style="63" customWidth="1"/>
    <col min="6660" max="6660" width="9.453125" style="63" customWidth="1"/>
    <col min="6661" max="6912" width="8.81640625" style="63"/>
    <col min="6913" max="6913" width="9" style="63" customWidth="1"/>
    <col min="6914" max="6914" width="28.7265625" style="63" customWidth="1"/>
    <col min="6915" max="6915" width="57.7265625" style="63" customWidth="1"/>
    <col min="6916" max="6916" width="9.453125" style="63" customWidth="1"/>
    <col min="6917" max="7168" width="8.81640625" style="63"/>
    <col min="7169" max="7169" width="9" style="63" customWidth="1"/>
    <col min="7170" max="7170" width="28.7265625" style="63" customWidth="1"/>
    <col min="7171" max="7171" width="57.7265625" style="63" customWidth="1"/>
    <col min="7172" max="7172" width="9.453125" style="63" customWidth="1"/>
    <col min="7173" max="7424" width="8.81640625" style="63"/>
    <col min="7425" max="7425" width="9" style="63" customWidth="1"/>
    <col min="7426" max="7426" width="28.7265625" style="63" customWidth="1"/>
    <col min="7427" max="7427" width="57.7265625" style="63" customWidth="1"/>
    <col min="7428" max="7428" width="9.453125" style="63" customWidth="1"/>
    <col min="7429" max="7680" width="8.81640625" style="63"/>
    <col min="7681" max="7681" width="9" style="63" customWidth="1"/>
    <col min="7682" max="7682" width="28.7265625" style="63" customWidth="1"/>
    <col min="7683" max="7683" width="57.7265625" style="63" customWidth="1"/>
    <col min="7684" max="7684" width="9.453125" style="63" customWidth="1"/>
    <col min="7685" max="7936" width="8.81640625" style="63"/>
    <col min="7937" max="7937" width="9" style="63" customWidth="1"/>
    <col min="7938" max="7938" width="28.7265625" style="63" customWidth="1"/>
    <col min="7939" max="7939" width="57.7265625" style="63" customWidth="1"/>
    <col min="7940" max="7940" width="9.453125" style="63" customWidth="1"/>
    <col min="7941" max="8192" width="8.81640625" style="63"/>
    <col min="8193" max="8193" width="9" style="63" customWidth="1"/>
    <col min="8194" max="8194" width="28.7265625" style="63" customWidth="1"/>
    <col min="8195" max="8195" width="57.7265625" style="63" customWidth="1"/>
    <col min="8196" max="8196" width="9.453125" style="63" customWidth="1"/>
    <col min="8197" max="8448" width="8.81640625" style="63"/>
    <col min="8449" max="8449" width="9" style="63" customWidth="1"/>
    <col min="8450" max="8450" width="28.7265625" style="63" customWidth="1"/>
    <col min="8451" max="8451" width="57.7265625" style="63" customWidth="1"/>
    <col min="8452" max="8452" width="9.453125" style="63" customWidth="1"/>
    <col min="8453" max="8704" width="8.81640625" style="63"/>
    <col min="8705" max="8705" width="9" style="63" customWidth="1"/>
    <col min="8706" max="8706" width="28.7265625" style="63" customWidth="1"/>
    <col min="8707" max="8707" width="57.7265625" style="63" customWidth="1"/>
    <col min="8708" max="8708" width="9.453125" style="63" customWidth="1"/>
    <col min="8709" max="8960" width="8.81640625" style="63"/>
    <col min="8961" max="8961" width="9" style="63" customWidth="1"/>
    <col min="8962" max="8962" width="28.7265625" style="63" customWidth="1"/>
    <col min="8963" max="8963" width="57.7265625" style="63" customWidth="1"/>
    <col min="8964" max="8964" width="9.453125" style="63" customWidth="1"/>
    <col min="8965" max="9216" width="8.81640625" style="63"/>
    <col min="9217" max="9217" width="9" style="63" customWidth="1"/>
    <col min="9218" max="9218" width="28.7265625" style="63" customWidth="1"/>
    <col min="9219" max="9219" width="57.7265625" style="63" customWidth="1"/>
    <col min="9220" max="9220" width="9.453125" style="63" customWidth="1"/>
    <col min="9221" max="9472" width="8.81640625" style="63"/>
    <col min="9473" max="9473" width="9" style="63" customWidth="1"/>
    <col min="9474" max="9474" width="28.7265625" style="63" customWidth="1"/>
    <col min="9475" max="9475" width="57.7265625" style="63" customWidth="1"/>
    <col min="9476" max="9476" width="9.453125" style="63" customWidth="1"/>
    <col min="9477" max="9728" width="8.81640625" style="63"/>
    <col min="9729" max="9729" width="9" style="63" customWidth="1"/>
    <col min="9730" max="9730" width="28.7265625" style="63" customWidth="1"/>
    <col min="9731" max="9731" width="57.7265625" style="63" customWidth="1"/>
    <col min="9732" max="9732" width="9.453125" style="63" customWidth="1"/>
    <col min="9733" max="9984" width="8.81640625" style="63"/>
    <col min="9985" max="9985" width="9" style="63" customWidth="1"/>
    <col min="9986" max="9986" width="28.7265625" style="63" customWidth="1"/>
    <col min="9987" max="9987" width="57.7265625" style="63" customWidth="1"/>
    <col min="9988" max="9988" width="9.453125" style="63" customWidth="1"/>
    <col min="9989" max="10240" width="8.81640625" style="63"/>
    <col min="10241" max="10241" width="9" style="63" customWidth="1"/>
    <col min="10242" max="10242" width="28.7265625" style="63" customWidth="1"/>
    <col min="10243" max="10243" width="57.7265625" style="63" customWidth="1"/>
    <col min="10244" max="10244" width="9.453125" style="63" customWidth="1"/>
    <col min="10245" max="10496" width="8.81640625" style="63"/>
    <col min="10497" max="10497" width="9" style="63" customWidth="1"/>
    <col min="10498" max="10498" width="28.7265625" style="63" customWidth="1"/>
    <col min="10499" max="10499" width="57.7265625" style="63" customWidth="1"/>
    <col min="10500" max="10500" width="9.453125" style="63" customWidth="1"/>
    <col min="10501" max="10752" width="8.81640625" style="63"/>
    <col min="10753" max="10753" width="9" style="63" customWidth="1"/>
    <col min="10754" max="10754" width="28.7265625" style="63" customWidth="1"/>
    <col min="10755" max="10755" width="57.7265625" style="63" customWidth="1"/>
    <col min="10756" max="10756" width="9.453125" style="63" customWidth="1"/>
    <col min="10757" max="11008" width="8.81640625" style="63"/>
    <col min="11009" max="11009" width="9" style="63" customWidth="1"/>
    <col min="11010" max="11010" width="28.7265625" style="63" customWidth="1"/>
    <col min="11011" max="11011" width="57.7265625" style="63" customWidth="1"/>
    <col min="11012" max="11012" width="9.453125" style="63" customWidth="1"/>
    <col min="11013" max="11264" width="8.81640625" style="63"/>
    <col min="11265" max="11265" width="9" style="63" customWidth="1"/>
    <col min="11266" max="11266" width="28.7265625" style="63" customWidth="1"/>
    <col min="11267" max="11267" width="57.7265625" style="63" customWidth="1"/>
    <col min="11268" max="11268" width="9.453125" style="63" customWidth="1"/>
    <col min="11269" max="11520" width="8.81640625" style="63"/>
    <col min="11521" max="11521" width="9" style="63" customWidth="1"/>
    <col min="11522" max="11522" width="28.7265625" style="63" customWidth="1"/>
    <col min="11523" max="11523" width="57.7265625" style="63" customWidth="1"/>
    <col min="11524" max="11524" width="9.453125" style="63" customWidth="1"/>
    <col min="11525" max="11776" width="8.81640625" style="63"/>
    <col min="11777" max="11777" width="9" style="63" customWidth="1"/>
    <col min="11778" max="11778" width="28.7265625" style="63" customWidth="1"/>
    <col min="11779" max="11779" width="57.7265625" style="63" customWidth="1"/>
    <col min="11780" max="11780" width="9.453125" style="63" customWidth="1"/>
    <col min="11781" max="12032" width="8.81640625" style="63"/>
    <col min="12033" max="12033" width="9" style="63" customWidth="1"/>
    <col min="12034" max="12034" width="28.7265625" style="63" customWidth="1"/>
    <col min="12035" max="12035" width="57.7265625" style="63" customWidth="1"/>
    <col min="12036" max="12036" width="9.453125" style="63" customWidth="1"/>
    <col min="12037" max="12288" width="8.81640625" style="63"/>
    <col min="12289" max="12289" width="9" style="63" customWidth="1"/>
    <col min="12290" max="12290" width="28.7265625" style="63" customWidth="1"/>
    <col min="12291" max="12291" width="57.7265625" style="63" customWidth="1"/>
    <col min="12292" max="12292" width="9.453125" style="63" customWidth="1"/>
    <col min="12293" max="12544" width="8.81640625" style="63"/>
    <col min="12545" max="12545" width="9" style="63" customWidth="1"/>
    <col min="12546" max="12546" width="28.7265625" style="63" customWidth="1"/>
    <col min="12547" max="12547" width="57.7265625" style="63" customWidth="1"/>
    <col min="12548" max="12548" width="9.453125" style="63" customWidth="1"/>
    <col min="12549" max="12800" width="8.81640625" style="63"/>
    <col min="12801" max="12801" width="9" style="63" customWidth="1"/>
    <col min="12802" max="12802" width="28.7265625" style="63" customWidth="1"/>
    <col min="12803" max="12803" width="57.7265625" style="63" customWidth="1"/>
    <col min="12804" max="12804" width="9.453125" style="63" customWidth="1"/>
    <col min="12805" max="13056" width="8.81640625" style="63"/>
    <col min="13057" max="13057" width="9" style="63" customWidth="1"/>
    <col min="13058" max="13058" width="28.7265625" style="63" customWidth="1"/>
    <col min="13059" max="13059" width="57.7265625" style="63" customWidth="1"/>
    <col min="13060" max="13060" width="9.453125" style="63" customWidth="1"/>
    <col min="13061" max="13312" width="8.81640625" style="63"/>
    <col min="13313" max="13313" width="9" style="63" customWidth="1"/>
    <col min="13314" max="13314" width="28.7265625" style="63" customWidth="1"/>
    <col min="13315" max="13315" width="57.7265625" style="63" customWidth="1"/>
    <col min="13316" max="13316" width="9.453125" style="63" customWidth="1"/>
    <col min="13317" max="13568" width="8.81640625" style="63"/>
    <col min="13569" max="13569" width="9" style="63" customWidth="1"/>
    <col min="13570" max="13570" width="28.7265625" style="63" customWidth="1"/>
    <col min="13571" max="13571" width="57.7265625" style="63" customWidth="1"/>
    <col min="13572" max="13572" width="9.453125" style="63" customWidth="1"/>
    <col min="13573" max="13824" width="8.81640625" style="63"/>
    <col min="13825" max="13825" width="9" style="63" customWidth="1"/>
    <col min="13826" max="13826" width="28.7265625" style="63" customWidth="1"/>
    <col min="13827" max="13827" width="57.7265625" style="63" customWidth="1"/>
    <col min="13828" max="13828" width="9.453125" style="63" customWidth="1"/>
    <col min="13829" max="14080" width="8.81640625" style="63"/>
    <col min="14081" max="14081" width="9" style="63" customWidth="1"/>
    <col min="14082" max="14082" width="28.7265625" style="63" customWidth="1"/>
    <col min="14083" max="14083" width="57.7265625" style="63" customWidth="1"/>
    <col min="14084" max="14084" width="9.453125" style="63" customWidth="1"/>
    <col min="14085" max="14336" width="8.81640625" style="63"/>
    <col min="14337" max="14337" width="9" style="63" customWidth="1"/>
    <col min="14338" max="14338" width="28.7265625" style="63" customWidth="1"/>
    <col min="14339" max="14339" width="57.7265625" style="63" customWidth="1"/>
    <col min="14340" max="14340" width="9.453125" style="63" customWidth="1"/>
    <col min="14341" max="14592" width="8.81640625" style="63"/>
    <col min="14593" max="14593" width="9" style="63" customWidth="1"/>
    <col min="14594" max="14594" width="28.7265625" style="63" customWidth="1"/>
    <col min="14595" max="14595" width="57.7265625" style="63" customWidth="1"/>
    <col min="14596" max="14596" width="9.453125" style="63" customWidth="1"/>
    <col min="14597" max="14848" width="8.81640625" style="63"/>
    <col min="14849" max="14849" width="9" style="63" customWidth="1"/>
    <col min="14850" max="14850" width="28.7265625" style="63" customWidth="1"/>
    <col min="14851" max="14851" width="57.7265625" style="63" customWidth="1"/>
    <col min="14852" max="14852" width="9.453125" style="63" customWidth="1"/>
    <col min="14853" max="15104" width="8.81640625" style="63"/>
    <col min="15105" max="15105" width="9" style="63" customWidth="1"/>
    <col min="15106" max="15106" width="28.7265625" style="63" customWidth="1"/>
    <col min="15107" max="15107" width="57.7265625" style="63" customWidth="1"/>
    <col min="15108" max="15108" width="9.453125" style="63" customWidth="1"/>
    <col min="15109" max="15360" width="8.81640625" style="63"/>
    <col min="15361" max="15361" width="9" style="63" customWidth="1"/>
    <col min="15362" max="15362" width="28.7265625" style="63" customWidth="1"/>
    <col min="15363" max="15363" width="57.7265625" style="63" customWidth="1"/>
    <col min="15364" max="15364" width="9.453125" style="63" customWidth="1"/>
    <col min="15365" max="15616" width="8.81640625" style="63"/>
    <col min="15617" max="15617" width="9" style="63" customWidth="1"/>
    <col min="15618" max="15618" width="28.7265625" style="63" customWidth="1"/>
    <col min="15619" max="15619" width="57.7265625" style="63" customWidth="1"/>
    <col min="15620" max="15620" width="9.453125" style="63" customWidth="1"/>
    <col min="15621" max="15872" width="8.81640625" style="63"/>
    <col min="15873" max="15873" width="9" style="63" customWidth="1"/>
    <col min="15874" max="15874" width="28.7265625" style="63" customWidth="1"/>
    <col min="15875" max="15875" width="57.7265625" style="63" customWidth="1"/>
    <col min="15876" max="15876" width="9.453125" style="63" customWidth="1"/>
    <col min="15877" max="16128" width="8.81640625" style="63"/>
    <col min="16129" max="16129" width="9" style="63" customWidth="1"/>
    <col min="16130" max="16130" width="28.7265625" style="63" customWidth="1"/>
    <col min="16131" max="16131" width="57.7265625" style="63" customWidth="1"/>
    <col min="16132" max="16132" width="9.453125" style="63" customWidth="1"/>
    <col min="16133" max="16384" width="8.81640625" style="63"/>
  </cols>
  <sheetData>
    <row r="1" spans="1:19" ht="18.5">
      <c r="A1" s="304" t="s">
        <v>1089</v>
      </c>
      <c r="B1" s="305"/>
      <c r="C1" s="306"/>
    </row>
    <row r="2" spans="1:19" s="65" customFormat="1" ht="14.5">
      <c r="A2" s="64" t="s">
        <v>1090</v>
      </c>
      <c r="B2" s="64" t="s">
        <v>1091</v>
      </c>
      <c r="C2" s="64" t="s">
        <v>1092</v>
      </c>
    </row>
    <row r="3" spans="1:19" s="66" customFormat="1" ht="14.5">
      <c r="A3" s="64" t="s">
        <v>15</v>
      </c>
      <c r="B3" s="307" t="s">
        <v>1093</v>
      </c>
      <c r="C3" s="307"/>
    </row>
    <row r="4" spans="1:19" s="66" customFormat="1" ht="29">
      <c r="A4" s="67">
        <v>1</v>
      </c>
      <c r="B4" s="68" t="s">
        <v>1094</v>
      </c>
      <c r="C4" s="68" t="s">
        <v>1095</v>
      </c>
    </row>
    <row r="5" spans="1:19" s="66" customFormat="1" ht="14.5">
      <c r="A5" s="67">
        <v>2</v>
      </c>
      <c r="B5" s="68" t="s">
        <v>1096</v>
      </c>
      <c r="C5" s="68" t="s">
        <v>1097</v>
      </c>
    </row>
    <row r="6" spans="1:19" s="66" customFormat="1" ht="29">
      <c r="A6" s="67">
        <v>3</v>
      </c>
      <c r="B6" s="68" t="s">
        <v>1098</v>
      </c>
      <c r="C6" s="68" t="s">
        <v>1099</v>
      </c>
    </row>
    <row r="7" spans="1:19" s="66" customFormat="1" ht="14.5">
      <c r="A7" s="67">
        <v>4</v>
      </c>
      <c r="B7" s="68" t="s">
        <v>1100</v>
      </c>
      <c r="C7" s="68" t="s">
        <v>1101</v>
      </c>
    </row>
    <row r="8" spans="1:19" s="71" customFormat="1" ht="14.5">
      <c r="A8" s="67">
        <v>5</v>
      </c>
      <c r="B8" s="68" t="s">
        <v>1102</v>
      </c>
      <c r="C8" s="68" t="s">
        <v>1103</v>
      </c>
      <c r="D8" s="63"/>
      <c r="E8" s="69"/>
      <c r="F8" s="69"/>
      <c r="G8" s="69"/>
      <c r="H8" s="69"/>
      <c r="I8" s="69"/>
      <c r="J8" s="69"/>
      <c r="K8" s="69"/>
      <c r="L8" s="70"/>
      <c r="M8" s="69"/>
      <c r="N8" s="69"/>
      <c r="O8" s="69"/>
      <c r="P8" s="69"/>
      <c r="Q8" s="69"/>
      <c r="R8" s="69"/>
      <c r="S8" s="69"/>
    </row>
    <row r="9" spans="1:19" ht="14.5">
      <c r="A9" s="65">
        <v>6</v>
      </c>
      <c r="B9" s="68" t="s">
        <v>1104</v>
      </c>
      <c r="C9" s="68" t="s">
        <v>1105</v>
      </c>
    </row>
    <row r="10" spans="1:19">
      <c r="C10" s="65"/>
    </row>
    <row r="11" spans="1:19">
      <c r="C11" s="65"/>
    </row>
    <row r="12" spans="1:19">
      <c r="C12" s="65"/>
    </row>
    <row r="13" spans="1:19">
      <c r="C13" s="65"/>
    </row>
    <row r="14" spans="1:19">
      <c r="C14" s="65"/>
    </row>
    <row r="15" spans="1:19">
      <c r="C15" s="65"/>
    </row>
    <row r="16" spans="1:19">
      <c r="C16" s="65"/>
    </row>
    <row r="17" spans="3:3">
      <c r="C17" s="65"/>
    </row>
    <row r="18" spans="3:3">
      <c r="C18" s="65"/>
    </row>
    <row r="19" spans="3:3">
      <c r="C19" s="65"/>
    </row>
    <row r="20" spans="3:3">
      <c r="C20" s="65"/>
    </row>
    <row r="21" spans="3:3">
      <c r="C21" s="65"/>
    </row>
    <row r="22" spans="3:3">
      <c r="C22" s="65"/>
    </row>
    <row r="23" spans="3:3">
      <c r="C23" s="65"/>
    </row>
    <row r="24" spans="3:3">
      <c r="C24" s="65"/>
    </row>
    <row r="25" spans="3:3">
      <c r="C25" s="65"/>
    </row>
    <row r="26" spans="3:3">
      <c r="C26" s="65"/>
    </row>
    <row r="27" spans="3:3">
      <c r="C27" s="65"/>
    </row>
    <row r="28" spans="3:3">
      <c r="C28" s="65"/>
    </row>
    <row r="29" spans="3:3">
      <c r="C29" s="65"/>
    </row>
    <row r="30" spans="3:3">
      <c r="C30" s="65"/>
    </row>
    <row r="31" spans="3:3">
      <c r="C31" s="65"/>
    </row>
    <row r="32" spans="3:3">
      <c r="C32" s="65"/>
    </row>
    <row r="33" spans="3:3">
      <c r="C33" s="65"/>
    </row>
    <row r="34" spans="3:3">
      <c r="C34" s="65"/>
    </row>
    <row r="35" spans="3:3">
      <c r="C35" s="65"/>
    </row>
    <row r="36" spans="3:3">
      <c r="C36" s="65"/>
    </row>
    <row r="37" spans="3:3">
      <c r="C37" s="65"/>
    </row>
    <row r="38" spans="3:3">
      <c r="C38" s="65"/>
    </row>
    <row r="39" spans="3:3">
      <c r="C39" s="65"/>
    </row>
    <row r="40" spans="3:3">
      <c r="C40" s="65"/>
    </row>
    <row r="41" spans="3:3">
      <c r="C41" s="65"/>
    </row>
    <row r="42" spans="3:3">
      <c r="C42" s="65"/>
    </row>
    <row r="43" spans="3:3">
      <c r="C43" s="65"/>
    </row>
    <row r="44" spans="3:3">
      <c r="C44" s="65"/>
    </row>
    <row r="45" spans="3:3">
      <c r="C45" s="65"/>
    </row>
    <row r="46" spans="3:3">
      <c r="C46" s="65"/>
    </row>
    <row r="47" spans="3:3">
      <c r="C47" s="65"/>
    </row>
    <row r="48" spans="3:3">
      <c r="C48" s="65"/>
    </row>
    <row r="49" spans="3:3">
      <c r="C49" s="65"/>
    </row>
    <row r="50" spans="3:3">
      <c r="C50" s="65"/>
    </row>
    <row r="51" spans="3:3">
      <c r="C51" s="65"/>
    </row>
    <row r="52" spans="3:3">
      <c r="C52" s="65"/>
    </row>
    <row r="53" spans="3:3">
      <c r="C53" s="65"/>
    </row>
    <row r="54" spans="3:3">
      <c r="C54" s="65"/>
    </row>
    <row r="55" spans="3:3">
      <c r="C55" s="65"/>
    </row>
    <row r="56" spans="3:3">
      <c r="C56" s="65"/>
    </row>
    <row r="57" spans="3:3">
      <c r="C57" s="65"/>
    </row>
    <row r="58" spans="3:3">
      <c r="C58" s="65"/>
    </row>
    <row r="59" spans="3:3">
      <c r="C59" s="65"/>
    </row>
    <row r="60" spans="3:3">
      <c r="C60" s="65"/>
    </row>
    <row r="61" spans="3:3">
      <c r="C61" s="65"/>
    </row>
    <row r="62" spans="3:3">
      <c r="C62" s="65"/>
    </row>
    <row r="63" spans="3:3">
      <c r="C63" s="65"/>
    </row>
    <row r="64" spans="3:3">
      <c r="C64" s="65"/>
    </row>
    <row r="65" spans="3:3">
      <c r="C65" s="65"/>
    </row>
    <row r="66" spans="3:3">
      <c r="C66" s="65"/>
    </row>
    <row r="67" spans="3:3">
      <c r="C67" s="65"/>
    </row>
    <row r="68" spans="3:3">
      <c r="C68" s="65"/>
    </row>
    <row r="69" spans="3:3">
      <c r="C69" s="65"/>
    </row>
    <row r="70" spans="3:3">
      <c r="C70" s="65"/>
    </row>
  </sheetData>
  <mergeCells count="2">
    <mergeCell ref="A1:C1"/>
    <mergeCell ref="B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6" ma:contentTypeDescription="Create a new document." ma:contentTypeScope="" ma:versionID="d3f4398a17a7522b1eb09064070e4cf8">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25e78a30a50900dac08d09c8f46e87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6D3043-8326-46C0-A4FD-64DE8CAE0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8DFA5F-8ABE-4D4F-942B-A2CFBF217C2E}">
  <ds:schemaRefs>
    <ds:schemaRef ds:uri="b57188eb-d1f0-4ce3-8e5d-aa1e259d11d3"/>
    <ds:schemaRef ds:uri="http://schemas.microsoft.com/office/2006/documentManagement/types"/>
    <ds:schemaRef ds:uri="http://schemas.microsoft.com/office/infopath/2007/PartnerControls"/>
    <ds:schemaRef ds:uri="http://schemas.microsoft.com/office/2006/metadata/properties"/>
    <ds:schemaRef ds:uri="http://purl.org/dc/terms/"/>
    <ds:schemaRef ds:uri="http://schemas.openxmlformats.org/package/2006/metadata/core-properties"/>
    <ds:schemaRef ds:uri="84d5ecd3-9e46-4f88-88f4-d7ee9e4f8f55"/>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83846684-AF75-4F0D-A4E0-DD527A74BE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Summary</vt:lpstr>
      <vt:lpstr>Civil &amp; Interior</vt:lpstr>
      <vt:lpstr>MB Civil &amp; Interior</vt:lpstr>
      <vt:lpstr>Fire Fighting</vt:lpstr>
      <vt:lpstr>MB Fire </vt:lpstr>
      <vt:lpstr>HVAC extra</vt:lpstr>
      <vt:lpstr>HVAC extra work </vt:lpstr>
      <vt:lpstr>Material Specifications</vt:lpstr>
      <vt:lpstr>Fire Make</vt:lpstr>
      <vt:lpstr>Electrical ,CCTV &amp; PA Make</vt:lpstr>
      <vt:lpstr>Toilet Specs</vt:lpstr>
      <vt:lpstr>'Toilet Specs'!Print_Area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Sachin Singh Rana</dc:creator>
  <cp:keywords/>
  <dc:description/>
  <cp:lastModifiedBy>ramesh suthar</cp:lastModifiedBy>
  <cp:revision/>
  <dcterms:created xsi:type="dcterms:W3CDTF">2023-01-31T11:51:23Z</dcterms:created>
  <dcterms:modified xsi:type="dcterms:W3CDTF">2024-03-12T08:40:09Z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