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Flying Bytes - A-09 Int\Additional Work\"/>
    </mc:Choice>
  </mc:AlternateContent>
  <bookViews>
    <workbookView xWindow="-120" yWindow="-120" windowWidth="20730" windowHeight="11040" tabRatio="735" activeTab="2"/>
  </bookViews>
  <sheets>
    <sheet name="Counter Rate Analysis" sheetId="16" r:id="rId1"/>
    <sheet name="Counter Rate Analysis - Adani" sheetId="18" r:id="rId2"/>
    <sheet name="Flying Bytes" sheetId="12" r:id="rId3"/>
    <sheet name="Bills" sheetId="15" r:id="rId4"/>
    <sheet name="Manpower" sheetId="17" state="hidden" r:id="rId5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8" l="1"/>
  <c r="K11" i="18"/>
  <c r="K10" i="18"/>
  <c r="K8" i="18"/>
  <c r="A8" i="18"/>
  <c r="A9" i="18" s="1"/>
  <c r="A10" i="18" s="1"/>
  <c r="I7" i="18"/>
  <c r="K7" i="18" s="1"/>
  <c r="K6" i="18"/>
  <c r="I6" i="18"/>
  <c r="K5" i="18"/>
  <c r="K4" i="18"/>
  <c r="K13" i="16"/>
  <c r="G5" i="12"/>
  <c r="K50" i="15"/>
  <c r="E13" i="17"/>
  <c r="I13" i="17" s="1"/>
  <c r="L13" i="17" s="1"/>
  <c r="E12" i="17"/>
  <c r="E7" i="17"/>
  <c r="I7" i="17" s="1"/>
  <c r="L7" i="17" s="1"/>
  <c r="I12" i="17"/>
  <c r="L12" i="17" s="1"/>
  <c r="I9" i="17"/>
  <c r="L9" i="17" s="1"/>
  <c r="E11" i="17"/>
  <c r="I11" i="17" s="1"/>
  <c r="L11" i="17" s="1"/>
  <c r="E8" i="17"/>
  <c r="I8" i="17" s="1"/>
  <c r="L8" i="17" s="1"/>
  <c r="E10" i="17"/>
  <c r="I10" i="17" s="1"/>
  <c r="L10" i="17" s="1"/>
  <c r="E9" i="17"/>
  <c r="E6" i="17"/>
  <c r="I6" i="17" s="1"/>
  <c r="L6" i="17" s="1"/>
  <c r="K11" i="16"/>
  <c r="K10" i="16"/>
  <c r="K8" i="16"/>
  <c r="I6" i="16"/>
  <c r="I7" i="16" s="1"/>
  <c r="K7" i="16" s="1"/>
  <c r="K5" i="16"/>
  <c r="A8" i="16"/>
  <c r="A9" i="16" s="1"/>
  <c r="A10" i="16" s="1"/>
  <c r="K4" i="16"/>
  <c r="J9" i="18" l="1"/>
  <c r="K9" i="18" s="1"/>
  <c r="K12" i="18" s="1"/>
  <c r="K51" i="15"/>
  <c r="K52" i="15" s="1"/>
  <c r="L15" i="17"/>
  <c r="K6" i="16"/>
  <c r="K14" i="18" l="1"/>
  <c r="K12" i="16"/>
  <c r="J9" i="16"/>
  <c r="K9" i="16" s="1"/>
  <c r="K14" i="16" l="1"/>
  <c r="H6" i="12" l="1"/>
  <c r="H5" i="12"/>
  <c r="J49" i="15"/>
  <c r="J50" i="15" s="1"/>
  <c r="J51" i="15" s="1"/>
  <c r="J12" i="15"/>
  <c r="J13" i="15" s="1"/>
  <c r="J14" i="15" s="1"/>
  <c r="J52" i="15" l="1"/>
  <c r="J15" i="15"/>
  <c r="H7" i="12" l="1"/>
  <c r="F7" i="12"/>
  <c r="F6" i="12"/>
  <c r="F5" i="12"/>
  <c r="F8" i="12" s="1"/>
  <c r="F9" i="12" l="1"/>
  <c r="F10" i="12" s="1"/>
  <c r="H8" i="12"/>
  <c r="H9" i="12" s="1"/>
  <c r="H10" i="12" s="1"/>
</calcChain>
</file>

<file path=xl/sharedStrings.xml><?xml version="1.0" encoding="utf-8"?>
<sst xmlns="http://schemas.openxmlformats.org/spreadsheetml/2006/main" count="156" uniqueCount="88">
  <si>
    <t>Rate</t>
  </si>
  <si>
    <t xml:space="preserve">Additional Work </t>
  </si>
  <si>
    <t>Sr. No</t>
  </si>
  <si>
    <t xml:space="preserve">Project Details </t>
  </si>
  <si>
    <t xml:space="preserve">Particular </t>
  </si>
  <si>
    <t xml:space="preserve">Qty </t>
  </si>
  <si>
    <t xml:space="preserve">Rate </t>
  </si>
  <si>
    <t xml:space="preserve">Amount </t>
  </si>
  <si>
    <t xml:space="preserve">A-09 Flying Bites , T-3 Lucknow </t>
  </si>
  <si>
    <t xml:space="preserve">Sink </t>
  </si>
  <si>
    <t>Electrical Meter</t>
  </si>
  <si>
    <t xml:space="preserve">GRID CEILING </t>
  </si>
  <si>
    <t xml:space="preserve">Total </t>
  </si>
  <si>
    <t>GST @ 18%</t>
  </si>
  <si>
    <t xml:space="preserve">Grand total </t>
  </si>
  <si>
    <t>Adani CO</t>
  </si>
  <si>
    <t>Particular</t>
  </si>
  <si>
    <t>UOM</t>
  </si>
  <si>
    <t>Qty</t>
  </si>
  <si>
    <t>Amount(INR)</t>
  </si>
  <si>
    <t>Sub Total</t>
  </si>
  <si>
    <t>Sqft.</t>
  </si>
  <si>
    <t>Material Rate</t>
  </si>
  <si>
    <t>Electrician</t>
  </si>
  <si>
    <t>Mark up</t>
  </si>
  <si>
    <t>Total</t>
  </si>
  <si>
    <t>Rate Analysis</t>
  </si>
  <si>
    <t>Total Cost</t>
  </si>
  <si>
    <t>Overheads</t>
  </si>
  <si>
    <t>Round off</t>
  </si>
  <si>
    <t>Secure Energy Meter</t>
  </si>
  <si>
    <t>SS Sink :</t>
  </si>
  <si>
    <t>Plumber/Fitting</t>
  </si>
  <si>
    <t>Accessories</t>
  </si>
  <si>
    <t>Remarks</t>
  </si>
  <si>
    <t>Refabrication</t>
  </si>
  <si>
    <t>S.N</t>
  </si>
  <si>
    <t>Item</t>
  </si>
  <si>
    <t>Unit Location</t>
  </si>
  <si>
    <t>Spec.</t>
  </si>
  <si>
    <t>L</t>
  </si>
  <si>
    <t>B</t>
  </si>
  <si>
    <t>Pcs</t>
  </si>
  <si>
    <t>Amount(Rs.)</t>
  </si>
  <si>
    <t>19mm FR Plywood</t>
  </si>
  <si>
    <t xml:space="preserve">Shutter </t>
  </si>
  <si>
    <t>Century FR</t>
  </si>
  <si>
    <t>shutter , Floor, Side Partition &amp; Back with Door</t>
  </si>
  <si>
    <t>Merino</t>
  </si>
  <si>
    <t>12mm Corian Cladding</t>
  </si>
  <si>
    <t>Front Corian</t>
  </si>
  <si>
    <t>Corian Fabrication</t>
  </si>
  <si>
    <t>Re fixing of Front artwork</t>
  </si>
  <si>
    <t>Adhesive Corian &amp; Silicon</t>
  </si>
  <si>
    <t>No</t>
  </si>
  <si>
    <t>Overhead &amp; Wastages</t>
  </si>
  <si>
    <t>Screw, Adhesive, Machine hours, Wastages</t>
  </si>
  <si>
    <t>Re Fabrication</t>
  </si>
  <si>
    <t>Labour Carpentry , Finishing, SS  fixing, Local Transport, Material loading, bits tools etc.</t>
  </si>
  <si>
    <t>EA</t>
  </si>
  <si>
    <t>A</t>
  </si>
  <si>
    <t>Contractor Markup</t>
  </si>
  <si>
    <t>C</t>
  </si>
  <si>
    <t>COST</t>
  </si>
  <si>
    <t>Filler Counter</t>
  </si>
  <si>
    <t>1mm Laminate</t>
  </si>
  <si>
    <t>Transportation, &amp; Traveling, Accomodation, Allowances</t>
  </si>
  <si>
    <t>RATE</t>
  </si>
  <si>
    <t>3 Manpower &amp; To &amp; Fro</t>
  </si>
  <si>
    <t>Supervisor</t>
  </si>
  <si>
    <t>Carpenter</t>
  </si>
  <si>
    <t>Painter</t>
  </si>
  <si>
    <t>Tile Meson</t>
  </si>
  <si>
    <t xml:space="preserve">Ceiling </t>
  </si>
  <si>
    <t>MS Welder</t>
  </si>
  <si>
    <t>Manpower Type</t>
  </si>
  <si>
    <t>Per Day Wages</t>
  </si>
  <si>
    <t>Accomodation</t>
  </si>
  <si>
    <t xml:space="preserve">Footing </t>
  </si>
  <si>
    <t>Local Conveyance</t>
  </si>
  <si>
    <t>No. of Manpower Deployed</t>
  </si>
  <si>
    <t>Days</t>
  </si>
  <si>
    <t>S.No</t>
  </si>
  <si>
    <t>Labour Hel0er</t>
  </si>
  <si>
    <t>TOTAL MANPOWER</t>
  </si>
  <si>
    <t>Detail of Manpower Losses due to Changes &amp; Delay in Takeover the Site.</t>
  </si>
  <si>
    <t>Changes made in RA</t>
  </si>
  <si>
    <t>Adani operated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</si>
</sst>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5" formatCode="_(* #,##0.00_);_(* \(#,##0.00\);_(* \-??_);_(@_)"/>
    <numFmt numFmtId="167" formatCode="_(* #,##0.00_);_(* \(#,##0.00\);_(* &quot;-&quot;??_);_(@_)"/>
    <numFmt numFmtId="168" formatCode="_ * #,##0_ ;_ * \-#,##0_ ;_ * &quot;-&quot;??_ ;_ @_ "/>
    <numFmt numFmtId="169" formatCode="_ * #,##0.0_ ;_ * \-#,##0.0_ ;_ * &quot;-&quot;??_ ;_ @_ "/>
  </numFmts>
  <fonts count="1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808080"/>
      <name val="Calibri"/>
      <family val="2"/>
      <charset val="1"/>
    </font>
    <font>
      <sz val="10"/>
      <name val="Arial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.5"/>
      <color theme="1"/>
      <name val="Adani Regular"/>
    </font>
    <font>
      <b/>
      <sz val="10.5"/>
      <color rgb="FF000000"/>
      <name val="Adani Regular"/>
    </font>
    <font>
      <b/>
      <sz val="10.5"/>
      <color theme="1"/>
      <name val="Adani Regular"/>
    </font>
    <font>
      <sz val="10.5"/>
      <color rgb="FF000000"/>
      <name val="Adani Regula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5" fillId="0" borderId="0" applyBorder="0" applyProtection="0"/>
    <xf numFmtId="0" fontId="6" fillId="0" borderId="0"/>
    <xf numFmtId="0" fontId="7" fillId="0" borderId="0" applyBorder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10" fillId="0" borderId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165" fontId="6" fillId="0" borderId="0" applyFill="0" applyBorder="0" applyAlignment="0" applyProtection="0"/>
    <xf numFmtId="0" fontId="6" fillId="0" borderId="0"/>
    <xf numFmtId="167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43" fontId="12" fillId="0" borderId="1" xfId="25" applyFont="1" applyBorder="1"/>
    <xf numFmtId="43" fontId="0" fillId="0" borderId="1" xfId="25" applyFont="1" applyBorder="1"/>
    <xf numFmtId="0" fontId="0" fillId="0" borderId="1" xfId="0" applyBorder="1"/>
    <xf numFmtId="43" fontId="12" fillId="0" borderId="1" xfId="0" applyNumberFormat="1" applyFont="1" applyBorder="1"/>
    <xf numFmtId="0" fontId="13" fillId="0" borderId="0" xfId="0" applyFont="1"/>
    <xf numFmtId="0" fontId="13" fillId="0" borderId="1" xfId="0" applyFont="1" applyBorder="1"/>
    <xf numFmtId="43" fontId="0" fillId="0" borderId="1" xfId="29" applyFont="1" applyBorder="1"/>
    <xf numFmtId="43" fontId="13" fillId="0" borderId="1" xfId="29" applyFont="1" applyBorder="1"/>
    <xf numFmtId="43" fontId="14" fillId="0" borderId="1" xfId="29" applyFont="1" applyBorder="1"/>
    <xf numFmtId="43" fontId="0" fillId="0" borderId="0" xfId="29" applyFont="1"/>
    <xf numFmtId="43" fontId="12" fillId="0" borderId="1" xfId="25" applyFont="1" applyFill="1" applyBorder="1"/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3" fontId="17" fillId="0" borderId="3" xfId="29" applyFont="1" applyBorder="1" applyAlignment="1">
      <alignment horizontal="center" vertical="center"/>
    </xf>
    <xf numFmtId="168" fontId="17" fillId="0" borderId="3" xfId="29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3" fontId="15" fillId="0" borderId="3" xfId="29" applyFont="1" applyBorder="1" applyAlignment="1">
      <alignment horizontal="center" vertical="center"/>
    </xf>
    <xf numFmtId="168" fontId="15" fillId="0" borderId="3" xfId="29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3" fontId="17" fillId="3" borderId="3" xfId="29" applyFont="1" applyFill="1" applyBorder="1" applyAlignment="1">
      <alignment horizontal="center" vertical="center"/>
    </xf>
    <xf numFmtId="168" fontId="17" fillId="3" borderId="3" xfId="29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43" fontId="15" fillId="3" borderId="3" xfId="29" applyFont="1" applyFill="1" applyBorder="1" applyAlignment="1">
      <alignment horizontal="center" vertical="center"/>
    </xf>
    <xf numFmtId="168" fontId="15" fillId="3" borderId="3" xfId="29" applyNumberFormat="1" applyFont="1" applyFill="1" applyBorder="1" applyAlignment="1">
      <alignment horizontal="center" vertical="center"/>
    </xf>
    <xf numFmtId="168" fontId="0" fillId="0" borderId="0" xfId="0" applyNumberFormat="1"/>
    <xf numFmtId="0" fontId="18" fillId="0" borderId="4" xfId="0" applyFont="1" applyBorder="1" applyAlignment="1">
      <alignment vertical="center" wrapText="1"/>
    </xf>
    <xf numFmtId="169" fontId="0" fillId="0" borderId="1" xfId="29" applyNumberFormat="1" applyFont="1" applyBorder="1"/>
    <xf numFmtId="169" fontId="0" fillId="0" borderId="0" xfId="29" applyNumberFormat="1" applyFont="1"/>
    <xf numFmtId="168" fontId="0" fillId="0" borderId="1" xfId="29" applyNumberFormat="1" applyFont="1" applyBorder="1"/>
    <xf numFmtId="43" fontId="12" fillId="2" borderId="1" xfId="25" applyFont="1" applyFill="1" applyBorder="1"/>
    <xf numFmtId="43" fontId="0" fillId="2" borderId="1" xfId="25" applyFont="1" applyFill="1" applyBorder="1"/>
    <xf numFmtId="0" fontId="0" fillId="2" borderId="1" xfId="0" applyFill="1" applyBorder="1"/>
    <xf numFmtId="43" fontId="12" fillId="2" borderId="1" xfId="0" applyNumberFormat="1" applyFont="1" applyFill="1" applyBorder="1"/>
    <xf numFmtId="43" fontId="0" fillId="0" borderId="1" xfId="25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12" fillId="0" borderId="1" xfId="25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0">
    <cellStyle name="Comma" xfId="29" builtinId="3"/>
    <cellStyle name="Comma 2" xfId="5"/>
    <cellStyle name="Comma 2 2" xfId="13"/>
    <cellStyle name="Comma 2 2 2" xfId="22"/>
    <cellStyle name="Comma 2 2 2 5" xfId="14"/>
    <cellStyle name="Comma 2 3" xfId="19"/>
    <cellStyle name="Comma 2 5" xfId="25"/>
    <cellStyle name="Comma 3" xfId="17"/>
    <cellStyle name="Comma 84" xfId="16"/>
    <cellStyle name="Comma 84 2" xfId="23"/>
    <cellStyle name="Excel Built-in Explanatory Text" xfId="3"/>
    <cellStyle name="Excel Built-in Explanatory Text 2" xfId="8"/>
    <cellStyle name="Explanatory Text" xfId="1" builtinId="53" customBuiltin="1"/>
    <cellStyle name="Normal" xfId="0" builtinId="0"/>
    <cellStyle name="Normal - Style1" xfId="27"/>
    <cellStyle name="Normal 10 2" xfId="6"/>
    <cellStyle name="Normal 11" xfId="28"/>
    <cellStyle name="Normal 13" xfId="10"/>
    <cellStyle name="Normal 14 2" xfId="7"/>
    <cellStyle name="Normal 14 2 2" xfId="20"/>
    <cellStyle name="Normal 15" xfId="2"/>
    <cellStyle name="Normal 2" xfId="4"/>
    <cellStyle name="Normal 2 1" xfId="12"/>
    <cellStyle name="Normal 2 2" xfId="15"/>
    <cellStyle name="Normal 2 3" xfId="18"/>
    <cellStyle name="Normal 2 3 2" xfId="26"/>
    <cellStyle name="Normal 2 4" xfId="24"/>
    <cellStyle name="Normal 3" xfId="11"/>
    <cellStyle name="Normal 3 2" xfId="21"/>
    <cellStyle name="Normal 4" xfId="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37B70"/>
      <rgbColor rgb="FF0066CC"/>
      <rgbColor rgb="FFD9D9D9"/>
      <rgbColor rgb="FF000066"/>
      <rgbColor rgb="FFFF00FF"/>
      <rgbColor rgb="FFFFFF00"/>
      <rgbColor rgb="FF00FFFF"/>
      <rgbColor rgb="FF800080"/>
      <rgbColor rgb="FF800000"/>
      <rgbColor rgb="FF0066FF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7990</xdr:colOff>
      <xdr:row>32</xdr:row>
      <xdr:rowOff>84334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EDC7F-966D-C2DC-39D7-412BB95E4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75190" cy="59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99060</xdr:rowOff>
    </xdr:from>
    <xdr:to>
      <xdr:col>7</xdr:col>
      <xdr:colOff>91818</xdr:colOff>
      <xdr:row>66</xdr:row>
      <xdr:rowOff>15740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0B8579-0AB5-D246-B456-C4BD0021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34100"/>
          <a:ext cx="4359018" cy="57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13" sqref="K13"/>
    </sheetView>
  </sheetViews>
  <sheetFormatPr defaultRowHeight="15"/>
  <cols>
    <col min="1" max="1" width="4.28515625" bestFit="1" customWidth="1"/>
    <col min="2" max="2" width="37.42578125" bestFit="1" customWidth="1"/>
    <col min="3" max="3" width="13.85546875" bestFit="1" customWidth="1"/>
    <col min="4" max="4" width="26.42578125" bestFit="1" customWidth="1"/>
    <col min="5" max="6" width="5.42578125" bestFit="1" customWidth="1"/>
    <col min="7" max="7" width="4.5703125" bestFit="1" customWidth="1"/>
    <col min="8" max="8" width="5.7109375" bestFit="1" customWidth="1"/>
    <col min="9" max="10" width="8.28515625" bestFit="1" customWidth="1"/>
    <col min="11" max="11" width="14.28515625" bestFit="1" customWidth="1"/>
  </cols>
  <sheetData>
    <row r="1" spans="1:11">
      <c r="A1" s="12"/>
      <c r="B1" s="13" t="s">
        <v>35</v>
      </c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5"/>
      <c r="B2" s="16" t="s">
        <v>64</v>
      </c>
      <c r="C2" s="16"/>
      <c r="D2" s="17"/>
      <c r="E2" s="17"/>
      <c r="F2" s="17"/>
      <c r="G2" s="17"/>
      <c r="H2" s="17"/>
      <c r="I2" s="17"/>
      <c r="J2" s="17"/>
      <c r="K2" s="17"/>
    </row>
    <row r="3" spans="1:11">
      <c r="A3" s="18" t="s">
        <v>36</v>
      </c>
      <c r="B3" s="19" t="s">
        <v>37</v>
      </c>
      <c r="C3" s="19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17</v>
      </c>
      <c r="I3" s="21" t="s">
        <v>18</v>
      </c>
      <c r="J3" s="22" t="s">
        <v>0</v>
      </c>
      <c r="K3" s="22" t="s">
        <v>43</v>
      </c>
    </row>
    <row r="4" spans="1:11">
      <c r="A4" s="23">
        <v>1</v>
      </c>
      <c r="B4" s="24" t="s">
        <v>44</v>
      </c>
      <c r="C4" s="24" t="s">
        <v>45</v>
      </c>
      <c r="D4" s="25" t="s">
        <v>46</v>
      </c>
      <c r="E4" s="26"/>
      <c r="F4" s="26"/>
      <c r="G4" s="26"/>
      <c r="H4" s="26" t="s">
        <v>21</v>
      </c>
      <c r="I4" s="27">
        <v>24</v>
      </c>
      <c r="J4" s="28">
        <v>127</v>
      </c>
      <c r="K4" s="28">
        <f t="shared" ref="K4:K11" si="0">I4*J4</f>
        <v>3048</v>
      </c>
    </row>
    <row r="5" spans="1:11" ht="67.5">
      <c r="A5" s="23">
        <v>2</v>
      </c>
      <c r="B5" s="24" t="s">
        <v>65</v>
      </c>
      <c r="C5" s="24" t="s">
        <v>47</v>
      </c>
      <c r="D5" s="25" t="s">
        <v>48</v>
      </c>
      <c r="E5" s="26"/>
      <c r="F5" s="26"/>
      <c r="G5" s="26"/>
      <c r="H5" s="26" t="s">
        <v>21</v>
      </c>
      <c r="I5" s="27">
        <v>24</v>
      </c>
      <c r="J5" s="28">
        <v>45.31</v>
      </c>
      <c r="K5" s="28">
        <f t="shared" si="0"/>
        <v>1087.44</v>
      </c>
    </row>
    <row r="6" spans="1:11">
      <c r="A6" s="23">
        <v>2</v>
      </c>
      <c r="B6" s="29" t="s">
        <v>49</v>
      </c>
      <c r="C6" s="29" t="s">
        <v>50</v>
      </c>
      <c r="D6" s="26"/>
      <c r="E6" s="26">
        <v>750</v>
      </c>
      <c r="F6" s="26">
        <v>1800</v>
      </c>
      <c r="G6" s="26">
        <v>1</v>
      </c>
      <c r="H6" s="25" t="s">
        <v>21</v>
      </c>
      <c r="I6" s="27">
        <f>E6/1000*F6/1000*10.764</f>
        <v>14.5314</v>
      </c>
      <c r="J6" s="28">
        <v>880</v>
      </c>
      <c r="K6" s="28">
        <f t="shared" si="0"/>
        <v>12787.632</v>
      </c>
    </row>
    <row r="7" spans="1:11" ht="27">
      <c r="A7" s="23">
        <v>2</v>
      </c>
      <c r="B7" s="29" t="s">
        <v>51</v>
      </c>
      <c r="C7" s="29" t="s">
        <v>52</v>
      </c>
      <c r="D7" s="26"/>
      <c r="E7" s="26"/>
      <c r="F7" s="26"/>
      <c r="G7" s="26"/>
      <c r="H7" s="25" t="s">
        <v>21</v>
      </c>
      <c r="I7" s="27">
        <f>SUM(I6:I6)</f>
        <v>14.5314</v>
      </c>
      <c r="J7" s="28">
        <v>450</v>
      </c>
      <c r="K7" s="28">
        <f t="shared" si="0"/>
        <v>6539.13</v>
      </c>
    </row>
    <row r="8" spans="1:11">
      <c r="A8" s="23">
        <f t="shared" ref="A8:A10" si="1">A7+1</f>
        <v>3</v>
      </c>
      <c r="B8" s="29" t="s">
        <v>53</v>
      </c>
      <c r="C8" s="29"/>
      <c r="D8" s="26"/>
      <c r="E8" s="26"/>
      <c r="F8" s="26"/>
      <c r="G8" s="26"/>
      <c r="H8" s="25" t="s">
        <v>54</v>
      </c>
      <c r="I8" s="27">
        <v>3</v>
      </c>
      <c r="J8" s="28">
        <v>850</v>
      </c>
      <c r="K8" s="28">
        <f t="shared" si="0"/>
        <v>2550</v>
      </c>
    </row>
    <row r="9" spans="1:11" ht="27">
      <c r="A9" s="23">
        <f t="shared" si="1"/>
        <v>4</v>
      </c>
      <c r="B9" s="29" t="s">
        <v>55</v>
      </c>
      <c r="C9" s="29"/>
      <c r="D9" s="30" t="s">
        <v>56</v>
      </c>
      <c r="E9" s="26"/>
      <c r="F9" s="26"/>
      <c r="G9" s="26"/>
      <c r="H9" s="25" t="s">
        <v>54</v>
      </c>
      <c r="I9" s="27">
        <v>1</v>
      </c>
      <c r="J9" s="28">
        <f>SUM(K4:K8)*5%</f>
        <v>1300.6101000000001</v>
      </c>
      <c r="K9" s="28">
        <f t="shared" si="0"/>
        <v>1300.6101000000001</v>
      </c>
    </row>
    <row r="10" spans="1:11" ht="54">
      <c r="A10" s="23">
        <f t="shared" si="1"/>
        <v>5</v>
      </c>
      <c r="B10" s="29" t="s">
        <v>57</v>
      </c>
      <c r="C10" s="29"/>
      <c r="D10" s="31" t="s">
        <v>58</v>
      </c>
      <c r="E10" s="26"/>
      <c r="F10" s="26"/>
      <c r="G10" s="26"/>
      <c r="H10" s="25" t="s">
        <v>59</v>
      </c>
      <c r="I10" s="27">
        <v>1</v>
      </c>
      <c r="J10" s="28">
        <v>5100</v>
      </c>
      <c r="K10" s="28">
        <f t="shared" si="0"/>
        <v>5100</v>
      </c>
    </row>
    <row r="11" spans="1:11" ht="27">
      <c r="A11" s="23">
        <v>6</v>
      </c>
      <c r="B11" s="29" t="s">
        <v>66</v>
      </c>
      <c r="C11" s="29"/>
      <c r="D11" s="31" t="s">
        <v>68</v>
      </c>
      <c r="E11" s="26"/>
      <c r="F11" s="26"/>
      <c r="G11" s="26"/>
      <c r="H11" s="25" t="s">
        <v>59</v>
      </c>
      <c r="I11" s="27">
        <v>1</v>
      </c>
      <c r="J11" s="28">
        <v>6000</v>
      </c>
      <c r="K11" s="28">
        <f t="shared" si="0"/>
        <v>6000</v>
      </c>
    </row>
    <row r="12" spans="1:11">
      <c r="A12" s="32" t="s">
        <v>60</v>
      </c>
      <c r="B12" s="33" t="s">
        <v>20</v>
      </c>
      <c r="C12" s="33"/>
      <c r="D12" s="34"/>
      <c r="E12" s="35"/>
      <c r="F12" s="35"/>
      <c r="G12" s="35"/>
      <c r="H12" s="36"/>
      <c r="I12" s="37"/>
      <c r="J12" s="38"/>
      <c r="K12" s="38">
        <f>SUM(K4:K11)</f>
        <v>38412.812100000003</v>
      </c>
    </row>
    <row r="13" spans="1:11">
      <c r="A13" s="23" t="s">
        <v>41</v>
      </c>
      <c r="B13" s="29" t="s">
        <v>61</v>
      </c>
      <c r="C13" s="29"/>
      <c r="D13" s="31"/>
      <c r="E13" s="26"/>
      <c r="F13" s="26"/>
      <c r="G13" s="26"/>
      <c r="H13" s="25"/>
      <c r="I13" s="27"/>
      <c r="J13" s="28"/>
      <c r="K13" s="28">
        <f>K12*25%</f>
        <v>9603.2030250000007</v>
      </c>
    </row>
    <row r="14" spans="1:11">
      <c r="A14" s="39" t="s">
        <v>62</v>
      </c>
      <c r="B14" s="40" t="s">
        <v>63</v>
      </c>
      <c r="C14" s="40"/>
      <c r="D14" s="41"/>
      <c r="E14" s="42"/>
      <c r="F14" s="42"/>
      <c r="G14" s="42"/>
      <c r="H14" s="43"/>
      <c r="I14" s="44"/>
      <c r="J14" s="45"/>
      <c r="K14" s="45">
        <f>K12+K13</f>
        <v>48016.015125000005</v>
      </c>
    </row>
    <row r="15" spans="1:11">
      <c r="B15" s="47" t="s">
        <v>67</v>
      </c>
      <c r="K15" s="46">
        <v>48000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6" workbookViewId="0">
      <selection activeCell="L15" sqref="L15"/>
    </sheetView>
  </sheetViews>
  <sheetFormatPr defaultRowHeight="15"/>
  <cols>
    <col min="1" max="1" width="4.28515625" bestFit="1" customWidth="1"/>
    <col min="2" max="2" width="37.42578125" bestFit="1" customWidth="1"/>
    <col min="3" max="3" width="13.85546875" bestFit="1" customWidth="1"/>
    <col min="4" max="4" width="26.42578125" bestFit="1" customWidth="1"/>
    <col min="5" max="6" width="5.42578125" bestFit="1" customWidth="1"/>
    <col min="7" max="7" width="4.5703125" bestFit="1" customWidth="1"/>
    <col min="8" max="8" width="5.7109375" bestFit="1" customWidth="1"/>
    <col min="9" max="10" width="8.28515625" bestFit="1" customWidth="1"/>
    <col min="11" max="11" width="14.28515625" bestFit="1" customWidth="1"/>
  </cols>
  <sheetData>
    <row r="1" spans="1:11">
      <c r="A1" s="12"/>
      <c r="B1" s="13" t="s">
        <v>35</v>
      </c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5"/>
      <c r="B2" s="16" t="s">
        <v>64</v>
      </c>
      <c r="C2" s="16"/>
      <c r="D2" s="17"/>
      <c r="E2" s="17"/>
      <c r="F2" s="17"/>
      <c r="G2" s="17"/>
      <c r="H2" s="17"/>
      <c r="I2" s="17"/>
      <c r="J2" s="17"/>
      <c r="K2" s="17"/>
    </row>
    <row r="3" spans="1:11">
      <c r="A3" s="18" t="s">
        <v>36</v>
      </c>
      <c r="B3" s="19" t="s">
        <v>37</v>
      </c>
      <c r="C3" s="19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17</v>
      </c>
      <c r="I3" s="21" t="s">
        <v>18</v>
      </c>
      <c r="J3" s="22" t="s">
        <v>0</v>
      </c>
      <c r="K3" s="22" t="s">
        <v>43</v>
      </c>
    </row>
    <row r="4" spans="1:11">
      <c r="A4" s="23">
        <v>1</v>
      </c>
      <c r="B4" s="24" t="s">
        <v>44</v>
      </c>
      <c r="C4" s="24" t="s">
        <v>45</v>
      </c>
      <c r="D4" s="25" t="s">
        <v>46</v>
      </c>
      <c r="E4" s="26"/>
      <c r="F4" s="26"/>
      <c r="G4" s="26"/>
      <c r="H4" s="26" t="s">
        <v>21</v>
      </c>
      <c r="I4" s="27">
        <v>24</v>
      </c>
      <c r="J4" s="28">
        <v>127</v>
      </c>
      <c r="K4" s="28">
        <f t="shared" ref="K4:K11" si="0">I4*J4</f>
        <v>3048</v>
      </c>
    </row>
    <row r="5" spans="1:11" ht="67.5">
      <c r="A5" s="23">
        <v>2</v>
      </c>
      <c r="B5" s="24" t="s">
        <v>65</v>
      </c>
      <c r="C5" s="24" t="s">
        <v>47</v>
      </c>
      <c r="D5" s="25" t="s">
        <v>48</v>
      </c>
      <c r="E5" s="26"/>
      <c r="F5" s="26"/>
      <c r="G5" s="26"/>
      <c r="H5" s="26" t="s">
        <v>21</v>
      </c>
      <c r="I5" s="27">
        <v>24</v>
      </c>
      <c r="J5" s="28">
        <v>45.31</v>
      </c>
      <c r="K5" s="28">
        <f t="shared" si="0"/>
        <v>1087.44</v>
      </c>
    </row>
    <row r="6" spans="1:11">
      <c r="A6" s="23">
        <v>2</v>
      </c>
      <c r="B6" s="29" t="s">
        <v>49</v>
      </c>
      <c r="C6" s="29" t="s">
        <v>50</v>
      </c>
      <c r="D6" s="26"/>
      <c r="E6" s="26">
        <v>750</v>
      </c>
      <c r="F6" s="26">
        <v>1800</v>
      </c>
      <c r="G6" s="26">
        <v>1</v>
      </c>
      <c r="H6" s="25" t="s">
        <v>21</v>
      </c>
      <c r="I6" s="27">
        <f>E6/1000*F6/1000*10.764</f>
        <v>14.5314</v>
      </c>
      <c r="J6" s="28">
        <v>880</v>
      </c>
      <c r="K6" s="28">
        <f t="shared" si="0"/>
        <v>12787.632</v>
      </c>
    </row>
    <row r="7" spans="1:11" ht="27">
      <c r="A7" s="23">
        <v>2</v>
      </c>
      <c r="B7" s="29" t="s">
        <v>51</v>
      </c>
      <c r="C7" s="29" t="s">
        <v>52</v>
      </c>
      <c r="D7" s="26"/>
      <c r="E7" s="26"/>
      <c r="F7" s="26"/>
      <c r="G7" s="26"/>
      <c r="H7" s="25" t="s">
        <v>21</v>
      </c>
      <c r="I7" s="27">
        <f>SUM(I6:I6)</f>
        <v>14.5314</v>
      </c>
      <c r="J7" s="28">
        <v>450</v>
      </c>
      <c r="K7" s="28">
        <f t="shared" si="0"/>
        <v>6539.13</v>
      </c>
    </row>
    <row r="8" spans="1:11">
      <c r="A8" s="23">
        <f t="shared" ref="A8:A10" si="1">A7+1</f>
        <v>3</v>
      </c>
      <c r="B8" s="29" t="s">
        <v>53</v>
      </c>
      <c r="C8" s="29"/>
      <c r="D8" s="26"/>
      <c r="E8" s="26"/>
      <c r="F8" s="26"/>
      <c r="G8" s="26"/>
      <c r="H8" s="25" t="s">
        <v>54</v>
      </c>
      <c r="I8" s="27">
        <v>3</v>
      </c>
      <c r="J8" s="28">
        <v>850</v>
      </c>
      <c r="K8" s="28">
        <f t="shared" si="0"/>
        <v>2550</v>
      </c>
    </row>
    <row r="9" spans="1:11" ht="27">
      <c r="A9" s="23">
        <f t="shared" si="1"/>
        <v>4</v>
      </c>
      <c r="B9" s="29" t="s">
        <v>55</v>
      </c>
      <c r="C9" s="29"/>
      <c r="D9" s="30" t="s">
        <v>56</v>
      </c>
      <c r="E9" s="26"/>
      <c r="F9" s="26"/>
      <c r="G9" s="26"/>
      <c r="H9" s="25" t="s">
        <v>54</v>
      </c>
      <c r="I9" s="27">
        <v>1</v>
      </c>
      <c r="J9" s="28">
        <f>SUM(K4:K8)*5%</f>
        <v>1300.6101000000001</v>
      </c>
      <c r="K9" s="28">
        <f t="shared" si="0"/>
        <v>1300.6101000000001</v>
      </c>
    </row>
    <row r="10" spans="1:11" ht="54">
      <c r="A10" s="23">
        <f t="shared" si="1"/>
        <v>5</v>
      </c>
      <c r="B10" s="29" t="s">
        <v>57</v>
      </c>
      <c r="C10" s="29"/>
      <c r="D10" s="31" t="s">
        <v>58</v>
      </c>
      <c r="E10" s="26"/>
      <c r="F10" s="26"/>
      <c r="G10" s="26"/>
      <c r="H10" s="25" t="s">
        <v>59</v>
      </c>
      <c r="I10" s="27">
        <v>1</v>
      </c>
      <c r="J10" s="28">
        <v>5100</v>
      </c>
      <c r="K10" s="28">
        <f t="shared" si="0"/>
        <v>5100</v>
      </c>
    </row>
    <row r="11" spans="1:11" ht="27">
      <c r="A11" s="23">
        <v>6</v>
      </c>
      <c r="B11" s="29" t="s">
        <v>66</v>
      </c>
      <c r="C11" s="29"/>
      <c r="D11" s="31" t="s">
        <v>68</v>
      </c>
      <c r="E11" s="26"/>
      <c r="F11" s="26"/>
      <c r="G11" s="26"/>
      <c r="H11" s="25" t="s">
        <v>59</v>
      </c>
      <c r="I11" s="27">
        <v>1</v>
      </c>
      <c r="J11" s="28">
        <v>2000</v>
      </c>
      <c r="K11" s="28">
        <f t="shared" si="0"/>
        <v>2000</v>
      </c>
    </row>
    <row r="12" spans="1:11">
      <c r="A12" s="32" t="s">
        <v>60</v>
      </c>
      <c r="B12" s="33" t="s">
        <v>20</v>
      </c>
      <c r="C12" s="33"/>
      <c r="D12" s="34"/>
      <c r="E12" s="35"/>
      <c r="F12" s="35"/>
      <c r="G12" s="35"/>
      <c r="H12" s="36"/>
      <c r="I12" s="37"/>
      <c r="J12" s="38"/>
      <c r="K12" s="38">
        <f>SUM(K4:K11)</f>
        <v>34412.812100000003</v>
      </c>
    </row>
    <row r="13" spans="1:11">
      <c r="A13" s="23" t="s">
        <v>41</v>
      </c>
      <c r="B13" s="29" t="s">
        <v>61</v>
      </c>
      <c r="C13" s="29"/>
      <c r="D13" s="31"/>
      <c r="E13" s="26"/>
      <c r="F13" s="26"/>
      <c r="G13" s="26"/>
      <c r="H13" s="25"/>
      <c r="I13" s="27"/>
      <c r="J13" s="28"/>
      <c r="K13" s="28">
        <f>K12*15%</f>
        <v>5161.9218150000006</v>
      </c>
    </row>
    <row r="14" spans="1:11">
      <c r="A14" s="39" t="s">
        <v>62</v>
      </c>
      <c r="B14" s="40" t="s">
        <v>63</v>
      </c>
      <c r="C14" s="40"/>
      <c r="D14" s="41"/>
      <c r="E14" s="42"/>
      <c r="F14" s="42"/>
      <c r="G14" s="42"/>
      <c r="H14" s="43"/>
      <c r="I14" s="44"/>
      <c r="J14" s="45"/>
      <c r="K14" s="45">
        <f>K12+K13</f>
        <v>39574.733915000004</v>
      </c>
    </row>
    <row r="15" spans="1:11">
      <c r="B15" s="47" t="s">
        <v>67</v>
      </c>
      <c r="K15" s="46">
        <v>40000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10"/>
  <sheetViews>
    <sheetView tabSelected="1" workbookViewId="0">
      <selection activeCell="C14" sqref="C14"/>
    </sheetView>
  </sheetViews>
  <sheetFormatPr defaultRowHeight="15"/>
  <cols>
    <col min="1" max="1" width="9.28515625" bestFit="1" customWidth="1"/>
    <col min="2" max="2" width="38.28515625" bestFit="1" customWidth="1"/>
    <col min="3" max="3" width="30.140625" bestFit="1" customWidth="1"/>
    <col min="4" max="4" width="6.5703125" bestFit="1" customWidth="1"/>
    <col min="5" max="5" width="10" bestFit="1" customWidth="1"/>
    <col min="6" max="6" width="11.5703125" bestFit="1" customWidth="1"/>
    <col min="7" max="7" width="14.140625" bestFit="1" customWidth="1"/>
    <col min="8" max="8" width="11.5703125" bestFit="1" customWidth="1"/>
    <col min="9" max="9" width="22" customWidth="1"/>
  </cols>
  <sheetData>
    <row r="3" spans="1:9">
      <c r="A3" s="58" t="s">
        <v>1</v>
      </c>
      <c r="B3" s="58"/>
      <c r="C3" s="58"/>
      <c r="D3" s="58"/>
      <c r="E3" s="58"/>
      <c r="F3" s="58"/>
      <c r="G3" s="57" t="s">
        <v>15</v>
      </c>
      <c r="H3" s="57"/>
      <c r="I3" s="3"/>
    </row>
    <row r="4" spans="1:9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51" t="s">
        <v>6</v>
      </c>
      <c r="H4" s="51" t="s">
        <v>7</v>
      </c>
      <c r="I4" s="11" t="s">
        <v>34</v>
      </c>
    </row>
    <row r="5" spans="1:9">
      <c r="A5" s="2">
        <v>1</v>
      </c>
      <c r="B5" s="2" t="s">
        <v>8</v>
      </c>
      <c r="C5" s="2" t="s">
        <v>9</v>
      </c>
      <c r="D5" s="2">
        <v>1</v>
      </c>
      <c r="E5" s="2">
        <v>6500</v>
      </c>
      <c r="F5" s="2">
        <f>+D5*E5</f>
        <v>6500</v>
      </c>
      <c r="G5" s="52">
        <f>Bills!K53</f>
        <v>5000</v>
      </c>
      <c r="H5" s="52">
        <f>D5*G5</f>
        <v>5000</v>
      </c>
      <c r="I5" s="3" t="s">
        <v>86</v>
      </c>
    </row>
    <row r="6" spans="1:9">
      <c r="A6" s="2">
        <v>2</v>
      </c>
      <c r="B6" s="2" t="s">
        <v>8</v>
      </c>
      <c r="C6" s="2" t="s">
        <v>10</v>
      </c>
      <c r="D6" s="2">
        <v>1</v>
      </c>
      <c r="E6" s="2">
        <v>22500</v>
      </c>
      <c r="F6" s="2">
        <f>+D6*E6</f>
        <v>22500</v>
      </c>
      <c r="G6" s="52">
        <v>12600</v>
      </c>
      <c r="H6" s="52">
        <f>D6*G6</f>
        <v>12600</v>
      </c>
      <c r="I6" s="3" t="s">
        <v>87</v>
      </c>
    </row>
    <row r="7" spans="1:9">
      <c r="A7" s="2">
        <v>3</v>
      </c>
      <c r="B7" s="2" t="s">
        <v>8</v>
      </c>
      <c r="C7" s="2" t="s">
        <v>11</v>
      </c>
      <c r="D7" s="2">
        <v>67.290000000000006</v>
      </c>
      <c r="E7" s="2">
        <v>2400</v>
      </c>
      <c r="F7" s="2">
        <f>+D7*E7</f>
        <v>161496.00000000003</v>
      </c>
      <c r="G7" s="52">
        <v>2400</v>
      </c>
      <c r="H7" s="52">
        <f>+D7*G7</f>
        <v>161496.00000000003</v>
      </c>
      <c r="I7" s="3"/>
    </row>
    <row r="8" spans="1:9">
      <c r="A8" s="55" t="s">
        <v>12</v>
      </c>
      <c r="B8" s="55"/>
      <c r="C8" s="55"/>
      <c r="D8" s="55"/>
      <c r="E8" s="55"/>
      <c r="F8" s="2">
        <f>SUM(F5:F7)</f>
        <v>190496.00000000003</v>
      </c>
      <c r="G8" s="53"/>
      <c r="H8" s="52">
        <f>SUM(H5:H7)</f>
        <v>179096.00000000003</v>
      </c>
      <c r="I8" s="3"/>
    </row>
    <row r="9" spans="1:9">
      <c r="A9" s="55" t="s">
        <v>13</v>
      </c>
      <c r="B9" s="55"/>
      <c r="C9" s="55"/>
      <c r="D9" s="55"/>
      <c r="E9" s="55"/>
      <c r="F9" s="2">
        <f>+F8*18/100</f>
        <v>34289.280000000006</v>
      </c>
      <c r="G9" s="53"/>
      <c r="H9" s="52">
        <f>+H8*18/100</f>
        <v>32237.280000000006</v>
      </c>
      <c r="I9" s="3"/>
    </row>
    <row r="10" spans="1:9">
      <c r="A10" s="56" t="s">
        <v>14</v>
      </c>
      <c r="B10" s="56"/>
      <c r="C10" s="56"/>
      <c r="D10" s="56"/>
      <c r="E10" s="56"/>
      <c r="F10" s="4">
        <f>+F8+F9</f>
        <v>224785.28000000003</v>
      </c>
      <c r="G10" s="53"/>
      <c r="H10" s="54">
        <f>+H8+H9</f>
        <v>211333.28000000003</v>
      </c>
      <c r="I10" s="3"/>
    </row>
  </sheetData>
  <mergeCells count="5">
    <mergeCell ref="G3:H3"/>
    <mergeCell ref="A3:F3"/>
    <mergeCell ref="A8:E8"/>
    <mergeCell ref="A9:E9"/>
    <mergeCell ref="A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K53"/>
  <sheetViews>
    <sheetView topLeftCell="A37" workbookViewId="0">
      <selection activeCell="M51" sqref="M51"/>
    </sheetView>
  </sheetViews>
  <sheetFormatPr defaultRowHeight="15"/>
  <cols>
    <col min="9" max="9" width="17.28515625" customWidth="1"/>
    <col min="10" max="10" width="13.28515625" style="10" bestFit="1" customWidth="1"/>
    <col min="11" max="11" width="11.42578125" customWidth="1"/>
  </cols>
  <sheetData>
    <row r="6" spans="9:10">
      <c r="I6" s="5" t="s">
        <v>30</v>
      </c>
    </row>
    <row r="8" spans="9:10">
      <c r="I8" s="6" t="s">
        <v>26</v>
      </c>
      <c r="J8" s="7"/>
    </row>
    <row r="9" spans="9:10">
      <c r="I9" s="6" t="s">
        <v>16</v>
      </c>
      <c r="J9" s="8" t="s">
        <v>19</v>
      </c>
    </row>
    <row r="10" spans="9:10">
      <c r="I10" s="3" t="s">
        <v>22</v>
      </c>
      <c r="J10" s="7">
        <v>18280</v>
      </c>
    </row>
    <row r="11" spans="9:10">
      <c r="I11" s="3" t="s">
        <v>23</v>
      </c>
      <c r="J11" s="7">
        <v>1800</v>
      </c>
    </row>
    <row r="12" spans="9:10">
      <c r="I12" s="3" t="s">
        <v>28</v>
      </c>
      <c r="J12" s="7">
        <f>SUM(J10:J11)*2%</f>
        <v>401.6</v>
      </c>
    </row>
    <row r="13" spans="9:10">
      <c r="I13" s="3" t="s">
        <v>25</v>
      </c>
      <c r="J13" s="7">
        <f>SUM(J10:J12)</f>
        <v>20481.599999999999</v>
      </c>
    </row>
    <row r="14" spans="9:10">
      <c r="I14" s="3" t="s">
        <v>24</v>
      </c>
      <c r="J14" s="7">
        <f>J13*10%</f>
        <v>2048.16</v>
      </c>
    </row>
    <row r="15" spans="9:10">
      <c r="I15" s="3" t="s">
        <v>27</v>
      </c>
      <c r="J15" s="8">
        <f>J13+J14</f>
        <v>22529.759999999998</v>
      </c>
    </row>
    <row r="16" spans="9:10">
      <c r="I16" s="3" t="s">
        <v>29</v>
      </c>
      <c r="J16" s="9">
        <v>22500</v>
      </c>
    </row>
    <row r="43" spans="9:11">
      <c r="I43" s="3" t="s">
        <v>31</v>
      </c>
      <c r="J43" s="7"/>
      <c r="K43" s="59"/>
    </row>
    <row r="44" spans="9:11">
      <c r="I44" s="6" t="s">
        <v>26</v>
      </c>
      <c r="J44" s="7"/>
      <c r="K44" s="60"/>
    </row>
    <row r="45" spans="9:11">
      <c r="I45" s="6" t="s">
        <v>16</v>
      </c>
      <c r="J45" s="8" t="s">
        <v>19</v>
      </c>
      <c r="K45" s="8" t="s">
        <v>19</v>
      </c>
    </row>
    <row r="46" spans="9:11">
      <c r="I46" s="3" t="s">
        <v>22</v>
      </c>
      <c r="J46" s="7">
        <v>3813.56</v>
      </c>
      <c r="K46" s="7">
        <v>3813.56</v>
      </c>
    </row>
    <row r="47" spans="9:11">
      <c r="I47" s="3" t="s">
        <v>33</v>
      </c>
      <c r="J47" s="7">
        <v>500</v>
      </c>
      <c r="K47" s="7">
        <v>500</v>
      </c>
    </row>
    <row r="48" spans="9:11">
      <c r="I48" s="3" t="s">
        <v>32</v>
      </c>
      <c r="J48" s="7">
        <v>1200</v>
      </c>
      <c r="K48" s="7"/>
    </row>
    <row r="49" spans="9:11">
      <c r="I49" s="3" t="s">
        <v>28</v>
      </c>
      <c r="J49" s="7">
        <f>SUM(J46:J48)*2%</f>
        <v>110.27119999999999</v>
      </c>
      <c r="K49" s="7"/>
    </row>
    <row r="50" spans="9:11">
      <c r="I50" s="3" t="s">
        <v>25</v>
      </c>
      <c r="J50" s="7">
        <f>SUM(J46:J49)</f>
        <v>5623.8311999999996</v>
      </c>
      <c r="K50" s="7">
        <f>SUM(K46:K49)</f>
        <v>4313.5599999999995</v>
      </c>
    </row>
    <row r="51" spans="9:11">
      <c r="I51" s="3" t="s">
        <v>24</v>
      </c>
      <c r="J51" s="7">
        <f>J50*15%</f>
        <v>843.57467999999994</v>
      </c>
      <c r="K51" s="7">
        <f>K50*15%</f>
        <v>647.03399999999988</v>
      </c>
    </row>
    <row r="52" spans="9:11">
      <c r="I52" s="3" t="s">
        <v>27</v>
      </c>
      <c r="J52" s="8">
        <f>J50+J51</f>
        <v>6467.4058799999993</v>
      </c>
      <c r="K52" s="8">
        <f>K50+K51</f>
        <v>4960.5939999999991</v>
      </c>
    </row>
    <row r="53" spans="9:11">
      <c r="I53" s="3" t="s">
        <v>29</v>
      </c>
      <c r="J53" s="9">
        <v>6500</v>
      </c>
      <c r="K53" s="9">
        <v>5000</v>
      </c>
    </row>
  </sheetData>
  <mergeCells count="1">
    <mergeCell ref="K43:K4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5"/>
  <sheetViews>
    <sheetView workbookViewId="0">
      <selection activeCell="M10" sqref="M10"/>
    </sheetView>
  </sheetViews>
  <sheetFormatPr defaultRowHeight="15"/>
  <cols>
    <col min="4" max="4" width="14.28515625" bestFit="1" customWidth="1"/>
    <col min="5" max="5" width="13.28515625" style="49" bestFit="1" customWidth="1"/>
    <col min="6" max="6" width="13" bestFit="1" customWidth="1"/>
    <col min="7" max="7" width="9" bestFit="1" customWidth="1"/>
    <col min="8" max="8" width="15.85546875" bestFit="1" customWidth="1"/>
    <col min="9" max="9" width="15.7109375" customWidth="1"/>
    <col min="10" max="10" width="6.28515625" customWidth="1"/>
    <col min="11" max="11" width="9" bestFit="1" customWidth="1"/>
    <col min="12" max="12" width="9.85546875" style="10" bestFit="1" customWidth="1"/>
  </cols>
  <sheetData>
    <row r="2" spans="3:12">
      <c r="C2" s="5" t="s">
        <v>85</v>
      </c>
    </row>
    <row r="5" spans="3:12">
      <c r="C5" s="3" t="s">
        <v>82</v>
      </c>
      <c r="D5" s="3" t="s">
        <v>75</v>
      </c>
      <c r="E5" s="48" t="s">
        <v>76</v>
      </c>
      <c r="F5" s="3" t="s">
        <v>77</v>
      </c>
      <c r="G5" s="3" t="s">
        <v>78</v>
      </c>
      <c r="H5" s="3" t="s">
        <v>79</v>
      </c>
      <c r="I5" s="3" t="s">
        <v>12</v>
      </c>
      <c r="J5" s="3" t="s">
        <v>80</v>
      </c>
      <c r="K5" s="3" t="s">
        <v>81</v>
      </c>
      <c r="L5" s="7" t="s">
        <v>25</v>
      </c>
    </row>
    <row r="6" spans="3:12">
      <c r="C6" s="3">
        <v>1</v>
      </c>
      <c r="D6" s="3" t="s">
        <v>69</v>
      </c>
      <c r="E6" s="50">
        <f>40000/30</f>
        <v>1333.3333333333333</v>
      </c>
      <c r="F6" s="50">
        <v>350</v>
      </c>
      <c r="G6" s="50">
        <v>500</v>
      </c>
      <c r="H6" s="50">
        <v>200</v>
      </c>
      <c r="I6" s="50">
        <f>SUM(E6:H6)</f>
        <v>2383.333333333333</v>
      </c>
      <c r="J6" s="50">
        <v>1</v>
      </c>
      <c r="K6" s="50">
        <v>7</v>
      </c>
      <c r="L6" s="7">
        <f>I6*J6*K6</f>
        <v>16683.333333333332</v>
      </c>
    </row>
    <row r="7" spans="3:12">
      <c r="C7" s="3">
        <v>2</v>
      </c>
      <c r="D7" s="3" t="s">
        <v>70</v>
      </c>
      <c r="E7" s="50">
        <f>28000/30</f>
        <v>933.33333333333337</v>
      </c>
      <c r="F7" s="50">
        <v>200</v>
      </c>
      <c r="G7" s="50">
        <v>350</v>
      </c>
      <c r="H7" s="50">
        <v>100</v>
      </c>
      <c r="I7" s="50">
        <f t="shared" ref="I7:I13" si="0">SUM(E7:H7)</f>
        <v>1583.3333333333335</v>
      </c>
      <c r="J7" s="50">
        <v>1</v>
      </c>
      <c r="K7" s="50">
        <v>5</v>
      </c>
      <c r="L7" s="7">
        <f t="shared" ref="L7:L13" si="1">I7*J7*K7</f>
        <v>7916.6666666666679</v>
      </c>
    </row>
    <row r="8" spans="3:12">
      <c r="C8" s="3">
        <v>3</v>
      </c>
      <c r="D8" s="3" t="s">
        <v>23</v>
      </c>
      <c r="E8" s="50">
        <f>30000/30</f>
        <v>1000</v>
      </c>
      <c r="F8" s="50">
        <v>200</v>
      </c>
      <c r="G8" s="50">
        <v>350</v>
      </c>
      <c r="H8" s="50">
        <v>100</v>
      </c>
      <c r="I8" s="50">
        <f t="shared" si="0"/>
        <v>1650</v>
      </c>
      <c r="J8" s="50">
        <v>1</v>
      </c>
      <c r="K8" s="50">
        <v>5</v>
      </c>
      <c r="L8" s="7">
        <f t="shared" si="1"/>
        <v>8250</v>
      </c>
    </row>
    <row r="9" spans="3:12">
      <c r="C9" s="3">
        <v>4</v>
      </c>
      <c r="D9" s="3" t="s">
        <v>71</v>
      </c>
      <c r="E9" s="50">
        <f>25000/30</f>
        <v>833.33333333333337</v>
      </c>
      <c r="F9" s="50">
        <v>200</v>
      </c>
      <c r="G9" s="50">
        <v>350</v>
      </c>
      <c r="H9" s="50">
        <v>100</v>
      </c>
      <c r="I9" s="50">
        <f t="shared" si="0"/>
        <v>1483.3333333333335</v>
      </c>
      <c r="J9" s="50">
        <v>0</v>
      </c>
      <c r="K9" s="50">
        <v>0</v>
      </c>
      <c r="L9" s="7">
        <f t="shared" si="1"/>
        <v>0</v>
      </c>
    </row>
    <row r="10" spans="3:12">
      <c r="C10" s="3">
        <v>5</v>
      </c>
      <c r="D10" s="3" t="s">
        <v>72</v>
      </c>
      <c r="E10" s="50">
        <f>25000/30</f>
        <v>833.33333333333337</v>
      </c>
      <c r="F10" s="50">
        <v>200</v>
      </c>
      <c r="G10" s="50">
        <v>350</v>
      </c>
      <c r="H10" s="50">
        <v>100</v>
      </c>
      <c r="I10" s="50">
        <f t="shared" si="0"/>
        <v>1483.3333333333335</v>
      </c>
      <c r="J10" s="50">
        <v>0</v>
      </c>
      <c r="K10" s="50">
        <v>0</v>
      </c>
      <c r="L10" s="7">
        <f t="shared" si="1"/>
        <v>0</v>
      </c>
    </row>
    <row r="11" spans="3:12">
      <c r="C11" s="3">
        <v>6</v>
      </c>
      <c r="D11" s="3" t="s">
        <v>73</v>
      </c>
      <c r="E11" s="50">
        <f>25000/30</f>
        <v>833.33333333333337</v>
      </c>
      <c r="F11" s="50">
        <v>200</v>
      </c>
      <c r="G11" s="50">
        <v>350</v>
      </c>
      <c r="H11" s="50">
        <v>100</v>
      </c>
      <c r="I11" s="50">
        <f t="shared" si="0"/>
        <v>1483.3333333333335</v>
      </c>
      <c r="J11" s="50">
        <v>0</v>
      </c>
      <c r="K11" s="50">
        <v>0</v>
      </c>
      <c r="L11" s="7">
        <f t="shared" si="1"/>
        <v>0</v>
      </c>
    </row>
    <row r="12" spans="3:12">
      <c r="C12" s="3">
        <v>7</v>
      </c>
      <c r="D12" s="3" t="s">
        <v>74</v>
      </c>
      <c r="E12" s="50">
        <f>30000/30</f>
        <v>1000</v>
      </c>
      <c r="F12" s="50">
        <v>200</v>
      </c>
      <c r="G12" s="50">
        <v>350</v>
      </c>
      <c r="H12" s="50">
        <v>100</v>
      </c>
      <c r="I12" s="50">
        <f t="shared" si="0"/>
        <v>1650</v>
      </c>
      <c r="J12" s="50">
        <v>2</v>
      </c>
      <c r="K12" s="50">
        <v>7</v>
      </c>
      <c r="L12" s="7">
        <f t="shared" si="1"/>
        <v>23100</v>
      </c>
    </row>
    <row r="13" spans="3:12">
      <c r="C13" s="3">
        <v>8</v>
      </c>
      <c r="D13" s="3" t="s">
        <v>83</v>
      </c>
      <c r="E13" s="50">
        <f>18000/30</f>
        <v>600</v>
      </c>
      <c r="F13" s="50">
        <v>200</v>
      </c>
      <c r="G13" s="50">
        <v>350</v>
      </c>
      <c r="H13" s="50">
        <v>100</v>
      </c>
      <c r="I13" s="50">
        <f t="shared" si="0"/>
        <v>1250</v>
      </c>
      <c r="J13" s="50">
        <v>1</v>
      </c>
      <c r="K13" s="3">
        <v>5</v>
      </c>
      <c r="L13" s="7">
        <f t="shared" si="1"/>
        <v>6250</v>
      </c>
    </row>
    <row r="14" spans="3:12">
      <c r="C14" s="3"/>
      <c r="D14" s="3"/>
      <c r="E14" s="50"/>
      <c r="F14" s="50"/>
      <c r="G14" s="50"/>
      <c r="H14" s="50"/>
      <c r="I14" s="50"/>
      <c r="J14" s="50"/>
      <c r="K14" s="3"/>
      <c r="L14" s="7"/>
    </row>
    <row r="15" spans="3:12">
      <c r="C15" s="3"/>
      <c r="D15" s="6" t="s">
        <v>84</v>
      </c>
      <c r="E15" s="48"/>
      <c r="F15" s="3"/>
      <c r="G15" s="3"/>
      <c r="H15" s="3"/>
      <c r="I15" s="3"/>
      <c r="J15" s="3"/>
      <c r="K15" s="3"/>
      <c r="L15" s="8">
        <f>SUM(L6:L13)</f>
        <v>62200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Counter Rate Analysis</vt:lpstr>
      <vt:lpstr>Counter Rate Analysis - Adani</vt:lpstr>
      <vt:lpstr>Flying Bytes</vt:lpstr>
      <vt:lpstr>Bills</vt:lpstr>
      <vt:lpstr>Manpower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Safi</dc:creator>
  <cp:lastModifiedBy>Trupti Dalvi</cp:lastModifiedBy>
  <cp:revision>843</cp:revision>
  <cp:lastPrinted>2023-09-29T09:57:52Z</cp:lastPrinted>
  <dcterms:created xsi:type="dcterms:W3CDTF">2017-11-13T07:26:25Z</dcterms:created>
  <dcterms:modified xsi:type="dcterms:W3CDTF">2024-08-16T07:56:23Z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2m" linkTarget="Prop_2m">
    <vt:lpwstr>#N/A</vt:lpwstr>
  </property>
  <property fmtid="{D5CDD505-2E9C-101B-9397-08002B2CF9AE}" pid="3" name="AppVersion">
    <vt:lpwstr>16.0300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bffa3880-44e8-458b-8d4d-5acc5ed3d728_Enabled">
    <vt:lpwstr>true</vt:lpwstr>
  </property>
  <property fmtid="{D5CDD505-2E9C-101B-9397-08002B2CF9AE}" pid="10" name="MSIP_Label_bffa3880-44e8-458b-8d4d-5acc5ed3d728_SetDate">
    <vt:lpwstr>2023-09-21T13:07:21Z</vt:lpwstr>
  </property>
  <property fmtid="{D5CDD505-2E9C-101B-9397-08002B2CF9AE}" pid="11" name="MSIP_Label_bffa3880-44e8-458b-8d4d-5acc5ed3d728_Method">
    <vt:lpwstr>Standard</vt:lpwstr>
  </property>
  <property fmtid="{D5CDD505-2E9C-101B-9397-08002B2CF9AE}" pid="12" name="MSIP_Label_bffa3880-44e8-458b-8d4d-5acc5ed3d728_Name">
    <vt:lpwstr>bffa3880-44e8-458b-8d4d-5acc5ed3d728</vt:lpwstr>
  </property>
  <property fmtid="{D5CDD505-2E9C-101B-9397-08002B2CF9AE}" pid="13" name="MSIP_Label_bffa3880-44e8-458b-8d4d-5acc5ed3d728_SiteId">
    <vt:lpwstr>2ba9001d-d7f9-43a3-a098-6a927ac715ca</vt:lpwstr>
  </property>
  <property fmtid="{D5CDD505-2E9C-101B-9397-08002B2CF9AE}" pid="14" name="MSIP_Label_bffa3880-44e8-458b-8d4d-5acc5ed3d728_ActionId">
    <vt:lpwstr>4d272f93-dd64-40cb-bd57-4a4a92da0c9d</vt:lpwstr>
  </property>
  <property fmtid="{D5CDD505-2E9C-101B-9397-08002B2CF9AE}" pid="15" name="MSIP_Label_bffa3880-44e8-458b-8d4d-5acc5ed3d728_ContentBits">
    <vt:lpwstr>0</vt:lpwstr>
  </property>
</Properties>
</file>