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autoCompressPictures="0" defaultThemeVersion="124226"/>
  <mc:AlternateContent xmlns:mc="http://schemas.openxmlformats.org/markup-compatibility/2006">
    <mc:Choice Requires="x15">
      <x15ac:absPath xmlns:x15ac="http://schemas.microsoft.com/office/spreadsheetml/2010/11/ac" url="C:\Users\Deep Kumar\Downloads\"/>
    </mc:Choice>
  </mc:AlternateContent>
  <bookViews>
    <workbookView xWindow="0" yWindow="0" windowWidth="19200" windowHeight="6930" tabRatio="964"/>
  </bookViews>
  <sheets>
    <sheet name="SUMMARY" sheetId="11" r:id="rId1"/>
    <sheet name="CIVIL WORK" sheetId="23" r:id="rId2"/>
    <sheet name="Civil MB" sheetId="33" r:id="rId3"/>
    <sheet name="INTERIOR WORK" sheetId="24" r:id="rId4"/>
    <sheet name="Int. MB" sheetId="34" r:id="rId5"/>
    <sheet name="BOQ-Electrical " sheetId="29" r:id="rId6"/>
    <sheet name="Elec Mb" sheetId="40" r:id="rId7"/>
    <sheet name="BOQ-PHE" sheetId="31" r:id="rId8"/>
    <sheet name="Phe Mb" sheetId="41" r:id="rId9"/>
    <sheet name="HVAC" sheetId="30" r:id="rId10"/>
    <sheet name="HvacMb" sheetId="42" r:id="rId11"/>
    <sheet name="Fire Fighting" sheetId="32" r:id="rId12"/>
    <sheet name="Firemb" sheetId="43" r:id="rId13"/>
    <sheet name="FACADE" sheetId="26" r:id="rId14"/>
    <sheet name="facademb" sheetId="35" r:id="rId15"/>
    <sheet name="FACADE SIGNAGE" sheetId="27" r:id="rId16"/>
    <sheet name="MISCELLANEOUS" sheetId="25" state="hidden" r:id="rId17"/>
    <sheet name="BELLS" sheetId="28" r:id="rId18"/>
    <sheet name="Bells MB" sheetId="36" r:id="rId19"/>
    <sheet name="NON BOQ" sheetId="44" r:id="rId20"/>
    <sheet name="NON BOQ (2)" sheetId="46" r:id="rId21"/>
    <sheet name="Non BOQ MB" sheetId="45" r:id="rId22"/>
  </sheets>
  <externalReferences>
    <externalReference r:id="rId23"/>
  </externalReferences>
  <definedNames>
    <definedName name="_xlnm._FilterDatabase" localSheetId="1" hidden="1">'CIVIL WORK'!$A$8:$Q$116</definedName>
    <definedName name="_xlnm._FilterDatabase" localSheetId="13" hidden="1">FACADE!$A$8:$I$17</definedName>
    <definedName name="_xlnm._FilterDatabase" localSheetId="15" hidden="1">'FACADE SIGNAGE'!$A$8:$I$14</definedName>
    <definedName name="_xlnm._FilterDatabase" localSheetId="11" hidden="1">'Fire Fighting'!$A$8:$L$54</definedName>
    <definedName name="_xlnm._FilterDatabase" localSheetId="9" hidden="1">HVAC!$A$1:$H$81</definedName>
    <definedName name="_xlnm._FilterDatabase" localSheetId="3" hidden="1">'INTERIOR WORK'!$A$1:$Q$123</definedName>
    <definedName name="DDGFG" localSheetId="5">#REF!</definedName>
    <definedName name="DDGFG" localSheetId="7">#REF!</definedName>
    <definedName name="DDGFG" localSheetId="9">#REF!</definedName>
    <definedName name="DDGFG" localSheetId="20">#REF!</definedName>
    <definedName name="DDGFG">#REF!</definedName>
    <definedName name="Excel_BuiltIn_Print_Area_1_1" localSheetId="5">#REF!</definedName>
    <definedName name="Excel_BuiltIn_Print_Area_1_1" localSheetId="7">#REF!</definedName>
    <definedName name="Excel_BuiltIn_Print_Area_1_1" localSheetId="9">#REF!</definedName>
    <definedName name="Excel_BuiltIn_Print_Area_1_1" localSheetId="20">#REF!</definedName>
    <definedName name="Excel_BuiltIn_Print_Area_1_1">#REF!</definedName>
    <definedName name="Excel_BuiltIn_Print_Area_3" localSheetId="5">#REF!</definedName>
    <definedName name="Excel_BuiltIn_Print_Area_3" localSheetId="7">#REF!</definedName>
    <definedName name="Excel_BuiltIn_Print_Area_3" localSheetId="9">#REF!</definedName>
    <definedName name="Excel_BuiltIn_Print_Area_3" localSheetId="20">#REF!</definedName>
    <definedName name="Excel_BuiltIn_Print_Area_3">#REF!</definedName>
    <definedName name="_xlnm.Print_Area" localSheetId="5">'BOQ-Electrical '!$A$1:$F$211</definedName>
    <definedName name="_xlnm.Print_Area" localSheetId="7">'BOQ-PHE'!$A$1:$F$69</definedName>
    <definedName name="_xlnm.Print_Area" localSheetId="1">'CIVIL WORK'!$A$1:$I$119</definedName>
    <definedName name="_xlnm.Print_Area" localSheetId="9">HVAC!$A$1:$F$84</definedName>
    <definedName name="_xlnm.Print_Area" localSheetId="0">SUMMARY!$A$1:$C$19</definedName>
    <definedName name="_xlnm.Print_Titles" localSheetId="7">'BOQ-PHE'!#REF!</definedName>
    <definedName name="vx" localSheetId="5">#REF!</definedName>
    <definedName name="vx" localSheetId="7">#REF!</definedName>
    <definedName name="vx" localSheetId="9">#REF!</definedName>
    <definedName name="vx" localSheetId="20">#REF!</definedName>
    <definedName name="vx">#REF!</definedName>
  </definedNames>
  <calcPr calcId="162913"/>
</workbook>
</file>

<file path=xl/calcChain.xml><?xml version="1.0" encoding="utf-8"?>
<calcChain xmlns="http://schemas.openxmlformats.org/spreadsheetml/2006/main">
  <c r="S43" i="44" l="1"/>
  <c r="G9" i="44"/>
  <c r="H9" i="44"/>
  <c r="N9" i="44"/>
  <c r="A10" i="44"/>
  <c r="A11" i="44" s="1"/>
  <c r="A12" i="44" s="1"/>
  <c r="A13" i="44" s="1"/>
  <c r="A14" i="44" s="1"/>
  <c r="A15" i="44" s="1"/>
  <c r="A16" i="44" s="1"/>
  <c r="A17" i="44" s="1"/>
  <c r="A18" i="44" s="1"/>
  <c r="A19" i="44" s="1"/>
  <c r="A20" i="44" s="1"/>
  <c r="A21" i="44" s="1"/>
  <c r="G10" i="44"/>
  <c r="H10" i="44"/>
  <c r="N10" i="44"/>
  <c r="G11" i="44"/>
  <c r="H11" i="44"/>
  <c r="N11" i="44"/>
  <c r="G12" i="44"/>
  <c r="H12" i="44"/>
  <c r="N12" i="44"/>
  <c r="G13" i="44"/>
  <c r="H13" i="44"/>
  <c r="N13" i="44"/>
  <c r="G14" i="44"/>
  <c r="H14" i="44"/>
  <c r="N14" i="44"/>
  <c r="G15" i="44"/>
  <c r="H15" i="44"/>
  <c r="N15" i="44"/>
  <c r="G16" i="44"/>
  <c r="H16" i="44"/>
  <c r="N16" i="44"/>
  <c r="G17" i="44"/>
  <c r="H17" i="44"/>
  <c r="N17" i="44"/>
  <c r="G18" i="44"/>
  <c r="H18" i="44"/>
  <c r="N18" i="44"/>
  <c r="G19" i="44"/>
  <c r="H19" i="44"/>
  <c r="N19" i="44"/>
  <c r="G20" i="44"/>
  <c r="H20" i="44"/>
  <c r="N20" i="44"/>
  <c r="G21" i="44"/>
  <c r="H21" i="44"/>
  <c r="K21" i="44"/>
  <c r="S21" i="44" s="1"/>
  <c r="N21" i="44"/>
  <c r="P21" i="44"/>
  <c r="G22" i="44"/>
  <c r="H22" i="44"/>
  <c r="N22" i="44"/>
  <c r="G23" i="44"/>
  <c r="H23" i="44"/>
  <c r="K23" i="44"/>
  <c r="S23" i="44" s="1"/>
  <c r="N23" i="44"/>
  <c r="P23" i="44"/>
  <c r="G24" i="44"/>
  <c r="H24" i="44"/>
  <c r="N24" i="44"/>
  <c r="G25" i="44"/>
  <c r="H25" i="44"/>
  <c r="N25" i="44"/>
  <c r="G26" i="44"/>
  <c r="H26" i="44"/>
  <c r="N26" i="44"/>
  <c r="G27" i="44"/>
  <c r="H27" i="44"/>
  <c r="N27" i="44"/>
  <c r="G28" i="44"/>
  <c r="H28" i="44"/>
  <c r="N28" i="44"/>
  <c r="G29" i="44"/>
  <c r="H29" i="44"/>
  <c r="N29" i="44"/>
  <c r="G30" i="44"/>
  <c r="H30" i="44"/>
  <c r="N30" i="44"/>
  <c r="G31" i="44"/>
  <c r="H31" i="44"/>
  <c r="N31" i="44"/>
  <c r="G32" i="44"/>
  <c r="H32" i="44"/>
  <c r="K32" i="44"/>
  <c r="S32" i="44" s="1"/>
  <c r="N32" i="44"/>
  <c r="G33" i="44"/>
  <c r="H33" i="44"/>
  <c r="N33" i="44"/>
  <c r="G34" i="44"/>
  <c r="H34" i="44"/>
  <c r="N34" i="44"/>
  <c r="G35" i="44"/>
  <c r="H35" i="44"/>
  <c r="N35" i="44"/>
  <c r="G36" i="44"/>
  <c r="H36" i="44"/>
  <c r="N36" i="44"/>
  <c r="G37" i="44"/>
  <c r="H37" i="44"/>
  <c r="N37" i="44"/>
  <c r="G38" i="44"/>
  <c r="H38" i="44"/>
  <c r="N38" i="44"/>
  <c r="G39" i="44"/>
  <c r="H39" i="44"/>
  <c r="N39" i="44"/>
  <c r="G40" i="44"/>
  <c r="H40" i="44"/>
  <c r="N40" i="44"/>
  <c r="G41" i="44"/>
  <c r="H41" i="44"/>
  <c r="N41" i="44"/>
  <c r="G42" i="44"/>
  <c r="H42" i="44"/>
  <c r="N42" i="44"/>
  <c r="G43" i="44"/>
  <c r="H43" i="44"/>
  <c r="N43" i="44"/>
  <c r="G44" i="44"/>
  <c r="H44" i="44"/>
  <c r="N44" i="44"/>
  <c r="G45" i="44"/>
  <c r="H45" i="44"/>
  <c r="N45" i="44"/>
  <c r="G46" i="44"/>
  <c r="H46" i="44"/>
  <c r="N46" i="44"/>
  <c r="G47" i="44"/>
  <c r="H47" i="44"/>
  <c r="N47" i="44"/>
  <c r="G48" i="44"/>
  <c r="H48" i="44"/>
  <c r="N48" i="44"/>
  <c r="G49" i="44"/>
  <c r="H49" i="44"/>
  <c r="N49" i="44"/>
  <c r="G50" i="44"/>
  <c r="H50" i="44"/>
  <c r="N50" i="44"/>
  <c r="G51" i="44"/>
  <c r="H51" i="44"/>
  <c r="N51" i="44"/>
  <c r="G52" i="44"/>
  <c r="H52" i="44"/>
  <c r="N52" i="44"/>
  <c r="G53" i="44"/>
  <c r="H53" i="44"/>
  <c r="N53" i="44"/>
  <c r="G54" i="44"/>
  <c r="H54" i="44"/>
  <c r="N54" i="44"/>
  <c r="H55" i="44"/>
  <c r="O23" i="44" l="1"/>
  <c r="N57" i="44"/>
  <c r="H57" i="44"/>
  <c r="P43" i="44"/>
  <c r="O43" i="44" s="1"/>
  <c r="O21" i="44"/>
  <c r="P31" i="46" l="1"/>
  <c r="O31" i="46" s="1"/>
  <c r="K31" i="46"/>
  <c r="H31" i="46"/>
  <c r="P30" i="46"/>
  <c r="O30" i="46" s="1"/>
  <c r="K30" i="46"/>
  <c r="H30" i="46"/>
  <c r="L29" i="46"/>
  <c r="P29" i="46" s="1"/>
  <c r="O29" i="46" s="1"/>
  <c r="K29" i="46"/>
  <c r="H29" i="46"/>
  <c r="L28" i="46"/>
  <c r="O28" i="46" s="1"/>
  <c r="K28" i="46"/>
  <c r="H28" i="46"/>
  <c r="L27" i="46"/>
  <c r="P27" i="46" s="1"/>
  <c r="O27" i="46" s="1"/>
  <c r="K27" i="46"/>
  <c r="H27" i="46"/>
  <c r="L26" i="46"/>
  <c r="P26" i="46" s="1"/>
  <c r="O26" i="46" s="1"/>
  <c r="K26" i="46"/>
  <c r="H26" i="46"/>
  <c r="L25" i="46"/>
  <c r="O25" i="46" s="1"/>
  <c r="K25" i="46"/>
  <c r="H25" i="46"/>
  <c r="N24" i="46"/>
  <c r="L24" i="46"/>
  <c r="K24" i="46" s="1"/>
  <c r="E24" i="46"/>
  <c r="H24" i="46" s="1"/>
  <c r="N23" i="46"/>
  <c r="L23" i="46"/>
  <c r="K23" i="46" s="1"/>
  <c r="E23" i="46"/>
  <c r="H23" i="46" s="1"/>
  <c r="N22" i="46"/>
  <c r="L22" i="46"/>
  <c r="K22" i="46" s="1"/>
  <c r="H22" i="46"/>
  <c r="N21" i="46"/>
  <c r="L21" i="46"/>
  <c r="P21" i="46" s="1"/>
  <c r="H21" i="46"/>
  <c r="N20" i="46"/>
  <c r="L20" i="46"/>
  <c r="P20" i="46" s="1"/>
  <c r="H20" i="46"/>
  <c r="N19" i="46"/>
  <c r="L19" i="46"/>
  <c r="P19" i="46" s="1"/>
  <c r="H19" i="46"/>
  <c r="N18" i="46"/>
  <c r="L18" i="46"/>
  <c r="P18" i="46" s="1"/>
  <c r="O18" i="46" s="1"/>
  <c r="H18" i="46"/>
  <c r="N17" i="46"/>
  <c r="L17" i="46"/>
  <c r="P17" i="46" s="1"/>
  <c r="H17" i="46"/>
  <c r="N16" i="46"/>
  <c r="L16" i="46"/>
  <c r="K16" i="46" s="1"/>
  <c r="H16" i="46"/>
  <c r="N15" i="46"/>
  <c r="L15" i="46"/>
  <c r="P15" i="46" s="1"/>
  <c r="H15" i="46"/>
  <c r="N14" i="46"/>
  <c r="L14" i="46"/>
  <c r="K14" i="46" s="1"/>
  <c r="H14" i="46"/>
  <c r="N13" i="46"/>
  <c r="L13" i="46"/>
  <c r="O13" i="46" s="1"/>
  <c r="K13" i="46"/>
  <c r="H13" i="46"/>
  <c r="N12" i="46"/>
  <c r="L12" i="46"/>
  <c r="P12" i="46" s="1"/>
  <c r="O12" i="46" s="1"/>
  <c r="H12" i="46"/>
  <c r="N11" i="46"/>
  <c r="L11" i="46"/>
  <c r="P11" i="46" s="1"/>
  <c r="K11" i="46"/>
  <c r="H11" i="46"/>
  <c r="N10" i="46"/>
  <c r="P10" i="46"/>
  <c r="H10" i="46"/>
  <c r="N9" i="46"/>
  <c r="L9" i="46"/>
  <c r="P9" i="46" s="1"/>
  <c r="O9" i="46" s="1"/>
  <c r="H9" i="46"/>
  <c r="A10" i="46"/>
  <c r="A11" i="46" s="1"/>
  <c r="A12" i="46" s="1"/>
  <c r="A13" i="46" s="1"/>
  <c r="A14" i="46" s="1"/>
  <c r="A15" i="46" s="1"/>
  <c r="A16" i="46" s="1"/>
  <c r="A17" i="46" s="1"/>
  <c r="A18" i="46" s="1"/>
  <c r="A19" i="46" s="1"/>
  <c r="A20" i="46" s="1"/>
  <c r="A21" i="46" s="1"/>
  <c r="A22" i="46" s="1"/>
  <c r="A23" i="46" s="1"/>
  <c r="A24" i="46" s="1"/>
  <c r="A25" i="46" s="1"/>
  <c r="A26" i="46" s="1"/>
  <c r="A27" i="46" s="1"/>
  <c r="A28" i="46" s="1"/>
  <c r="A29" i="46" s="1"/>
  <c r="A30" i="46" s="1"/>
  <c r="A31" i="46" s="1"/>
  <c r="K9" i="46" l="1"/>
  <c r="O11" i="46"/>
  <c r="K18" i="46"/>
  <c r="K20" i="46"/>
  <c r="N32" i="46"/>
  <c r="K17" i="46"/>
  <c r="K19" i="46"/>
  <c r="K21" i="46"/>
  <c r="K15" i="46"/>
  <c r="O17" i="46"/>
  <c r="O19" i="46"/>
  <c r="O21" i="46"/>
  <c r="O15" i="46"/>
  <c r="K10" i="46"/>
  <c r="P16" i="46"/>
  <c r="O16" i="46" s="1"/>
  <c r="O10" i="46"/>
  <c r="K12" i="46"/>
  <c r="O20" i="46"/>
  <c r="H32" i="46"/>
  <c r="O14" i="46"/>
  <c r="P22" i="46"/>
  <c r="O22" i="46" s="1"/>
  <c r="P23" i="46"/>
  <c r="O23" i="46" s="1"/>
  <c r="P24" i="46"/>
  <c r="O24" i="46" s="1"/>
  <c r="O32" i="46" l="1"/>
  <c r="P32" i="46"/>
  <c r="F18" i="11" l="1"/>
  <c r="E18" i="11"/>
  <c r="M88" i="45"/>
  <c r="M84" i="45"/>
  <c r="L54" i="44" s="1"/>
  <c r="M83" i="45"/>
  <c r="L53" i="44" s="1"/>
  <c r="M82" i="45"/>
  <c r="L52" i="44" s="1"/>
  <c r="M81" i="45"/>
  <c r="L51" i="44" s="1"/>
  <c r="M80" i="45"/>
  <c r="L50" i="44" s="1"/>
  <c r="M79" i="45"/>
  <c r="L49" i="44" s="1"/>
  <c r="M78" i="45"/>
  <c r="L48" i="44" s="1"/>
  <c r="M77" i="45"/>
  <c r="L47" i="44" s="1"/>
  <c r="M76" i="45"/>
  <c r="L46" i="44" s="1"/>
  <c r="M75" i="45"/>
  <c r="L45" i="44" s="1"/>
  <c r="M74" i="45"/>
  <c r="L44" i="44" s="1"/>
  <c r="K44" i="44" s="1"/>
  <c r="S44" i="44" s="1"/>
  <c r="M73" i="45"/>
  <c r="M72" i="45"/>
  <c r="L42" i="44" s="1"/>
  <c r="K42" i="44" s="1"/>
  <c r="S42" i="44" s="1"/>
  <c r="M71" i="45"/>
  <c r="L41" i="44" s="1"/>
  <c r="K41" i="44" s="1"/>
  <c r="S41" i="44" s="1"/>
  <c r="M70" i="45"/>
  <c r="L40" i="44" s="1"/>
  <c r="M69" i="45"/>
  <c r="L39" i="44" s="1"/>
  <c r="M68" i="45"/>
  <c r="L38" i="44" s="1"/>
  <c r="M67" i="45"/>
  <c r="L37" i="44" s="1"/>
  <c r="K37" i="44" s="1"/>
  <c r="S37" i="44" s="1"/>
  <c r="M66" i="45"/>
  <c r="L36" i="44" s="1"/>
  <c r="K36" i="44" s="1"/>
  <c r="S36" i="44" s="1"/>
  <c r="M65" i="45"/>
  <c r="L35" i="44" s="1"/>
  <c r="K35" i="44" s="1"/>
  <c r="S35" i="44" s="1"/>
  <c r="M64" i="45"/>
  <c r="L34" i="44" s="1"/>
  <c r="K34" i="44" s="1"/>
  <c r="S34" i="44" s="1"/>
  <c r="M63" i="45"/>
  <c r="L33" i="44" s="1"/>
  <c r="M62" i="45"/>
  <c r="M61" i="45"/>
  <c r="L31" i="44" s="1"/>
  <c r="M60" i="45"/>
  <c r="L30" i="44" s="1"/>
  <c r="M59" i="45"/>
  <c r="L29" i="44" s="1"/>
  <c r="M56" i="45"/>
  <c r="M55" i="45"/>
  <c r="M54" i="45"/>
  <c r="M53" i="45"/>
  <c r="M50" i="45"/>
  <c r="L27" i="44" s="1"/>
  <c r="M49" i="45"/>
  <c r="L26" i="44" s="1"/>
  <c r="J45" i="45"/>
  <c r="I45" i="45"/>
  <c r="J44" i="45"/>
  <c r="I44" i="45"/>
  <c r="M42" i="45"/>
  <c r="L24" i="44" s="1"/>
  <c r="M41" i="45"/>
  <c r="L22" i="44" s="1"/>
  <c r="M38" i="45"/>
  <c r="L20" i="44" s="1"/>
  <c r="M37" i="45"/>
  <c r="L19" i="44" s="1"/>
  <c r="M36" i="45"/>
  <c r="L18" i="44" s="1"/>
  <c r="J34" i="45"/>
  <c r="I34" i="45"/>
  <c r="J28" i="45"/>
  <c r="I28" i="45"/>
  <c r="E28" i="45"/>
  <c r="J27" i="45"/>
  <c r="I27" i="45"/>
  <c r="J26" i="45"/>
  <c r="I26" i="45"/>
  <c r="J25" i="45"/>
  <c r="I25" i="45"/>
  <c r="J24" i="45"/>
  <c r="M24" i="45" s="1"/>
  <c r="I24" i="45"/>
  <c r="J23" i="45"/>
  <c r="E23" i="45"/>
  <c r="I23" i="45" s="1"/>
  <c r="J22" i="45"/>
  <c r="I22" i="45"/>
  <c r="J21" i="45"/>
  <c r="I21" i="45"/>
  <c r="M19" i="45"/>
  <c r="L15" i="44" s="1"/>
  <c r="M18" i="45"/>
  <c r="L14" i="44" s="1"/>
  <c r="M17" i="45"/>
  <c r="L13" i="44" s="1"/>
  <c r="M16" i="45"/>
  <c r="L12" i="44" s="1"/>
  <c r="J12" i="45"/>
  <c r="I12" i="45"/>
  <c r="J11" i="45"/>
  <c r="I11" i="45"/>
  <c r="J10" i="45"/>
  <c r="M10" i="45" s="1"/>
  <c r="I10" i="45"/>
  <c r="J9" i="45"/>
  <c r="I9" i="45"/>
  <c r="F8" i="45"/>
  <c r="J8" i="45" s="1"/>
  <c r="E8" i="45"/>
  <c r="I8" i="45" s="1"/>
  <c r="M6" i="45"/>
  <c r="L10" i="44" s="1"/>
  <c r="A6" i="45"/>
  <c r="A7" i="45" s="1"/>
  <c r="A16" i="45" s="1"/>
  <c r="A17" i="45" s="1"/>
  <c r="A18" i="45" s="1"/>
  <c r="A19" i="45" s="1"/>
  <c r="A20" i="45" s="1"/>
  <c r="A33" i="45" s="1"/>
  <c r="A36" i="45" s="1"/>
  <c r="A37" i="45" s="1"/>
  <c r="A38" i="45" s="1"/>
  <c r="A40" i="45" s="1"/>
  <c r="A42" i="45" s="1"/>
  <c r="A43" i="45" s="1"/>
  <c r="A49" i="45" s="1"/>
  <c r="A50" i="45" s="1"/>
  <c r="A52" i="45" s="1"/>
  <c r="M5" i="45"/>
  <c r="L9" i="44" s="1"/>
  <c r="K24" i="44" l="1"/>
  <c r="S24" i="44" s="1"/>
  <c r="P24" i="44"/>
  <c r="O24" i="44" s="1"/>
  <c r="M11" i="45"/>
  <c r="K29" i="44"/>
  <c r="S29" i="44" s="1"/>
  <c r="P29" i="44"/>
  <c r="O29" i="44" s="1"/>
  <c r="K45" i="44"/>
  <c r="S45" i="44" s="1"/>
  <c r="P45" i="44"/>
  <c r="O45" i="44" s="1"/>
  <c r="K12" i="44"/>
  <c r="S12" i="44" s="1"/>
  <c r="P12" i="44"/>
  <c r="O12" i="44" s="1"/>
  <c r="M45" i="45"/>
  <c r="P30" i="44"/>
  <c r="O30" i="44" s="1"/>
  <c r="K30" i="44"/>
  <c r="S30" i="44" s="1"/>
  <c r="K46" i="44"/>
  <c r="S46" i="44" s="1"/>
  <c r="P46" i="44"/>
  <c r="O46" i="44" s="1"/>
  <c r="M9" i="45"/>
  <c r="P19" i="44"/>
  <c r="O19" i="44" s="1"/>
  <c r="K19" i="44"/>
  <c r="S19" i="44" s="1"/>
  <c r="K14" i="44"/>
  <c r="S14" i="44" s="1"/>
  <c r="P14" i="44"/>
  <c r="O14" i="44" s="1"/>
  <c r="P20" i="44"/>
  <c r="O20" i="44" s="1"/>
  <c r="K20" i="44"/>
  <c r="S20" i="44" s="1"/>
  <c r="P27" i="44"/>
  <c r="O27" i="44" s="1"/>
  <c r="K27" i="44"/>
  <c r="S27" i="44" s="1"/>
  <c r="K40" i="44"/>
  <c r="S40" i="44" s="1"/>
  <c r="P40" i="44"/>
  <c r="O40" i="44" s="1"/>
  <c r="P48" i="44"/>
  <c r="O48" i="44" s="1"/>
  <c r="K48" i="44"/>
  <c r="S48" i="44" s="1"/>
  <c r="K50" i="44"/>
  <c r="S50" i="44" s="1"/>
  <c r="P50" i="44"/>
  <c r="O50" i="44" s="1"/>
  <c r="M21" i="45"/>
  <c r="K51" i="44"/>
  <c r="S51" i="44" s="1"/>
  <c r="P51" i="44"/>
  <c r="O51" i="44" s="1"/>
  <c r="M25" i="45"/>
  <c r="P52" i="44"/>
  <c r="O52" i="44" s="1"/>
  <c r="K52" i="44"/>
  <c r="S52" i="44" s="1"/>
  <c r="P53" i="44"/>
  <c r="O53" i="44" s="1"/>
  <c r="K53" i="44"/>
  <c r="S53" i="44" s="1"/>
  <c r="M26" i="45"/>
  <c r="P18" i="44"/>
  <c r="O18" i="44" s="1"/>
  <c r="K18" i="44"/>
  <c r="S18" i="44" s="1"/>
  <c r="K38" i="44"/>
  <c r="S38" i="44" s="1"/>
  <c r="P38" i="44"/>
  <c r="O38" i="44" s="1"/>
  <c r="K54" i="44"/>
  <c r="S54" i="44" s="1"/>
  <c r="P54" i="44"/>
  <c r="O54" i="44" s="1"/>
  <c r="K9" i="44"/>
  <c r="S9" i="44" s="1"/>
  <c r="P9" i="44"/>
  <c r="K13" i="44"/>
  <c r="S13" i="44" s="1"/>
  <c r="P13" i="44"/>
  <c r="O13" i="44" s="1"/>
  <c r="P26" i="44"/>
  <c r="O26" i="44" s="1"/>
  <c r="K26" i="44"/>
  <c r="S26" i="44" s="1"/>
  <c r="P31" i="44"/>
  <c r="O31" i="44" s="1"/>
  <c r="K31" i="44"/>
  <c r="S31" i="44" s="1"/>
  <c r="K39" i="44"/>
  <c r="S39" i="44" s="1"/>
  <c r="P39" i="44"/>
  <c r="O39" i="44" s="1"/>
  <c r="K47" i="44"/>
  <c r="S47" i="44" s="1"/>
  <c r="P47" i="44"/>
  <c r="O47" i="44" s="1"/>
  <c r="K10" i="44"/>
  <c r="S10" i="44" s="1"/>
  <c r="P10" i="44"/>
  <c r="O10" i="44" s="1"/>
  <c r="K15" i="44"/>
  <c r="S15" i="44" s="1"/>
  <c r="P15" i="44"/>
  <c r="O15" i="44" s="1"/>
  <c r="P22" i="44"/>
  <c r="O22" i="44" s="1"/>
  <c r="K22" i="44"/>
  <c r="S22" i="44" s="1"/>
  <c r="K33" i="44"/>
  <c r="S33" i="44" s="1"/>
  <c r="P33" i="44"/>
  <c r="O33" i="44" s="1"/>
  <c r="K49" i="44"/>
  <c r="S49" i="44" s="1"/>
  <c r="P49" i="44"/>
  <c r="O49" i="44" s="1"/>
  <c r="M12" i="45"/>
  <c r="M22" i="45"/>
  <c r="M27" i="45"/>
  <c r="M44" i="45"/>
  <c r="M46" i="45" s="1"/>
  <c r="L25" i="44" s="1"/>
  <c r="M57" i="45"/>
  <c r="L28" i="44" s="1"/>
  <c r="M34" i="45"/>
  <c r="L17" i="44" s="1"/>
  <c r="M23" i="45"/>
  <c r="M8" i="45"/>
  <c r="M28" i="45"/>
  <c r="K28" i="44" l="1"/>
  <c r="S28" i="44" s="1"/>
  <c r="P28" i="44"/>
  <c r="O28" i="44" s="1"/>
  <c r="P17" i="44"/>
  <c r="O17" i="44" s="1"/>
  <c r="K17" i="44"/>
  <c r="S17" i="44" s="1"/>
  <c r="K25" i="44"/>
  <c r="S25" i="44" s="1"/>
  <c r="P25" i="44"/>
  <c r="O25" i="44" s="1"/>
  <c r="O9" i="44"/>
  <c r="M31" i="45"/>
  <c r="L16" i="44" s="1"/>
  <c r="M14" i="45"/>
  <c r="L11" i="44" s="1"/>
  <c r="D17" i="11"/>
  <c r="K11" i="44" l="1"/>
  <c r="S11" i="44" s="1"/>
  <c r="P11" i="44"/>
  <c r="P16" i="44"/>
  <c r="O16" i="44" s="1"/>
  <c r="K16" i="44"/>
  <c r="S16" i="44" s="1"/>
  <c r="O11" i="44" l="1"/>
  <c r="O57" i="44" s="1"/>
  <c r="E17" i="11" s="1"/>
  <c r="P57" i="44"/>
  <c r="F17" i="11" s="1"/>
  <c r="F19" i="11" s="1"/>
  <c r="J319" i="33"/>
  <c r="E319" i="33"/>
  <c r="I319" i="33" s="1"/>
  <c r="J318" i="33"/>
  <c r="M318" i="33" s="1"/>
  <c r="I318" i="33"/>
  <c r="J317" i="33"/>
  <c r="M317" i="33" s="1"/>
  <c r="I317" i="33"/>
  <c r="J159" i="33"/>
  <c r="E159" i="33"/>
  <c r="I159" i="33" s="1"/>
  <c r="J158" i="33"/>
  <c r="I158" i="33"/>
  <c r="J157" i="33"/>
  <c r="M157" i="33" s="1"/>
  <c r="I157" i="33"/>
  <c r="J26" i="32"/>
  <c r="J61" i="30"/>
  <c r="J58" i="30"/>
  <c r="J46" i="30"/>
  <c r="J45" i="30"/>
  <c r="J40" i="30"/>
  <c r="J39" i="30"/>
  <c r="J38" i="30"/>
  <c r="H132" i="42"/>
  <c r="H115" i="42"/>
  <c r="H109" i="42"/>
  <c r="H96" i="42"/>
  <c r="H102" i="42"/>
  <c r="J55" i="30" s="1"/>
  <c r="D86" i="42"/>
  <c r="D83" i="42"/>
  <c r="H76" i="42"/>
  <c r="H75" i="42"/>
  <c r="H73" i="42"/>
  <c r="H50" i="42"/>
  <c r="D74" i="42"/>
  <c r="H74" i="42" s="1"/>
  <c r="D73" i="42"/>
  <c r="D72" i="42"/>
  <c r="H72" i="42" s="1"/>
  <c r="D71" i="42"/>
  <c r="H71" i="42" s="1"/>
  <c r="D70" i="42"/>
  <c r="H70" i="42" s="1"/>
  <c r="D69" i="42"/>
  <c r="H69" i="42" s="1"/>
  <c r="D68" i="42"/>
  <c r="H68" i="42" s="1"/>
  <c r="D67" i="42"/>
  <c r="H67" i="42" s="1"/>
  <c r="D66" i="42"/>
  <c r="H66" i="42" s="1"/>
  <c r="D65" i="42"/>
  <c r="H65" i="42" s="1"/>
  <c r="D64" i="42"/>
  <c r="H64" i="42" s="1"/>
  <c r="D63" i="42"/>
  <c r="H63" i="42" s="1"/>
  <c r="D62" i="42"/>
  <c r="H62" i="42" s="1"/>
  <c r="D61" i="42"/>
  <c r="H61" i="42" s="1"/>
  <c r="D60" i="42"/>
  <c r="H60" i="42" s="1"/>
  <c r="D59" i="42"/>
  <c r="H59" i="42" s="1"/>
  <c r="D58" i="42"/>
  <c r="H58" i="42" s="1"/>
  <c r="D57" i="42"/>
  <c r="H57" i="42" s="1"/>
  <c r="D56" i="42"/>
  <c r="H56" i="42" s="1"/>
  <c r="D55" i="42"/>
  <c r="H55" i="42" s="1"/>
  <c r="D54" i="42"/>
  <c r="H54" i="42" s="1"/>
  <c r="D53" i="42"/>
  <c r="H53" i="42" s="1"/>
  <c r="D52" i="42"/>
  <c r="H52" i="42" s="1"/>
  <c r="D51" i="42"/>
  <c r="H51" i="42" s="1"/>
  <c r="H46" i="42"/>
  <c r="H20" i="42"/>
  <c r="D45" i="42"/>
  <c r="H45" i="42" s="1"/>
  <c r="D44" i="42"/>
  <c r="H44" i="42" s="1"/>
  <c r="D43" i="42"/>
  <c r="H43" i="42" s="1"/>
  <c r="D42" i="42"/>
  <c r="H42" i="42" s="1"/>
  <c r="D41" i="42"/>
  <c r="H41" i="42" s="1"/>
  <c r="D40" i="42"/>
  <c r="H40" i="42" s="1"/>
  <c r="D39" i="42"/>
  <c r="H39" i="42" s="1"/>
  <c r="D38" i="42"/>
  <c r="H38" i="42" s="1"/>
  <c r="D37" i="42"/>
  <c r="H37" i="42" s="1"/>
  <c r="D36" i="42"/>
  <c r="H36" i="42" s="1"/>
  <c r="D35" i="42"/>
  <c r="H35" i="42" s="1"/>
  <c r="D34" i="42"/>
  <c r="H34" i="42" s="1"/>
  <c r="D33" i="42"/>
  <c r="H33" i="42" s="1"/>
  <c r="D32" i="42"/>
  <c r="H32" i="42" s="1"/>
  <c r="D31" i="42"/>
  <c r="H31" i="42" s="1"/>
  <c r="D30" i="42"/>
  <c r="H30" i="42" s="1"/>
  <c r="D29" i="42"/>
  <c r="H29" i="42" s="1"/>
  <c r="D28" i="42"/>
  <c r="H28" i="42" s="1"/>
  <c r="D27" i="42"/>
  <c r="H27" i="42" s="1"/>
  <c r="D26" i="42"/>
  <c r="H26" i="42" s="1"/>
  <c r="D25" i="42"/>
  <c r="H25" i="42" s="1"/>
  <c r="D24" i="42"/>
  <c r="H24" i="42" s="1"/>
  <c r="D23" i="42"/>
  <c r="H23" i="42" s="1"/>
  <c r="D22" i="42"/>
  <c r="H22" i="42" s="1"/>
  <c r="D21" i="42"/>
  <c r="H21" i="42" s="1"/>
  <c r="M158" i="33" l="1"/>
  <c r="M319" i="33"/>
  <c r="M159" i="33"/>
  <c r="H115" i="41" l="1"/>
  <c r="J207" i="29"/>
  <c r="H269" i="40"/>
  <c r="J200" i="29" s="1"/>
  <c r="H251" i="40"/>
  <c r="J194" i="29" s="1"/>
  <c r="J189" i="29"/>
  <c r="J179" i="29"/>
  <c r="H212" i="40"/>
  <c r="H205" i="40"/>
  <c r="J172" i="29" s="1"/>
  <c r="J166" i="29"/>
  <c r="J164" i="29"/>
  <c r="J151" i="29"/>
  <c r="J134" i="29"/>
  <c r="J117" i="29"/>
  <c r="J122" i="29"/>
  <c r="J123" i="29"/>
  <c r="J124" i="29"/>
  <c r="J127" i="29"/>
  <c r="J131" i="29"/>
  <c r="J133" i="29"/>
  <c r="J137" i="29"/>
  <c r="J141" i="29"/>
  <c r="J111" i="29"/>
  <c r="J67" i="29"/>
  <c r="H47" i="40"/>
  <c r="J53" i="29" s="1"/>
  <c r="H46" i="40"/>
  <c r="J52" i="29" s="1"/>
  <c r="H45" i="40"/>
  <c r="J51" i="29" s="1"/>
  <c r="H44" i="40"/>
  <c r="J50" i="29" s="1"/>
  <c r="H50" i="40"/>
  <c r="J56" i="29" s="1"/>
  <c r="J47" i="29"/>
  <c r="J46" i="29"/>
  <c r="J44" i="29"/>
  <c r="H290" i="40"/>
  <c r="H291" i="40"/>
  <c r="H292" i="40"/>
  <c r="H295" i="40"/>
  <c r="H297" i="40"/>
  <c r="H298" i="40"/>
  <c r="H299" i="40"/>
  <c r="H300" i="40"/>
  <c r="H294" i="40"/>
  <c r="H301" i="40"/>
  <c r="H296" i="40"/>
  <c r="H293" i="40"/>
  <c r="H289" i="40"/>
  <c r="H302" i="40" s="1"/>
  <c r="J205" i="29" s="1"/>
  <c r="H285" i="40"/>
  <c r="H284" i="40"/>
  <c r="H283" i="40"/>
  <c r="H282" i="40"/>
  <c r="H281" i="40"/>
  <c r="H280" i="40"/>
  <c r="H279" i="40"/>
  <c r="H278" i="40"/>
  <c r="H277" i="40"/>
  <c r="H276" i="40"/>
  <c r="H275" i="40"/>
  <c r="H274" i="40"/>
  <c r="H273" i="40"/>
  <c r="H266" i="40"/>
  <c r="H265" i="40"/>
  <c r="H264" i="40"/>
  <c r="H263" i="40"/>
  <c r="H259" i="40"/>
  <c r="H258" i="40"/>
  <c r="H257" i="40"/>
  <c r="H256" i="40"/>
  <c r="H255" i="40"/>
  <c r="H246" i="40"/>
  <c r="H245" i="40"/>
  <c r="H244" i="40"/>
  <c r="J187" i="29" s="1"/>
  <c r="H243" i="40"/>
  <c r="H242" i="40"/>
  <c r="J185" i="29" s="1"/>
  <c r="H241" i="40"/>
  <c r="H240" i="40"/>
  <c r="J183" i="29" s="1"/>
  <c r="H236" i="40"/>
  <c r="H234" i="40"/>
  <c r="H233" i="40"/>
  <c r="H232" i="40"/>
  <c r="H231" i="40"/>
  <c r="H230" i="40"/>
  <c r="H229" i="40"/>
  <c r="H228" i="40"/>
  <c r="H227" i="40"/>
  <c r="H226" i="40"/>
  <c r="H225" i="40"/>
  <c r="H224" i="40"/>
  <c r="H223" i="40"/>
  <c r="H222" i="40"/>
  <c r="H221" i="40"/>
  <c r="H220" i="40"/>
  <c r="H219" i="40"/>
  <c r="H218" i="40"/>
  <c r="H217" i="40"/>
  <c r="H216" i="40"/>
  <c r="H215" i="40"/>
  <c r="H202" i="40"/>
  <c r="H201" i="40"/>
  <c r="H200" i="40"/>
  <c r="H199" i="40"/>
  <c r="H198" i="40"/>
  <c r="H194" i="40"/>
  <c r="J168" i="29" s="1"/>
  <c r="H186" i="40"/>
  <c r="H185" i="40"/>
  <c r="H184" i="40"/>
  <c r="H183" i="40"/>
  <c r="H182" i="40"/>
  <c r="H181" i="40"/>
  <c r="H180" i="40"/>
  <c r="H179" i="40"/>
  <c r="H178" i="40"/>
  <c r="H177" i="40"/>
  <c r="H176" i="40"/>
  <c r="H175" i="40"/>
  <c r="H174" i="40"/>
  <c r="H157" i="40"/>
  <c r="H158" i="40"/>
  <c r="H159" i="40"/>
  <c r="H160" i="40"/>
  <c r="H161" i="40"/>
  <c r="H162" i="40"/>
  <c r="H163" i="40"/>
  <c r="H164" i="40"/>
  <c r="H165" i="40"/>
  <c r="H166" i="40"/>
  <c r="H167" i="40"/>
  <c r="H168" i="40"/>
  <c r="H169" i="40"/>
  <c r="H156" i="40"/>
  <c r="H148" i="40"/>
  <c r="J153" i="29" s="1"/>
  <c r="H150" i="40"/>
  <c r="J155" i="29" s="1"/>
  <c r="H146" i="40"/>
  <c r="H144" i="40"/>
  <c r="J149" i="29" s="1"/>
  <c r="H142" i="40"/>
  <c r="J147" i="29" s="1"/>
  <c r="H140" i="40"/>
  <c r="J145" i="29" s="1"/>
  <c r="H134" i="40"/>
  <c r="J139" i="29" s="1"/>
  <c r="H131" i="40"/>
  <c r="J136" i="29" s="1"/>
  <c r="H124" i="40"/>
  <c r="J129" i="29" s="1"/>
  <c r="H122" i="40"/>
  <c r="H120" i="40"/>
  <c r="J125" i="29" s="1"/>
  <c r="H118" i="40"/>
  <c r="H116" i="40"/>
  <c r="J121" i="29" s="1"/>
  <c r="H114" i="40"/>
  <c r="J119" i="29" s="1"/>
  <c r="H112" i="40"/>
  <c r="H110" i="40"/>
  <c r="J115" i="29" s="1"/>
  <c r="H108" i="40"/>
  <c r="J113" i="29" s="1"/>
  <c r="H107" i="40"/>
  <c r="J112" i="29" s="1"/>
  <c r="H106" i="40"/>
  <c r="H105" i="40"/>
  <c r="J110" i="29" s="1"/>
  <c r="H102" i="40"/>
  <c r="J107" i="29" s="1"/>
  <c r="H101" i="40"/>
  <c r="J106" i="29" s="1"/>
  <c r="H96" i="40"/>
  <c r="J101" i="29" s="1"/>
  <c r="H93" i="40"/>
  <c r="J97" i="29" s="1"/>
  <c r="H90" i="40"/>
  <c r="J94" i="29" s="1"/>
  <c r="H82" i="40"/>
  <c r="J86" i="29" s="1"/>
  <c r="H75" i="40"/>
  <c r="J79" i="29" s="1"/>
  <c r="H67" i="40"/>
  <c r="J70" i="29" s="1"/>
  <c r="H66" i="40"/>
  <c r="J69" i="29" s="1"/>
  <c r="H65" i="40"/>
  <c r="J68" i="29" s="1"/>
  <c r="H64" i="40"/>
  <c r="H63" i="40"/>
  <c r="J66" i="29" s="1"/>
  <c r="H62" i="40"/>
  <c r="J65" i="29" s="1"/>
  <c r="H58" i="40"/>
  <c r="J61" i="29" s="1"/>
  <c r="H57" i="40"/>
  <c r="J60" i="29" s="1"/>
  <c r="H53" i="40"/>
  <c r="H52" i="40"/>
  <c r="H40" i="40"/>
  <c r="H39" i="40"/>
  <c r="H38" i="40"/>
  <c r="H37" i="40"/>
  <c r="H36" i="40"/>
  <c r="H31" i="40"/>
  <c r="H30" i="40"/>
  <c r="H29" i="40"/>
  <c r="H28" i="40"/>
  <c r="H27" i="40"/>
  <c r="H26" i="40"/>
  <c r="H22" i="40"/>
  <c r="H21" i="40"/>
  <c r="H16" i="40"/>
  <c r="H15" i="40"/>
  <c r="H14" i="40"/>
  <c r="H13" i="40"/>
  <c r="H12" i="40"/>
  <c r="H10" i="40"/>
  <c r="J43" i="29" s="1"/>
  <c r="H9" i="40"/>
  <c r="J42" i="29" s="1"/>
  <c r="K132" i="34"/>
  <c r="M132" i="34" s="1"/>
  <c r="K133" i="34"/>
  <c r="M133" i="34" s="1"/>
  <c r="I132" i="34"/>
  <c r="I133" i="34"/>
  <c r="T120" i="24"/>
  <c r="H286" i="40" l="1"/>
  <c r="J203" i="29" s="1"/>
  <c r="H267" i="40"/>
  <c r="J198" i="29" s="1"/>
  <c r="H260" i="40"/>
  <c r="J197" i="29" s="1"/>
  <c r="H237" i="40"/>
  <c r="J181" i="29" s="1"/>
  <c r="H54" i="40"/>
  <c r="J57" i="29" s="1"/>
  <c r="H203" i="40"/>
  <c r="J171" i="29" s="1"/>
  <c r="H188" i="40"/>
  <c r="J162" i="29" s="1"/>
  <c r="H170" i="40"/>
  <c r="J160" i="29" s="1"/>
  <c r="H23" i="40"/>
  <c r="J45" i="29" s="1"/>
  <c r="M135" i="34"/>
  <c r="F12" i="30" l="1"/>
  <c r="F70" i="29"/>
  <c r="F69" i="29"/>
  <c r="F68" i="29"/>
  <c r="F67" i="29"/>
  <c r="F66" i="29"/>
  <c r="F65" i="29"/>
  <c r="F61" i="29"/>
  <c r="F60" i="29"/>
  <c r="F57" i="29"/>
  <c r="F56" i="29"/>
  <c r="F53" i="29"/>
  <c r="F52" i="29"/>
  <c r="F51" i="29"/>
  <c r="F50" i="29"/>
  <c r="F47" i="29"/>
  <c r="F46" i="29"/>
  <c r="F45" i="29"/>
  <c r="F44" i="29"/>
  <c r="F43" i="29"/>
  <c r="F42" i="29"/>
  <c r="M154" i="33" l="1"/>
  <c r="M114" i="33"/>
  <c r="M34" i="33"/>
  <c r="M27" i="33"/>
  <c r="D131" i="42"/>
  <c r="H131" i="42" s="1"/>
  <c r="D130" i="42"/>
  <c r="H130" i="42" s="1"/>
  <c r="H133" i="42" s="1"/>
  <c r="J76" i="30" s="1"/>
  <c r="D114" i="42"/>
  <c r="H114" i="42" s="1"/>
  <c r="D113" i="42"/>
  <c r="H113" i="42" s="1"/>
  <c r="D108" i="42"/>
  <c r="H108" i="42" s="1"/>
  <c r="D107" i="42"/>
  <c r="H107" i="42" s="1"/>
  <c r="D106" i="42"/>
  <c r="H106" i="42" s="1"/>
  <c r="D105" i="42"/>
  <c r="H105" i="42" s="1"/>
  <c r="D95" i="42"/>
  <c r="H95" i="42" s="1"/>
  <c r="D94" i="42"/>
  <c r="H94" i="42" s="1"/>
  <c r="D101" i="42"/>
  <c r="D93" i="42"/>
  <c r="H58" i="43"/>
  <c r="J20" i="32" s="1"/>
  <c r="H59" i="43"/>
  <c r="J21" i="32" s="1"/>
  <c r="H60" i="43"/>
  <c r="J22" i="32" s="1"/>
  <c r="F153" i="29"/>
  <c r="F151" i="29"/>
  <c r="F149" i="29"/>
  <c r="F30" i="31"/>
  <c r="H96" i="41"/>
  <c r="H95" i="41"/>
  <c r="H69" i="41"/>
  <c r="I329" i="33" l="1"/>
  <c r="J329" i="33"/>
  <c r="I100" i="23"/>
  <c r="O100" i="23"/>
  <c r="J300" i="33"/>
  <c r="I300" i="33"/>
  <c r="I295" i="33"/>
  <c r="J295" i="33"/>
  <c r="I296" i="33"/>
  <c r="J296" i="33"/>
  <c r="I294" i="33"/>
  <c r="J294" i="33"/>
  <c r="J292" i="33"/>
  <c r="I292" i="33"/>
  <c r="I270" i="33"/>
  <c r="K270" i="33"/>
  <c r="I205" i="33"/>
  <c r="M205" i="33" s="1"/>
  <c r="J168" i="33"/>
  <c r="I168" i="33"/>
  <c r="I126" i="33"/>
  <c r="K126" i="33"/>
  <c r="K99" i="33"/>
  <c r="I99" i="33"/>
  <c r="J31" i="32"/>
  <c r="J33" i="32"/>
  <c r="J34" i="32"/>
  <c r="J35" i="32"/>
  <c r="H90" i="43"/>
  <c r="H89" i="43"/>
  <c r="H88" i="43"/>
  <c r="H87" i="43"/>
  <c r="H78" i="43"/>
  <c r="H77" i="43"/>
  <c r="H74" i="43"/>
  <c r="H70" i="43"/>
  <c r="H68" i="43"/>
  <c r="H66" i="43"/>
  <c r="H63" i="43"/>
  <c r="H57" i="43"/>
  <c r="H50" i="43"/>
  <c r="H49" i="43"/>
  <c r="H48" i="43"/>
  <c r="H44" i="43"/>
  <c r="H43" i="43"/>
  <c r="D42" i="43"/>
  <c r="H42" i="43" s="1"/>
  <c r="H37" i="43"/>
  <c r="H36" i="43"/>
  <c r="H35" i="43"/>
  <c r="H34" i="43"/>
  <c r="H29" i="43"/>
  <c r="H28" i="43"/>
  <c r="H27" i="43"/>
  <c r="H26" i="43"/>
  <c r="H21" i="43"/>
  <c r="H20" i="43"/>
  <c r="H19" i="43"/>
  <c r="H18" i="43"/>
  <c r="H17" i="43"/>
  <c r="H16" i="43"/>
  <c r="H15" i="43"/>
  <c r="H14" i="43"/>
  <c r="H13" i="43"/>
  <c r="H12" i="43"/>
  <c r="H11" i="43"/>
  <c r="H10" i="43"/>
  <c r="H9" i="43"/>
  <c r="H8" i="43"/>
  <c r="J51" i="30"/>
  <c r="J52" i="30"/>
  <c r="J53" i="30"/>
  <c r="J56" i="30"/>
  <c r="J57" i="30"/>
  <c r="J59" i="30"/>
  <c r="J60" i="30"/>
  <c r="J69" i="30"/>
  <c r="J70" i="30"/>
  <c r="J71" i="30"/>
  <c r="J72" i="30"/>
  <c r="H135" i="42"/>
  <c r="J78" i="30" s="1"/>
  <c r="J73" i="30"/>
  <c r="H122" i="42"/>
  <c r="J68" i="30" s="1"/>
  <c r="H118" i="42"/>
  <c r="J64" i="30" s="1"/>
  <c r="H101" i="42"/>
  <c r="J54" i="30" s="1"/>
  <c r="H93" i="42"/>
  <c r="H97" i="42" s="1"/>
  <c r="J50" i="30" s="1"/>
  <c r="H138" i="42"/>
  <c r="J81" i="30" s="1"/>
  <c r="H15" i="42"/>
  <c r="J30" i="30" s="1"/>
  <c r="H12" i="42"/>
  <c r="J26" i="30" s="1"/>
  <c r="H9" i="42"/>
  <c r="J19" i="30" s="1"/>
  <c r="H6" i="42"/>
  <c r="J12" i="30" s="1"/>
  <c r="J61" i="31"/>
  <c r="J63" i="31"/>
  <c r="J65" i="31"/>
  <c r="J46" i="31"/>
  <c r="J30" i="31"/>
  <c r="J66" i="31"/>
  <c r="H113" i="41"/>
  <c r="H111" i="41"/>
  <c r="H109" i="41"/>
  <c r="J60" i="31" s="1"/>
  <c r="H106" i="41"/>
  <c r="H103" i="41"/>
  <c r="H102" i="41"/>
  <c r="H101" i="41"/>
  <c r="H94" i="41"/>
  <c r="H93" i="41"/>
  <c r="H92" i="41"/>
  <c r="H91" i="41"/>
  <c r="H90" i="41"/>
  <c r="H89" i="41"/>
  <c r="H88" i="41"/>
  <c r="H87" i="41"/>
  <c r="H82" i="41"/>
  <c r="H81" i="41"/>
  <c r="H80" i="41"/>
  <c r="H79" i="41"/>
  <c r="H78" i="41"/>
  <c r="H77" i="41"/>
  <c r="H76" i="41"/>
  <c r="H75" i="41"/>
  <c r="H74" i="41"/>
  <c r="H68" i="41"/>
  <c r="H67" i="41"/>
  <c r="H66" i="41"/>
  <c r="H65" i="41"/>
  <c r="H64" i="41"/>
  <c r="H63" i="41"/>
  <c r="H62" i="41"/>
  <c r="H61" i="41"/>
  <c r="H60" i="41"/>
  <c r="H59" i="41"/>
  <c r="H58" i="41"/>
  <c r="H57" i="41"/>
  <c r="H56" i="41"/>
  <c r="H55" i="41"/>
  <c r="H54" i="41"/>
  <c r="H53" i="41"/>
  <c r="H52" i="41"/>
  <c r="H43" i="41"/>
  <c r="H42" i="41"/>
  <c r="H39" i="41"/>
  <c r="H36" i="41"/>
  <c r="H32" i="41"/>
  <c r="H29" i="41"/>
  <c r="H26" i="41"/>
  <c r="H21" i="41"/>
  <c r="H13" i="41"/>
  <c r="H12" i="41"/>
  <c r="H11" i="41"/>
  <c r="D10" i="41"/>
  <c r="H10" i="41" s="1"/>
  <c r="H9" i="41"/>
  <c r="H8" i="41"/>
  <c r="A272" i="40"/>
  <c r="A288" i="40" s="1"/>
  <c r="A304" i="40" s="1"/>
  <c r="D200" i="29"/>
  <c r="A250" i="40"/>
  <c r="A253" i="40" s="1"/>
  <c r="D189" i="29"/>
  <c r="A212" i="40"/>
  <c r="A214" i="40" s="1"/>
  <c r="A240" i="40" s="1"/>
  <c r="A242" i="40" s="1"/>
  <c r="A244" i="40" s="1"/>
  <c r="A246" i="40" s="1"/>
  <c r="A155" i="40"/>
  <c r="A173" i="40" s="1"/>
  <c r="A190" i="40" s="1"/>
  <c r="A192" i="40" s="1"/>
  <c r="A140" i="40"/>
  <c r="A142" i="40" s="1"/>
  <c r="A144" i="40" s="1"/>
  <c r="A146" i="40" s="1"/>
  <c r="A148" i="40" s="1"/>
  <c r="A150" i="40" s="1"/>
  <c r="A110" i="40"/>
  <c r="A112" i="40" s="1"/>
  <c r="A114" i="40" s="1"/>
  <c r="A116" i="40" s="1"/>
  <c r="A118" i="40" s="1"/>
  <c r="A120" i="40" s="1"/>
  <c r="A122" i="40" s="1"/>
  <c r="A100" i="40"/>
  <c r="A93" i="40"/>
  <c r="A95" i="40" s="1"/>
  <c r="A62" i="40"/>
  <c r="A63" i="40" s="1"/>
  <c r="A64" i="40" s="1"/>
  <c r="A65" i="40" s="1"/>
  <c r="A66" i="40" s="1"/>
  <c r="A67" i="40" s="1"/>
  <c r="A57" i="40"/>
  <c r="A58" i="40" s="1"/>
  <c r="A50" i="40"/>
  <c r="A51" i="40" s="1"/>
  <c r="A43" i="40"/>
  <c r="A44" i="40" s="1"/>
  <c r="A45" i="40" s="1"/>
  <c r="A46" i="40" s="1"/>
  <c r="A47" i="40" s="1"/>
  <c r="A9" i="40"/>
  <c r="A10" i="40" s="1"/>
  <c r="A11" i="40" s="1"/>
  <c r="A20" i="40" s="1"/>
  <c r="A25" i="40" s="1"/>
  <c r="A35" i="40" s="1"/>
  <c r="H5" i="40"/>
  <c r="J35" i="29" s="1"/>
  <c r="M335" i="33"/>
  <c r="M114" i="23" s="1"/>
  <c r="J328" i="33"/>
  <c r="M328" i="33" s="1"/>
  <c r="I328" i="33"/>
  <c r="M305" i="33"/>
  <c r="M103" i="23" s="1"/>
  <c r="M306" i="33"/>
  <c r="M104" i="23" s="1"/>
  <c r="M214" i="33"/>
  <c r="I213" i="33"/>
  <c r="M213" i="33" s="1"/>
  <c r="I212" i="33"/>
  <c r="M212" i="33" s="1"/>
  <c r="I204" i="33"/>
  <c r="M204" i="33" s="1"/>
  <c r="I203" i="33"/>
  <c r="M203" i="33" s="1"/>
  <c r="I202" i="33"/>
  <c r="M202" i="33" s="1"/>
  <c r="J156" i="33"/>
  <c r="E156" i="33"/>
  <c r="I156" i="33" s="1"/>
  <c r="J155" i="33"/>
  <c r="E155" i="33"/>
  <c r="I155" i="33" s="1"/>
  <c r="J153" i="33"/>
  <c r="I153" i="33"/>
  <c r="J152" i="33"/>
  <c r="M152" i="33" s="1"/>
  <c r="I152" i="33"/>
  <c r="J151" i="33"/>
  <c r="E151" i="33"/>
  <c r="I151" i="33" s="1"/>
  <c r="J150" i="33"/>
  <c r="I150" i="33"/>
  <c r="J149" i="33"/>
  <c r="I149" i="33"/>
  <c r="I16" i="23"/>
  <c r="M36" i="33"/>
  <c r="M16" i="23" s="1"/>
  <c r="H98" i="41" l="1"/>
  <c r="M329" i="33"/>
  <c r="M270" i="33"/>
  <c r="M156" i="33"/>
  <c r="M151" i="33"/>
  <c r="M126" i="33"/>
  <c r="M168" i="33"/>
  <c r="M332" i="33"/>
  <c r="M112" i="23" s="1"/>
  <c r="M149" i="33"/>
  <c r="M99" i="33"/>
  <c r="M153" i="33"/>
  <c r="M150" i="33"/>
  <c r="M155" i="33"/>
  <c r="M206" i="33"/>
  <c r="M69" i="23" s="1"/>
  <c r="J32" i="32"/>
  <c r="J30" i="32"/>
  <c r="H51" i="43"/>
  <c r="J14" i="32" s="1"/>
  <c r="J36" i="32"/>
  <c r="J22" i="31"/>
  <c r="D187" i="29"/>
  <c r="J25" i="31"/>
  <c r="J38" i="31"/>
  <c r="J52" i="31"/>
  <c r="J28" i="32"/>
  <c r="F28" i="32"/>
  <c r="J39" i="32"/>
  <c r="J35" i="31"/>
  <c r="J57" i="31"/>
  <c r="J28" i="31"/>
  <c r="J39" i="31"/>
  <c r="J53" i="31"/>
  <c r="J62" i="31"/>
  <c r="J40" i="32"/>
  <c r="J17" i="31"/>
  <c r="J32" i="31"/>
  <c r="J54" i="31"/>
  <c r="J64" i="31"/>
  <c r="J19" i="32"/>
  <c r="J25" i="32"/>
  <c r="J49" i="31"/>
  <c r="H71" i="41"/>
  <c r="M295" i="33"/>
  <c r="M300" i="33"/>
  <c r="M302" i="33" s="1"/>
  <c r="M100" i="23" s="1"/>
  <c r="M296" i="33"/>
  <c r="H84" i="41"/>
  <c r="H38" i="43"/>
  <c r="H15" i="41"/>
  <c r="H22" i="43"/>
  <c r="J10" i="32" s="1"/>
  <c r="H30" i="43"/>
  <c r="J11" i="32" s="1"/>
  <c r="H45" i="43"/>
  <c r="M216" i="33"/>
  <c r="M76" i="23" s="1"/>
  <c r="M163" i="33" l="1"/>
  <c r="M45" i="23" s="1"/>
  <c r="J13" i="32"/>
  <c r="J12" i="32"/>
  <c r="J47" i="31"/>
  <c r="J12" i="31"/>
  <c r="J48" i="31"/>
  <c r="I7" i="36" l="1"/>
  <c r="M12" i="28" s="1"/>
  <c r="I6" i="36"/>
  <c r="M11" i="28" s="1"/>
  <c r="I5" i="36"/>
  <c r="M10" i="28" s="1"/>
  <c r="I4" i="36"/>
  <c r="M9" i="28" s="1"/>
  <c r="O10" i="26"/>
  <c r="M26" i="35"/>
  <c r="M17" i="26" s="1"/>
  <c r="M25" i="35"/>
  <c r="J21" i="35"/>
  <c r="I21" i="35"/>
  <c r="J13" i="35"/>
  <c r="I13" i="35"/>
  <c r="J12" i="35"/>
  <c r="I12" i="35"/>
  <c r="J11" i="35"/>
  <c r="I11" i="35"/>
  <c r="I6" i="35"/>
  <c r="G6" i="35"/>
  <c r="K6" i="35" s="1"/>
  <c r="I5" i="35"/>
  <c r="G5" i="35"/>
  <c r="K5" i="35" s="1"/>
  <c r="M58" i="24"/>
  <c r="J126" i="34"/>
  <c r="I126" i="34"/>
  <c r="J125" i="34"/>
  <c r="I125" i="34"/>
  <c r="J124" i="34"/>
  <c r="I124" i="34"/>
  <c r="J123" i="34"/>
  <c r="I123" i="34"/>
  <c r="J122" i="34"/>
  <c r="I122" i="34"/>
  <c r="J121" i="34"/>
  <c r="I121" i="34"/>
  <c r="I116" i="34"/>
  <c r="M116" i="34" s="1"/>
  <c r="I115" i="34"/>
  <c r="M115" i="34" s="1"/>
  <c r="I114" i="34"/>
  <c r="M114" i="34" s="1"/>
  <c r="I113" i="34"/>
  <c r="M113" i="34" s="1"/>
  <c r="I108" i="34"/>
  <c r="M108" i="34" s="1"/>
  <c r="I107" i="34"/>
  <c r="M107" i="34" s="1"/>
  <c r="M110" i="34" s="1"/>
  <c r="I102" i="34"/>
  <c r="M102" i="34" s="1"/>
  <c r="I101" i="34"/>
  <c r="M101" i="34" s="1"/>
  <c r="M104" i="34" s="1"/>
  <c r="M97" i="34"/>
  <c r="M105" i="24" s="1"/>
  <c r="J92" i="34"/>
  <c r="I92" i="34"/>
  <c r="J91" i="34"/>
  <c r="M91" i="34" s="1"/>
  <c r="I91" i="34"/>
  <c r="J84" i="34"/>
  <c r="I84" i="34"/>
  <c r="J83" i="34"/>
  <c r="I83" i="34"/>
  <c r="K78" i="34"/>
  <c r="J78" i="34"/>
  <c r="I78" i="34"/>
  <c r="K77" i="34"/>
  <c r="J77" i="34"/>
  <c r="I77" i="34"/>
  <c r="K76" i="34"/>
  <c r="J76" i="34"/>
  <c r="I76" i="34"/>
  <c r="K75" i="34"/>
  <c r="J75" i="34"/>
  <c r="I75" i="34"/>
  <c r="M72" i="34"/>
  <c r="M90" i="24" s="1"/>
  <c r="K68" i="34"/>
  <c r="J68" i="34"/>
  <c r="I68" i="34"/>
  <c r="K67" i="34"/>
  <c r="J67" i="34"/>
  <c r="I67" i="34"/>
  <c r="K66" i="34"/>
  <c r="J66" i="34"/>
  <c r="I66" i="34"/>
  <c r="K65" i="34"/>
  <c r="J65" i="34"/>
  <c r="I65" i="34"/>
  <c r="K64" i="34"/>
  <c r="J64" i="34"/>
  <c r="I64" i="34"/>
  <c r="K59" i="34"/>
  <c r="J59" i="34"/>
  <c r="I59" i="34"/>
  <c r="K58" i="34"/>
  <c r="J58" i="34"/>
  <c r="I58" i="34"/>
  <c r="K57" i="34"/>
  <c r="J57" i="34"/>
  <c r="I57" i="34"/>
  <c r="K56" i="34"/>
  <c r="J56" i="34"/>
  <c r="I56" i="34"/>
  <c r="K51" i="34"/>
  <c r="J51" i="34"/>
  <c r="I51" i="34"/>
  <c r="K50" i="34"/>
  <c r="J50" i="34"/>
  <c r="I50" i="34"/>
  <c r="K49" i="34"/>
  <c r="J49" i="34"/>
  <c r="I49" i="34"/>
  <c r="K48" i="34"/>
  <c r="J48" i="34"/>
  <c r="I48" i="34"/>
  <c r="J43" i="34"/>
  <c r="I43" i="34"/>
  <c r="K42" i="34"/>
  <c r="J42" i="34"/>
  <c r="I42" i="34"/>
  <c r="K41" i="34"/>
  <c r="J41" i="34"/>
  <c r="I41" i="34"/>
  <c r="M37" i="34"/>
  <c r="M70" i="24" s="1"/>
  <c r="M35" i="34"/>
  <c r="M65" i="24" s="1"/>
  <c r="M33" i="34"/>
  <c r="M59" i="24" s="1"/>
  <c r="M31" i="34"/>
  <c r="M57" i="24" s="1"/>
  <c r="M30" i="34"/>
  <c r="M56" i="24" s="1"/>
  <c r="M29" i="34"/>
  <c r="M55" i="24" s="1"/>
  <c r="M28" i="34"/>
  <c r="M54" i="24" s="1"/>
  <c r="M25" i="34"/>
  <c r="M46" i="24" s="1"/>
  <c r="M24" i="34"/>
  <c r="M45" i="24" s="1"/>
  <c r="M23" i="34"/>
  <c r="M44" i="24" s="1"/>
  <c r="M22" i="34"/>
  <c r="M43" i="24" s="1"/>
  <c r="M21" i="34"/>
  <c r="M42" i="24" s="1"/>
  <c r="M20" i="34"/>
  <c r="M41" i="24" s="1"/>
  <c r="M19" i="34"/>
  <c r="M17" i="34"/>
  <c r="M33" i="24" s="1"/>
  <c r="M16" i="34"/>
  <c r="M32" i="24" s="1"/>
  <c r="M15" i="34"/>
  <c r="M14" i="34"/>
  <c r="M27" i="24" s="1"/>
  <c r="M12" i="34"/>
  <c r="M22" i="24" s="1"/>
  <c r="M9" i="34"/>
  <c r="M19" i="24" s="1"/>
  <c r="M7" i="34"/>
  <c r="M15" i="24" s="1"/>
  <c r="M5" i="34"/>
  <c r="M13" i="24" s="1"/>
  <c r="M147" i="33"/>
  <c r="M146" i="33"/>
  <c r="M44" i="23" s="1"/>
  <c r="I24" i="23"/>
  <c r="I38" i="23"/>
  <c r="O38" i="23"/>
  <c r="F325" i="33"/>
  <c r="J325" i="33" s="1"/>
  <c r="E325" i="33"/>
  <c r="I325" i="33" s="1"/>
  <c r="J316" i="33"/>
  <c r="I316" i="33"/>
  <c r="J315" i="33"/>
  <c r="I315" i="33"/>
  <c r="J314" i="33"/>
  <c r="E314" i="33"/>
  <c r="I314" i="33" s="1"/>
  <c r="J313" i="33"/>
  <c r="I313" i="33"/>
  <c r="J312" i="33"/>
  <c r="I312" i="33"/>
  <c r="K311" i="33"/>
  <c r="I311" i="33"/>
  <c r="J287" i="33"/>
  <c r="I287" i="33"/>
  <c r="J286" i="33"/>
  <c r="I286" i="33"/>
  <c r="J285" i="33"/>
  <c r="E285" i="33"/>
  <c r="I285" i="33" s="1"/>
  <c r="J284" i="33"/>
  <c r="I284" i="33"/>
  <c r="J283" i="33"/>
  <c r="I283" i="33"/>
  <c r="K282" i="33"/>
  <c r="I282" i="33"/>
  <c r="G279" i="33"/>
  <c r="K279" i="33" s="1"/>
  <c r="E279" i="33"/>
  <c r="I279" i="33" s="1"/>
  <c r="K275" i="33"/>
  <c r="I275" i="33"/>
  <c r="K274" i="33"/>
  <c r="E274" i="33"/>
  <c r="I274" i="33" s="1"/>
  <c r="K273" i="33"/>
  <c r="I273" i="33"/>
  <c r="K272" i="33"/>
  <c r="I272" i="33"/>
  <c r="K271" i="33"/>
  <c r="I271" i="33"/>
  <c r="K269" i="33"/>
  <c r="I269" i="33"/>
  <c r="I259" i="33"/>
  <c r="M259" i="33" s="1"/>
  <c r="I258" i="33"/>
  <c r="M258" i="33" s="1"/>
  <c r="I257" i="33"/>
  <c r="M257" i="33" s="1"/>
  <c r="I256" i="33"/>
  <c r="M256" i="33" s="1"/>
  <c r="K250" i="33"/>
  <c r="I250" i="33"/>
  <c r="K249" i="33"/>
  <c r="I249" i="33"/>
  <c r="K248" i="33"/>
  <c r="I248" i="33"/>
  <c r="K247" i="33"/>
  <c r="I247" i="33"/>
  <c r="K246" i="33"/>
  <c r="I246" i="33"/>
  <c r="K245" i="33"/>
  <c r="I245" i="33"/>
  <c r="K244" i="33"/>
  <c r="I244" i="33"/>
  <c r="K243" i="33"/>
  <c r="I243" i="33"/>
  <c r="K242" i="33"/>
  <c r="I242" i="33"/>
  <c r="K241" i="33"/>
  <c r="I241" i="33"/>
  <c r="K240" i="33"/>
  <c r="I240" i="33"/>
  <c r="K239" i="33"/>
  <c r="I239" i="33"/>
  <c r="K238" i="33"/>
  <c r="I238" i="33"/>
  <c r="K237" i="33"/>
  <c r="I237" i="33"/>
  <c r="K236" i="33"/>
  <c r="I236" i="33"/>
  <c r="K235" i="33"/>
  <c r="I235" i="33"/>
  <c r="K234" i="33"/>
  <c r="I234" i="33"/>
  <c r="K233" i="33"/>
  <c r="I233" i="33"/>
  <c r="K227" i="33"/>
  <c r="I227" i="33"/>
  <c r="K226" i="33"/>
  <c r="I226" i="33"/>
  <c r="K225" i="33"/>
  <c r="I225" i="33"/>
  <c r="K224" i="33"/>
  <c r="E224" i="33"/>
  <c r="I224" i="33" s="1"/>
  <c r="K223" i="33"/>
  <c r="E223" i="33"/>
  <c r="I223" i="33" s="1"/>
  <c r="K222" i="33"/>
  <c r="I222" i="33"/>
  <c r="K221" i="33"/>
  <c r="I221" i="33"/>
  <c r="I196" i="33"/>
  <c r="M196" i="33" s="1"/>
  <c r="I195" i="33"/>
  <c r="M195" i="33" s="1"/>
  <c r="I194" i="33"/>
  <c r="M194" i="33" s="1"/>
  <c r="I193" i="33"/>
  <c r="M193" i="33" s="1"/>
  <c r="E192" i="33"/>
  <c r="I192" i="33" s="1"/>
  <c r="M192" i="33" s="1"/>
  <c r="I191" i="33"/>
  <c r="M191" i="33" s="1"/>
  <c r="I190" i="33"/>
  <c r="M190" i="33" s="1"/>
  <c r="J185" i="33"/>
  <c r="I185" i="33"/>
  <c r="J180" i="33"/>
  <c r="I180" i="33"/>
  <c r="J179" i="33"/>
  <c r="E179" i="33"/>
  <c r="I179" i="33" s="1"/>
  <c r="J174" i="33"/>
  <c r="I174" i="33"/>
  <c r="J173" i="33"/>
  <c r="I173" i="33"/>
  <c r="J172" i="33"/>
  <c r="I172" i="33"/>
  <c r="F167" i="33"/>
  <c r="J167" i="33" s="1"/>
  <c r="I167" i="33"/>
  <c r="J142" i="33"/>
  <c r="I142" i="33"/>
  <c r="J141" i="33"/>
  <c r="I141" i="33"/>
  <c r="F139" i="33"/>
  <c r="J139" i="33" s="1"/>
  <c r="I139" i="33"/>
  <c r="J134" i="33"/>
  <c r="I134" i="33"/>
  <c r="F132" i="33"/>
  <c r="J132" i="33" s="1"/>
  <c r="E132" i="33"/>
  <c r="I132" i="33" s="1"/>
  <c r="F130" i="33"/>
  <c r="J130" i="33" s="1"/>
  <c r="I130" i="33"/>
  <c r="K125" i="33"/>
  <c r="I125" i="33"/>
  <c r="K124" i="33"/>
  <c r="I124" i="33"/>
  <c r="K123" i="33"/>
  <c r="I123" i="33"/>
  <c r="K122" i="33"/>
  <c r="I122" i="33"/>
  <c r="K121" i="33"/>
  <c r="I121" i="33"/>
  <c r="K120" i="33"/>
  <c r="I120" i="33"/>
  <c r="K119" i="33"/>
  <c r="I119" i="33"/>
  <c r="K118" i="33"/>
  <c r="I118" i="33"/>
  <c r="K117" i="33"/>
  <c r="I117" i="33"/>
  <c r="K116" i="33"/>
  <c r="I116" i="33"/>
  <c r="K115" i="33"/>
  <c r="I115" i="33"/>
  <c r="K113" i="33"/>
  <c r="I113" i="33"/>
  <c r="K112" i="33"/>
  <c r="I112" i="33"/>
  <c r="K111" i="33"/>
  <c r="I111" i="33"/>
  <c r="K110" i="33"/>
  <c r="I110" i="33"/>
  <c r="K109" i="33"/>
  <c r="I109" i="33"/>
  <c r="K108" i="33"/>
  <c r="I108" i="33"/>
  <c r="K107" i="33"/>
  <c r="I107" i="33"/>
  <c r="K106" i="33"/>
  <c r="I106" i="33"/>
  <c r="K105" i="33"/>
  <c r="I105" i="33"/>
  <c r="K104" i="33"/>
  <c r="I104" i="33"/>
  <c r="K98" i="33"/>
  <c r="I98" i="33"/>
  <c r="K97" i="33"/>
  <c r="I97" i="33"/>
  <c r="K96" i="33"/>
  <c r="I96" i="33"/>
  <c r="K95" i="33"/>
  <c r="I95" i="33"/>
  <c r="K94" i="33"/>
  <c r="I94" i="33"/>
  <c r="K93" i="33"/>
  <c r="I93" i="33"/>
  <c r="K88" i="33"/>
  <c r="I88" i="33"/>
  <c r="K87" i="33"/>
  <c r="M87" i="33" s="1"/>
  <c r="I87" i="33"/>
  <c r="K86" i="33"/>
  <c r="I86" i="33"/>
  <c r="K85" i="33"/>
  <c r="I85" i="33"/>
  <c r="K84" i="33"/>
  <c r="I84" i="33"/>
  <c r="K83" i="33"/>
  <c r="M83" i="33" s="1"/>
  <c r="I83" i="33"/>
  <c r="K82" i="33"/>
  <c r="I82" i="33"/>
  <c r="K81" i="33"/>
  <c r="I81" i="33"/>
  <c r="K75" i="33"/>
  <c r="I75" i="33"/>
  <c r="K74" i="33"/>
  <c r="M74" i="33" s="1"/>
  <c r="I74" i="33"/>
  <c r="J73" i="33"/>
  <c r="I73" i="33"/>
  <c r="K68" i="33"/>
  <c r="I68" i="33"/>
  <c r="K67" i="33"/>
  <c r="I67" i="33"/>
  <c r="K66" i="33"/>
  <c r="M66" i="33" s="1"/>
  <c r="I66" i="33"/>
  <c r="K65" i="33"/>
  <c r="I65" i="33"/>
  <c r="K64" i="33"/>
  <c r="I64" i="33"/>
  <c r="K63" i="33"/>
  <c r="I63" i="33"/>
  <c r="J61" i="33"/>
  <c r="M61" i="33" s="1"/>
  <c r="I61" i="33"/>
  <c r="K57" i="33"/>
  <c r="I57" i="33"/>
  <c r="K56" i="33"/>
  <c r="I56" i="33"/>
  <c r="K55" i="33"/>
  <c r="I55" i="33"/>
  <c r="K54" i="33"/>
  <c r="M54" i="33" s="1"/>
  <c r="I54" i="33"/>
  <c r="K53" i="33"/>
  <c r="I53" i="33"/>
  <c r="K52" i="33"/>
  <c r="I52" i="33"/>
  <c r="K51" i="33"/>
  <c r="I51" i="33"/>
  <c r="K50" i="33"/>
  <c r="M50" i="33" s="1"/>
  <c r="I50" i="33"/>
  <c r="K49" i="33"/>
  <c r="I49" i="33"/>
  <c r="K48" i="33"/>
  <c r="I48" i="33"/>
  <c r="K47" i="33"/>
  <c r="I47" i="33"/>
  <c r="K46" i="33"/>
  <c r="M46" i="33" s="1"/>
  <c r="I46" i="33"/>
  <c r="K45" i="33"/>
  <c r="E45" i="33"/>
  <c r="I45" i="33" s="1"/>
  <c r="K44" i="33"/>
  <c r="I44" i="33"/>
  <c r="F41" i="33"/>
  <c r="J41" i="33" s="1"/>
  <c r="I41" i="33"/>
  <c r="M15" i="23"/>
  <c r="M14" i="23"/>
  <c r="K15" i="33"/>
  <c r="I15" i="33"/>
  <c r="K14" i="33"/>
  <c r="I14" i="33"/>
  <c r="F9" i="33"/>
  <c r="J9" i="33" s="1"/>
  <c r="E9" i="33"/>
  <c r="I9" i="33" s="1"/>
  <c r="F8" i="33"/>
  <c r="J8" i="33" s="1"/>
  <c r="M8" i="33" s="1"/>
  <c r="E8" i="33"/>
  <c r="I8" i="33" s="1"/>
  <c r="J7" i="33"/>
  <c r="I7" i="33"/>
  <c r="F6" i="33"/>
  <c r="J6" i="33" s="1"/>
  <c r="I6" i="33"/>
  <c r="G81" i="30"/>
  <c r="G78" i="30"/>
  <c r="I78" i="30" s="1"/>
  <c r="G76" i="30"/>
  <c r="L76" i="30" s="1"/>
  <c r="G73" i="30"/>
  <c r="L73" i="30" s="1"/>
  <c r="G68" i="30"/>
  <c r="I68" i="30" s="1"/>
  <c r="G64" i="30"/>
  <c r="L64" i="30" s="1"/>
  <c r="G61" i="30"/>
  <c r="I61" i="30" s="1"/>
  <c r="G58" i="30"/>
  <c r="L58" i="30" s="1"/>
  <c r="G55" i="30"/>
  <c r="L55" i="30" s="1"/>
  <c r="G54" i="30"/>
  <c r="L54" i="30" s="1"/>
  <c r="G50" i="30"/>
  <c r="L50" i="30" s="1"/>
  <c r="G46" i="30"/>
  <c r="I46" i="30" s="1"/>
  <c r="G45" i="30"/>
  <c r="L45" i="30" s="1"/>
  <c r="G40" i="30"/>
  <c r="G39" i="30"/>
  <c r="L39" i="30" s="1"/>
  <c r="G38" i="30"/>
  <c r="G32" i="30"/>
  <c r="L32" i="30" s="1"/>
  <c r="G31" i="30"/>
  <c r="L31" i="30" s="1"/>
  <c r="G30" i="30"/>
  <c r="I30" i="30" s="1"/>
  <c r="G29" i="30"/>
  <c r="G28" i="30"/>
  <c r="L28" i="30" s="1"/>
  <c r="G27" i="30"/>
  <c r="L27" i="30" s="1"/>
  <c r="G26" i="30"/>
  <c r="L26" i="30" s="1"/>
  <c r="G19" i="30"/>
  <c r="L19" i="30" s="1"/>
  <c r="G12" i="30"/>
  <c r="L12" i="30" s="1"/>
  <c r="G66" i="31"/>
  <c r="L66" i="31" s="1"/>
  <c r="G64" i="31"/>
  <c r="L64" i="31" s="1"/>
  <c r="G62" i="31"/>
  <c r="G61" i="31"/>
  <c r="L61" i="31" s="1"/>
  <c r="G60" i="31"/>
  <c r="L60" i="31" s="1"/>
  <c r="G59" i="31"/>
  <c r="L59" i="31" s="1"/>
  <c r="G57" i="31"/>
  <c r="L57" i="31" s="1"/>
  <c r="G54" i="31"/>
  <c r="G53" i="31"/>
  <c r="L53" i="31" s="1"/>
  <c r="G52" i="31"/>
  <c r="L52" i="31" s="1"/>
  <c r="G49" i="31"/>
  <c r="G48" i="31"/>
  <c r="L48" i="31" s="1"/>
  <c r="G47" i="31"/>
  <c r="L47" i="31" s="1"/>
  <c r="G46" i="31"/>
  <c r="L46" i="31" s="1"/>
  <c r="G39" i="31"/>
  <c r="I39" i="31" s="1"/>
  <c r="G38" i="31"/>
  <c r="G37" i="31"/>
  <c r="L37" i="31" s="1"/>
  <c r="G35" i="31"/>
  <c r="L35" i="31" s="1"/>
  <c r="G34" i="31"/>
  <c r="I34" i="31" s="1"/>
  <c r="G32" i="31"/>
  <c r="L32" i="31" s="1"/>
  <c r="G28" i="31"/>
  <c r="L28" i="31" s="1"/>
  <c r="G27" i="31"/>
  <c r="L27" i="31" s="1"/>
  <c r="G25" i="31"/>
  <c r="G24" i="31"/>
  <c r="L24" i="31" s="1"/>
  <c r="G21" i="31"/>
  <c r="L21" i="31" s="1"/>
  <c r="G20" i="31"/>
  <c r="L20" i="31" s="1"/>
  <c r="G17" i="31"/>
  <c r="L17" i="31" s="1"/>
  <c r="G15" i="31"/>
  <c r="L15" i="31" s="1"/>
  <c r="G12" i="31"/>
  <c r="L12" i="31" s="1"/>
  <c r="G207" i="29"/>
  <c r="G206" i="29"/>
  <c r="G205" i="29"/>
  <c r="G204" i="29"/>
  <c r="G203" i="29"/>
  <c r="G202" i="29"/>
  <c r="G201" i="29"/>
  <c r="G200" i="29"/>
  <c r="G199" i="29"/>
  <c r="G198" i="29"/>
  <c r="G197" i="29"/>
  <c r="G196" i="29"/>
  <c r="G195" i="29"/>
  <c r="G194" i="29"/>
  <c r="G189" i="29"/>
  <c r="G188" i="29"/>
  <c r="G187" i="29"/>
  <c r="G186" i="29"/>
  <c r="G185" i="29"/>
  <c r="G184" i="29"/>
  <c r="G183" i="29"/>
  <c r="G182" i="29"/>
  <c r="G181" i="29"/>
  <c r="G180" i="29"/>
  <c r="G179" i="29"/>
  <c r="G172" i="29"/>
  <c r="G171" i="29"/>
  <c r="G170" i="29"/>
  <c r="G169" i="29"/>
  <c r="G168" i="29"/>
  <c r="G167" i="29"/>
  <c r="G166" i="29"/>
  <c r="G165" i="29"/>
  <c r="G164" i="29"/>
  <c r="G163" i="29"/>
  <c r="G162" i="29"/>
  <c r="G161" i="29"/>
  <c r="G160" i="29"/>
  <c r="G155" i="29"/>
  <c r="G154" i="29"/>
  <c r="G153" i="29"/>
  <c r="G152" i="29"/>
  <c r="G151" i="29"/>
  <c r="G150" i="29"/>
  <c r="G148" i="29"/>
  <c r="G147" i="29"/>
  <c r="G146" i="29"/>
  <c r="G145" i="29"/>
  <c r="G144" i="29"/>
  <c r="G143" i="29"/>
  <c r="G142" i="29"/>
  <c r="G141" i="29"/>
  <c r="G140" i="29"/>
  <c r="G139" i="29"/>
  <c r="G138" i="29"/>
  <c r="G137" i="29"/>
  <c r="G136" i="29"/>
  <c r="G135" i="29"/>
  <c r="G134" i="29"/>
  <c r="G133" i="29"/>
  <c r="G132" i="29"/>
  <c r="G131" i="29"/>
  <c r="G130" i="29"/>
  <c r="G129" i="29"/>
  <c r="G128" i="29"/>
  <c r="G127" i="29"/>
  <c r="G126" i="29"/>
  <c r="G125" i="29"/>
  <c r="G124" i="29"/>
  <c r="G123" i="29"/>
  <c r="G122" i="29"/>
  <c r="G121" i="29"/>
  <c r="G120" i="29"/>
  <c r="G119" i="29"/>
  <c r="G118" i="29"/>
  <c r="G117" i="29"/>
  <c r="G116" i="29"/>
  <c r="G115" i="29"/>
  <c r="G114" i="29"/>
  <c r="G113" i="29"/>
  <c r="G112" i="29"/>
  <c r="G111" i="29"/>
  <c r="G110" i="29"/>
  <c r="G109" i="29"/>
  <c r="G108" i="29"/>
  <c r="G107" i="29"/>
  <c r="G106" i="29"/>
  <c r="G105" i="29"/>
  <c r="G104" i="29"/>
  <c r="G103" i="29"/>
  <c r="G102" i="29"/>
  <c r="G101" i="29"/>
  <c r="G100" i="29"/>
  <c r="G99" i="29"/>
  <c r="G98" i="29"/>
  <c r="G97" i="29"/>
  <c r="G96" i="29"/>
  <c r="G95" i="29"/>
  <c r="G94" i="29"/>
  <c r="G93" i="29"/>
  <c r="G92" i="29"/>
  <c r="G91" i="29"/>
  <c r="G90" i="29"/>
  <c r="G89" i="29"/>
  <c r="G88" i="29"/>
  <c r="G87" i="29"/>
  <c r="G86" i="29"/>
  <c r="G85" i="29"/>
  <c r="G84" i="29"/>
  <c r="G83" i="29"/>
  <c r="G82" i="29"/>
  <c r="G81" i="29"/>
  <c r="G80" i="29"/>
  <c r="G79" i="29"/>
  <c r="G78" i="29"/>
  <c r="G77" i="29"/>
  <c r="G76" i="29"/>
  <c r="G75" i="29"/>
  <c r="G74" i="29"/>
  <c r="G73" i="29"/>
  <c r="G72" i="29"/>
  <c r="G71" i="29"/>
  <c r="G70" i="29"/>
  <c r="G69" i="29"/>
  <c r="G68" i="29"/>
  <c r="G67" i="29"/>
  <c r="G66" i="29"/>
  <c r="G65" i="29"/>
  <c r="G64" i="29"/>
  <c r="G63" i="29"/>
  <c r="G62" i="29"/>
  <c r="G61" i="29"/>
  <c r="G60" i="29"/>
  <c r="G59" i="29"/>
  <c r="G58" i="29"/>
  <c r="G57" i="29"/>
  <c r="G56" i="29"/>
  <c r="G55" i="29"/>
  <c r="G54" i="29"/>
  <c r="G53" i="29"/>
  <c r="G52" i="29"/>
  <c r="G51" i="29"/>
  <c r="G50" i="29"/>
  <c r="G47" i="29"/>
  <c r="G46" i="29"/>
  <c r="G45" i="29"/>
  <c r="G44" i="29"/>
  <c r="G43" i="29"/>
  <c r="G42" i="29"/>
  <c r="G35" i="29"/>
  <c r="L13" i="30"/>
  <c r="N13" i="30"/>
  <c r="L14" i="30"/>
  <c r="N14" i="30"/>
  <c r="L15" i="30"/>
  <c r="N15" i="30"/>
  <c r="L16" i="30"/>
  <c r="N16" i="30"/>
  <c r="L17" i="30"/>
  <c r="N17" i="30"/>
  <c r="L18" i="30"/>
  <c r="N18" i="30"/>
  <c r="L20" i="30"/>
  <c r="N20" i="30"/>
  <c r="L21" i="30"/>
  <c r="N21" i="30"/>
  <c r="L22" i="30"/>
  <c r="N22" i="30"/>
  <c r="L23" i="30"/>
  <c r="N23" i="30"/>
  <c r="L24" i="30"/>
  <c r="N24" i="30"/>
  <c r="L25" i="30"/>
  <c r="N25" i="30"/>
  <c r="L29" i="30"/>
  <c r="L30" i="30"/>
  <c r="L33" i="30"/>
  <c r="N33" i="30"/>
  <c r="L34" i="30"/>
  <c r="N34" i="30"/>
  <c r="L35" i="30"/>
  <c r="N35" i="30"/>
  <c r="L36" i="30"/>
  <c r="N36" i="30"/>
  <c r="L37" i="30"/>
  <c r="N37" i="30"/>
  <c r="N38" i="30"/>
  <c r="L41" i="30"/>
  <c r="N41" i="30"/>
  <c r="L42" i="30"/>
  <c r="N42" i="30"/>
  <c r="L43" i="30"/>
  <c r="N43" i="30"/>
  <c r="L44" i="30"/>
  <c r="N44" i="30"/>
  <c r="L47" i="30"/>
  <c r="N47" i="30"/>
  <c r="L48" i="30"/>
  <c r="N48" i="30"/>
  <c r="L49" i="30"/>
  <c r="N49" i="30"/>
  <c r="L51" i="30"/>
  <c r="N51" i="30"/>
  <c r="L52" i="30"/>
  <c r="N52" i="30"/>
  <c r="L53" i="30"/>
  <c r="N53" i="30"/>
  <c r="L56" i="30"/>
  <c r="N56" i="30"/>
  <c r="L57" i="30"/>
  <c r="N57" i="30"/>
  <c r="L59" i="30"/>
  <c r="N59" i="30"/>
  <c r="L60" i="30"/>
  <c r="N60" i="30"/>
  <c r="L62" i="30"/>
  <c r="N62" i="30"/>
  <c r="L63" i="30"/>
  <c r="N63" i="30"/>
  <c r="L65" i="30"/>
  <c r="N65" i="30"/>
  <c r="L66" i="30"/>
  <c r="N66" i="30"/>
  <c r="L67" i="30"/>
  <c r="N67" i="30"/>
  <c r="L69" i="30"/>
  <c r="N69" i="30"/>
  <c r="L70" i="30"/>
  <c r="N70" i="30"/>
  <c r="L71" i="30"/>
  <c r="N71" i="30"/>
  <c r="L72" i="30"/>
  <c r="N72" i="30"/>
  <c r="L74" i="30"/>
  <c r="N74" i="30"/>
  <c r="L75" i="30"/>
  <c r="N75" i="30"/>
  <c r="L77" i="30"/>
  <c r="N77" i="30"/>
  <c r="N78" i="30"/>
  <c r="L79" i="30"/>
  <c r="N79" i="30"/>
  <c r="L80" i="30"/>
  <c r="N80" i="30"/>
  <c r="L81" i="30"/>
  <c r="L82" i="30"/>
  <c r="N82" i="30"/>
  <c r="M82" i="30" s="1"/>
  <c r="I13" i="30"/>
  <c r="I14" i="30"/>
  <c r="I15" i="30"/>
  <c r="I16" i="30"/>
  <c r="I17" i="30"/>
  <c r="I18" i="30"/>
  <c r="I20" i="30"/>
  <c r="I21" i="30"/>
  <c r="I22" i="30"/>
  <c r="I23" i="30"/>
  <c r="I24" i="30"/>
  <c r="I25" i="30"/>
  <c r="I28" i="30"/>
  <c r="I33" i="30"/>
  <c r="I34" i="30"/>
  <c r="I35" i="30"/>
  <c r="I36" i="30"/>
  <c r="I37" i="30"/>
  <c r="I41" i="30"/>
  <c r="I42" i="30"/>
  <c r="I43" i="30"/>
  <c r="I44" i="30"/>
  <c r="I47" i="30"/>
  <c r="I48" i="30"/>
  <c r="I49" i="30"/>
  <c r="I51" i="30"/>
  <c r="I52" i="30"/>
  <c r="I53" i="30"/>
  <c r="I56" i="30"/>
  <c r="I57" i="30"/>
  <c r="I59" i="30"/>
  <c r="I60" i="30"/>
  <c r="I62" i="30"/>
  <c r="I63" i="30"/>
  <c r="I65" i="30"/>
  <c r="I66" i="30"/>
  <c r="I67" i="30"/>
  <c r="I69" i="30"/>
  <c r="I70" i="30"/>
  <c r="I71" i="30"/>
  <c r="I72" i="30"/>
  <c r="I73" i="30"/>
  <c r="I74" i="30"/>
  <c r="I75" i="30"/>
  <c r="I77" i="30"/>
  <c r="I79" i="30"/>
  <c r="I80" i="30"/>
  <c r="N81" i="30"/>
  <c r="N76" i="30"/>
  <c r="N73" i="30"/>
  <c r="N68" i="30"/>
  <c r="N58" i="30"/>
  <c r="N54" i="30"/>
  <c r="I50" i="30"/>
  <c r="N46" i="30"/>
  <c r="N39" i="30"/>
  <c r="N32" i="30"/>
  <c r="N31" i="30"/>
  <c r="I29" i="30"/>
  <c r="N28" i="30"/>
  <c r="N26" i="30"/>
  <c r="I19" i="30"/>
  <c r="N12" i="30"/>
  <c r="L13" i="31"/>
  <c r="N13" i="31"/>
  <c r="L16" i="31"/>
  <c r="N16" i="31"/>
  <c r="L18" i="31"/>
  <c r="N18" i="31"/>
  <c r="N21" i="31"/>
  <c r="L22" i="31"/>
  <c r="N22" i="31"/>
  <c r="L25" i="31"/>
  <c r="L30" i="31"/>
  <c r="N30" i="31"/>
  <c r="L34" i="31"/>
  <c r="N35" i="31"/>
  <c r="L41" i="31"/>
  <c r="N41" i="31"/>
  <c r="N43" i="31"/>
  <c r="M43" i="31" s="1"/>
  <c r="L45" i="31"/>
  <c r="N45" i="31"/>
  <c r="L49" i="31"/>
  <c r="L51" i="31"/>
  <c r="N51" i="31"/>
  <c r="N52" i="31"/>
  <c r="L56" i="31"/>
  <c r="N56" i="31"/>
  <c r="L62" i="31"/>
  <c r="N62" i="31"/>
  <c r="N64" i="31"/>
  <c r="N66" i="31"/>
  <c r="I13" i="31"/>
  <c r="I16" i="31"/>
  <c r="I18" i="31"/>
  <c r="I22" i="31"/>
  <c r="I30" i="31"/>
  <c r="I41" i="31"/>
  <c r="I52" i="31"/>
  <c r="I62" i="31"/>
  <c r="N61" i="31"/>
  <c r="N53" i="31"/>
  <c r="N49" i="31"/>
  <c r="I48" i="31"/>
  <c r="N37" i="31"/>
  <c r="I35" i="31"/>
  <c r="N34" i="31"/>
  <c r="N32" i="31"/>
  <c r="N25" i="31"/>
  <c r="N20" i="31"/>
  <c r="I17" i="31"/>
  <c r="M121" i="34" l="1"/>
  <c r="M123" i="34"/>
  <c r="M125" i="34"/>
  <c r="I37" i="31"/>
  <c r="L78" i="30"/>
  <c r="M15" i="30"/>
  <c r="M7" i="33"/>
  <c r="M9" i="33"/>
  <c r="M45" i="33"/>
  <c r="M47" i="33"/>
  <c r="M49" i="33"/>
  <c r="M51" i="33"/>
  <c r="M53" i="33"/>
  <c r="M55" i="33"/>
  <c r="M57" i="33"/>
  <c r="M63" i="33"/>
  <c r="M65" i="33"/>
  <c r="M67" i="33"/>
  <c r="M73" i="33"/>
  <c r="M77" i="33" s="1"/>
  <c r="M75" i="33"/>
  <c r="M82" i="33"/>
  <c r="M84" i="33"/>
  <c r="M86" i="33"/>
  <c r="M88" i="33"/>
  <c r="M94" i="33"/>
  <c r="M96" i="33"/>
  <c r="M98" i="33"/>
  <c r="M105" i="33"/>
  <c r="M107" i="33"/>
  <c r="M109" i="33"/>
  <c r="M111" i="33"/>
  <c r="M113" i="33"/>
  <c r="M118" i="33"/>
  <c r="M122" i="33"/>
  <c r="M130" i="33"/>
  <c r="M36" i="23" s="1"/>
  <c r="M92" i="34"/>
  <c r="M94" i="34" s="1"/>
  <c r="I20" i="31"/>
  <c r="I64" i="31"/>
  <c r="M71" i="30"/>
  <c r="M63" i="30"/>
  <c r="M51" i="30"/>
  <c r="M122" i="34"/>
  <c r="M124" i="34"/>
  <c r="M126" i="34"/>
  <c r="M41" i="33"/>
  <c r="M269" i="33"/>
  <c r="M274" i="33"/>
  <c r="M198" i="33"/>
  <c r="M271" i="33"/>
  <c r="M275" i="33"/>
  <c r="M272" i="33"/>
  <c r="M277" i="33" s="1"/>
  <c r="M279" i="33"/>
  <c r="M273" i="33"/>
  <c r="M141" i="33"/>
  <c r="M173" i="33"/>
  <c r="M6" i="33"/>
  <c r="M44" i="33"/>
  <c r="M59" i="33" s="1"/>
  <c r="M48" i="33"/>
  <c r="M52" i="33"/>
  <c r="M56" i="33"/>
  <c r="M64" i="33"/>
  <c r="M68" i="33"/>
  <c r="M81" i="33"/>
  <c r="M85" i="33"/>
  <c r="M93" i="33"/>
  <c r="M97" i="33"/>
  <c r="M106" i="33"/>
  <c r="M110" i="33"/>
  <c r="M115" i="33"/>
  <c r="M119" i="33"/>
  <c r="M123" i="33"/>
  <c r="M132" i="33"/>
  <c r="M142" i="33"/>
  <c r="M174" i="33"/>
  <c r="M116" i="33"/>
  <c r="M120" i="33"/>
  <c r="M124" i="33"/>
  <c r="M134" i="33"/>
  <c r="M167" i="33"/>
  <c r="M170" i="33" s="1"/>
  <c r="M95" i="33"/>
  <c r="M104" i="33"/>
  <c r="M108" i="33"/>
  <c r="M112" i="33"/>
  <c r="M117" i="33"/>
  <c r="M121" i="33"/>
  <c r="M125" i="33"/>
  <c r="M172" i="33"/>
  <c r="I54" i="30"/>
  <c r="L46" i="30"/>
  <c r="I53" i="31"/>
  <c r="I66" i="31"/>
  <c r="I15" i="31"/>
  <c r="L39" i="31"/>
  <c r="L38" i="30"/>
  <c r="M38" i="30" s="1"/>
  <c r="I38" i="30"/>
  <c r="M47" i="30"/>
  <c r="M16" i="31"/>
  <c r="M12" i="30"/>
  <c r="I12" i="30"/>
  <c r="M16" i="26"/>
  <c r="G16" i="26"/>
  <c r="M32" i="30"/>
  <c r="M22" i="31"/>
  <c r="I45" i="30"/>
  <c r="M81" i="30"/>
  <c r="M72" i="30"/>
  <c r="L68" i="30"/>
  <c r="M68" i="30" s="1"/>
  <c r="M25" i="31"/>
  <c r="M31" i="30"/>
  <c r="M62" i="30"/>
  <c r="M76" i="30"/>
  <c r="I58" i="30"/>
  <c r="I55" i="30"/>
  <c r="M54" i="30"/>
  <c r="M46" i="30"/>
  <c r="M64" i="31"/>
  <c r="I57" i="31"/>
  <c r="M52" i="31"/>
  <c r="M49" i="31"/>
  <c r="M32" i="31"/>
  <c r="I21" i="31"/>
  <c r="M21" i="31"/>
  <c r="M28" i="30"/>
  <c r="I26" i="30"/>
  <c r="M22" i="30"/>
  <c r="M17" i="30"/>
  <c r="M13" i="30"/>
  <c r="M62" i="31"/>
  <c r="M13" i="31"/>
  <c r="M37" i="30"/>
  <c r="M33" i="30"/>
  <c r="L61" i="30"/>
  <c r="M79" i="30"/>
  <c r="M35" i="31"/>
  <c r="M39" i="30"/>
  <c r="M78" i="30"/>
  <c r="M49" i="30"/>
  <c r="M44" i="30"/>
  <c r="M23" i="30"/>
  <c r="M66" i="30"/>
  <c r="M77" i="30"/>
  <c r="M58" i="30"/>
  <c r="M5" i="35"/>
  <c r="M13" i="35"/>
  <c r="M12" i="35"/>
  <c r="M6" i="35"/>
  <c r="M21" i="35"/>
  <c r="M11" i="35"/>
  <c r="M15" i="35" s="1"/>
  <c r="M56" i="34"/>
  <c r="M76" i="34"/>
  <c r="M66" i="34"/>
  <c r="M64" i="34"/>
  <c r="M48" i="34"/>
  <c r="M42" i="34"/>
  <c r="M75" i="34"/>
  <c r="M67" i="34"/>
  <c r="M51" i="34"/>
  <c r="M58" i="34"/>
  <c r="M78" i="34"/>
  <c r="M49" i="34"/>
  <c r="M50" i="34"/>
  <c r="M83" i="34"/>
  <c r="M68" i="34"/>
  <c r="M41" i="34"/>
  <c r="M59" i="34"/>
  <c r="M110" i="24"/>
  <c r="M57" i="34"/>
  <c r="M65" i="34"/>
  <c r="M108" i="24"/>
  <c r="M43" i="34"/>
  <c r="M77" i="34"/>
  <c r="M84" i="34"/>
  <c r="M86" i="34" s="1"/>
  <c r="M97" i="24" s="1"/>
  <c r="M118" i="34"/>
  <c r="M112" i="24" s="1"/>
  <c r="M241" i="33"/>
  <c r="M287" i="33"/>
  <c r="M240" i="33"/>
  <c r="M244" i="33"/>
  <c r="M237" i="33"/>
  <c r="M22" i="23"/>
  <c r="M225" i="33"/>
  <c r="M245" i="33"/>
  <c r="M242" i="33"/>
  <c r="M250" i="33"/>
  <c r="M51" i="23"/>
  <c r="M222" i="33"/>
  <c r="M294" i="33"/>
  <c r="M298" i="33" s="1"/>
  <c r="M249" i="33"/>
  <c r="M315" i="33"/>
  <c r="M243" i="33"/>
  <c r="M234" i="33"/>
  <c r="M282" i="33"/>
  <c r="M286" i="33"/>
  <c r="M38" i="23"/>
  <c r="M180" i="33"/>
  <c r="M236" i="33"/>
  <c r="M292" i="33"/>
  <c r="M313" i="33"/>
  <c r="M185" i="33"/>
  <c r="M58" i="23" s="1"/>
  <c r="M233" i="33"/>
  <c r="M179" i="33"/>
  <c r="M20" i="23"/>
  <c r="M93" i="23"/>
  <c r="M226" i="33"/>
  <c r="M311" i="33"/>
  <c r="M322" i="33" s="1"/>
  <c r="M239" i="33"/>
  <c r="M246" i="33"/>
  <c r="M227" i="33"/>
  <c r="M312" i="33"/>
  <c r="M284" i="33"/>
  <c r="M14" i="33"/>
  <c r="M17" i="33" s="1"/>
  <c r="M221" i="33"/>
  <c r="M247" i="33"/>
  <c r="M316" i="33"/>
  <c r="M223" i="33"/>
  <c r="M37" i="23"/>
  <c r="M235" i="33"/>
  <c r="M15" i="33"/>
  <c r="M248" i="33"/>
  <c r="M283" i="33"/>
  <c r="M238" i="33"/>
  <c r="M285" i="33"/>
  <c r="M224" i="33"/>
  <c r="M139" i="33"/>
  <c r="M41" i="23" s="1"/>
  <c r="M261" i="33"/>
  <c r="M86" i="23" s="1"/>
  <c r="M314" i="33"/>
  <c r="M325" i="33"/>
  <c r="M53" i="30"/>
  <c r="M34" i="30"/>
  <c r="M18" i="30"/>
  <c r="M14" i="30"/>
  <c r="M57" i="30"/>
  <c r="M74" i="30"/>
  <c r="M42" i="30"/>
  <c r="M25" i="30"/>
  <c r="M65" i="30"/>
  <c r="M21" i="30"/>
  <c r="M16" i="30"/>
  <c r="M70" i="30"/>
  <c r="M69" i="30"/>
  <c r="M41" i="30"/>
  <c r="N27" i="30"/>
  <c r="M27" i="30" s="1"/>
  <c r="I27" i="30"/>
  <c r="I40" i="30"/>
  <c r="N40" i="30"/>
  <c r="I76" i="30"/>
  <c r="M80" i="30"/>
  <c r="M59" i="30"/>
  <c r="N55" i="30"/>
  <c r="M55" i="30" s="1"/>
  <c r="M52" i="30"/>
  <c r="M48" i="30"/>
  <c r="N45" i="30"/>
  <c r="M45" i="30" s="1"/>
  <c r="M20" i="30"/>
  <c r="I81" i="30"/>
  <c r="N19" i="30"/>
  <c r="M19" i="30" s="1"/>
  <c r="N30" i="30"/>
  <c r="M30" i="30" s="1"/>
  <c r="I32" i="30"/>
  <c r="L40" i="30"/>
  <c r="M26" i="30"/>
  <c r="I39" i="30"/>
  <c r="I31" i="30"/>
  <c r="M75" i="30"/>
  <c r="N61" i="30"/>
  <c r="N50" i="30"/>
  <c r="M50" i="30" s="1"/>
  <c r="M43" i="30"/>
  <c r="M36" i="30"/>
  <c r="N29" i="30"/>
  <c r="M29" i="30" s="1"/>
  <c r="M73" i="30"/>
  <c r="M67" i="30"/>
  <c r="M60" i="30"/>
  <c r="M56" i="30"/>
  <c r="M35" i="30"/>
  <c r="M24" i="30"/>
  <c r="M53" i="31"/>
  <c r="N24" i="31"/>
  <c r="M24" i="31" s="1"/>
  <c r="I24" i="31"/>
  <c r="N38" i="31"/>
  <c r="I38" i="31"/>
  <c r="I54" i="31"/>
  <c r="N54" i="31"/>
  <c r="I46" i="31"/>
  <c r="N46" i="31"/>
  <c r="M46" i="31" s="1"/>
  <c r="N28" i="31"/>
  <c r="M28" i="31" s="1"/>
  <c r="I28" i="31"/>
  <c r="I47" i="31"/>
  <c r="N47" i="31"/>
  <c r="M47" i="31" s="1"/>
  <c r="I61" i="31"/>
  <c r="I25" i="31"/>
  <c r="N57" i="31"/>
  <c r="M57" i="31" s="1"/>
  <c r="N39" i="31"/>
  <c r="M39" i="31" s="1"/>
  <c r="N17" i="31"/>
  <c r="M17" i="31" s="1"/>
  <c r="I49" i="31"/>
  <c r="M56" i="31"/>
  <c r="M51" i="31"/>
  <c r="I32" i="31"/>
  <c r="L54" i="31"/>
  <c r="L38" i="31"/>
  <c r="N15" i="31"/>
  <c r="M15" i="31" s="1"/>
  <c r="N48" i="31"/>
  <c r="M48" i="31" s="1"/>
  <c r="M41" i="31"/>
  <c r="M34" i="31"/>
  <c r="M66" i="31"/>
  <c r="M18" i="31"/>
  <c r="M37" i="31"/>
  <c r="M30" i="31"/>
  <c r="M20" i="31"/>
  <c r="M61" i="31"/>
  <c r="M45" i="31"/>
  <c r="M70" i="34" l="1"/>
  <c r="M11" i="33"/>
  <c r="M128" i="34"/>
  <c r="M53" i="34"/>
  <c r="M80" i="24" s="1"/>
  <c r="M61" i="34"/>
  <c r="M229" i="33"/>
  <c r="M182" i="33"/>
  <c r="M54" i="23" s="1"/>
  <c r="M127" i="33"/>
  <c r="M33" i="23" s="1"/>
  <c r="M176" i="33"/>
  <c r="M52" i="23" s="1"/>
  <c r="M100" i="33"/>
  <c r="M30" i="23" s="1"/>
  <c r="M252" i="33"/>
  <c r="M84" i="23" s="1"/>
  <c r="M289" i="33"/>
  <c r="M90" i="33"/>
  <c r="M144" i="33"/>
  <c r="M42" i="23" s="1"/>
  <c r="M108" i="23"/>
  <c r="M70" i="33"/>
  <c r="M23" i="23" s="1"/>
  <c r="L84" i="30"/>
  <c r="D12" i="11" s="1"/>
  <c r="M61" i="30"/>
  <c r="M23" i="35"/>
  <c r="M15" i="26" s="1"/>
  <c r="M116" i="24"/>
  <c r="M110" i="23"/>
  <c r="M99" i="23"/>
  <c r="M98" i="23"/>
  <c r="M92" i="23"/>
  <c r="M80" i="23"/>
  <c r="L68" i="31"/>
  <c r="D11" i="11" s="1"/>
  <c r="M40" i="30"/>
  <c r="M95" i="23"/>
  <c r="M62" i="23"/>
  <c r="M8" i="35"/>
  <c r="M11" i="26"/>
  <c r="M101" i="24"/>
  <c r="M121" i="24"/>
  <c r="M84" i="24"/>
  <c r="M45" i="34"/>
  <c r="M77" i="24" s="1"/>
  <c r="M80" i="34"/>
  <c r="M93" i="24" s="1"/>
  <c r="M89" i="24"/>
  <c r="L38" i="23"/>
  <c r="Q38" i="23"/>
  <c r="P38" i="23" s="1"/>
  <c r="M24" i="23"/>
  <c r="M10" i="23"/>
  <c r="M21" i="23"/>
  <c r="M27" i="23"/>
  <c r="M11" i="23"/>
  <c r="N64" i="30"/>
  <c r="M64" i="30" s="1"/>
  <c r="I64" i="30"/>
  <c r="M54" i="31"/>
  <c r="N60" i="31"/>
  <c r="M60" i="31" s="1"/>
  <c r="I60" i="31"/>
  <c r="I12" i="31"/>
  <c r="N12" i="31"/>
  <c r="N59" i="31"/>
  <c r="M59" i="31" s="1"/>
  <c r="I59" i="31"/>
  <c r="I27" i="31"/>
  <c r="N27" i="31"/>
  <c r="M27" i="31" s="1"/>
  <c r="M38" i="31"/>
  <c r="M10" i="26" l="1"/>
  <c r="Q10" i="26" s="1"/>
  <c r="P10" i="26" s="1"/>
  <c r="Q100" i="23"/>
  <c r="P100" i="23" s="1"/>
  <c r="L100" i="23"/>
  <c r="N84" i="30"/>
  <c r="F12" i="11" s="1"/>
  <c r="M12" i="31"/>
  <c r="M68" i="31" s="1"/>
  <c r="E11" i="11" s="1"/>
  <c r="N68" i="31"/>
  <c r="F11" i="11" s="1"/>
  <c r="L41" i="29"/>
  <c r="N41" i="29"/>
  <c r="L42" i="29"/>
  <c r="L43" i="29"/>
  <c r="N43" i="29"/>
  <c r="L44" i="29"/>
  <c r="L45" i="29"/>
  <c r="L46" i="29"/>
  <c r="N46" i="29"/>
  <c r="L47" i="29"/>
  <c r="L48" i="29"/>
  <c r="N48" i="29"/>
  <c r="L49" i="29"/>
  <c r="N49" i="29"/>
  <c r="M49" i="29" s="1"/>
  <c r="L50" i="29"/>
  <c r="N50" i="29"/>
  <c r="L51" i="29"/>
  <c r="L52" i="29"/>
  <c r="L53" i="29"/>
  <c r="L54" i="29"/>
  <c r="L55" i="29"/>
  <c r="L56" i="29"/>
  <c r="L57" i="29"/>
  <c r="N57" i="29"/>
  <c r="L58" i="29"/>
  <c r="L59" i="29"/>
  <c r="L60" i="29"/>
  <c r="L61" i="29"/>
  <c r="L62" i="29"/>
  <c r="L63" i="29"/>
  <c r="L64" i="29"/>
  <c r="N64" i="29"/>
  <c r="L65" i="29"/>
  <c r="L66" i="29"/>
  <c r="L67" i="29"/>
  <c r="L68" i="29"/>
  <c r="N68" i="29"/>
  <c r="L69" i="29"/>
  <c r="L70" i="29"/>
  <c r="L71" i="29"/>
  <c r="L72" i="29"/>
  <c r="L73" i="29"/>
  <c r="L74" i="29"/>
  <c r="L75" i="29"/>
  <c r="N75" i="29"/>
  <c r="L76" i="29"/>
  <c r="L77" i="29"/>
  <c r="L78" i="29"/>
  <c r="N78" i="29"/>
  <c r="L79" i="29"/>
  <c r="L80" i="29"/>
  <c r="L81" i="29"/>
  <c r="L82" i="29"/>
  <c r="N82" i="29"/>
  <c r="M82" i="29" s="1"/>
  <c r="L83" i="29"/>
  <c r="N83" i="29"/>
  <c r="M83" i="29" s="1"/>
  <c r="L84" i="29"/>
  <c r="L85" i="29"/>
  <c r="L86" i="29"/>
  <c r="L87" i="29"/>
  <c r="L88" i="29"/>
  <c r="L89" i="29"/>
  <c r="N89" i="29"/>
  <c r="L90" i="29"/>
  <c r="L91" i="29"/>
  <c r="L92" i="29"/>
  <c r="L93" i="29"/>
  <c r="L94" i="29"/>
  <c r="L95" i="29"/>
  <c r="L96" i="29"/>
  <c r="N96" i="29"/>
  <c r="L97" i="29"/>
  <c r="L98" i="29"/>
  <c r="L99" i="29"/>
  <c r="L100" i="29"/>
  <c r="N100" i="29"/>
  <c r="M100" i="29" s="1"/>
  <c r="L101" i="29"/>
  <c r="L102" i="29"/>
  <c r="L103" i="29"/>
  <c r="L104" i="29"/>
  <c r="N104" i="29"/>
  <c r="L105" i="29"/>
  <c r="L106" i="29"/>
  <c r="L107" i="29"/>
  <c r="N107" i="29"/>
  <c r="L108" i="29"/>
  <c r="L109" i="29"/>
  <c r="L110" i="29"/>
  <c r="N110" i="29"/>
  <c r="L111" i="29"/>
  <c r="L112" i="29"/>
  <c r="L113" i="29"/>
  <c r="L114" i="29"/>
  <c r="N114" i="29"/>
  <c r="M114" i="29" s="1"/>
  <c r="L115" i="29"/>
  <c r="N115" i="29"/>
  <c r="L116" i="29"/>
  <c r="L117" i="29"/>
  <c r="L118" i="29"/>
  <c r="L119" i="29"/>
  <c r="L120" i="29"/>
  <c r="L121" i="29"/>
  <c r="N121" i="29"/>
  <c r="L122" i="29"/>
  <c r="N122" i="29"/>
  <c r="L123" i="29"/>
  <c r="L124" i="29"/>
  <c r="L125" i="29"/>
  <c r="L126" i="29"/>
  <c r="L127" i="29"/>
  <c r="L128" i="29"/>
  <c r="N128" i="29"/>
  <c r="L129" i="29"/>
  <c r="N129" i="29"/>
  <c r="L130" i="29"/>
  <c r="L131" i="29"/>
  <c r="L132" i="29"/>
  <c r="N132" i="29"/>
  <c r="M132" i="29" s="1"/>
  <c r="L133" i="29"/>
  <c r="L134" i="29"/>
  <c r="L135" i="29"/>
  <c r="L136" i="29"/>
  <c r="N136" i="29"/>
  <c r="L137" i="29"/>
  <c r="L138" i="29"/>
  <c r="L139" i="29"/>
  <c r="N139" i="29"/>
  <c r="L140" i="29"/>
  <c r="L141" i="29"/>
  <c r="L142" i="29"/>
  <c r="N142" i="29"/>
  <c r="L143" i="29"/>
  <c r="L144" i="29"/>
  <c r="L145" i="29"/>
  <c r="L146" i="29"/>
  <c r="N146" i="29"/>
  <c r="L147" i="29"/>
  <c r="N147" i="29"/>
  <c r="L148" i="29"/>
  <c r="L149" i="29"/>
  <c r="N149" i="29"/>
  <c r="L150" i="29"/>
  <c r="L151" i="29"/>
  <c r="L152" i="29"/>
  <c r="L153" i="29"/>
  <c r="L154" i="29"/>
  <c r="N154" i="29"/>
  <c r="L155" i="29"/>
  <c r="L156" i="29"/>
  <c r="N156" i="29"/>
  <c r="L157" i="29"/>
  <c r="N157" i="29"/>
  <c r="L158" i="29"/>
  <c r="N158" i="29"/>
  <c r="L159" i="29"/>
  <c r="N159" i="29"/>
  <c r="L160" i="29"/>
  <c r="N160" i="29"/>
  <c r="L161" i="29"/>
  <c r="L162" i="29"/>
  <c r="L163" i="29"/>
  <c r="N163" i="29"/>
  <c r="L164" i="29"/>
  <c r="L165" i="29"/>
  <c r="L166" i="29"/>
  <c r="N166" i="29"/>
  <c r="L167" i="29"/>
  <c r="N167" i="29"/>
  <c r="L168" i="29"/>
  <c r="L169" i="29"/>
  <c r="L170" i="29"/>
  <c r="L171" i="29"/>
  <c r="N171" i="29"/>
  <c r="L172" i="29"/>
  <c r="L173" i="29"/>
  <c r="N173" i="29"/>
  <c r="L174" i="29"/>
  <c r="N174" i="29"/>
  <c r="M174" i="29" s="1"/>
  <c r="L175" i="29"/>
  <c r="N175" i="29"/>
  <c r="L176" i="29"/>
  <c r="N176" i="29"/>
  <c r="L177" i="29"/>
  <c r="N177" i="29"/>
  <c r="L178" i="29"/>
  <c r="N178" i="29"/>
  <c r="L179" i="29"/>
  <c r="L180" i="29"/>
  <c r="N180" i="29"/>
  <c r="L181" i="29"/>
  <c r="N181" i="29"/>
  <c r="L182" i="29"/>
  <c r="L183" i="29"/>
  <c r="L184" i="29"/>
  <c r="L185" i="29"/>
  <c r="L186" i="29"/>
  <c r="L187" i="29"/>
  <c r="N187" i="29"/>
  <c r="L188" i="29"/>
  <c r="N188" i="29"/>
  <c r="L189" i="29"/>
  <c r="L190" i="29"/>
  <c r="N190" i="29"/>
  <c r="L191" i="29"/>
  <c r="N191" i="29"/>
  <c r="L192" i="29"/>
  <c r="N192" i="29"/>
  <c r="L193" i="29"/>
  <c r="N193" i="29"/>
  <c r="L194" i="29"/>
  <c r="N194" i="29"/>
  <c r="L195" i="29"/>
  <c r="L196" i="29"/>
  <c r="L197" i="29"/>
  <c r="L198" i="29"/>
  <c r="L199" i="29"/>
  <c r="L200" i="29"/>
  <c r="L201" i="29"/>
  <c r="N201" i="29"/>
  <c r="L202" i="29"/>
  <c r="L203" i="29"/>
  <c r="L204" i="29"/>
  <c r="L205" i="29"/>
  <c r="L206" i="29"/>
  <c r="L207" i="29"/>
  <c r="N207" i="29"/>
  <c r="N208" i="29"/>
  <c r="L209" i="29"/>
  <c r="N209" i="29"/>
  <c r="N35" i="29"/>
  <c r="L35" i="29"/>
  <c r="I41" i="29"/>
  <c r="I42" i="29"/>
  <c r="I44" i="29"/>
  <c r="I48" i="29"/>
  <c r="P48" i="29" s="1"/>
  <c r="I49" i="29"/>
  <c r="P49" i="29" s="1"/>
  <c r="I50" i="29"/>
  <c r="I58" i="29"/>
  <c r="I66" i="29"/>
  <c r="I67" i="29"/>
  <c r="I74" i="29"/>
  <c r="I75" i="29"/>
  <c r="I82" i="29"/>
  <c r="I83" i="29"/>
  <c r="I90" i="29"/>
  <c r="I91" i="29"/>
  <c r="I98" i="29"/>
  <c r="I99" i="29"/>
  <c r="I106" i="29"/>
  <c r="I107" i="29"/>
  <c r="I114" i="29"/>
  <c r="I115" i="29"/>
  <c r="I122" i="29"/>
  <c r="I123" i="29"/>
  <c r="I130" i="29"/>
  <c r="I131" i="29"/>
  <c r="I138" i="29"/>
  <c r="I139" i="29"/>
  <c r="I146" i="29"/>
  <c r="I147" i="29"/>
  <c r="I149" i="29"/>
  <c r="P149" i="29" s="1"/>
  <c r="I154" i="29"/>
  <c r="I155" i="29"/>
  <c r="I156" i="29"/>
  <c r="P156" i="29" s="1"/>
  <c r="I157" i="29"/>
  <c r="P157" i="29" s="1"/>
  <c r="I158" i="29"/>
  <c r="P158" i="29" s="1"/>
  <c r="I159" i="29"/>
  <c r="P159" i="29" s="1"/>
  <c r="I160" i="29"/>
  <c r="I162" i="29"/>
  <c r="I165" i="29"/>
  <c r="I168" i="29"/>
  <c r="I170" i="29"/>
  <c r="I173" i="29"/>
  <c r="P173" i="29" s="1"/>
  <c r="I174" i="29"/>
  <c r="P174" i="29" s="1"/>
  <c r="I175" i="29"/>
  <c r="P175" i="29" s="1"/>
  <c r="I176" i="29"/>
  <c r="P176" i="29" s="1"/>
  <c r="I177" i="29"/>
  <c r="P177" i="29" s="1"/>
  <c r="I178" i="29"/>
  <c r="P178" i="29" s="1"/>
  <c r="I179" i="29"/>
  <c r="I180" i="29"/>
  <c r="I181" i="29"/>
  <c r="I187" i="29"/>
  <c r="I188" i="29"/>
  <c r="I189" i="29"/>
  <c r="I190" i="29"/>
  <c r="P190" i="29" s="1"/>
  <c r="I191" i="29"/>
  <c r="P191" i="29" s="1"/>
  <c r="I192" i="29"/>
  <c r="P192" i="29" s="1"/>
  <c r="I193" i="29"/>
  <c r="P193" i="29" s="1"/>
  <c r="I194" i="29"/>
  <c r="I197" i="29"/>
  <c r="I199" i="29"/>
  <c r="I202" i="29"/>
  <c r="I205" i="29"/>
  <c r="I207" i="29"/>
  <c r="I206" i="29"/>
  <c r="N205" i="29"/>
  <c r="N204" i="29"/>
  <c r="I203" i="29"/>
  <c r="N202" i="29"/>
  <c r="I201" i="29"/>
  <c r="N200" i="29"/>
  <c r="N199" i="29"/>
  <c r="N198" i="29"/>
  <c r="N197" i="29"/>
  <c r="I196" i="29"/>
  <c r="I195" i="29"/>
  <c r="N189" i="29"/>
  <c r="I186" i="29"/>
  <c r="N185" i="29"/>
  <c r="M185" i="29" s="1"/>
  <c r="N184" i="29"/>
  <c r="N183" i="29"/>
  <c r="I182" i="29"/>
  <c r="N179" i="29"/>
  <c r="M179" i="29" s="1"/>
  <c r="I172" i="29"/>
  <c r="I171" i="29"/>
  <c r="N170" i="29"/>
  <c r="M170" i="29" s="1"/>
  <c r="N169" i="29"/>
  <c r="N168" i="29"/>
  <c r="I167" i="29"/>
  <c r="I166" i="29"/>
  <c r="N165" i="29"/>
  <c r="N164" i="29"/>
  <c r="M164" i="29" s="1"/>
  <c r="I163" i="29"/>
  <c r="N162" i="29"/>
  <c r="N161" i="29"/>
  <c r="N155" i="29"/>
  <c r="N153" i="29"/>
  <c r="I152" i="29"/>
  <c r="N151" i="29"/>
  <c r="N150" i="29"/>
  <c r="I148" i="29"/>
  <c r="N145" i="29"/>
  <c r="N144" i="29"/>
  <c r="N143" i="29"/>
  <c r="I142" i="29"/>
  <c r="I141" i="29"/>
  <c r="N140" i="29"/>
  <c r="M140" i="29" s="1"/>
  <c r="N138" i="29"/>
  <c r="N137" i="29"/>
  <c r="I136" i="29"/>
  <c r="I135" i="29"/>
  <c r="I134" i="29"/>
  <c r="N133" i="29"/>
  <c r="I132" i="29"/>
  <c r="N131" i="29"/>
  <c r="N130" i="29"/>
  <c r="M130" i="29" s="1"/>
  <c r="I129" i="29"/>
  <c r="I128" i="29"/>
  <c r="I127" i="29"/>
  <c r="N126" i="29"/>
  <c r="M126" i="29" s="1"/>
  <c r="N125" i="29"/>
  <c r="I124" i="29"/>
  <c r="N123" i="29"/>
  <c r="I121" i="29"/>
  <c r="N120" i="29"/>
  <c r="N119" i="29"/>
  <c r="N118" i="29"/>
  <c r="I117" i="29"/>
  <c r="I116" i="29"/>
  <c r="N113" i="29"/>
  <c r="N112" i="29"/>
  <c r="N111" i="29"/>
  <c r="I110" i="29"/>
  <c r="I109" i="29"/>
  <c r="N108" i="29"/>
  <c r="N106" i="29"/>
  <c r="N105" i="29"/>
  <c r="I104" i="29"/>
  <c r="I103" i="29"/>
  <c r="I102" i="29"/>
  <c r="N101" i="29"/>
  <c r="I100" i="29"/>
  <c r="N99" i="29"/>
  <c r="N98" i="29"/>
  <c r="M98" i="29" s="1"/>
  <c r="N97" i="29"/>
  <c r="I96" i="29"/>
  <c r="I95" i="29"/>
  <c r="N94" i="29"/>
  <c r="N93" i="29"/>
  <c r="M93" i="29" s="1"/>
  <c r="I92" i="29"/>
  <c r="N91" i="29"/>
  <c r="M91" i="29" s="1"/>
  <c r="N90" i="29"/>
  <c r="M90" i="29" s="1"/>
  <c r="I89" i="29"/>
  <c r="N88" i="29"/>
  <c r="N87" i="29"/>
  <c r="N86" i="29"/>
  <c r="M86" i="29" s="1"/>
  <c r="I85" i="29"/>
  <c r="I84" i="29"/>
  <c r="N81" i="29"/>
  <c r="N80" i="29"/>
  <c r="N79" i="29"/>
  <c r="I78" i="29"/>
  <c r="I77" i="29"/>
  <c r="N76" i="29"/>
  <c r="N74" i="29"/>
  <c r="M74" i="29" s="1"/>
  <c r="N73" i="29"/>
  <c r="N72" i="29"/>
  <c r="N71" i="29"/>
  <c r="I70" i="29"/>
  <c r="N69" i="29"/>
  <c r="I68" i="29"/>
  <c r="N67" i="29"/>
  <c r="M67" i="29" s="1"/>
  <c r="N66" i="29"/>
  <c r="N65" i="29"/>
  <c r="I64" i="29"/>
  <c r="I63" i="29"/>
  <c r="N62" i="29"/>
  <c r="N61" i="29"/>
  <c r="I60" i="29"/>
  <c r="I59" i="29"/>
  <c r="N58" i="29"/>
  <c r="I57" i="29"/>
  <c r="N56" i="29"/>
  <c r="N55" i="29"/>
  <c r="N54" i="29"/>
  <c r="I53" i="29"/>
  <c r="I52" i="29"/>
  <c r="I51" i="29"/>
  <c r="N47" i="29"/>
  <c r="I46" i="29"/>
  <c r="I45" i="29"/>
  <c r="N44" i="29"/>
  <c r="I43" i="29"/>
  <c r="N42" i="29"/>
  <c r="I35" i="29"/>
  <c r="L11" i="32"/>
  <c r="N11" i="32"/>
  <c r="L12" i="32"/>
  <c r="N12" i="32"/>
  <c r="L13" i="32"/>
  <c r="N13" i="32"/>
  <c r="L14" i="32"/>
  <c r="N14" i="32"/>
  <c r="L15" i="32"/>
  <c r="N15" i="32"/>
  <c r="L16" i="32"/>
  <c r="N16" i="32"/>
  <c r="L17" i="32"/>
  <c r="N17" i="32"/>
  <c r="L18" i="32"/>
  <c r="N18" i="32"/>
  <c r="L19" i="32"/>
  <c r="N19" i="32"/>
  <c r="L20" i="32"/>
  <c r="N20" i="32"/>
  <c r="L21" i="32"/>
  <c r="N21" i="32"/>
  <c r="L22" i="32"/>
  <c r="N22" i="32"/>
  <c r="L23" i="32"/>
  <c r="N23" i="32"/>
  <c r="L24" i="32"/>
  <c r="N24" i="32"/>
  <c r="L25" i="32"/>
  <c r="N25" i="32"/>
  <c r="L26" i="32"/>
  <c r="N26" i="32"/>
  <c r="L27" i="32"/>
  <c r="N27" i="32"/>
  <c r="L28" i="32"/>
  <c r="N28" i="32"/>
  <c r="L29" i="32"/>
  <c r="N29" i="32"/>
  <c r="L30" i="32"/>
  <c r="N30" i="32"/>
  <c r="L31" i="32"/>
  <c r="N31" i="32"/>
  <c r="L32" i="32"/>
  <c r="N32" i="32"/>
  <c r="L33" i="32"/>
  <c r="N33" i="32"/>
  <c r="L34" i="32"/>
  <c r="N34" i="32"/>
  <c r="L35" i="32"/>
  <c r="N35" i="32"/>
  <c r="L36" i="32"/>
  <c r="N36" i="32"/>
  <c r="L37" i="32"/>
  <c r="N37" i="32"/>
  <c r="L38" i="32"/>
  <c r="N38" i="32"/>
  <c r="L39" i="32"/>
  <c r="L40" i="32"/>
  <c r="L41" i="32"/>
  <c r="N41" i="32"/>
  <c r="L42" i="32"/>
  <c r="N42" i="32"/>
  <c r="L43" i="32"/>
  <c r="N43" i="32"/>
  <c r="L44" i="32"/>
  <c r="N44" i="32"/>
  <c r="L45" i="32"/>
  <c r="N45" i="32"/>
  <c r="L46" i="32"/>
  <c r="N46" i="32"/>
  <c r="L47" i="32"/>
  <c r="N47" i="32"/>
  <c r="L48" i="32"/>
  <c r="N48" i="32"/>
  <c r="L49" i="32"/>
  <c r="N49" i="32"/>
  <c r="L50" i="32"/>
  <c r="N50" i="32"/>
  <c r="L51" i="32"/>
  <c r="N51" i="32"/>
  <c r="L52" i="32"/>
  <c r="N52" i="32"/>
  <c r="N10" i="32"/>
  <c r="L10" i="32"/>
  <c r="I11" i="32"/>
  <c r="I12" i="32"/>
  <c r="I13" i="32"/>
  <c r="I14" i="32"/>
  <c r="I15" i="32"/>
  <c r="I16" i="32"/>
  <c r="I17" i="32"/>
  <c r="I18" i="32"/>
  <c r="I19" i="32"/>
  <c r="I20" i="32"/>
  <c r="I21" i="32"/>
  <c r="I22" i="32"/>
  <c r="I23" i="32"/>
  <c r="I24" i="32"/>
  <c r="I25" i="32"/>
  <c r="I26" i="32"/>
  <c r="I27" i="32"/>
  <c r="I28" i="32"/>
  <c r="I29" i="32"/>
  <c r="I30" i="32"/>
  <c r="I31" i="32"/>
  <c r="I32" i="32"/>
  <c r="I33" i="32"/>
  <c r="I34" i="32"/>
  <c r="I35" i="32"/>
  <c r="I36" i="32"/>
  <c r="I37" i="32"/>
  <c r="I38" i="32"/>
  <c r="I39" i="32"/>
  <c r="I40" i="32"/>
  <c r="I41" i="32"/>
  <c r="I42" i="32"/>
  <c r="I43" i="32"/>
  <c r="I44" i="32"/>
  <c r="I45" i="32"/>
  <c r="I46" i="32"/>
  <c r="I47" i="32"/>
  <c r="I48" i="32"/>
  <c r="I49" i="32"/>
  <c r="I50" i="32"/>
  <c r="I51" i="32"/>
  <c r="I52" i="32"/>
  <c r="I10" i="32"/>
  <c r="L10" i="26"/>
  <c r="L11" i="27"/>
  <c r="L12" i="27"/>
  <c r="L13" i="27"/>
  <c r="L14" i="27"/>
  <c r="O11" i="26"/>
  <c r="Q11" i="26"/>
  <c r="O12" i="26"/>
  <c r="Q12" i="26"/>
  <c r="O13" i="26"/>
  <c r="Q13" i="26"/>
  <c r="O14" i="26"/>
  <c r="Q14" i="26"/>
  <c r="O15" i="26"/>
  <c r="Q15" i="26"/>
  <c r="O16" i="26"/>
  <c r="Q16" i="26"/>
  <c r="O17" i="26"/>
  <c r="Q17" i="26"/>
  <c r="L11" i="26"/>
  <c r="L12" i="26"/>
  <c r="L13" i="26"/>
  <c r="L14" i="26"/>
  <c r="L15" i="26"/>
  <c r="L16" i="26"/>
  <c r="L17" i="26"/>
  <c r="O12" i="27"/>
  <c r="Q12" i="27"/>
  <c r="O13" i="27"/>
  <c r="Q13" i="27"/>
  <c r="O14" i="27"/>
  <c r="Q14" i="27"/>
  <c r="Q11" i="27"/>
  <c r="O11" i="27"/>
  <c r="O10" i="28"/>
  <c r="Q10" i="28"/>
  <c r="O11" i="28"/>
  <c r="Q11" i="28"/>
  <c r="O12" i="28"/>
  <c r="Q12" i="28"/>
  <c r="Q9" i="28"/>
  <c r="O9" i="28"/>
  <c r="L10" i="28"/>
  <c r="L11" i="28"/>
  <c r="L12" i="28"/>
  <c r="L9" i="28"/>
  <c r="O14" i="24"/>
  <c r="Q14" i="24"/>
  <c r="O15" i="24"/>
  <c r="Q15" i="24"/>
  <c r="O16" i="24"/>
  <c r="Q16" i="24"/>
  <c r="O17" i="24"/>
  <c r="Q17" i="24"/>
  <c r="O18" i="24"/>
  <c r="Q18" i="24"/>
  <c r="O19" i="24"/>
  <c r="Q19" i="24"/>
  <c r="P19" i="24" s="1"/>
  <c r="O20" i="24"/>
  <c r="Q20" i="24"/>
  <c r="O21" i="24"/>
  <c r="Q21" i="24"/>
  <c r="O22" i="24"/>
  <c r="Q22" i="24"/>
  <c r="O23" i="24"/>
  <c r="Q23" i="24"/>
  <c r="P23" i="24" s="1"/>
  <c r="O24" i="24"/>
  <c r="Q24" i="24"/>
  <c r="O25" i="24"/>
  <c r="Q25" i="24"/>
  <c r="O26" i="24"/>
  <c r="Q26" i="24"/>
  <c r="O27" i="24"/>
  <c r="Q27" i="24"/>
  <c r="O28" i="24"/>
  <c r="Q28" i="24"/>
  <c r="O29" i="24"/>
  <c r="Q29" i="24"/>
  <c r="O30" i="24"/>
  <c r="Q30" i="24"/>
  <c r="O31" i="24"/>
  <c r="Q31" i="24"/>
  <c r="O32" i="24"/>
  <c r="Q32" i="24"/>
  <c r="O33" i="24"/>
  <c r="Q33" i="24"/>
  <c r="O34" i="24"/>
  <c r="Q34" i="24"/>
  <c r="O35" i="24"/>
  <c r="Q35" i="24"/>
  <c r="O36" i="24"/>
  <c r="Q36" i="24"/>
  <c r="O37" i="24"/>
  <c r="Q37" i="24"/>
  <c r="O38" i="24"/>
  <c r="Q38" i="24"/>
  <c r="O39" i="24"/>
  <c r="Q39" i="24"/>
  <c r="O40" i="24"/>
  <c r="Q40" i="24"/>
  <c r="O41" i="24"/>
  <c r="Q41" i="24"/>
  <c r="O42" i="24"/>
  <c r="Q42" i="24"/>
  <c r="O43" i="24"/>
  <c r="Q43" i="24"/>
  <c r="O44" i="24"/>
  <c r="Q44" i="24"/>
  <c r="O45" i="24"/>
  <c r="Q45" i="24"/>
  <c r="O46" i="24"/>
  <c r="Q46" i="24"/>
  <c r="O47" i="24"/>
  <c r="Q47" i="24"/>
  <c r="O48" i="24"/>
  <c r="Q48" i="24"/>
  <c r="O49" i="24"/>
  <c r="Q49" i="24"/>
  <c r="O50" i="24"/>
  <c r="Q50" i="24"/>
  <c r="O51" i="24"/>
  <c r="Q51" i="24"/>
  <c r="P51" i="24" s="1"/>
  <c r="O52" i="24"/>
  <c r="Q52" i="24"/>
  <c r="O53" i="24"/>
  <c r="Q53" i="24"/>
  <c r="O54" i="24"/>
  <c r="Q54" i="24"/>
  <c r="O55" i="24"/>
  <c r="Q55" i="24"/>
  <c r="O56" i="24"/>
  <c r="Q56" i="24"/>
  <c r="O57" i="24"/>
  <c r="O58" i="24"/>
  <c r="Q58" i="24"/>
  <c r="O59" i="24"/>
  <c r="Q59" i="24"/>
  <c r="O60" i="24"/>
  <c r="Q60" i="24"/>
  <c r="O61" i="24"/>
  <c r="Q61" i="24"/>
  <c r="O62" i="24"/>
  <c r="Q62" i="24"/>
  <c r="O63" i="24"/>
  <c r="Q63" i="24"/>
  <c r="O64" i="24"/>
  <c r="Q64" i="24"/>
  <c r="O65" i="24"/>
  <c r="Q65" i="24"/>
  <c r="O66" i="24"/>
  <c r="Q66" i="24"/>
  <c r="O67" i="24"/>
  <c r="Q67" i="24"/>
  <c r="O68" i="24"/>
  <c r="Q68" i="24"/>
  <c r="O69" i="24"/>
  <c r="Q69" i="24"/>
  <c r="O70" i="24"/>
  <c r="Q70" i="24"/>
  <c r="O71" i="24"/>
  <c r="Q71" i="24"/>
  <c r="O72" i="24"/>
  <c r="Q72" i="24"/>
  <c r="O73" i="24"/>
  <c r="Q73" i="24"/>
  <c r="O74" i="24"/>
  <c r="Q74" i="24"/>
  <c r="O75" i="24"/>
  <c r="Q75" i="24"/>
  <c r="O76" i="24"/>
  <c r="Q76" i="24"/>
  <c r="O77" i="24"/>
  <c r="Q77" i="24"/>
  <c r="O78" i="24"/>
  <c r="Q78" i="24"/>
  <c r="O79" i="24"/>
  <c r="Q79" i="24"/>
  <c r="O80" i="24"/>
  <c r="Q80" i="24"/>
  <c r="O81" i="24"/>
  <c r="Q81" i="24"/>
  <c r="O82" i="24"/>
  <c r="Q82" i="24"/>
  <c r="O83" i="24"/>
  <c r="Q83" i="24"/>
  <c r="O84" i="24"/>
  <c r="Q84" i="24"/>
  <c r="O85" i="24"/>
  <c r="Q85" i="24"/>
  <c r="P85" i="24" s="1"/>
  <c r="O86" i="24"/>
  <c r="Q86" i="24"/>
  <c r="O87" i="24"/>
  <c r="Q87" i="24"/>
  <c r="O88" i="24"/>
  <c r="Q88" i="24"/>
  <c r="O89" i="24"/>
  <c r="Q89" i="24"/>
  <c r="O90" i="24"/>
  <c r="Q90" i="24"/>
  <c r="O91" i="24"/>
  <c r="Q91" i="24"/>
  <c r="O92" i="24"/>
  <c r="Q92" i="24"/>
  <c r="O93" i="24"/>
  <c r="Q93" i="24"/>
  <c r="P93" i="24" s="1"/>
  <c r="O94" i="24"/>
  <c r="Q94" i="24"/>
  <c r="O95" i="24"/>
  <c r="Q95" i="24"/>
  <c r="O96" i="24"/>
  <c r="Q96" i="24"/>
  <c r="O97" i="24"/>
  <c r="Q97" i="24"/>
  <c r="P97" i="24" s="1"/>
  <c r="O98" i="24"/>
  <c r="Q98" i="24"/>
  <c r="O99" i="24"/>
  <c r="Q99" i="24"/>
  <c r="O100" i="24"/>
  <c r="Q100" i="24"/>
  <c r="O101" i="24"/>
  <c r="Q101" i="24"/>
  <c r="P101" i="24" s="1"/>
  <c r="O102" i="24"/>
  <c r="Q102" i="24"/>
  <c r="O103" i="24"/>
  <c r="Q103" i="24"/>
  <c r="O104" i="24"/>
  <c r="Q104" i="24"/>
  <c r="O105" i="24"/>
  <c r="Q105" i="24"/>
  <c r="P105" i="24" s="1"/>
  <c r="O106" i="24"/>
  <c r="Q106" i="24"/>
  <c r="O107" i="24"/>
  <c r="Q107" i="24"/>
  <c r="O108" i="24"/>
  <c r="Q108" i="24"/>
  <c r="O109" i="24"/>
  <c r="Q109" i="24"/>
  <c r="P109" i="24" s="1"/>
  <c r="O110" i="24"/>
  <c r="Q110" i="24"/>
  <c r="O111" i="24"/>
  <c r="Q111" i="24"/>
  <c r="O112" i="24"/>
  <c r="Q112" i="24"/>
  <c r="O113" i="24"/>
  <c r="Q113" i="24"/>
  <c r="P113" i="24" s="1"/>
  <c r="O114" i="24"/>
  <c r="Q114" i="24"/>
  <c r="O115" i="24"/>
  <c r="Q115" i="24"/>
  <c r="O116" i="24"/>
  <c r="Q116" i="24"/>
  <c r="O117" i="24"/>
  <c r="Q117" i="24"/>
  <c r="O118" i="24"/>
  <c r="Q118" i="24"/>
  <c r="O119" i="24"/>
  <c r="Q119" i="24"/>
  <c r="O120" i="24"/>
  <c r="Q120" i="24"/>
  <c r="O121" i="24"/>
  <c r="Q121" i="24"/>
  <c r="P121" i="24" s="1"/>
  <c r="O122" i="24"/>
  <c r="Q122" i="24"/>
  <c r="O123" i="24"/>
  <c r="Q123" i="24"/>
  <c r="Q13" i="24"/>
  <c r="O13" i="24"/>
  <c r="L14" i="24"/>
  <c r="L15" i="24"/>
  <c r="L16" i="24"/>
  <c r="L17" i="24"/>
  <c r="L18" i="24"/>
  <c r="L19" i="24"/>
  <c r="L20" i="24"/>
  <c r="L21" i="24"/>
  <c r="L22" i="24"/>
  <c r="L23" i="24"/>
  <c r="L24" i="24"/>
  <c r="L25" i="24"/>
  <c r="L26" i="24"/>
  <c r="L27" i="24"/>
  <c r="L28" i="24"/>
  <c r="L29" i="24"/>
  <c r="L30" i="24"/>
  <c r="L31" i="24"/>
  <c r="L32" i="24"/>
  <c r="L33" i="24"/>
  <c r="L34" i="24"/>
  <c r="L35" i="24"/>
  <c r="L36" i="24"/>
  <c r="L37" i="24"/>
  <c r="L38" i="24"/>
  <c r="L39" i="24"/>
  <c r="L40" i="24"/>
  <c r="L41" i="24"/>
  <c r="L42" i="24"/>
  <c r="L43" i="24"/>
  <c r="L44" i="24"/>
  <c r="L45" i="24"/>
  <c r="L46" i="24"/>
  <c r="L47" i="24"/>
  <c r="L48" i="24"/>
  <c r="L49" i="24"/>
  <c r="L50" i="24"/>
  <c r="L51" i="24"/>
  <c r="L52" i="24"/>
  <c r="L53" i="24"/>
  <c r="L54" i="24"/>
  <c r="L55" i="24"/>
  <c r="L56" i="24"/>
  <c r="L57" i="24"/>
  <c r="L58" i="24"/>
  <c r="L59" i="24"/>
  <c r="L60" i="24"/>
  <c r="L61" i="24"/>
  <c r="L62" i="24"/>
  <c r="L63" i="24"/>
  <c r="L64" i="24"/>
  <c r="L65" i="24"/>
  <c r="L66" i="24"/>
  <c r="L67" i="24"/>
  <c r="L68" i="24"/>
  <c r="L69" i="24"/>
  <c r="L70" i="24"/>
  <c r="L71" i="24"/>
  <c r="L72" i="24"/>
  <c r="L73" i="24"/>
  <c r="L74" i="24"/>
  <c r="L75" i="24"/>
  <c r="L76" i="24"/>
  <c r="L77" i="24"/>
  <c r="L78" i="24"/>
  <c r="L79" i="24"/>
  <c r="L80" i="24"/>
  <c r="L81" i="24"/>
  <c r="L82" i="24"/>
  <c r="L83" i="24"/>
  <c r="L84" i="24"/>
  <c r="L85" i="24"/>
  <c r="L86" i="24"/>
  <c r="L87" i="24"/>
  <c r="L88" i="24"/>
  <c r="L89" i="24"/>
  <c r="L90" i="24"/>
  <c r="L91" i="24"/>
  <c r="L92" i="24"/>
  <c r="L93" i="24"/>
  <c r="L94" i="24"/>
  <c r="L95" i="24"/>
  <c r="L96" i="24"/>
  <c r="L97" i="24"/>
  <c r="L98" i="24"/>
  <c r="L99" i="24"/>
  <c r="L100" i="24"/>
  <c r="L101" i="24"/>
  <c r="L102" i="24"/>
  <c r="L103" i="24"/>
  <c r="L104" i="24"/>
  <c r="L105" i="24"/>
  <c r="L106" i="24"/>
  <c r="L107" i="24"/>
  <c r="L108" i="24"/>
  <c r="L109" i="24"/>
  <c r="L110" i="24"/>
  <c r="L111" i="24"/>
  <c r="L112" i="24"/>
  <c r="L13" i="24"/>
  <c r="O11" i="23"/>
  <c r="Q11" i="23"/>
  <c r="O12" i="23"/>
  <c r="Q12" i="23"/>
  <c r="O13" i="23"/>
  <c r="Q13" i="23"/>
  <c r="O14" i="23"/>
  <c r="Q14" i="23"/>
  <c r="O15" i="23"/>
  <c r="Q15" i="23"/>
  <c r="O16" i="23"/>
  <c r="Q16" i="23"/>
  <c r="O17" i="23"/>
  <c r="Q17" i="23"/>
  <c r="O18" i="23"/>
  <c r="Q18" i="23"/>
  <c r="O19" i="23"/>
  <c r="Q19" i="23"/>
  <c r="O20" i="23"/>
  <c r="Q20" i="23"/>
  <c r="O21" i="23"/>
  <c r="Q21" i="23"/>
  <c r="O22" i="23"/>
  <c r="Q22" i="23"/>
  <c r="O23" i="23"/>
  <c r="Q23" i="23"/>
  <c r="O24" i="23"/>
  <c r="Q24" i="23"/>
  <c r="O25" i="23"/>
  <c r="Q25" i="23"/>
  <c r="O26" i="23"/>
  <c r="Q26" i="23"/>
  <c r="O27" i="23"/>
  <c r="Q27" i="23"/>
  <c r="O28" i="23"/>
  <c r="Q28" i="23"/>
  <c r="O29" i="23"/>
  <c r="Q29" i="23"/>
  <c r="O30" i="23"/>
  <c r="Q30" i="23"/>
  <c r="O31" i="23"/>
  <c r="Q31" i="23"/>
  <c r="O32" i="23"/>
  <c r="Q32" i="23"/>
  <c r="O33" i="23"/>
  <c r="Q33" i="23"/>
  <c r="O34" i="23"/>
  <c r="Q34" i="23"/>
  <c r="O35" i="23"/>
  <c r="Q35" i="23"/>
  <c r="O36" i="23"/>
  <c r="Q36" i="23"/>
  <c r="O37" i="23"/>
  <c r="Q37" i="23"/>
  <c r="O39" i="23"/>
  <c r="Q39" i="23"/>
  <c r="O40" i="23"/>
  <c r="Q40" i="23"/>
  <c r="O41" i="23"/>
  <c r="Q41" i="23"/>
  <c r="O42" i="23"/>
  <c r="Q42" i="23"/>
  <c r="O43" i="23"/>
  <c r="Q43" i="23"/>
  <c r="O44" i="23"/>
  <c r="Q44" i="23"/>
  <c r="O45" i="23"/>
  <c r="Q45" i="23"/>
  <c r="O46" i="23"/>
  <c r="Q46" i="23"/>
  <c r="O47" i="23"/>
  <c r="Q47" i="23"/>
  <c r="O48" i="23"/>
  <c r="Q48" i="23"/>
  <c r="O49" i="23"/>
  <c r="Q49" i="23"/>
  <c r="O50" i="23"/>
  <c r="Q50" i="23"/>
  <c r="O51" i="23"/>
  <c r="Q51" i="23"/>
  <c r="O52" i="23"/>
  <c r="Q52" i="23"/>
  <c r="O53" i="23"/>
  <c r="Q53" i="23"/>
  <c r="O54" i="23"/>
  <c r="Q54" i="23"/>
  <c r="O55" i="23"/>
  <c r="Q55" i="23"/>
  <c r="O56" i="23"/>
  <c r="Q56" i="23"/>
  <c r="O57" i="23"/>
  <c r="Q57" i="23"/>
  <c r="O58" i="23"/>
  <c r="Q58" i="23"/>
  <c r="O59" i="23"/>
  <c r="Q59" i="23"/>
  <c r="O60" i="23"/>
  <c r="Q60" i="23"/>
  <c r="O61" i="23"/>
  <c r="Q61" i="23"/>
  <c r="O62" i="23"/>
  <c r="Q62" i="23"/>
  <c r="O63" i="23"/>
  <c r="Q63" i="23"/>
  <c r="O64" i="23"/>
  <c r="Q64" i="23"/>
  <c r="O65" i="23"/>
  <c r="Q65" i="23"/>
  <c r="O66" i="23"/>
  <c r="Q66" i="23"/>
  <c r="O67" i="23"/>
  <c r="Q67" i="23"/>
  <c r="O68" i="23"/>
  <c r="Q68" i="23"/>
  <c r="O69" i="23"/>
  <c r="Q69" i="23"/>
  <c r="O70" i="23"/>
  <c r="Q70" i="23"/>
  <c r="O71" i="23"/>
  <c r="Q71" i="23"/>
  <c r="O72" i="23"/>
  <c r="Q72" i="23"/>
  <c r="O73" i="23"/>
  <c r="Q73" i="23"/>
  <c r="O74" i="23"/>
  <c r="Q74" i="23"/>
  <c r="O75" i="23"/>
  <c r="Q75" i="23"/>
  <c r="O76" i="23"/>
  <c r="Q76" i="23"/>
  <c r="O77" i="23"/>
  <c r="Q77" i="23"/>
  <c r="O78" i="23"/>
  <c r="Q78" i="23"/>
  <c r="O79" i="23"/>
  <c r="Q79" i="23"/>
  <c r="O80" i="23"/>
  <c r="Q80" i="23"/>
  <c r="O81" i="23"/>
  <c r="Q81" i="23"/>
  <c r="O82" i="23"/>
  <c r="Q82" i="23"/>
  <c r="O83" i="23"/>
  <c r="Q83" i="23"/>
  <c r="O84" i="23"/>
  <c r="Q84" i="23"/>
  <c r="O85" i="23"/>
  <c r="Q85" i="23"/>
  <c r="O86" i="23"/>
  <c r="Q86" i="23"/>
  <c r="O87" i="23"/>
  <c r="Q87" i="23"/>
  <c r="O88" i="23"/>
  <c r="Q88" i="23"/>
  <c r="O89" i="23"/>
  <c r="Q89" i="23"/>
  <c r="O90" i="23"/>
  <c r="Q90" i="23"/>
  <c r="O91" i="23"/>
  <c r="Q91" i="23"/>
  <c r="O92" i="23"/>
  <c r="Q92" i="23"/>
  <c r="O93" i="23"/>
  <c r="Q93" i="23"/>
  <c r="O94" i="23"/>
  <c r="Q94" i="23"/>
  <c r="O95" i="23"/>
  <c r="Q95" i="23"/>
  <c r="O96" i="23"/>
  <c r="Q96" i="23"/>
  <c r="O97" i="23"/>
  <c r="Q97" i="23"/>
  <c r="O98" i="23"/>
  <c r="Q98" i="23"/>
  <c r="O99" i="23"/>
  <c r="Q99" i="23"/>
  <c r="O101" i="23"/>
  <c r="Q101" i="23"/>
  <c r="O102" i="23"/>
  <c r="Q102" i="23"/>
  <c r="O103" i="23"/>
  <c r="Q103" i="23"/>
  <c r="O104" i="23"/>
  <c r="Q104" i="23"/>
  <c r="O105" i="23"/>
  <c r="Q105" i="23"/>
  <c r="O106" i="23"/>
  <c r="Q106" i="23"/>
  <c r="O107" i="23"/>
  <c r="Q107" i="23"/>
  <c r="O108" i="23"/>
  <c r="Q108" i="23"/>
  <c r="O109" i="23"/>
  <c r="Q109" i="23"/>
  <c r="O110" i="23"/>
  <c r="Q110" i="23"/>
  <c r="O111" i="23"/>
  <c r="Q111" i="23"/>
  <c r="O112" i="23"/>
  <c r="Q112" i="23"/>
  <c r="O113" i="23"/>
  <c r="Q113" i="23"/>
  <c r="O114" i="23"/>
  <c r="Q114" i="23"/>
  <c r="O115" i="23"/>
  <c r="Q115" i="23"/>
  <c r="O116" i="23"/>
  <c r="Q116" i="23"/>
  <c r="Q10" i="23"/>
  <c r="O10" i="23"/>
  <c r="L11" i="23"/>
  <c r="L12" i="23"/>
  <c r="L13" i="23"/>
  <c r="L14" i="23"/>
  <c r="L15" i="23"/>
  <c r="L16" i="23"/>
  <c r="L17" i="23"/>
  <c r="L18" i="23"/>
  <c r="L19" i="23"/>
  <c r="L20" i="23"/>
  <c r="L21" i="23"/>
  <c r="L22" i="23"/>
  <c r="L23" i="23"/>
  <c r="L24" i="23"/>
  <c r="L25" i="23"/>
  <c r="L26" i="23"/>
  <c r="L27" i="23"/>
  <c r="L28" i="23"/>
  <c r="L29" i="23"/>
  <c r="L30" i="23"/>
  <c r="L31" i="23"/>
  <c r="L32" i="23"/>
  <c r="L33" i="23"/>
  <c r="L34" i="23"/>
  <c r="L35" i="23"/>
  <c r="L36" i="23"/>
  <c r="L37" i="23"/>
  <c r="L39" i="23"/>
  <c r="L40" i="23"/>
  <c r="L41" i="23"/>
  <c r="L42" i="23"/>
  <c r="L43" i="23"/>
  <c r="L44" i="23"/>
  <c r="L45" i="23"/>
  <c r="L46" i="23"/>
  <c r="L47" i="23"/>
  <c r="L48" i="23"/>
  <c r="L49" i="23"/>
  <c r="L50" i="23"/>
  <c r="L51" i="23"/>
  <c r="L52" i="23"/>
  <c r="L53" i="23"/>
  <c r="L54" i="23"/>
  <c r="L55" i="23"/>
  <c r="L56" i="23"/>
  <c r="L57" i="23"/>
  <c r="L58" i="23"/>
  <c r="L59" i="23"/>
  <c r="L60" i="23"/>
  <c r="L61" i="23"/>
  <c r="L62" i="23"/>
  <c r="L63" i="23"/>
  <c r="L64" i="23"/>
  <c r="L65" i="23"/>
  <c r="L66" i="23"/>
  <c r="L67" i="23"/>
  <c r="L68" i="23"/>
  <c r="L69" i="23"/>
  <c r="L70" i="23"/>
  <c r="L71" i="23"/>
  <c r="L72" i="23"/>
  <c r="L73" i="23"/>
  <c r="L74" i="23"/>
  <c r="L75" i="23"/>
  <c r="L76" i="23"/>
  <c r="L77" i="23"/>
  <c r="L78" i="23"/>
  <c r="L79" i="23"/>
  <c r="L80" i="23"/>
  <c r="L81" i="23"/>
  <c r="L82" i="23"/>
  <c r="L83" i="23"/>
  <c r="L84" i="23"/>
  <c r="L85" i="23"/>
  <c r="L86" i="23"/>
  <c r="L87" i="23"/>
  <c r="L88" i="23"/>
  <c r="L89" i="23"/>
  <c r="L90" i="23"/>
  <c r="L91" i="23"/>
  <c r="L92" i="23"/>
  <c r="L93" i="23"/>
  <c r="L94" i="23"/>
  <c r="L95" i="23"/>
  <c r="L96" i="23"/>
  <c r="L97" i="23"/>
  <c r="L98" i="23"/>
  <c r="L99" i="23"/>
  <c r="L101" i="23"/>
  <c r="L102" i="23"/>
  <c r="L103" i="23"/>
  <c r="L104" i="23"/>
  <c r="L105" i="23"/>
  <c r="L106" i="23"/>
  <c r="L107" i="23"/>
  <c r="L108" i="23"/>
  <c r="L109" i="23"/>
  <c r="L110" i="23"/>
  <c r="L111" i="23"/>
  <c r="L112" i="23"/>
  <c r="L113" i="23"/>
  <c r="L114" i="23"/>
  <c r="L115" i="23"/>
  <c r="L116" i="23"/>
  <c r="L10" i="23"/>
  <c r="P50" i="24" l="1"/>
  <c r="P48" i="24"/>
  <c r="P46" i="24"/>
  <c r="P44" i="24"/>
  <c r="P42" i="24"/>
  <c r="P40" i="24"/>
  <c r="P38" i="24"/>
  <c r="P34" i="24"/>
  <c r="P32" i="24"/>
  <c r="P30" i="24"/>
  <c r="P28" i="24"/>
  <c r="P26" i="24"/>
  <c r="M65" i="29"/>
  <c r="P82" i="24"/>
  <c r="Q19" i="26"/>
  <c r="M58" i="29"/>
  <c r="M62" i="29"/>
  <c r="M163" i="29"/>
  <c r="M151" i="29"/>
  <c r="M146" i="29"/>
  <c r="M161" i="29"/>
  <c r="M118" i="29"/>
  <c r="M42" i="29"/>
  <c r="M205" i="29"/>
  <c r="M189" i="29"/>
  <c r="M123" i="29"/>
  <c r="P53" i="24"/>
  <c r="M61" i="29"/>
  <c r="M113" i="29"/>
  <c r="M188" i="29"/>
  <c r="M177" i="29"/>
  <c r="M167" i="29"/>
  <c r="M54" i="29"/>
  <c r="M125" i="29"/>
  <c r="M155" i="29"/>
  <c r="M99" i="29"/>
  <c r="M169" i="29"/>
  <c r="P79" i="24"/>
  <c r="P77" i="24"/>
  <c r="P75" i="24"/>
  <c r="P61" i="24"/>
  <c r="P9" i="28"/>
  <c r="P16" i="26"/>
  <c r="P14" i="26"/>
  <c r="P12" i="26"/>
  <c r="M51" i="32"/>
  <c r="M47" i="32"/>
  <c r="M17" i="32"/>
  <c r="M69" i="29"/>
  <c r="M73" i="29"/>
  <c r="M197" i="29"/>
  <c r="M209" i="29"/>
  <c r="M66" i="29"/>
  <c r="M105" i="29"/>
  <c r="P72" i="24"/>
  <c r="P68" i="24"/>
  <c r="P17" i="26"/>
  <c r="P15" i="26"/>
  <c r="P13" i="26"/>
  <c r="P11" i="26"/>
  <c r="P19" i="26" s="1"/>
  <c r="E14" i="11" s="1"/>
  <c r="M34" i="32"/>
  <c r="M32" i="32"/>
  <c r="M28" i="32"/>
  <c r="M20" i="32"/>
  <c r="M14" i="32"/>
  <c r="M199" i="29"/>
  <c r="M201" i="29"/>
  <c r="M190" i="29"/>
  <c r="M154" i="29"/>
  <c r="M142" i="29"/>
  <c r="M153" i="29"/>
  <c r="M207" i="29"/>
  <c r="M198" i="29"/>
  <c r="M194" i="29"/>
  <c r="M183" i="29"/>
  <c r="M166" i="29"/>
  <c r="M162" i="29"/>
  <c r="M147" i="29"/>
  <c r="M133" i="29"/>
  <c r="M129" i="29"/>
  <c r="M115" i="29"/>
  <c r="M106" i="29"/>
  <c r="M97" i="29"/>
  <c r="M57" i="29"/>
  <c r="M50" i="29"/>
  <c r="M46" i="29"/>
  <c r="M191" i="29"/>
  <c r="M180" i="29"/>
  <c r="M171" i="29"/>
  <c r="M149" i="29"/>
  <c r="M107" i="29"/>
  <c r="M75" i="29"/>
  <c r="M68" i="29"/>
  <c r="M43" i="29"/>
  <c r="M44" i="29"/>
  <c r="O125" i="24"/>
  <c r="D9" i="11" s="1"/>
  <c r="P49" i="24"/>
  <c r="M81" i="29"/>
  <c r="M108" i="29"/>
  <c r="M48" i="29"/>
  <c r="P13" i="24"/>
  <c r="P104" i="24"/>
  <c r="P96" i="24"/>
  <c r="P88" i="24"/>
  <c r="L54" i="32"/>
  <c r="D13" i="11" s="1"/>
  <c r="M145" i="29"/>
  <c r="P123" i="24"/>
  <c r="P119" i="24"/>
  <c r="P115" i="24"/>
  <c r="P111" i="24"/>
  <c r="N54" i="32"/>
  <c r="M41" i="32"/>
  <c r="M101" i="29"/>
  <c r="M137" i="29"/>
  <c r="M202" i="29"/>
  <c r="M193" i="29"/>
  <c r="M122" i="29"/>
  <c r="M110" i="29"/>
  <c r="M78" i="29"/>
  <c r="P10" i="23"/>
  <c r="M76" i="29"/>
  <c r="M94" i="29"/>
  <c r="M138" i="29"/>
  <c r="M150" i="29"/>
  <c r="L211" i="29"/>
  <c r="D10" i="11" s="1"/>
  <c r="O13" i="28"/>
  <c r="D16" i="11" s="1"/>
  <c r="M131" i="29"/>
  <c r="M165" i="29"/>
  <c r="M204" i="29"/>
  <c r="M181" i="29"/>
  <c r="M139" i="29"/>
  <c r="M121" i="29"/>
  <c r="M89" i="29"/>
  <c r="M19" i="32"/>
  <c r="M15" i="32"/>
  <c r="M173" i="29"/>
  <c r="M157" i="29"/>
  <c r="P90" i="24"/>
  <c r="P89" i="24"/>
  <c r="M35" i="32"/>
  <c r="M10" i="32"/>
  <c r="M30" i="32"/>
  <c r="M22" i="32"/>
  <c r="M192" i="29"/>
  <c r="M158" i="29"/>
  <c r="M176" i="29"/>
  <c r="M175" i="29"/>
  <c r="M159" i="29"/>
  <c r="P80" i="24"/>
  <c r="P64" i="24"/>
  <c r="P41" i="24"/>
  <c r="P33" i="24"/>
  <c r="P17" i="24"/>
  <c r="P24" i="24"/>
  <c r="P74" i="24"/>
  <c r="P66" i="24"/>
  <c r="P81" i="24"/>
  <c r="P73" i="24"/>
  <c r="P65" i="24"/>
  <c r="P57" i="24"/>
  <c r="P18" i="24"/>
  <c r="M50" i="32"/>
  <c r="M42" i="32"/>
  <c r="M16" i="32"/>
  <c r="M13" i="32"/>
  <c r="M49" i="32"/>
  <c r="M45" i="32"/>
  <c r="M12" i="32"/>
  <c r="M26" i="32"/>
  <c r="M52" i="32"/>
  <c r="M48" i="32"/>
  <c r="M44" i="32"/>
  <c r="M11" i="32"/>
  <c r="M36" i="32"/>
  <c r="M29" i="32"/>
  <c r="M25" i="32"/>
  <c r="M21" i="32"/>
  <c r="M200" i="29"/>
  <c r="N135" i="29"/>
  <c r="M135" i="29" s="1"/>
  <c r="N103" i="29"/>
  <c r="M103" i="29" s="1"/>
  <c r="I185" i="29"/>
  <c r="I169" i="29"/>
  <c r="I161" i="29"/>
  <c r="I153" i="29"/>
  <c r="I145" i="29"/>
  <c r="I137" i="29"/>
  <c r="I113" i="29"/>
  <c r="I105" i="29"/>
  <c r="I97" i="29"/>
  <c r="I81" i="29"/>
  <c r="I73" i="29"/>
  <c r="I65" i="29"/>
  <c r="M35" i="29"/>
  <c r="N206" i="29"/>
  <c r="M206" i="29" s="1"/>
  <c r="N203" i="29"/>
  <c r="M203" i="29" s="1"/>
  <c r="N186" i="29"/>
  <c r="M186" i="29" s="1"/>
  <c r="M156" i="29"/>
  <c r="N152" i="29"/>
  <c r="M152" i="29" s="1"/>
  <c r="M128" i="29"/>
  <c r="N117" i="29"/>
  <c r="M117" i="29" s="1"/>
  <c r="M96" i="29"/>
  <c r="N85" i="29"/>
  <c r="M85" i="29" s="1"/>
  <c r="M71" i="29"/>
  <c r="M64" i="29"/>
  <c r="N53" i="29"/>
  <c r="M53" i="29" s="1"/>
  <c r="I200" i="29"/>
  <c r="I184" i="29"/>
  <c r="I144" i="29"/>
  <c r="I120" i="29"/>
  <c r="I112" i="29"/>
  <c r="I88" i="29"/>
  <c r="I80" i="29"/>
  <c r="I72" i="29"/>
  <c r="I56" i="29"/>
  <c r="N196" i="29"/>
  <c r="M196" i="29" s="1"/>
  <c r="N182" i="29"/>
  <c r="M182" i="29" s="1"/>
  <c r="N134" i="29"/>
  <c r="M134" i="29" s="1"/>
  <c r="N127" i="29"/>
  <c r="M127" i="29" s="1"/>
  <c r="N124" i="29"/>
  <c r="M124" i="29" s="1"/>
  <c r="N102" i="29"/>
  <c r="M102" i="29" s="1"/>
  <c r="N95" i="29"/>
  <c r="M95" i="29" s="1"/>
  <c r="N92" i="29"/>
  <c r="M92" i="29" s="1"/>
  <c r="N70" i="29"/>
  <c r="M70" i="29" s="1"/>
  <c r="N63" i="29"/>
  <c r="M63" i="29" s="1"/>
  <c r="N60" i="29"/>
  <c r="M60" i="29" s="1"/>
  <c r="I183" i="29"/>
  <c r="I151" i="29"/>
  <c r="I143" i="29"/>
  <c r="I119" i="29"/>
  <c r="I111" i="29"/>
  <c r="I87" i="29"/>
  <c r="I79" i="29"/>
  <c r="I71" i="29"/>
  <c r="I55" i="29"/>
  <c r="I47" i="29"/>
  <c r="N172" i="29"/>
  <c r="M172" i="29" s="1"/>
  <c r="N141" i="29"/>
  <c r="M141" i="29" s="1"/>
  <c r="M120" i="29"/>
  <c r="N109" i="29"/>
  <c r="M109" i="29" s="1"/>
  <c r="M88" i="29"/>
  <c r="N77" i="29"/>
  <c r="M77" i="29" s="1"/>
  <c r="M56" i="29"/>
  <c r="N45" i="29"/>
  <c r="M45" i="29" s="1"/>
  <c r="I198" i="29"/>
  <c r="I150" i="29"/>
  <c r="I126" i="29"/>
  <c r="I118" i="29"/>
  <c r="I94" i="29"/>
  <c r="I86" i="29"/>
  <c r="I62" i="29"/>
  <c r="I54" i="29"/>
  <c r="N195" i="29"/>
  <c r="M195" i="29" s="1"/>
  <c r="M178" i="29"/>
  <c r="M168" i="29"/>
  <c r="N148" i="29"/>
  <c r="M148" i="29" s="1"/>
  <c r="N116" i="29"/>
  <c r="M116" i="29" s="1"/>
  <c r="N84" i="29"/>
  <c r="M84" i="29" s="1"/>
  <c r="N59" i="29"/>
  <c r="M59" i="29" s="1"/>
  <c r="N52" i="29"/>
  <c r="M52" i="29" s="1"/>
  <c r="M41" i="29"/>
  <c r="I133" i="29"/>
  <c r="I125" i="29"/>
  <c r="I101" i="29"/>
  <c r="I93" i="29"/>
  <c r="I69" i="29"/>
  <c r="I61" i="29"/>
  <c r="M144" i="29"/>
  <c r="M119" i="29"/>
  <c r="M112" i="29"/>
  <c r="M87" i="29"/>
  <c r="M80" i="29"/>
  <c r="M55" i="29"/>
  <c r="I204" i="29"/>
  <c r="I164" i="29"/>
  <c r="I140" i="29"/>
  <c r="I108" i="29"/>
  <c r="I76" i="29"/>
  <c r="M184" i="29"/>
  <c r="N51" i="29"/>
  <c r="M51" i="29" s="1"/>
  <c r="M187" i="29"/>
  <c r="M160" i="29"/>
  <c r="M143" i="29"/>
  <c r="M136" i="29"/>
  <c r="M111" i="29"/>
  <c r="M104" i="29"/>
  <c r="M79" i="29"/>
  <c r="M72" i="29"/>
  <c r="M47" i="29"/>
  <c r="P120" i="24"/>
  <c r="P112" i="24"/>
  <c r="P92" i="24"/>
  <c r="P71" i="24"/>
  <c r="P67" i="24"/>
  <c r="P60" i="24"/>
  <c r="P56" i="24"/>
  <c r="P52" i="24"/>
  <c r="P45" i="24"/>
  <c r="P37" i="24"/>
  <c r="P14" i="24"/>
  <c r="P84" i="24"/>
  <c r="P21" i="24"/>
  <c r="P20" i="24"/>
  <c r="P122" i="24"/>
  <c r="P118" i="24"/>
  <c r="P114" i="24"/>
  <c r="P110" i="24"/>
  <c r="P106" i="24"/>
  <c r="P102" i="24"/>
  <c r="P98" i="24"/>
  <c r="P76" i="24"/>
  <c r="P69" i="24"/>
  <c r="P62" i="24"/>
  <c r="P58" i="24"/>
  <c r="P54" i="24"/>
  <c r="P39" i="24"/>
  <c r="P35" i="24"/>
  <c r="P31" i="24"/>
  <c r="P27" i="24"/>
  <c r="P16" i="24"/>
  <c r="P26" i="23"/>
  <c r="P18" i="23"/>
  <c r="M46" i="32"/>
  <c r="M43" i="32"/>
  <c r="M38" i="32"/>
  <c r="M37" i="32"/>
  <c r="M33" i="32"/>
  <c r="M31" i="32"/>
  <c r="M27" i="32"/>
  <c r="M24" i="32"/>
  <c r="M23" i="32"/>
  <c r="M18" i="32"/>
  <c r="Q125" i="24"/>
  <c r="F9" i="11" s="1"/>
  <c r="P12" i="28"/>
  <c r="P11" i="28"/>
  <c r="P10" i="28"/>
  <c r="F14" i="11"/>
  <c r="O17" i="27"/>
  <c r="D15" i="11" s="1"/>
  <c r="Q17" i="27"/>
  <c r="F15" i="11" s="1"/>
  <c r="P12" i="27"/>
  <c r="P13" i="27"/>
  <c r="P11" i="27"/>
  <c r="P14" i="27"/>
  <c r="P116" i="24"/>
  <c r="P103" i="24"/>
  <c r="P99" i="24"/>
  <c r="P86" i="24"/>
  <c r="P55" i="24"/>
  <c r="P108" i="24"/>
  <c r="P95" i="24"/>
  <c r="P91" i="24"/>
  <c r="P78" i="24"/>
  <c r="P47" i="24"/>
  <c r="P43" i="24"/>
  <c r="P36" i="24"/>
  <c r="P29" i="24"/>
  <c r="P22" i="24"/>
  <c r="P15" i="24"/>
  <c r="P107" i="24"/>
  <c r="P94" i="24"/>
  <c r="P25" i="24"/>
  <c r="P117" i="24"/>
  <c r="P100" i="24"/>
  <c r="P87" i="24"/>
  <c r="P83" i="24"/>
  <c r="P70" i="24"/>
  <c r="P63" i="24"/>
  <c r="P59" i="24"/>
  <c r="P78" i="23"/>
  <c r="P74" i="23"/>
  <c r="P70" i="23"/>
  <c r="P29" i="23"/>
  <c r="P25" i="23"/>
  <c r="P113" i="23"/>
  <c r="P109" i="23"/>
  <c r="P105" i="23"/>
  <c r="P96" i="23"/>
  <c r="P84" i="23"/>
  <c r="P80" i="23"/>
  <c r="P83" i="23"/>
  <c r="P71" i="23"/>
  <c r="P93" i="23"/>
  <c r="P89" i="23"/>
  <c r="P61" i="23"/>
  <c r="P57" i="23"/>
  <c r="P53" i="23"/>
  <c r="P49" i="23"/>
  <c r="P45" i="23"/>
  <c r="P41" i="23"/>
  <c r="P76" i="23"/>
  <c r="P72" i="23"/>
  <c r="P21" i="23"/>
  <c r="P66" i="23"/>
  <c r="P62" i="23"/>
  <c r="P32" i="23"/>
  <c r="P64" i="23"/>
  <c r="P48" i="23"/>
  <c r="P35" i="23"/>
  <c r="P116" i="23"/>
  <c r="P112" i="23"/>
  <c r="P108" i="23"/>
  <c r="P95" i="23"/>
  <c r="P91" i="23"/>
  <c r="P63" i="23"/>
  <c r="P59" i="23"/>
  <c r="P47" i="23"/>
  <c r="P43" i="23"/>
  <c r="P39" i="23"/>
  <c r="P34" i="23"/>
  <c r="P55" i="23"/>
  <c r="P30" i="23"/>
  <c r="P92" i="23"/>
  <c r="P88" i="23"/>
  <c r="P81" i="23"/>
  <c r="P77" i="23"/>
  <c r="P73" i="23"/>
  <c r="P58" i="23"/>
  <c r="P54" i="23"/>
  <c r="P46" i="23"/>
  <c r="P37" i="23"/>
  <c r="P33" i="23"/>
  <c r="P22" i="23"/>
  <c r="P14" i="23"/>
  <c r="P104" i="23"/>
  <c r="P13" i="23"/>
  <c r="P115" i="23"/>
  <c r="P107" i="23"/>
  <c r="P103" i="23"/>
  <c r="P98" i="23"/>
  <c r="P87" i="23"/>
  <c r="P28" i="23"/>
  <c r="P20" i="23"/>
  <c r="P16" i="23"/>
  <c r="P12" i="23"/>
  <c r="O118" i="23"/>
  <c r="D8" i="11" s="1"/>
  <c r="P94" i="23"/>
  <c r="P90" i="23"/>
  <c r="P79" i="23"/>
  <c r="P60" i="23"/>
  <c r="P56" i="23"/>
  <c r="P44" i="23"/>
  <c r="P40" i="23"/>
  <c r="P31" i="23"/>
  <c r="P110" i="23"/>
  <c r="P106" i="23"/>
  <c r="P102" i="23"/>
  <c r="P97" i="23"/>
  <c r="P86" i="23"/>
  <c r="P27" i="23"/>
  <c r="P23" i="23"/>
  <c r="P19" i="23"/>
  <c r="P15" i="23"/>
  <c r="P11" i="23"/>
  <c r="P67" i="23"/>
  <c r="P50" i="23"/>
  <c r="P36" i="23"/>
  <c r="P101" i="23"/>
  <c r="P42" i="23"/>
  <c r="P24" i="23"/>
  <c r="P17" i="23"/>
  <c r="P69" i="23"/>
  <c r="P65" i="23"/>
  <c r="P52" i="23"/>
  <c r="P114" i="23"/>
  <c r="P111" i="23"/>
  <c r="P99" i="23"/>
  <c r="P85" i="23"/>
  <c r="P82" i="23"/>
  <c r="P75" i="23"/>
  <c r="P68" i="23"/>
  <c r="P51" i="23"/>
  <c r="Q118" i="23"/>
  <c r="F8" i="11" s="1"/>
  <c r="P118" i="23" l="1"/>
  <c r="E8" i="11" s="1"/>
  <c r="M54" i="32"/>
  <c r="E13" i="11" s="1"/>
  <c r="M211" i="29"/>
  <c r="E10" i="11" s="1"/>
  <c r="P125" i="24"/>
  <c r="E9" i="11" s="1"/>
  <c r="N211" i="29"/>
  <c r="F10" i="11" s="1"/>
  <c r="P13" i="28"/>
  <c r="E16" i="11" s="1"/>
  <c r="P17" i="27"/>
  <c r="E15" i="11" s="1"/>
  <c r="F13" i="11" l="1"/>
  <c r="I54" i="32" l="1"/>
  <c r="P43" i="29" l="1"/>
  <c r="G208" i="29"/>
  <c r="L208" i="29" s="1"/>
  <c r="M208" i="29" s="1"/>
  <c r="P207" i="29"/>
  <c r="P206" i="29"/>
  <c r="P205" i="29"/>
  <c r="P204" i="29"/>
  <c r="P203" i="29"/>
  <c r="P202" i="29"/>
  <c r="P201" i="29"/>
  <c r="P200" i="29"/>
  <c r="P199" i="29"/>
  <c r="P198" i="29"/>
  <c r="P197" i="29"/>
  <c r="P196" i="29"/>
  <c r="P195" i="29"/>
  <c r="P194" i="29"/>
  <c r="P189" i="29"/>
  <c r="P188" i="29"/>
  <c r="P187" i="29"/>
  <c r="P186" i="29"/>
  <c r="P185" i="29"/>
  <c r="P184" i="29"/>
  <c r="P183" i="29"/>
  <c r="P182" i="29"/>
  <c r="P181" i="29"/>
  <c r="P180" i="29"/>
  <c r="P179" i="29"/>
  <c r="P171" i="29"/>
  <c r="P170" i="29"/>
  <c r="P169" i="29"/>
  <c r="P168" i="29"/>
  <c r="P167" i="29"/>
  <c r="P166" i="29"/>
  <c r="P165" i="29"/>
  <c r="P164" i="29"/>
  <c r="P163" i="29"/>
  <c r="P162" i="29"/>
  <c r="P161" i="29"/>
  <c r="P155" i="29"/>
  <c r="P154" i="29"/>
  <c r="P153" i="29"/>
  <c r="P152" i="29"/>
  <c r="P151" i="29"/>
  <c r="P150" i="29"/>
  <c r="P148" i="29"/>
  <c r="P147" i="29"/>
  <c r="P146" i="29"/>
  <c r="P145" i="29"/>
  <c r="P144" i="29"/>
  <c r="P143" i="29"/>
  <c r="P142" i="29"/>
  <c r="P141" i="29"/>
  <c r="P140" i="29"/>
  <c r="P139" i="29"/>
  <c r="P138" i="29"/>
  <c r="P137" i="29"/>
  <c r="P136" i="29"/>
  <c r="P135" i="29"/>
  <c r="P134" i="29"/>
  <c r="P133" i="29"/>
  <c r="P132" i="29"/>
  <c r="P131" i="29"/>
  <c r="P130" i="29"/>
  <c r="P129" i="29"/>
  <c r="P128" i="29"/>
  <c r="P127" i="29"/>
  <c r="P126" i="29"/>
  <c r="P125" i="29"/>
  <c r="P124" i="29"/>
  <c r="P123" i="29"/>
  <c r="P122" i="29"/>
  <c r="P121" i="29"/>
  <c r="P120" i="29"/>
  <c r="P119" i="29"/>
  <c r="P118" i="29"/>
  <c r="P117" i="29"/>
  <c r="P116" i="29"/>
  <c r="P115" i="29"/>
  <c r="P114" i="29"/>
  <c r="P113" i="29"/>
  <c r="P112" i="29"/>
  <c r="P111" i="29"/>
  <c r="P110" i="29"/>
  <c r="P109" i="29"/>
  <c r="P108" i="29"/>
  <c r="P107" i="29"/>
  <c r="P106" i="29"/>
  <c r="P105" i="29"/>
  <c r="P104" i="29"/>
  <c r="P103" i="29"/>
  <c r="P102" i="29"/>
  <c r="P101" i="29"/>
  <c r="P100" i="29"/>
  <c r="P99" i="29"/>
  <c r="P98" i="29"/>
  <c r="P97" i="29"/>
  <c r="P96" i="29"/>
  <c r="P95" i="29"/>
  <c r="P94" i="29"/>
  <c r="P93" i="29"/>
  <c r="P92" i="29"/>
  <c r="P91" i="29"/>
  <c r="P90" i="29"/>
  <c r="P89" i="29"/>
  <c r="P88" i="29"/>
  <c r="P87" i="29"/>
  <c r="P86" i="29"/>
  <c r="P85" i="29"/>
  <c r="P84" i="29"/>
  <c r="P83" i="29"/>
  <c r="P82" i="29"/>
  <c r="P81" i="29"/>
  <c r="P80" i="29"/>
  <c r="P79" i="29"/>
  <c r="P78" i="29"/>
  <c r="P77" i="29"/>
  <c r="P76" i="29"/>
  <c r="P75" i="29"/>
  <c r="P74" i="29"/>
  <c r="P73" i="29"/>
  <c r="P72" i="29"/>
  <c r="P71" i="29"/>
  <c r="P70" i="29"/>
  <c r="P69" i="29"/>
  <c r="P67" i="29"/>
  <c r="P66" i="29"/>
  <c r="P65" i="29"/>
  <c r="P64" i="29"/>
  <c r="P63" i="29"/>
  <c r="P62" i="29"/>
  <c r="P61" i="29"/>
  <c r="P60" i="29"/>
  <c r="P59" i="29"/>
  <c r="P58" i="29"/>
  <c r="P57" i="29"/>
  <c r="P56" i="29"/>
  <c r="P55" i="29"/>
  <c r="P54" i="29"/>
  <c r="P53" i="29"/>
  <c r="P52" i="29"/>
  <c r="P51" i="29"/>
  <c r="P50" i="29"/>
  <c r="P47" i="29"/>
  <c r="P46" i="29"/>
  <c r="P45" i="29"/>
  <c r="P44" i="29"/>
  <c r="M84" i="30" l="1"/>
  <c r="P68" i="29"/>
  <c r="P160" i="29"/>
  <c r="P172" i="29"/>
  <c r="O19" i="26"/>
  <c r="D14" i="11" s="1"/>
  <c r="D19" i="11" s="1"/>
  <c r="E12" i="11" l="1"/>
  <c r="E19" i="11" s="1"/>
  <c r="I68" i="31"/>
  <c r="I123" i="24"/>
  <c r="E20" i="11" l="1"/>
  <c r="E21" i="11" s="1"/>
  <c r="I9" i="28"/>
  <c r="I10" i="28"/>
  <c r="I11" i="28"/>
  <c r="I12" i="28"/>
  <c r="I11" i="27"/>
  <c r="I12" i="27"/>
  <c r="I13" i="27"/>
  <c r="I14" i="27"/>
  <c r="I10" i="26"/>
  <c r="I11" i="26"/>
  <c r="I13" i="26"/>
  <c r="I15" i="26"/>
  <c r="I16" i="26"/>
  <c r="I17" i="26"/>
  <c r="Q13" i="28" l="1"/>
  <c r="F16" i="11" s="1"/>
  <c r="I13" i="28"/>
  <c r="C16" i="11" s="1"/>
  <c r="I17" i="27"/>
  <c r="C15" i="11" s="1"/>
  <c r="I19" i="26"/>
  <c r="C14" i="11" s="1"/>
  <c r="F10" i="32"/>
  <c r="F12" i="32"/>
  <c r="F13" i="32"/>
  <c r="F14" i="32"/>
  <c r="F15" i="32"/>
  <c r="F19" i="32"/>
  <c r="F20" i="32"/>
  <c r="F21" i="32"/>
  <c r="F22" i="32"/>
  <c r="F25" i="32"/>
  <c r="F30" i="32"/>
  <c r="F32" i="32"/>
  <c r="F35" i="32"/>
  <c r="F36" i="32"/>
  <c r="F39" i="32"/>
  <c r="F40" i="32"/>
  <c r="F49" i="32"/>
  <c r="F50" i="32"/>
  <c r="F51" i="32"/>
  <c r="F52" i="32"/>
  <c r="F19" i="30"/>
  <c r="F26" i="30"/>
  <c r="F30" i="30"/>
  <c r="F38" i="30"/>
  <c r="F39" i="30"/>
  <c r="F40" i="30"/>
  <c r="F45" i="30"/>
  <c r="F46" i="30"/>
  <c r="F50" i="30"/>
  <c r="F54" i="30"/>
  <c r="F55" i="30"/>
  <c r="F58" i="30"/>
  <c r="F61" i="30"/>
  <c r="F64" i="30"/>
  <c r="F68" i="30"/>
  <c r="F73" i="30"/>
  <c r="F76" i="30"/>
  <c r="F78" i="30"/>
  <c r="F12" i="31"/>
  <c r="F17" i="31"/>
  <c r="F21" i="31"/>
  <c r="F25" i="31"/>
  <c r="F28" i="31"/>
  <c r="F32" i="31"/>
  <c r="F35" i="31"/>
  <c r="F38" i="31"/>
  <c r="F39" i="31"/>
  <c r="F46" i="31"/>
  <c r="F47" i="31"/>
  <c r="F48" i="31"/>
  <c r="F49" i="31"/>
  <c r="F52" i="31"/>
  <c r="F53" i="31"/>
  <c r="F54" i="31"/>
  <c r="F57" i="31"/>
  <c r="F60" i="31"/>
  <c r="F62" i="31"/>
  <c r="F64" i="31"/>
  <c r="F66" i="31"/>
  <c r="F35" i="29"/>
  <c r="F79" i="29"/>
  <c r="F86" i="29"/>
  <c r="F94" i="29"/>
  <c r="F97" i="29"/>
  <c r="F101" i="29"/>
  <c r="F106" i="29"/>
  <c r="F107" i="29"/>
  <c r="F110" i="29"/>
  <c r="F111" i="29"/>
  <c r="F113" i="29"/>
  <c r="F115" i="29"/>
  <c r="F117" i="29"/>
  <c r="F119" i="29"/>
  <c r="F121" i="29"/>
  <c r="F123" i="29"/>
  <c r="F125" i="29"/>
  <c r="F127" i="29"/>
  <c r="F129" i="29"/>
  <c r="F131" i="29"/>
  <c r="F133" i="29"/>
  <c r="F134" i="29"/>
  <c r="F136" i="29"/>
  <c r="F137" i="29"/>
  <c r="F141" i="29"/>
  <c r="F147" i="29"/>
  <c r="F155" i="29"/>
  <c r="F160" i="29"/>
  <c r="F162" i="29"/>
  <c r="F164" i="29"/>
  <c r="F166" i="29"/>
  <c r="F168" i="29"/>
  <c r="F171" i="29"/>
  <c r="F172" i="29"/>
  <c r="F179" i="29"/>
  <c r="F181" i="29"/>
  <c r="F183" i="29"/>
  <c r="F185" i="29"/>
  <c r="F187" i="29"/>
  <c r="F189" i="29"/>
  <c r="F194" i="29"/>
  <c r="F197" i="29"/>
  <c r="F198" i="29"/>
  <c r="F200" i="29"/>
  <c r="F203" i="29"/>
  <c r="F205" i="29"/>
  <c r="F207" i="29"/>
  <c r="I13" i="24"/>
  <c r="I15" i="24"/>
  <c r="I19" i="24"/>
  <c r="I22" i="24"/>
  <c r="I27" i="24"/>
  <c r="I31" i="24"/>
  <c r="I32" i="24"/>
  <c r="I33" i="24"/>
  <c r="I41" i="24"/>
  <c r="I42" i="24"/>
  <c r="I43" i="24"/>
  <c r="I44" i="24"/>
  <c r="I45" i="24"/>
  <c r="I46" i="24"/>
  <c r="I54" i="24"/>
  <c r="I55" i="24"/>
  <c r="I56" i="24"/>
  <c r="I57" i="24"/>
  <c r="I59" i="24"/>
  <c r="I65" i="24"/>
  <c r="I70" i="24"/>
  <c r="I77" i="24"/>
  <c r="I80" i="24"/>
  <c r="I84" i="24"/>
  <c r="I89" i="24"/>
  <c r="I90" i="24"/>
  <c r="I93" i="24"/>
  <c r="I95" i="24"/>
  <c r="I97" i="24"/>
  <c r="I101" i="24"/>
  <c r="I105" i="24"/>
  <c r="I108" i="24"/>
  <c r="I110" i="24"/>
  <c r="I112" i="24"/>
  <c r="I116" i="24"/>
  <c r="I119" i="24"/>
  <c r="I121" i="24"/>
  <c r="I10" i="23"/>
  <c r="I11" i="23"/>
  <c r="I14" i="23"/>
  <c r="I15" i="23"/>
  <c r="I20" i="23"/>
  <c r="I21" i="23"/>
  <c r="I22" i="23"/>
  <c r="I23" i="23"/>
  <c r="I27" i="23"/>
  <c r="I30" i="23"/>
  <c r="I33" i="23"/>
  <c r="I36" i="23"/>
  <c r="I37" i="23"/>
  <c r="I41" i="23"/>
  <c r="I42" i="23"/>
  <c r="I44" i="23"/>
  <c r="I45" i="23"/>
  <c r="I51" i="23"/>
  <c r="I52" i="23"/>
  <c r="I54" i="23"/>
  <c r="I58" i="23"/>
  <c r="I62" i="23"/>
  <c r="I69" i="23"/>
  <c r="I70" i="23"/>
  <c r="I76" i="23"/>
  <c r="I80" i="23"/>
  <c r="I84" i="23"/>
  <c r="I86" i="23"/>
  <c r="I92" i="23"/>
  <c r="I93" i="23"/>
  <c r="I95" i="23"/>
  <c r="I98" i="23"/>
  <c r="I99" i="23"/>
  <c r="I103" i="23"/>
  <c r="I104" i="23"/>
  <c r="I106" i="23"/>
  <c r="I108" i="23"/>
  <c r="I110" i="23"/>
  <c r="I112" i="23"/>
  <c r="I114" i="23"/>
  <c r="I116" i="23"/>
  <c r="F68" i="31" l="1"/>
  <c r="F211" i="29"/>
  <c r="C10" i="11" s="1"/>
  <c r="I125" i="24"/>
  <c r="F84" i="30"/>
  <c r="C11" i="11"/>
  <c r="F54" i="32"/>
  <c r="C13" i="11" s="1"/>
  <c r="I118" i="23"/>
  <c r="C8" i="11" s="1"/>
  <c r="A203" i="29"/>
  <c r="A205" i="29" s="1"/>
  <c r="A207" i="29" s="1"/>
  <c r="A193" i="29"/>
  <c r="A196" i="29" s="1"/>
  <c r="A179" i="29"/>
  <c r="A181" i="29" s="1"/>
  <c r="A183" i="29" s="1"/>
  <c r="A185" i="29" s="1"/>
  <c r="A187" i="29" s="1"/>
  <c r="A189" i="29" s="1"/>
  <c r="A160" i="29"/>
  <c r="A162" i="29" s="1"/>
  <c r="A164" i="29" s="1"/>
  <c r="A166" i="29" s="1"/>
  <c r="A145" i="29"/>
  <c r="A147" i="29" s="1"/>
  <c r="A149" i="29" s="1"/>
  <c r="A151" i="29" s="1"/>
  <c r="A153" i="29" s="1"/>
  <c r="A155" i="29" s="1"/>
  <c r="A115" i="29"/>
  <c r="A117" i="29" s="1"/>
  <c r="A119" i="29" s="1"/>
  <c r="A121" i="29" s="1"/>
  <c r="A123" i="29" s="1"/>
  <c r="A125" i="29" s="1"/>
  <c r="A127" i="29" s="1"/>
  <c r="A105" i="29"/>
  <c r="A97" i="29"/>
  <c r="A99" i="29" s="1"/>
  <c r="A65" i="29"/>
  <c r="A66" i="29" s="1"/>
  <c r="A67" i="29" s="1"/>
  <c r="A68" i="29" s="1"/>
  <c r="A69" i="29" s="1"/>
  <c r="A70" i="29" s="1"/>
  <c r="A60" i="29"/>
  <c r="A61" i="29" s="1"/>
  <c r="A56" i="29"/>
  <c r="A57" i="29" s="1"/>
  <c r="A49" i="29"/>
  <c r="A50" i="29" s="1"/>
  <c r="A51" i="29" s="1"/>
  <c r="A52" i="29" s="1"/>
  <c r="A53" i="29" s="1"/>
  <c r="A42" i="29"/>
  <c r="A43" i="29" s="1"/>
  <c r="A44" i="29" s="1"/>
  <c r="A45" i="29" s="1"/>
  <c r="A46" i="29" s="1"/>
  <c r="A47" i="29" s="1"/>
  <c r="C12" i="11" l="1"/>
  <c r="C9" i="11"/>
  <c r="I17" i="25"/>
  <c r="I15" i="25"/>
  <c r="I13" i="25"/>
  <c r="I11" i="25"/>
  <c r="I10" i="25"/>
  <c r="C19" i="11" l="1"/>
  <c r="I19" i="25"/>
  <c r="C20" i="11" l="1"/>
  <c r="C21" i="11" s="1"/>
  <c r="F20" i="11"/>
  <c r="F21" i="11" s="1"/>
  <c r="D20" i="11"/>
  <c r="D21" i="11" s="1"/>
  <c r="S57" i="44" l="1"/>
</calcChain>
</file>

<file path=xl/sharedStrings.xml><?xml version="1.0" encoding="utf-8"?>
<sst xmlns="http://schemas.openxmlformats.org/spreadsheetml/2006/main" count="3502" uniqueCount="1074">
  <si>
    <t>Waterproofing</t>
  </si>
  <si>
    <t>a</t>
  </si>
  <si>
    <t>b</t>
  </si>
  <si>
    <t>c</t>
  </si>
  <si>
    <t>d</t>
  </si>
  <si>
    <t>Sr. No.</t>
  </si>
  <si>
    <t>Item Description</t>
  </si>
  <si>
    <t>Subtotal amount INR. (without taxes)</t>
  </si>
  <si>
    <t>SR.NO.</t>
  </si>
  <si>
    <t>DESCRIPTION</t>
  </si>
  <si>
    <t>UNIT</t>
  </si>
  <si>
    <t>AMOUNT</t>
  </si>
  <si>
    <t>CINDER BLOCK COBA of Avg. thickness mentioned below;  After laying of soil pipes, floor traps is completed the floor of the sunken portion shall be covered with cinder coba embedded manually with 15-20 mm wide joints in 20 mm thk. Waterproofing mortar 1:4 ( 1 cement : 4 coarse sand )in layers upto the full ht. of sunken portion, having top layer of 50 mm thk waterproof mortar 1:4 ( 1 cement : 4 coarse sand ) using specialized W.P. chemical, finished smooth / rough with floating coat of neat cement all complete and as per specification.</t>
  </si>
  <si>
    <t>6" thk granite threshold</t>
  </si>
  <si>
    <t>Providing and fixing flex board out. Cost to include framework cost, opening for door, flex printing and installation. ( digital file provided by client ) Sizes as mentioned below</t>
  </si>
  <si>
    <t>RATE</t>
  </si>
  <si>
    <t>QTY.</t>
  </si>
  <si>
    <t>DIMENSION</t>
  </si>
  <si>
    <t xml:space="preserve">Using 150mm thk </t>
  </si>
  <si>
    <t>ITEM</t>
  </si>
  <si>
    <t>Block Work</t>
  </si>
  <si>
    <t>Internal Plaster</t>
  </si>
  <si>
    <t>PCC Work</t>
  </si>
  <si>
    <t>COBA Work</t>
  </si>
  <si>
    <t>KOTA Flooring</t>
  </si>
  <si>
    <t>Decorative Wall Tiles</t>
  </si>
  <si>
    <t>SS Corner Guard</t>
  </si>
  <si>
    <t>Core Cut</t>
  </si>
  <si>
    <t>Pest control at site</t>
  </si>
  <si>
    <t>Site Barricading</t>
  </si>
  <si>
    <t>GENERAL SITE WORKS</t>
  </si>
  <si>
    <t>DEMOLITION WORKS</t>
  </si>
  <si>
    <t>INTERIOR CIVIL WORK</t>
  </si>
  <si>
    <t>STONE &amp; TILE WORKS</t>
  </si>
  <si>
    <t>Size : 550x550 Basic Rate : 55 Per SFT</t>
  </si>
  <si>
    <t>POP Punning</t>
  </si>
  <si>
    <t>Gypsum Ceiling</t>
  </si>
  <si>
    <t>Metal Ceiling</t>
  </si>
  <si>
    <t>Trap Door</t>
  </si>
  <si>
    <t>DRAWING NO</t>
  </si>
  <si>
    <t>N.A</t>
  </si>
  <si>
    <t>NO's</t>
  </si>
  <si>
    <t>POP &amp; PAINTING WORK</t>
  </si>
  <si>
    <t>Removing Debris out of site included loading, unloading &amp; shifting as per statutory rules and regulations.</t>
  </si>
  <si>
    <t xml:space="preserve">Debris </t>
  </si>
  <si>
    <t>RFT</t>
  </si>
  <si>
    <t xml:space="preserve">Core cuts in mother slab for drain pipes 200mm dia as per required  and making good the same with cement plaster and waterproofing before slab waterproofing and kobah. </t>
  </si>
  <si>
    <t>Fixing &amp; laying of  tiles for flooring which includes --bedding of appropriate thickness with mortar of 1:6 ratio (1cement:6sand), spreading of grey cement slurry with minimum of 2kg/ Sq.mt. ratio over bedding mortar, including 3mm spacer with epoxy grout of approved colour, adhesive of bal Endura or approved equivalent, making of hole where ever required, in proper line and level in all direction, at all height with lead and lift, polishing/finishing/cleaning etc. as per design and drawing and directed by PMC etc. complete.</t>
  </si>
  <si>
    <t>Restaurant area</t>
  </si>
  <si>
    <t>Providing, making and fixing of POP false ceiling as per manufacturer design and drawing including cut-outs for hvac grille, lights etc.at any / all heights. Rate quoted should be including of vertical drop of any heights, mouldings and size mentioned in drawings with necessary required framing in 450x 900 ultra Gyproc sections, fittings, and fixtures, scaffolding, floor covering, masking tape and cleaning the area all complete as per drawing, design &amp; manufactures specification all complete. Rates do not include painting work.</t>
  </si>
  <si>
    <t>Fitting of false ceiling consisting of 20g Aluminium planks made of pre-coated ( Top &amp; Bottom ) &amp; Size : 600mmx600mm tiles . False Ceiling with necessary supports , hangers etc. provided to install light fitting , fresh air grill etc. ( from Hunter Douglas or Armstrong )</t>
  </si>
  <si>
    <t>Providing and fixing trap doors for access to the service areas. The trap door shall have an external frame made of 50mm x 50mm in good quality seasoned wood scantling on which the shutter is hinged. Shutter shall be made of 19 mm. Plywood. The exposed side &amp; Internal side shall be laminate finish.  Concealed heavy duty hinges shall be used to mount the shutters and locking shall be provided with Allen key and panel locks. Sufficient number of hinges and locks shall be provided to avoid sagging of the shutter. Key also shall be supplied</t>
  </si>
  <si>
    <t>Providing &amp; applying three (03) coats of approved Plastic paint on walls including scraping, primer , filling with putty etc. complete with final coat no brush mark to be visible after painting colour shade as specified.</t>
  </si>
  <si>
    <t>Providing &amp; applying three (03) coats of approved Plastic paint on  exposed surface on ceiling including scraping, primer , filling with putty etc. complete with final coat no brush mark to be visible after painting colour shade as specified.</t>
  </si>
  <si>
    <t>Providing &amp; applying Three (03) coats of approved Plastic paint on  exposed surface on ceiling including HVAC ducts,  Sprinkler Pipes etc. complete with final coat no brush mark to be visible after painting colour shade as specified.</t>
  </si>
  <si>
    <t>SFT</t>
  </si>
  <si>
    <t>FT</t>
  </si>
  <si>
    <t xml:space="preserve">GROUND FLOOR </t>
  </si>
  <si>
    <t xml:space="preserve">REMARK </t>
  </si>
  <si>
    <t>Pattern Tile Flooring</t>
  </si>
  <si>
    <t>Size : 3' x 3'</t>
  </si>
  <si>
    <t>no.</t>
  </si>
  <si>
    <t xml:space="preserve">Providing Pest Control &amp; Anti-termite treatment by appointing a specialized agency as per the specifications mentioned by the Bureau of Indian Standard &amp; Agencies specification ( Whichever is higher ) for General Civil , Plumbing / Drainage &amp; timber / Carpentry works , Gypsum related work including 5 Years guarantee under suitable undertaking on stamp paper etc complete as directed . ( Mode of Measurement to be on carpet area of floor &amp; not the area of surface treated.) </t>
  </si>
  <si>
    <t>Kitchen</t>
  </si>
  <si>
    <t>Kitchen -floor</t>
  </si>
  <si>
    <t>Kitchen -wall up to 600mm</t>
  </si>
  <si>
    <t>Specifications same as above (point no. 3). Wall height upto 1100mm</t>
  </si>
  <si>
    <t>Kitchen (300mm)</t>
  </si>
  <si>
    <t>Duct painting</t>
  </si>
  <si>
    <t>Providing &amp; applying Three (03) coats of powder coat (as per approved shade) on exposed surface on metal duct including removing of old paint, required zink oxide paint etc. complete with final coat no brush mark to be visible after painting colour shade as specified.</t>
  </si>
  <si>
    <t xml:space="preserve">19mm thk </t>
  </si>
  <si>
    <t>show kitchen (300mm)</t>
  </si>
  <si>
    <t>Show kitchen -floor</t>
  </si>
  <si>
    <t>Show kitchen -wall up to 600mm</t>
  </si>
  <si>
    <t>Wooden finish herringbone pattern Tile Flooring</t>
  </si>
  <si>
    <t>size - 300x300. Basic Rate : 220 Per SFT</t>
  </si>
  <si>
    <t>Basic Rate of marble : 650 per SFT</t>
  </si>
  <si>
    <t xml:space="preserve">Sada Wall Tiles for kitchen </t>
  </si>
  <si>
    <t>Size : 300x600. Rate : 45per SFT</t>
  </si>
  <si>
    <t xml:space="preserve">Ceiling Paint ON Gypsum </t>
  </si>
  <si>
    <t xml:space="preserve">Expose Ceiling Paint including all beams </t>
  </si>
  <si>
    <t>Fire Sprinkler paint</t>
  </si>
  <si>
    <t>Providing &amp; applying Three (03) coats of fire rated paint as per standard on exposed surface on metal including removing of old paint etc. complete with final coat no brush mark to be visible after painting colour shade as specified.</t>
  </si>
  <si>
    <t>Fixing &amp; laying of 100mm high tiles for skirting with bedding of appropriate approved make adhesive &amp; colour joint filler inclusive of making all  groove/chamfering/rounding/hole where ever required, in proper line and level in all direction, polishing/finishing/cleaning etc. Complete as per detail drawing, specification and as directed by PMC.</t>
  </si>
  <si>
    <t>Wooden finish Tile skiting</t>
  </si>
  <si>
    <t>Size : 75x300 Rate : 275per SFT</t>
  </si>
  <si>
    <t>Textured Wall Paint</t>
  </si>
  <si>
    <t>Show kitchen Wall tiles upto 3100mm ht</t>
  </si>
  <si>
    <t>Granite Threshold</t>
  </si>
  <si>
    <t>Basic Rate of marble : 230 per SFT</t>
  </si>
  <si>
    <t>Window sill &amp; jamb
in Marble</t>
  </si>
  <si>
    <t>upto 6"-8" thk marble</t>
  </si>
  <si>
    <t>DOORS</t>
  </si>
  <si>
    <t>CARPENTRY WORK</t>
  </si>
  <si>
    <t>Kitchen Door</t>
  </si>
  <si>
    <t>NOS</t>
  </si>
  <si>
    <t xml:space="preserve">Live Kitchen Door </t>
  </si>
  <si>
    <t xml:space="preserve">Fire Rated Metal Door </t>
  </si>
  <si>
    <t>Plywood -  branded Commercial Ply (MR Calibrated, IS 303) -- Greenply or Equivalent brand</t>
  </si>
  <si>
    <t>Veneer  Make - Euro/Greenlam/Merino/ or equivalent  (Basic Rate- 140 Sq. ft.)</t>
  </si>
  <si>
    <t>Laminate Make - Euro/Greenlam/Merino/ or equivalent  (Basic Rate- 40 Sq. ft.)</t>
  </si>
  <si>
    <t>Console with Display Unit</t>
  </si>
  <si>
    <t>P/F console having 25 x 25mm MS framework with black powder coat upto ceiling height, having wooden shelf @ every 350mm c/c. the base console finished in duco from outer surface &amp; top finished in veneer. The storage under the Counter should be provided with 6" ht. drawers at top row finished with wooden ribs. top of the shutter having C section brass inlay  &amp;  below openable  shutters finished with duco. Shutters made out of 19mm thk. plywood finished with  1mm thk. laminate internally. The shutters to be provided with fittings such as hinges; handles; ball catch etc. complete in all respect. The rates for the Shutters to be included. as per design and details.</t>
  </si>
  <si>
    <t>25X25mm MS section finish with black powder coat</t>
  </si>
  <si>
    <t xml:space="preserve">20mm thk sandwitched glass shelf with cane in center and with veneer finish frame </t>
  </si>
  <si>
    <t>Hostess Desk</t>
  </si>
  <si>
    <t xml:space="preserve">Desk to have 2 drawers of ht 155mm, finished with duco outside and veneer maching laminate inside with inbuilt recessed handles in wood and polish. </t>
  </si>
  <si>
    <t>Providing, making and fixing sofa made out of wooden frame work and cladded with 12mm thk approved make  branded Commercial Ply (MR Calibrated, IS 303) -- Greenply or Equivalent brand &amp; approved fabric with required wooden frame, top rail having a cane box with required wodden frame finishing/cleaning/cutting/required fixture &amp; fasteners etc. as per design &amp; drawing &amp; as directed by Project Manager etc. complete. Sofa will have high density rubber foam.(Foam used should be approved and to be certified against poisonous and noxious fumes.) Rate includes upholstery of fabrics.</t>
  </si>
  <si>
    <t>Veneer on exterior finish Basic cost @ 140Rs sft</t>
  </si>
  <si>
    <t>Fabric Basic cost @ 600 per MTR</t>
  </si>
  <si>
    <t>Size : W 650 x H 900</t>
  </si>
  <si>
    <t>Nos</t>
  </si>
  <si>
    <t>Sqft</t>
  </si>
  <si>
    <t xml:space="preserve">Cane Panel </t>
  </si>
  <si>
    <t>Basic Rate of Veneer @ 120 Rs per SFT</t>
  </si>
  <si>
    <t>Seating area</t>
  </si>
  <si>
    <t>Ply Support In Ceiling</t>
  </si>
  <si>
    <t>Providing, making and fixing plywood Support,Suspended from slab or gryprog  frame level with false ceiling bottom off frame work, commercial ply backing to receved fixture/ fiting including all necessary hardware, fixture/ fasteners, cutting/finishing, cleaning. Complete as per detail drawing, specification and as directed by PMC.</t>
  </si>
  <si>
    <t>12mm thk Ply support for bell or heavy duty fixtures</t>
  </si>
  <si>
    <t>8mm thk ply template to instal Light &amp; Speaker with Round cutout according to fixtures</t>
  </si>
  <si>
    <t>METAL FURNITURE &amp; SCREENS</t>
  </si>
  <si>
    <t xml:space="preserve">Show kitchen Glass Partition </t>
  </si>
  <si>
    <t xml:space="preserve">P/F 10 mm thk. toughened glass partitions with 20x 40mm MS framework with white powder coating and bottom base wooden partiton height upto 900mm with wooden molding finish with duco paint and all necessary required groove, wooden framing, including glass door with heavy duty floor spring fixing with approved make adhesive and fasteners, cutting/ chamfering/ groove/rounding wherever required, at all height with lead and lift, finishing, cleaning as per design and drawing etc. all complete.    </t>
  </si>
  <si>
    <t xml:space="preserve">Texture wallpaper </t>
  </si>
  <si>
    <t xml:space="preserve">P &amp; F of texture wallpaper as per approval </t>
  </si>
  <si>
    <t>Basic rate- 155/Sq Ft</t>
  </si>
  <si>
    <t>Ceiling Fans</t>
  </si>
  <si>
    <t xml:space="preserve">P &amp; F of ceiling fans paper as per approval </t>
  </si>
  <si>
    <t>Sheer curtain on metal frame / roller blinds</t>
  </si>
  <si>
    <t>SQFT</t>
  </si>
  <si>
    <t>Basic rate- 150/Sq Ft</t>
  </si>
  <si>
    <t>Service Station - A</t>
  </si>
  <si>
    <t>Console</t>
  </si>
  <si>
    <t>LOCATION</t>
  </si>
  <si>
    <t>KITCHEN BACK ENTRY</t>
  </si>
  <si>
    <t>KITCHEN ENTRY</t>
  </si>
  <si>
    <t>LIVE KITCHEN ENTRY</t>
  </si>
  <si>
    <t xml:space="preserve">Wall dado - Veneer panelling </t>
  </si>
  <si>
    <t>Wall dado - MDF panelling with duco</t>
  </si>
  <si>
    <t>Story Wall Images</t>
  </si>
  <si>
    <t>High Resolution Digital printing on HP Canvas STRETCHED on 1 inch wooden frame (stapling on sides)</t>
  </si>
  <si>
    <t>Back: 3 mm sun board with leather finish vinyl pasted on it.</t>
  </si>
  <si>
    <t>Size :</t>
  </si>
  <si>
    <t>Chef Photos</t>
  </si>
  <si>
    <t xml:space="preserve">Artifact </t>
  </si>
  <si>
    <t>P &amp; F of decorative artifact (approx cost - 250000)</t>
  </si>
  <si>
    <t>Natural &amp; Artificial</t>
  </si>
  <si>
    <t>P &amp; F of planters (approx cost - 200000)</t>
  </si>
  <si>
    <t>MISCELLANEOUS -2</t>
  </si>
  <si>
    <t>MISCELLANEOUS - 1</t>
  </si>
  <si>
    <t>TOTAL MISCELLANEOUS - 2</t>
  </si>
  <si>
    <t>LS</t>
  </si>
  <si>
    <r>
      <t>Size : 775</t>
    </r>
    <r>
      <rPr>
        <sz val="10"/>
        <color theme="1"/>
        <rFont val="Calibri"/>
        <family val="2"/>
        <scheme val="minor"/>
      </rPr>
      <t xml:space="preserve"> x 1050mm</t>
    </r>
  </si>
  <si>
    <t>FAÇADE</t>
  </si>
  <si>
    <t xml:space="preserve">P/F 10 mm thk. toughened glass partitions with 20 x 40mm MS framework with white powder coating and all necessary required groove, wooden framing, including glass door with heavy duty floor spring fixing with approved make adhesive and fasteners, cutting/ chamfering/ groove/rounding wherever required, at all height with lead and lift, finishing, cleaning as per design and drawing etc. all complete.    </t>
  </si>
  <si>
    <t>Rft</t>
  </si>
  <si>
    <t>COPPER CHIMNEY</t>
  </si>
  <si>
    <t>FRONT LIT SIGNAGE - Providing, Supplying &amp; fixing Single sided Sign Board of size with suitable inner frame and proper support, with sign substrate of suitable size of 4mm front glow acrylic sheet with side facia of SS PVD coated in approved color and symbols accordingly, fixed to inner frame with the help of Very High Bond tape of 24mm wide and 2.3mm thick. The board is to be fixed on RCC wall/pillar/ ACP sheet with dash fasteners of SS pipe of S-304 grade. All stainless steel items shall be of S-304 Grade ( EXTERNAL SIGNAGES) (Material should be in compliance with Code of practise for Road signs, Indian Road Congress 2010)</t>
  </si>
  <si>
    <t>A</t>
  </si>
  <si>
    <t>Copper Chimney logo - Main signage</t>
  </si>
  <si>
    <t xml:space="preserve">SAME AS ABOVE </t>
  </si>
  <si>
    <t>520mm X 350mm</t>
  </si>
  <si>
    <t>B</t>
  </si>
  <si>
    <t>C</t>
  </si>
  <si>
    <t>Copper Chimney Logo - hostess desk</t>
  </si>
  <si>
    <t>D</t>
  </si>
  <si>
    <t>E</t>
  </si>
  <si>
    <t>Copper Chimney Lettering - English</t>
  </si>
  <si>
    <t>Copper Chimney Slogan</t>
  </si>
  <si>
    <t>500mm x 80mm</t>
  </si>
  <si>
    <t>REFERENCE IMAGE</t>
  </si>
  <si>
    <t>3900mm X 300mm</t>
  </si>
  <si>
    <t>FAÇADE SIGNAGE</t>
  </si>
  <si>
    <t>TOTAL FAÇADE SIGNAGE</t>
  </si>
  <si>
    <t>Façade</t>
  </si>
  <si>
    <t>Façade Sigange</t>
  </si>
  <si>
    <t>Providing, fabricating &amp; fixing of ACP as per approval Make 3mm thick PVDF coated, exterior quality Aluminum Composite Panel with required framing, DC 789 Weather sealant including all necessary hardware etc. complete as directed.</t>
  </si>
  <si>
    <t>Spice Jar Unit</t>
  </si>
  <si>
    <t xml:space="preserve">Providing and fixing M.S frame structure/ rack made out of 20mm X 20mm hollow pipe sections with 20 mm thick plywood shelves finished in laminate. finishing/supporting/cutting/required fixture &amp; fasteners etc. as per design, drawing &amp; as directed by Project Manager etc. complete. </t>
  </si>
  <si>
    <t xml:space="preserve">M.S to be finished in Asian paint Coal Mine - 8301 finish matt </t>
  </si>
  <si>
    <t xml:space="preserve">MS framework on walls </t>
  </si>
  <si>
    <t xml:space="preserve">Providing and fixing M.S frame structure/ rack made out of 20mm X 20mm hollow pipe sections on walls finishing/supporting/cutting/required fixture &amp; fasteners etc. as per design, drawing &amp; as directed by Project Manager etc. complete. </t>
  </si>
  <si>
    <t>Bells</t>
  </si>
  <si>
    <t>Height</t>
  </si>
  <si>
    <t>Diameter</t>
  </si>
  <si>
    <t>Design no.</t>
  </si>
  <si>
    <t>(160mm+30mm)</t>
  </si>
  <si>
    <t>(120mm)</t>
  </si>
  <si>
    <t>nos</t>
  </si>
  <si>
    <t>7" (135mm+30mm)</t>
  </si>
  <si>
    <t>4" (100mm)</t>
  </si>
  <si>
    <t>6 ¾" (115mm+30mm)</t>
  </si>
  <si>
    <t>3.5" (90mm)</t>
  </si>
  <si>
    <t>5" (100mm+20mm)</t>
  </si>
  <si>
    <t>3"      (80mm)</t>
  </si>
  <si>
    <t>TOTAL OF BELLS</t>
  </si>
  <si>
    <t>Size : 440 x 600mm</t>
  </si>
  <si>
    <t>Size : 440 x 340mm</t>
  </si>
  <si>
    <t>440 x 600mm</t>
  </si>
  <si>
    <t>440 x 340mm</t>
  </si>
  <si>
    <t>size - 200x1200. Basic Rate : 150 Per SFT</t>
  </si>
  <si>
    <t>size - 200x1200. Basic Rate : 120 Per SFT</t>
  </si>
  <si>
    <t xml:space="preserve">Exposed ceiling </t>
  </si>
  <si>
    <t xml:space="preserve">Entry Glass Partition </t>
  </si>
  <si>
    <t xml:space="preserve">Entry main glass door </t>
  </si>
  <si>
    <t>Rolling shutter painting</t>
  </si>
  <si>
    <t>Providing &amp; applying Three (03) coats of powder coat (as per approved shade) on exposed surface on metal rolling shutter including removing of old paint, required zink oxide paint etc. complete with final coat no brush mark to be visible after painting colour shade as specified.</t>
  </si>
  <si>
    <t>SAME AS ABOVE</t>
  </si>
  <si>
    <t xml:space="preserve">ACP  Cladding for signages </t>
  </si>
  <si>
    <t xml:space="preserve">block work walls </t>
  </si>
  <si>
    <t>Providing and applying Plaster of Paris punning of average thickness 20-25mm to existing wall surfaces/ on existing tiles including chicken mesh in true level and plumb complete as per design and drawing Cleaning the surface properly with sand paper, filling cracks/holes with plaster of Paris. Applying lambi / putty (lambi/putty will be of good quality) sand papering the putty work on chamfers, etc.at any / all heights. Rate include cost for making grooves up to 12mm thick if required in horizontal or vertical direction near doors, windows, skirting, floor covering, masking tape and cleaning the area all complete as per drawing, design &amp; manufactures specification.</t>
  </si>
  <si>
    <t xml:space="preserve">Bison board/ V board panelling </t>
  </si>
  <si>
    <t>Providing, making and fixing of wall panelling made of 12mm thk  branded bison board/ V board paneling on wall including ALU framework finish with all necessary required framing, approved make adhesive and fasteners, cutting/ chamfering/ groove/rounding wherever required, at all height with lead and lift, finishing, cleaning as per design and drawing etc. all complete.</t>
  </si>
  <si>
    <t>Providing &amp; fixing in position Double Leaf Door made up of 38mm thick commercial flush door shutter of approved make &amp; thickness, Inner side finished with laminate and outer side with veneer finish including  providing &amp; fixing 750mm X 200mm glass Vision panel and 12mm  thk  Wooden lipping all around, including of 750mm X 200mm SS push plate and 100mm high SS kick plate, including P/F of Door frame made out of CP Teak / Ash wood or equivalent with melamine polish finish. Size of the frame approximate 175mm wide X 50mm thick.  Applicable hardware's such as s/s handles/ ss push plate, floor spring and any other hardware etc required to complete the related works as per design &amp; detail.  door hardware make consider Dorma / Hafele/Ozon /equilient</t>
  </si>
  <si>
    <t>Providing &amp; fixing in position Single Leaf Door made up of 38mm thick commercial flush door shutter of approved make &amp; thickness,  Inner side finished with laminate and outer side with veneer finish including  providing &amp; fixing 750mm X 200mm glass Vision panel and 12mm  thk  Wooden lipping all around, including of 750mm X 200mm SS push plate and 100mm high SS kick plate, including P/F of Door frame made out of CP Teak / Ash wood or equivalent with melamine polish finish. Size of the frame approximate 175mm wide X 50mm thick.  Applicable hardware's such as s/s handles, conceal door closer and any other hardware etc required to complete the related works as per design &amp; detail.  door hardware make consider Dorma / Hafele/Ozon /equilient</t>
  </si>
  <si>
    <t>P/F service counters in duco finished  from outer surface &amp; top finished in veneer. The storage under the Counter should be provided with 6" ht. drawers at top row finished with wooden ribs. top of the shutter having C section brass inlay  &amp;  below openable  shutters finished with duco. the drawer should have internal partiton with fabric finish for cutlary Shutters made out of 19mm thk. plywood finished with  1mm thk. laminate internally. The shutters to be provided with fittings such as hinges; handles; ball catch, locks etc. complete in all respect. The rates for the Shutters to be included. as per design and details.</t>
  </si>
  <si>
    <t>Providing, making and fixing of wall panel made of 12mm thk  branded Commercial Ply (MR Calibrated, IS 303) -- Greenply or Equivalent brand with Veneer finish with melamine polish having wooden molding  all necessary required wooden framing, approved make adhesive and fasteners, cutting/ chamfering/ groove/rounding wherever required, at all height with lead and lift, finishing, cleaning as per design and drawing etc. all complete.</t>
  </si>
  <si>
    <t>Providing, making and fixing of wall panel made of 12mm thk  branded Commercial Ply (MR Calibrated, IS 303) -- Greenply or Equivalent brand with MDF finish with Duco paint and wooden molding as per design, all necessary required wooden framing, approved make adhesive and fasteners, cutting/ chamfering/ groove/rounding wherever required, at all height with lead and lift, finishing, cleaning as per design and drawing etc. all complete.</t>
  </si>
  <si>
    <t xml:space="preserve">Brass framework on wallpaper </t>
  </si>
  <si>
    <t xml:space="preserve">P &amp; F of linen/ Jute manual folding curtains as per approval </t>
  </si>
  <si>
    <t xml:space="preserve">MS framework on ceiling </t>
  </si>
  <si>
    <t xml:space="preserve">Providing and fixing M.S frame structure out of 20mm X 20mm hollow pipe sections framework supported from ceiling finished with black powder coat  finishing/supporting/cutting/required fixture &amp; fasteners etc. as per design, drawing &amp; as directed by Project Manager etc. complete. </t>
  </si>
  <si>
    <t xml:space="preserve">P/F  75mm thk plywood partition finished with bamboo Cane from both side, internal ply finished with laminate.  structure  to be made out of 40x20mm thk wooden frame with 12mm ply on both side, intermidiate member size of 40 x 20mm  wooden frame/ bidding to be finished with melamine polish.  to be finished with duco paint finish with necessary fittings as per design and details. </t>
  </si>
  <si>
    <t xml:space="preserve">KITCHEN WALL </t>
  </si>
  <si>
    <t>KITCHEN area</t>
  </si>
  <si>
    <t xml:space="preserve">P/F 10 mm thk. toughened glass partitions with 20 x 40mm MS framework with white/ black powder coating and all necessary required groove, wooden framing, including glass door with heavy duty floor spring fixing with approved make adhesive and fasteners, cutting/ chamfering/ groove/rounding wherever required, at all height with lead and lift, finishing, cleaning as per design and drawing etc. all complete.    </t>
  </si>
  <si>
    <t>NEAR ENTRANCE</t>
  </si>
  <si>
    <t>NEAR KITCHEN DOOR</t>
  </si>
  <si>
    <t>Providing, making and fixing sofa made out of wooden frame work and cladded with 12mm thk approved make  branded Commercial Ply (MR Calibrated, IS 303) -- Greenply or Equivalent brand &amp; approved fabric with required wooden frame,   required wodden frame finishing/cleaning/cutting/required fixture &amp; fasteners etc. as per design &amp; drawing &amp; as directed by Project Manager etc. complete. Sofa will have high density rubber foam.(Foam used should be approved and to be certified against poisonous and noxious fumes.) Rate includes upholstery of fabrics.</t>
  </si>
  <si>
    <t>Banquet Seating in entrance</t>
  </si>
  <si>
    <t>Banquet Seating A</t>
  </si>
  <si>
    <t xml:space="preserve">Near Live kitchen </t>
  </si>
  <si>
    <t>Using 150mm thk  Walls upto 3100mm</t>
  </si>
  <si>
    <t>live Kitchen</t>
  </si>
  <si>
    <t>sft</t>
  </si>
  <si>
    <t>Tandoor section upto 1100</t>
  </si>
  <si>
    <t>Main kitchen and under counter wall tiles upto 3100mm ht</t>
  </si>
  <si>
    <t>live kitchen</t>
  </si>
  <si>
    <t>Main kitchen</t>
  </si>
  <si>
    <t>BOQ of Civil work for Copper Chimney Project, Vishal Cinema, Delhi</t>
  </si>
  <si>
    <t>R1</t>
  </si>
  <si>
    <t>door</t>
  </si>
  <si>
    <t>1500X2400</t>
  </si>
  <si>
    <t>900X2400</t>
  </si>
  <si>
    <t>2000X2400</t>
  </si>
  <si>
    <t>1130mm L X 450mmW X    900H</t>
  </si>
  <si>
    <t>1600mm L X 350mmW X    900H</t>
  </si>
  <si>
    <t>375mm x 230mm</t>
  </si>
  <si>
    <t>750mm L X 500mm W X 1050 H</t>
  </si>
  <si>
    <t>Near Live kitchen</t>
  </si>
  <si>
    <t xml:space="preserve">4700 x 650 x 900 HT  </t>
  </si>
  <si>
    <t>upto 900mm ht</t>
  </si>
  <si>
    <t>KITCHEN WINDOW</t>
  </si>
  <si>
    <t>Bar Counter</t>
  </si>
  <si>
    <t>P/F  Bar counter to be made out of 19mm thk approved make  branded Commercial Ply (MR Calibrated, IS 303) -- Greenply or Equivalent brand apron to be cladded with wood &amp; netal cane as per detail and Double level of platform in Marble finished based on ply with necessary ms barcket, Necessary opening should be made for fixing of stainless steel sink. Erecting brick wall for plumbing and Brick platform should be provided on floor below the platform of 150mm high Marble skirting from outside. The top platform to have 50mm wide Marble finish fascia horizontally.</t>
  </si>
  <si>
    <t>Marble  Basic Rate 600/- per SQ.FT.</t>
  </si>
  <si>
    <t>12 x 75mm Wood Basic Coat @ 140 Rs SFT</t>
  </si>
  <si>
    <t>Top service Counter Ply Base with Neccesory Support to receved marble</t>
  </si>
  <si>
    <t>Front Elevation (apron) to be to be made out of 19mm thk approved make  branded Commercial Ply (MR Calibrated, IS 303) -- Greenply or Equivalent brand with veneer finish frames, ply to be finished with duco and veneer frames to be finished with melamine polish. Top row finished with metal cane and 100mm skirting with veneer as per detailed Drawing &amp; design. Provision for indirect lighting to be made</t>
  </si>
  <si>
    <t>50mm thk Top service platform in Marble</t>
  </si>
  <si>
    <t>35mm Dia Foot rest real brass antique finish at the bottom.</t>
  </si>
  <si>
    <t>e</t>
  </si>
  <si>
    <t>750mm  Flap door for bar area entry</t>
  </si>
  <si>
    <t>f</t>
  </si>
  <si>
    <t>100mm high Wooden Skirting</t>
  </si>
  <si>
    <t>Mirror Panelling</t>
  </si>
  <si>
    <t>brass shelves</t>
  </si>
  <si>
    <t>brass patti</t>
  </si>
  <si>
    <t>Veneer Cladding</t>
  </si>
  <si>
    <t>850mm X300mm</t>
  </si>
  <si>
    <t>600mm Width</t>
  </si>
  <si>
    <t>450mm Width</t>
  </si>
  <si>
    <t>Bar Display unit</t>
  </si>
  <si>
    <t>P/F  Bar display unit to be made out of 19mm thk approved make  branded Commercial Ply (MR Calibrated, IS 303) -- Greenply or Equivalent brand with veneer finish, having brass finish shelf @ every 400mm c/c.  The Backdrop  made out of 12mm thk approved make  branded Commercial Ply (MR Calibrated, IS 303) -- Greenply or Equivalent brand with finished with bronze mirror, front panelling to be veneer finsh. The shelves to be provided with necessary fittings etc. complete in all respect. The rates for shelves to be included. as per design and details.</t>
  </si>
  <si>
    <t>600 x 1100mm</t>
  </si>
  <si>
    <t>30x30x2100</t>
  </si>
  <si>
    <t>live kitchen floor (300mm)</t>
  </si>
  <si>
    <t>kitchen floor(300mm)</t>
  </si>
  <si>
    <t>MAIN ENTRY &amp; KITCHEN DOOR</t>
  </si>
  <si>
    <t>LIVE KITCHEN</t>
  </si>
  <si>
    <t>2400x2400x900</t>
  </si>
  <si>
    <t>2400x2400x1500</t>
  </si>
  <si>
    <t>Providing and fixing of Hollow metal fire rated double leaf door. Door frame shall be double rebate profile of size 143 x 57 mm made out of 1.60mm (16gauge)minimum thick galvanized steel sheet.All doors and frames shall be finished with polyurethane aliphatic grade paint of approved colour.
The door leaf and frame shall have passed minimum 250 hours of salt spray test.2Hrs Fire Rated Single leaf of size</t>
  </si>
  <si>
    <t>9880 x 650 x 900 HT</t>
  </si>
  <si>
    <t>upto 1200mm ht</t>
  </si>
  <si>
    <t>FAÇADE GLASS BOTTOM  - MDF panelling with duco</t>
  </si>
  <si>
    <t>Providing and fixing 20 x 20mm SS box section finished in brass pvd coating framework fixed on walls finishing/supporting/cutting/required fixture &amp; fasteners etc. as per design, drawing &amp; as directed by Project Manager etc complete.</t>
  </si>
  <si>
    <t>Granite cladding</t>
  </si>
  <si>
    <t>2000 x 2400</t>
  </si>
  <si>
    <t>OR</t>
  </si>
  <si>
    <t>Using 150mm thk  Walls upto 2200mm</t>
  </si>
  <si>
    <t>Wall Puncture</t>
  </si>
  <si>
    <t xml:space="preserve">Making punctures in existing brick/siphorex/concrete wall block for passing A.C. copper pipes/drain pipes as required and making good the same with cement plaster/POP. </t>
  </si>
  <si>
    <t>Brass Corner Guard</t>
  </si>
  <si>
    <t>Air curtain</t>
  </si>
  <si>
    <t xml:space="preserve">P &amp; F of Euronics Air Curtains as per approval </t>
  </si>
  <si>
    <t>MAIN DOOR HANDLE</t>
  </si>
  <si>
    <t>Providing, Supplying &amp; fixing Single sided Sign metal handle with brass finsih.</t>
  </si>
  <si>
    <t xml:space="preserve"> Electrical Cabinet</t>
  </si>
  <si>
    <t xml:space="preserve">P/F louver shutter with wooden framework as per design &amp; detail made in fire rated ply with openable shutters with  duco finish externally laminate  finish internally. Including all necessary required wooden framing, approved make adhesive and fasteners, Lock, cutting/ chamfering/ groove/rounding wherever required, at all height with lead and lift, finishing, cleaning as per design and drawing etc. all complete.  </t>
  </si>
  <si>
    <t>MS STRUCTURE</t>
  </si>
  <si>
    <t xml:space="preserve"> KITCHEN LOFT</t>
  </si>
  <si>
    <t>Size : 4' x 2'</t>
  </si>
  <si>
    <t>KITCHEN LOFT</t>
  </si>
  <si>
    <t>Providing and fixing M.S frame structure/ rack made out of 50mm X 50mm hollow pipe sections on walls finishing/supporting/cutting/required fixture &amp; fasteners etc. as per design, drawing &amp; as directed by Project Manager etc. complete.</t>
  </si>
  <si>
    <t>Bison board/ PLY</t>
  </si>
  <si>
    <t>Providing, making and fixing of wall panelling made of 12mm thk  branded bison board/ PLY paneling on wall including ALU framework finish with all necessary required framing, approved make adhesive and fasteners, cutting/ chamfering/ groove/rounding wherever required, at all height with lead and lift, finishing, cleaning as per design and drawing etc. all complete.</t>
  </si>
  <si>
    <t>Size : 3500 X 200 X 3500(H)</t>
  </si>
  <si>
    <t xml:space="preserve"> 525mm X 300MM</t>
  </si>
  <si>
    <t>Interior works</t>
  </si>
  <si>
    <t>Civil  Works</t>
  </si>
  <si>
    <t xml:space="preserve"> </t>
  </si>
  <si>
    <t xml:space="preserve">ELECTRICAL WORKS </t>
  </si>
  <si>
    <t>Electrical Panel</t>
  </si>
  <si>
    <t xml:space="preserve">Design, Manufacture, Supplying, Transport to the site, Receiving, Unloading, Shifting to Sub-Station at various locations, handling, assembling, installation in correct aligned position, grouting with dash fasteners, GI nuts-bolts, testing and commissioning of the following bolted fabricated in compartmentalized (Form-3B construction) conform to IS: 8623/1993, Suitable for 415V, 3Phase, 4 Wire 50 Hz Ac supply, are housed in design from CRCA sheet steel of 2mm thick for frame work and door covers, 3mm thick for gland plate, i/c cleaning &amp; finishing complete, having extensible type bus bars of high conductivity, SMC bus bar supports, the maunfacturer shall be certified from CPRI for short circuit withstand capacity of min. 70kA for 1 Sec., fabrication shall be done in transportable sections and all front and back doors shall be hinged type and earth with frame, Entire panel shall have a common earth bar as specified below at the rear with 2 Nos. earth stud each side, bus bars and control wiring with suitable size of FRLS PVC insulated copper conductor cable, cable alleys, cable gland plates in two half, i/c providing following switch gears :- </t>
  </si>
  <si>
    <t>The Bus bars will be Copper purity 99.9% / electrolytic grade E91 Aluminium duly sleeved with Helogen Free heat shrink coloured Insulated tube confirming to IEC 60684-3-247 Standard. The powder coating (70-80micron as per IS:13871 for indoor and 100-120 micron for outdoor), include one size higher terminal block in cable alley and interconnecting wires between bus bars and terminals via MCB.</t>
  </si>
  <si>
    <t>Make: Super control / Shivalic / Zonex</t>
  </si>
  <si>
    <t>MAIN MDB</t>
  </si>
  <si>
    <t>INCOMER</t>
  </si>
  <si>
    <t>METERING, INDICATOR AND RELAYs</t>
  </si>
  <si>
    <t>Provide 3 Nos. Resin Filled Nylon 66 Casing CTs, Class-1.0 and MFM True RMS type digital with min. features of measurements A,V,Hz and RS-485 port for BMS with class-1.0 accuracy for all outgoing feeder.</t>
  </si>
  <si>
    <t>1 Set of R,Y,B phase indication lamps with 4Nos. SP HRC fuses as per fault requirement for each Incomer.</t>
  </si>
  <si>
    <t>Provide 3 Nos indicating lamps for status indication "ON","OFF" , Tripped due to earth fault on each incomer</t>
  </si>
  <si>
    <t>BUS BARS</t>
  </si>
  <si>
    <t>OUTGOINGS</t>
  </si>
  <si>
    <t>3 Nos. 63A 4P 'C' CURVE MCB with central overload trip mechanism and flag indication</t>
  </si>
  <si>
    <t>2 Nos. 40A 4P 'C' CURVE MCB with central overload trip mechanism and flag indication</t>
  </si>
  <si>
    <t>2 Nos. 32A 4P 'C' CURVE MCB with central overload trip mechanism and flag indication</t>
  </si>
  <si>
    <t>3 Nos. 32A DP 'C' CURVE MCB with central overload trip mechanism and flag indication</t>
  </si>
  <si>
    <t xml:space="preserve">Note:- </t>
  </si>
  <si>
    <t>1. All Starters shall be High Performance Star Delta / DOL Motor Starters as specified   (Type 2 Co-ordination chart shall be followed of selected OEM but contactor shall be used one rating higher for IE3 efficiency motors with MPCB/MCCB at 415 V).</t>
  </si>
  <si>
    <t>Provide 1 Set of 220 VAC/ 24 VDC transformer with 5A output current and 10A Miniature Relay with 4Nos. Changeover Contacts and bridge rectifier controlled by solid state devices like SCR, MOSFET, IGBT etc. for automatically trigger On/Off the motor/ fan in case of receiving single from Fire Alarm Device/ Panel/ CO2 Sensor including necessary wiring</t>
  </si>
  <si>
    <t>Note:- Fire Supression system work in panel in client scope</t>
  </si>
  <si>
    <t xml:space="preserve">MDB as described above </t>
  </si>
  <si>
    <t>Set</t>
  </si>
  <si>
    <t>Note: GA  &amp; TDS must to be approved by Consultant</t>
  </si>
  <si>
    <t>LT Cables</t>
  </si>
  <si>
    <t>Supplying, Laying, testing &amp; commissioning of the following sizes of  Power Cables, Solid Aluminum/copper  conductor up to 10 sqmm balance stranded conductor, XLPE Insulated, cores laid up, PVC tape / Extruded Inner sheathed , Un. Armour or Armour (Aluminium wire for single core up to 70 sqmm balance Aluminium strip, Galvanized wire for cables up to 2x10 sqmm, 3x10 sqmm, 4x6 sqmm balance all galvanised steel strip), extruded PVC Type ST2 sheathed, FRLS insulation at outer sheath, 1100V grade as per IS 7098(Part 1) 1988</t>
  </si>
  <si>
    <t xml:space="preserve">3.5C x 95 Sqmm Al. Arm Cable (to be verified as/actual site) </t>
  </si>
  <si>
    <t>Mtr</t>
  </si>
  <si>
    <t xml:space="preserve">4C x 25 Sq. mm Al. Arm cable </t>
  </si>
  <si>
    <t>4C x 16 Sq. mm Al. Arm cable</t>
  </si>
  <si>
    <t>4C x 10 Sq. mm Cu. Arm cable</t>
  </si>
  <si>
    <t>4C x 4 Sq. mm Cu. Arm cable</t>
  </si>
  <si>
    <t>3C x 6 Sq. mm Cu. Arm cable</t>
  </si>
  <si>
    <t>Supply, laying &amp; testing of following size circuit/submain/control wiring along with earth wire including making both end terminations with copper lugs, the following sizes of FRLS Type-D PVC insulated (RoHS compliance) class 2 copper conductor, single core cable confirming to IS:694 in surface/recessed existing ISI Mark Rigid G.I. conduit as on date as required.</t>
  </si>
  <si>
    <t>4 X 16 sq. mm + 2 X 6 sq. mm earth wire</t>
  </si>
  <si>
    <t>Metre</t>
  </si>
  <si>
    <t>4 X 6 sq. mm + 2 X 6 sq. mm earth wire</t>
  </si>
  <si>
    <t>4 X 4 sq. mm + 2 X 4 sq. mm earth wire</t>
  </si>
  <si>
    <t>2 X 6 sq. mm + 1 X 6 sq. mm earth wire</t>
  </si>
  <si>
    <t>Supplying and fixing of following sizes of minimum 2.0/1.6 mm thick ISI Mark Rigid G.I. conduit as per IS:9537 Part-3 latest as on date along with accessories in surface/recess including cutting the wall and making good the same in case of recessed conduit as required.</t>
  </si>
  <si>
    <t>20 mm internal dia 1.6 mm thick</t>
  </si>
  <si>
    <t>25 mm internal dia 1.6 mm thick</t>
  </si>
  <si>
    <t>20mm size having ID:17mm, OD:20mm sheet thickness min. 0.25mm</t>
  </si>
  <si>
    <t>Meter</t>
  </si>
  <si>
    <t>25mm size having ID:21mm, OD:24mm sheet thickness min. 0.25mm</t>
  </si>
  <si>
    <t>Cable End Temination with Gland</t>
  </si>
  <si>
    <t xml:space="preserve">Supplying and making end termination with brass compression gland and aluminium lugs for following size of PVC insulated and PVC sheathed / XLPE aluminium conductor cable of 1.1 KV grade as required.
</t>
  </si>
  <si>
    <t xml:space="preserve">3.5C x 120 Sqmm Al. Arm Cable (to be verified as/actual site) </t>
  </si>
  <si>
    <t xml:space="preserve">4C x 16 Sq. mm Al. Arm cable </t>
  </si>
  <si>
    <t>4C x 6 Sq. mm Cu. Arm cable</t>
  </si>
  <si>
    <t>Distribution Board - DB</t>
  </si>
  <si>
    <t>12 WAY (7-SEGMENT) TPN PDB  (Make ABB, Legrands, Schneider, L&amp;T)</t>
  </si>
  <si>
    <t>Incomer</t>
  </si>
  <si>
    <t xml:space="preserve">1 No. 63A, 4P MCB + 3x63A / 30mA DP RCCB's  </t>
  </si>
  <si>
    <t>Outgoing</t>
  </si>
  <si>
    <t>30 Nos. 6A/10A/16A/20A/32A SP MCB's</t>
  </si>
  <si>
    <t>PDB- 12WAY (7-SEGMENT) TPN DB as described above</t>
  </si>
  <si>
    <t>12 WAY (7-SEGMENT) TPN LPDB (Make ABB, Legrands, Schneider, L&amp;T)</t>
  </si>
  <si>
    <t xml:space="preserve">1 No. 40A, 4P MCB + 3x40A/30mA DP RCCB's  </t>
  </si>
  <si>
    <t>LPDB- 12WAY (7-SEGMENT) TPN DB as described above</t>
  </si>
  <si>
    <t>Design, fabrication, assembling, wiring, supply, installation, testing &amp; commissioning of (IP:43) Distribution boards Single pole and Neutral conforming to IS: 8623-1 &amp; 3, made out of pre-treated and powder coated (minimum 60-80 micron), minimum 1.2mm thick sheet steel double door enclosure (IK 09), 240 V, mount on surface / recess, complete with minimum 63A tinned copper insulated prong type short links with end cap, neutral bus bar, earth bar, din bar, interconnections including earthing stud etc. as required. The cost shall include required copper insulated wire set, blanking Plates, sticking saddles, cement spill protector, cable ties, circuit identification labels &amp; laminated DB Detail chart as standard or as suggested by Architect/Consultant.  (As described below)</t>
  </si>
  <si>
    <t>12 WAY SPN UPS DB (Make ABB, Legrands, Schneider, L&amp;T)</t>
  </si>
  <si>
    <t>1 No. 32A, DP MCB</t>
  </si>
  <si>
    <t>10 Nos. 6A/10A/16A/20/25A SP MCB's</t>
  </si>
  <si>
    <t>12 WAY SPN UPSDB as described above</t>
  </si>
  <si>
    <t>EARTHING</t>
  </si>
  <si>
    <t>25mm x6 mm G.I. Strip for Panel on surface/ existing tray, tapped from nearest earth strip.</t>
  </si>
  <si>
    <t>SINGLE CORE COPPER FLEXIBLE CABLE FOR EARTHING:</t>
  </si>
  <si>
    <t>12.2.1</t>
  </si>
  <si>
    <t>6.0 sq.mm. Cu. Flexible cable</t>
  </si>
  <si>
    <t xml:space="preserve">POINT WIRING  ( FRLS Wires) </t>
  </si>
  <si>
    <t>Make- Polycab, KEI FRLS Wires Only and Receptacles - Legrands, NorthWest- only</t>
  </si>
  <si>
    <t>13.1.1</t>
  </si>
  <si>
    <t>Primary Point</t>
  </si>
  <si>
    <t>13.1.2</t>
  </si>
  <si>
    <t>Secondary Point</t>
  </si>
  <si>
    <t>13.2.1</t>
  </si>
  <si>
    <t>Primary Point (upto 8 meter long)</t>
  </si>
  <si>
    <t>13.2.2</t>
  </si>
  <si>
    <t>Primary Point (above 8 meter-15 meter)</t>
  </si>
  <si>
    <t>13.2.3</t>
  </si>
  <si>
    <t>Primary Point (above 15 meter)</t>
  </si>
  <si>
    <t>13.2.4</t>
  </si>
  <si>
    <t>Wiring for  Primary Power point Wiring for 6 pin 6/ 16 A Power plug point controlled by 16A Switch with 3 x 4 Sq. mm PVC insulated FRLS multi strand copper conductor 1100 Volt grade wires in recessed/surface GI conduit with accessories including cost of providing saddles etc for surface conduiting and/or cost of cutting chases for recessed conduiting, including the cost of providing &amp; fixing Modular 6 pin 6A/ 16 A socket outlet controlled by 16 A switch in zinc chromate passivated MS box, complete as per specification and as required. (raw +ups circuits both)</t>
  </si>
  <si>
    <t>Points</t>
  </si>
  <si>
    <t>Wiring for 5 pin 6A  Light plug point controlled by 6A Switch with 3 x 2.5 Sq. mm PVC insulated FRLS multi strand copper conductor 1100 Volt grade wires in recessed/surface GI conduit with accessories including cost of providing saddles etc for surface conduiting and/or cost of cutting chases for recessed conduiting, including the cost of providing &amp; fixing Modular 5 pin 6A socket outlet controlled by 6 A switch in zinc chromate passivated PVC box, complete as per specification and as required. (raw +ups circuits both)</t>
  </si>
  <si>
    <t>Each</t>
  </si>
  <si>
    <t>ELECTRICAL  HANGING BOX  - Powder Coated MS Box with Adjustable Height Provision</t>
  </si>
  <si>
    <t>USB port for mobile chargeing 1 module</t>
  </si>
  <si>
    <t xml:space="preserve">LIGHTING FIXTURES  </t>
  </si>
  <si>
    <t>LED Panel 2x2 RC380B LED42S-6500 G5 L60W60 or equivalent</t>
  </si>
  <si>
    <t>Nos.</t>
  </si>
  <si>
    <t>Fixing of Bracket Light complete with all necessary hardwares for fixing as required</t>
  </si>
  <si>
    <t>Fixing of Ceiling Light complete on false ceiling with all necessary hardwares for fixing as required</t>
  </si>
  <si>
    <t>Fixing of Chandelier &amp; Pendant Light complete on false ceiling with all necessary hardwares for fixing as required</t>
  </si>
  <si>
    <t>Fixing of LED stripswith driver  in Cove complete with all necessary hardwares for fixing as required</t>
  </si>
  <si>
    <t>Note:- The Supply of light fixtures will be in client's scope.</t>
  </si>
  <si>
    <t>Tel. &amp; Data System</t>
  </si>
  <si>
    <t>Supplying and drawing of CAT 6A UTP wire in existing GI conduit for  Tel. /Data outlets</t>
  </si>
  <si>
    <t>RM</t>
  </si>
  <si>
    <t>Supplying and laying of 20 mm dia GI conduit for  Tel./ Data system</t>
  </si>
  <si>
    <t xml:space="preserve">Providing &amp; Fixing of  RJ11 Outlet complete with G.I. Box Modular base &amp;  Cover Plate </t>
  </si>
  <si>
    <t xml:space="preserve">Providing &amp; Fixing of  RJ45 Outlet complete with G.I. Box Modular base &amp;  Cover Plate </t>
  </si>
  <si>
    <t>Design, manufacture , supply and fixing in position the cable trays of the following sizes for supporting 1.1 KV grade armoured/unarmoured aluminium /copper conductor cables. Fabricate the cable trays from perforated 1.6mm thick M.S. CRCA sheet duly galvanised with expansion coupler plates duly galvanised,  with bolts, washer and nuts. Knock out holes for cable connections as per approved design. The tray should comply with the specification of NEC (National Electric Codes) and NEMA (National Electric Manufacturers Association). The steel should be as per IS:226 and galvanising as per IS :2629/BS 729/ASTM 123.  The rate shall also include for supporting steel , fish plates , fixing accessories , nuts bolts, supporting down rods , dash fastener, cutting the RCC etc. complete as required. (the horizontal and vertical bends, T's should be factory fabricated and the rate should include for the same)</t>
  </si>
  <si>
    <t xml:space="preserve">100 mm wide x 40 mm x 1.6 mm thick </t>
  </si>
  <si>
    <t xml:space="preserve">150 mm wide x 40 mm x 1.6 mm thick </t>
  </si>
  <si>
    <t>Total For Electrical System</t>
  </si>
  <si>
    <t>ELV System</t>
  </si>
  <si>
    <t xml:space="preserve">FIRE ALARM SYSTEM </t>
  </si>
  <si>
    <t>Make- Agni, Edwards, Revel</t>
  </si>
  <si>
    <t xml:space="preserve">Fire Alarm Panel - 2 Zone - Addressable Type complete with 4 hrs. battery back-up as required. </t>
  </si>
  <si>
    <t>Supplying &amp; laying of 2x1.5 sqmm fire survival armoured cable, 600/1000V rated with annealed copper conductor having glass mica fire barrier tape covered by an extruded layer of Cross Linkable Ethylene Propylene Rubber (EPR) insulation and LSZH inner bedding, steel wire armouring &amp; LSZH outer sheath complete as required.</t>
  </si>
  <si>
    <t>Mtrs</t>
  </si>
  <si>
    <t xml:space="preserve">Supply, Installation, Testing &amp; Commissioning of Photo-Thermal (Multi-sensor) detector with sensing chamber , 12/24 volt DC twin visual alarm indicater blink in stand by and steady in alarm (LED) camplete in al respect with Base as required  </t>
  </si>
  <si>
    <t>Supply, Installation, Testing &amp; Commissioning of  Response Indicator complete with Box as required</t>
  </si>
  <si>
    <t xml:space="preserve">Supply, Installation, Testing &amp; Commissioning of  Manual Call Point  Break Glass Type housed in sheet Steel/ Polymer housing surface / Recess including Making connection with wire complete in all respect as per specification The manual call should have indicator which should blink in stand by condition. </t>
  </si>
  <si>
    <t>PA SYSTEM</t>
  </si>
  <si>
    <t xml:space="preserve"> installing, testing and commissioning of 6W Ceiling Speaker with max SPL1M/1W 96dB . Frequency response of 80Hz-20KHz with a dispersion angle of 160 deg. The speaker should have tappings at 6W/3W/1.5W
(Supply not in our scope only labour charge )</t>
  </si>
  <si>
    <t xml:space="preserve">Ceiling Mounted Speakers </t>
  </si>
  <si>
    <t>Supplying and drawing of Fire Retardant PVC insulated copper conductor cable in the surface / recessed PVC conduit of following pairs, cores and size including connections and interconnections etc. as required.  speaker cable Single pair, 2-core, 1.5 sqmm</t>
  </si>
  <si>
    <t>2.2.1</t>
  </si>
  <si>
    <t>speaker cable Single pair, 2-core, 1.5 sqmm in existing GI conduit</t>
  </si>
  <si>
    <t>2.2.2</t>
  </si>
  <si>
    <t>Supplying and laying of 20 mm dia GI conduit for Speaker cable</t>
  </si>
  <si>
    <t xml:space="preserve">installing, testing and commissioning of  1X100W Class-D Amplifier with 2 independent channels and can provide automatic re-settable overcurrent, overload, overheating, overvoltage, under-voltage and DC protection. (Supply not in our scope only labour charge )
 </t>
  </si>
  <si>
    <t>CCTV System</t>
  </si>
  <si>
    <t>Supplying and drawing of CAT 6 UTP wire in existing GI conduit</t>
  </si>
  <si>
    <t>Supplying and laying of 25 mm dia GI conduit for CCTV Camera</t>
  </si>
  <si>
    <t>Sub - Total  ( FAS  &amp; PA System + CCTV System)</t>
  </si>
  <si>
    <t>HIGH SIDE EQUIPMENTS</t>
  </si>
  <si>
    <t>CEILING SUSPENDED AHU</t>
  </si>
  <si>
    <t>TAG-CS AHU : 3000 CFM/ 12 TR - ESP-55mm -  40mm Dia.</t>
  </si>
  <si>
    <t>Note: GA Drawings to be approved by Consultant</t>
  </si>
  <si>
    <t>Air Washer Unit</t>
  </si>
  <si>
    <t>9800 CFM   Static- 60-65 MMWG</t>
  </si>
  <si>
    <t>EXHAUST AIR SCRUBBER (DRY TYPE)</t>
  </si>
  <si>
    <t xml:space="preserve">Supplying, installing, testing and commissioning of Double skin DRY SCRUBBER UNIT for Kitchen exhaust. The Scrubber shall be Electrostatic precipitation technology based dry type air cleaner to remove oil, smoke &amp; fumes from the Kitchen exhaust air. It shall be made of 16 gauge galvanized sheet, high bake epoxy powder coated. having prefilter, post filters, ionizers &amp; collector plates and having a average effeciency of 90% to 95%. </t>
  </si>
  <si>
    <t>Make: Zonex, Rydair, Trion</t>
  </si>
  <si>
    <t xml:space="preserve">11500 CFM   </t>
  </si>
  <si>
    <t>EXHAUST AIR UNIT</t>
  </si>
  <si>
    <t>11500 CFM   Static- 80 MMWG</t>
  </si>
  <si>
    <t>LOW SIDE AIR DISTRIBUTION</t>
  </si>
  <si>
    <t>SITE/ FACTORY  FABRICATED DUCTING</t>
  </si>
  <si>
    <t>Supply, Fabrication, Installation and Testing of sheet  metal rectangular ducts complete with vanes, splitter damper  hanging  arrangement  including   check  nuts     in  accordance with    the approved   shop    drawings and specifications</t>
  </si>
  <si>
    <t xml:space="preserve">0.63mm   (24 gauge)   GSS </t>
  </si>
  <si>
    <t>Sqmtr</t>
  </si>
  <si>
    <t>0.8 mm   (22 gauge)    GSS</t>
  </si>
  <si>
    <t>1.0mm    (20 gauge)    GSS</t>
  </si>
  <si>
    <t>Make: ADS / Ductofab/ GP Spira / Projtech</t>
  </si>
  <si>
    <t>FACTORY  FABRICATED DUCTING</t>
  </si>
  <si>
    <t>Supply, fabrication, Installation, testing and commissioning  of factory fabricated single walled round/elliptical ducts using G.I Sheets (120GSM coating) as per IS 655 or SMACNA standard in accordance with the approved shop drawings. The price shall include factory fabricated TDF flanges, insulation 19 mm, turning vanes, splitter dampers, supports (factory fabricated, full threaded GI rod/hangers &amp; G.I slotted channel), sealant, neoprene gasket, access door etc. The joints shall be with least leak and shall be tested with pressure  testing machine.</t>
  </si>
  <si>
    <t>Collar Damper</t>
  </si>
  <si>
    <t>sqmtr</t>
  </si>
  <si>
    <t>FIRE  DAMPER</t>
  </si>
  <si>
    <t>Supplying, Fixing,testing and commissioning of  fire damper in supply air duct/main branch and return air path as and where required of required sizes i/c control wiring, the damper shall be motorized and spring return so as to close the damper in the event of power failure automatically and open the same in case of power being restored. The spring return action shall be inbuilt mechanism and not externally mounted. the damper shall also be closed in the event of fire signal complete as required adn as per specifications.</t>
  </si>
  <si>
    <t>Fire damper</t>
  </si>
  <si>
    <t>Sqm</t>
  </si>
  <si>
    <t>Actuator</t>
  </si>
  <si>
    <t>No.</t>
  </si>
  <si>
    <t>Grille/ Diffuser</t>
  </si>
  <si>
    <t>VCD - Volume Control Damper</t>
  </si>
  <si>
    <t xml:space="preserve">Supplying, installing,  testing &amp; commissioning  of GI volume control damper with minimum 1.6 mm flange and 1.8 mm blade thickness   within ducts to be provided with suitable links, levers and quadrants for manual control of volume of air flow and for proper balancing of the air distribution system as per schedules &amp;  drawings.
</t>
  </si>
  <si>
    <t>FRESH/EXHAUST AIR LOUVER</t>
  </si>
  <si>
    <t xml:space="preserve">Supplying, installing, testing and commissioning of GI construction fresh/exhaust air louvers with min. 60 % free area, bird screen  and painted in baked enamel shade as per clients or architect approval with metallic frame work complete as per specification approved drawings and schedules.
</t>
  </si>
  <si>
    <t xml:space="preserve">DUCT ACOUSTIC LINING </t>
  </si>
  <si>
    <t>Supply ,Installation,testing and commissioning of  duct acoustic  lining  of supply air duct and plenum with 15 mm thick Open Cell engineered Nitrile Rubber foam of density 140-180 kg/cu.m  with in built Microban and tested as per ISO 354:2003  complete  as
required and as per specifications.</t>
  </si>
  <si>
    <t xml:space="preserve">15 mm thick </t>
  </si>
  <si>
    <t>Sqmt</t>
  </si>
  <si>
    <t>DUCT INSULATION</t>
  </si>
  <si>
    <t>Make: Hira / Armacell / Vidoflex</t>
  </si>
  <si>
    <t>Supplying and fixing of following thickness duly laminated aluminium foil of mat fininshed closed cell Nitrile rubber (class ''O'') insulation on duct after applying two coats of cold setting adhesive (The joints shall sealed with 50mm wide and 3 mm thick self adhesive nitrile rubber tape insulaton complete as per specifications and as required.</t>
  </si>
  <si>
    <t>Thermal Duct Insulation with 25 mm nitrile rubber (air washer)</t>
  </si>
  <si>
    <t>DOUBLE LAYER CANVAS CONNECTION</t>
  </si>
  <si>
    <t>Supply,Installation,testing and commissioning of double Layer canvas connection  fire retardant cloth for the end connection of AHU / CSU / AIR WASHER / SCRUBBER / TFA and Ventilation fan to reduce the vibration.It shall be fire rated for atleat 2 hrs.Refer tender specification for detail description</t>
  </si>
  <si>
    <t>Transportation,Unloading,Shifting, Erection and Commissioning Charges of Exhaust Machine ,Airwasher&amp; Air Handling Unit.</t>
  </si>
  <si>
    <t>Job</t>
  </si>
  <si>
    <t>FRAME WORK</t>
  </si>
  <si>
    <t>Supply &amp; Fixing of structural support fabricated from ISA50/ ISA75/ ISMC50/ ISMC75 for Supporting AHU, Airwasher &amp; Scrubber suspended from ceiling  including fabrication, alll necessary hardwares like Anchor fastners, G.I. hangers, G.I. nuts &amp; bolts complete with painting as required.</t>
  </si>
  <si>
    <t>GRAND TOTAL</t>
  </si>
  <si>
    <t>PLUMBING</t>
  </si>
  <si>
    <t>DRAIINAGE SYSTEM</t>
  </si>
  <si>
    <t>a)</t>
  </si>
  <si>
    <t>110 mm dia</t>
  </si>
  <si>
    <t>b)</t>
  </si>
  <si>
    <t>160 mm dia</t>
  </si>
  <si>
    <t>40 mm OD</t>
  </si>
  <si>
    <t>50 mm OD</t>
  </si>
  <si>
    <t>c)</t>
  </si>
  <si>
    <t>63 mm OD</t>
  </si>
  <si>
    <t>Providing &amp; fixing PVC clean out plug with suitable insert keys for opening in: brass cap, male threaded joint with threaded uPVC socket fixed to uPVC pipe joints as required complete in all respects.</t>
  </si>
  <si>
    <t xml:space="preserve">50 mm </t>
  </si>
  <si>
    <t xml:space="preserve">110 mm </t>
  </si>
  <si>
    <t>Providing and Fixing 110x110 mm   uPVC 'P' trap with Height riser/Saddle as required size ftting  with seal 50 mm of self cleansing design floor/urinal trap without vent suspended with supporting clamp or in sunken portion including cutting and making good the walls and floors  wherever required complete in all respects.</t>
  </si>
  <si>
    <t>110 mm inlet &amp; 110 mm outlet</t>
  </si>
  <si>
    <t>Providing and Fixing  uPVC nahani trap min.-112mm of following size inlet and outlet including cutting and making good the walls and floors  wherever required complete in all respects.</t>
  </si>
  <si>
    <t>110x90mm outlet</t>
  </si>
  <si>
    <t>Providing, fixing and testing of uPVC SWR inlet fittings with two or three saddle inlets of 40, 50 or 63 mm size, fabricated from 110 mm outer dia uPVC pipes and fixed to uPVC traps with solvent cement joint complete.</t>
  </si>
  <si>
    <t xml:space="preserve">Providing and  fixing 125 mm dia,  3 mm thick Stainless steel grating with frame  for floor traps drains with 40mm dia hole of required pattern including cutting and making good the floors all complete. </t>
  </si>
  <si>
    <t>Providing and fixing P.V.C. waste pipe for sink or wash basin including P.V.C. waste fittings complete.</t>
  </si>
  <si>
    <t>40 mm dia Flexible pipe</t>
  </si>
  <si>
    <t xml:space="preserve">Making Kitchen Draingae Chamber having Tiles inside all around and fixing of SS Grating plates made with 304 SS with 20x20 mm square pipe with Base plate and SS perporated mesh. </t>
  </si>
  <si>
    <t xml:space="preserve">size=600x300mm </t>
  </si>
  <si>
    <t xml:space="preserve">size=300x300mm </t>
  </si>
  <si>
    <t xml:space="preserve">Providing &amp; Installation of SS Grease Trap 900 x450 x500mm with all required CPVC Fiitings and pipes. </t>
  </si>
  <si>
    <t>WATER SUPPLY</t>
  </si>
  <si>
    <t>15 mm dia</t>
  </si>
  <si>
    <t>20 mm dia</t>
  </si>
  <si>
    <t>25 mm dia</t>
  </si>
  <si>
    <t>d)</t>
  </si>
  <si>
    <t>32 mm dia</t>
  </si>
  <si>
    <t xml:space="preserve">CPVC BALL Valve </t>
  </si>
  <si>
    <t>20 MM</t>
  </si>
  <si>
    <t>25 MM</t>
  </si>
  <si>
    <t>32 MM</t>
  </si>
  <si>
    <t>Water Meter for Each Kitchen</t>
  </si>
  <si>
    <t>25 MM water Meter for RO &amp; Raw water Supply in Each Kitchen</t>
  </si>
  <si>
    <t>RO Water Tank</t>
  </si>
  <si>
    <t>capacity 25 ltr</t>
  </si>
  <si>
    <t>Sub - Total  (Plumbing)</t>
  </si>
  <si>
    <t>FIRE FIGHTING SYSTEM</t>
  </si>
  <si>
    <t>25 mm dia.</t>
  </si>
  <si>
    <t>32 mm dia.</t>
  </si>
  <si>
    <t>40 mm dia.</t>
  </si>
  <si>
    <t>50 mm dia.</t>
  </si>
  <si>
    <t>e)</t>
  </si>
  <si>
    <t>65 mm dia.</t>
  </si>
  <si>
    <t>f)</t>
  </si>
  <si>
    <t>80 mm dia.</t>
  </si>
  <si>
    <t>g)</t>
  </si>
  <si>
    <t>100 mm dia.</t>
  </si>
  <si>
    <t>Pendent Concealed Sprinklers (68°)- Quick response type</t>
  </si>
  <si>
    <t>Pendent Concealed Sprinklers (79°)- Quick response type</t>
  </si>
  <si>
    <t>Upright Sprinkler (68°)- Quick response type</t>
  </si>
  <si>
    <t>Upright Sprinkler (79°)- Quick response type</t>
  </si>
  <si>
    <t>1500mm</t>
  </si>
  <si>
    <t>2000mm</t>
  </si>
  <si>
    <t xml:space="preserve">Provding &amp; Fixing Powder coated double plate rosette plate for pendent / side wall sprinkler where ever required. </t>
  </si>
  <si>
    <t>50mm dia</t>
  </si>
  <si>
    <t>Fire Extinguisher</t>
  </si>
  <si>
    <t>Fire Supression system </t>
  </si>
  <si>
    <t xml:space="preserve">Make: Ansul / Radiant / Firetrace </t>
  </si>
  <si>
    <t>The Fire suppression system  shall be Complete UL - 300 approved system in all respect  and shall comply with ANSI/UL-300, ANSI/UL-1254, UL-Ex.6885, UL (Underwriters Laboratories).</t>
  </si>
  <si>
    <t>Suppression unit:-The Fire suppression system shall include DOT approved Cylinder with Fire Suppressant, Automatic release module, Nozzles based on Appliances as per UL recommendation, Nitrogen Cartridge, Remote Pull Station for manual release, Corner Pulleys, SS piping and its Network.</t>
  </si>
  <si>
    <t>Detection unit:-The system shall only comprise of fusible link type of detection unit . All fusible links should be installed with the help of shielded cable &amp; Fusible link holder to eliminate cut and crimp. The whole detection line shall be continuous.</t>
  </si>
  <si>
    <t>Source &amp; Signal :-System shall include mechanical gas shut off valve. So that incase of fire, the source for ignition (fuel) can be cut off. This should be in automatic mode. Similarly NO/NC contact should be generated so that the system can have interfacing with fire alarm. And electrical power to the electrical kitchen appliances can be cut off.</t>
  </si>
  <si>
    <t>The wet chemical shall be a liquid fire suppressant like Aqueous Potassium Carbonate or Potassium Acetate based solution that suppresses cooking grease fires both through saponification and cooling. The agent stored in a cylinder shall be working at 195 psig (1344 kpa) @70oF (21oC). The unit shall be self-contained and shall be self-equipped with its own non-electric automatic detection system to detect the fire and release wet chemical  into the hood, suppressing the fire.</t>
  </si>
  <si>
    <t>The Fire supression system to be of Ansul ( Tyco) make or equivalent which must be UL approved &amp; specifications to be as per certification of Calicut Airport Authority. It need to be properlly integrated with exhaust system &amp; electrical main panel. All electrical terminations must be made to UL listed junction boxes only. And must be complete with minimum 2 SPDT micro switches inbuilt interface. </t>
  </si>
  <si>
    <t>(i) </t>
  </si>
  <si>
    <t>SIZE:900MM X 900MM X 500MM (EX HOOD)</t>
  </si>
  <si>
    <t>(ii) </t>
  </si>
  <si>
    <t>SIZE:1200MM X 11500MM X 500MM (EX HOOD)</t>
  </si>
  <si>
    <t>(iii) </t>
  </si>
  <si>
    <t>SIZE:2150MM X 1150MM X 500MM (EX HOOD)</t>
  </si>
  <si>
    <t>(iv) </t>
  </si>
  <si>
    <t>SIZE:3050MM X 1150MM X 500MM (EX HOOD)</t>
  </si>
  <si>
    <t>Electrical Works</t>
  </si>
  <si>
    <t>Plumbing Works</t>
  </si>
  <si>
    <t>Fire Fighting System</t>
  </si>
  <si>
    <t>HVAC( Upper side + Lower side)  works</t>
  </si>
  <si>
    <r>
      <t xml:space="preserve">P&amp;A </t>
    </r>
    <r>
      <rPr>
        <b/>
        <sz val="9"/>
        <rFont val="Calibri"/>
        <family val="2"/>
        <scheme val="minor"/>
      </rPr>
      <t>Waterproofing on mother slabs &amp; wall till 600mm height</t>
    </r>
    <r>
      <rPr>
        <sz val="9"/>
        <rFont val="Calibri"/>
        <family val="2"/>
        <scheme val="minor"/>
      </rPr>
      <t>, with 4 coats of chemical (Zypex or Equivalent chemical to be used) treatment on the mother slab, before doing the treatment mother slab needs to clean properly up to the mark &amp; dust free surface needs to achieve to apply the chemical (proof bond /BASF, Dr. Fixit / Equivalent make) &amp; chemical needs to dry properly, After all there should be a water pond testing to be done for water tightness &amp; rectifications of defects if any. Complete with 10 years performance guarantee with client's satisfaction. Entire process to be done under guideline &amp; supervision of appointed engineering team.</t>
    </r>
  </si>
  <si>
    <r>
      <t xml:space="preserve">Providing and constructing </t>
    </r>
    <r>
      <rPr>
        <b/>
        <sz val="9"/>
        <rFont val="Calibri"/>
        <family val="2"/>
        <scheme val="minor"/>
      </rPr>
      <t>Light weight blocks masonry</t>
    </r>
    <r>
      <rPr>
        <sz val="9"/>
        <rFont val="Calibri"/>
        <family val="2"/>
        <scheme val="minor"/>
      </rPr>
      <t xml:space="preserve"> in cement mortar 1:4 of approved make like </t>
    </r>
    <r>
      <rPr>
        <b/>
        <sz val="9"/>
        <rFont val="Calibri"/>
        <family val="2"/>
        <scheme val="minor"/>
      </rPr>
      <t>Aerocon/Siporex</t>
    </r>
    <r>
      <rPr>
        <sz val="9"/>
        <rFont val="Calibri"/>
        <family val="2"/>
        <scheme val="minor"/>
      </rPr>
      <t xml:space="preserve">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 including 75 mm thk. R.C.C. stiffener at approximately every 1000 mm ht. with required M.S. reinforcement bars and Lintels for Doors and wall openings etc. compete as per the drgs., details &amp; specifications.</t>
    </r>
  </si>
  <si>
    <r>
      <t xml:space="preserve">P&amp;A of </t>
    </r>
    <r>
      <rPr>
        <b/>
        <sz val="9"/>
        <rFont val="Calibri"/>
        <family val="2"/>
        <scheme val="minor"/>
      </rPr>
      <t>single coat backing plaster of 15-18 mm thick</t>
    </r>
    <r>
      <rPr>
        <sz val="9"/>
        <rFont val="Calibri"/>
        <family val="2"/>
        <scheme val="minor"/>
      </rPr>
      <t xml:space="preserve"> in CM 1:4 proportion to the walls &amp; others surface including scaffolding, curing the joints, etc. The rates are inclusive of providing chicken mesh of 18mm gauge &amp; 150mm width at junction of brick &amp; RCC etc. at the walls, columns, beams etc., seven days water treatment as anti crack of plaster. Complete as per site engineer's instruction. </t>
    </r>
  </si>
  <si>
    <r>
      <t xml:space="preserve">Providing and laying up to </t>
    </r>
    <r>
      <rPr>
        <b/>
        <sz val="9"/>
        <rFont val="Calibri"/>
        <family val="2"/>
        <scheme val="minor"/>
      </rPr>
      <t>50-75 mm thick cement concrete flooring</t>
    </r>
    <r>
      <rPr>
        <sz val="9"/>
        <rFont val="Calibri"/>
        <family val="2"/>
        <scheme val="minor"/>
      </rPr>
      <t xml:space="preserve"> with 1:2:4 cement concrete laid to proper level and slope in alternate bays including compactions, filling joints,  or as directed, finishing smooth with cement Mortar 1:1 of sufficient minimum thickness to give a smooth &amp; even surface and curing etc. complete as per architects instructions.</t>
    </r>
  </si>
  <si>
    <r>
      <t>Providing and Laying</t>
    </r>
    <r>
      <rPr>
        <b/>
        <sz val="9"/>
        <rFont val="Calibri"/>
        <family val="2"/>
        <scheme val="minor"/>
      </rPr>
      <t xml:space="preserve"> KOTA stone of 19mm thk</t>
    </r>
    <r>
      <rPr>
        <sz val="9"/>
        <rFont val="Calibri"/>
        <family val="2"/>
        <scheme val="minor"/>
      </rPr>
      <t>. on avg 40 mm thk bed of 1:4 cement mortar in proper line and level including neat cement float, filling joints with neat cement slurry of appropriate colour, cleaning, curing, rubbing, complete. Scope includes laying of floor protective cover on the floor and removing of the same when directed along with supply of all necessary materials, labour, tools and tackles complete in line with the Technical Specification, Drawings and as per the direction of the Architect &amp; PMC. Including Polishing.</t>
    </r>
    <r>
      <rPr>
        <b/>
        <sz val="9"/>
        <color indexed="10"/>
        <rFont val="Calibri"/>
        <family val="2"/>
        <scheme val="minor"/>
      </rPr>
      <t xml:space="preserve"> </t>
    </r>
  </si>
  <si>
    <r>
      <t xml:space="preserve">P&amp;F of Black leather finish </t>
    </r>
    <r>
      <rPr>
        <b/>
        <sz val="9"/>
        <rFont val="Calibri"/>
        <family val="2"/>
        <scheme val="minor"/>
      </rPr>
      <t xml:space="preserve">Granite threshold </t>
    </r>
    <r>
      <rPr>
        <sz val="9"/>
        <rFont val="Calibri"/>
        <family val="2"/>
        <scheme val="minor"/>
      </rPr>
      <t>at the edges of the mall and outlet  flooring as per design drawing</t>
    </r>
  </si>
  <si>
    <r>
      <t>Providing and constructing Marble</t>
    </r>
    <r>
      <rPr>
        <b/>
        <sz val="9"/>
        <rFont val="Calibri"/>
        <family val="2"/>
        <scheme val="minor"/>
      </rPr>
      <t xml:space="preserve"> sill &amp; jamb for window</t>
    </r>
    <r>
      <rPr>
        <sz val="9"/>
        <rFont val="Calibri"/>
        <family val="2"/>
        <scheme val="minor"/>
      </rPr>
      <t xml:space="preserve"> as per drawings. Inclusive of making all  groove/chamfering/rounding/hole where ever required, in proper line and level in all direction, polishing/finishing etc. Complete as per detail drawing, specification and as directed by PMC.</t>
    </r>
  </si>
  <si>
    <r>
      <t xml:space="preserve">Providing and fixing </t>
    </r>
    <r>
      <rPr>
        <b/>
        <sz val="9"/>
        <rFont val="Calibri"/>
        <family val="2"/>
        <scheme val="minor"/>
      </rPr>
      <t xml:space="preserve">Glazed Decorative wall tiles </t>
    </r>
    <r>
      <rPr>
        <sz val="9"/>
        <rFont val="Calibri"/>
        <family val="2"/>
        <scheme val="minor"/>
      </rPr>
      <t>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t>
    </r>
  </si>
  <si>
    <r>
      <t xml:space="preserve">Providing and fixing </t>
    </r>
    <r>
      <rPr>
        <b/>
        <sz val="9"/>
        <rFont val="Calibri"/>
        <family val="2"/>
        <scheme val="minor"/>
      </rPr>
      <t xml:space="preserve">Ceramic wall tiles </t>
    </r>
    <r>
      <rPr>
        <sz val="9"/>
        <rFont val="Calibri"/>
        <family val="2"/>
        <scheme val="minor"/>
      </rPr>
      <t>which includes-approved make of adhesive like bal Endura or equivalent, grey cement paste with backing coat of 1:3 cement mortar not less than 12mm thick as &amp; where ever required, joint filler of approved make and colour, as and where ever required, in proper line and level in all direction, at all height with lead and lift, polishing/finishing/cleaning etc as per design, drawing and directed by PMC etc. all complete. (Color - white/ ivory)</t>
    </r>
  </si>
  <si>
    <r>
      <t>P&amp;F of 304 grade 3mm thick</t>
    </r>
    <r>
      <rPr>
        <b/>
        <sz val="9"/>
        <rFont val="Calibri"/>
        <family val="2"/>
        <scheme val="minor"/>
      </rPr>
      <t xml:space="preserve"> SS Corner guard</t>
    </r>
    <r>
      <rPr>
        <sz val="9"/>
        <rFont val="Calibri"/>
        <family val="2"/>
        <scheme val="minor"/>
      </rPr>
      <t xml:space="preserve"> (30mm x 30mm, mat finished as per approved sample) fixing with conceal tile on each corner of the kitchen's wall before cladding of tiles, so that the corner may be protected from the damages.  Complete in proper line &amp; level and site engineer's instruction.</t>
    </r>
  </si>
  <si>
    <r>
      <t>P&amp;F of 304 grade 3mm thick</t>
    </r>
    <r>
      <rPr>
        <b/>
        <sz val="9"/>
        <rFont val="Calibri"/>
        <family val="2"/>
        <scheme val="minor"/>
      </rPr>
      <t xml:space="preserve"> Brass Corner guard</t>
    </r>
    <r>
      <rPr>
        <sz val="9"/>
        <rFont val="Calibri"/>
        <family val="2"/>
        <scheme val="minor"/>
      </rPr>
      <t xml:space="preserve"> (30mm x 30mm, mat finished as per approved sample) fixing with conceal tile on each corner of the kitchen's wall before cladding of tiles, so that the corner may be protected from the damages.  Complete in proper line &amp; level and site engineer's instruction.</t>
    </r>
  </si>
  <si>
    <r>
      <t xml:space="preserve">Providing and constructing </t>
    </r>
    <r>
      <rPr>
        <b/>
        <sz val="9"/>
        <rFont val="Calibri"/>
        <family val="2"/>
        <scheme val="minor"/>
      </rPr>
      <t>Light weight blocks masonry</t>
    </r>
    <r>
      <rPr>
        <sz val="9"/>
        <rFont val="Calibri"/>
        <family val="2"/>
        <scheme val="minor"/>
      </rPr>
      <t xml:space="preserve"> in cement mortar 1:4 of approved make like </t>
    </r>
    <r>
      <rPr>
        <b/>
        <sz val="9"/>
        <rFont val="Calibri"/>
        <family val="2"/>
        <scheme val="minor"/>
      </rPr>
      <t>Aerocon/Siporex</t>
    </r>
    <r>
      <rPr>
        <sz val="9"/>
        <rFont val="Calibri"/>
        <family val="2"/>
        <scheme val="minor"/>
      </rPr>
      <t xml:space="preserve"> etc. Job to include raking out  joints, scaffolding, making openings walls, curing etc. in substructure and superstructure to its true line &amp; level in cement mortar proportion as specified in all shapes, size, at all heights, depths, leads &amp; locations etc. complete. The rate shall also include for cleaning of surface, hacking of RCC surface in contact with brickwork, racking of joints, providing, erecting, &amp; dismantling steel scaffolding , curing for 10 days.</t>
    </r>
  </si>
  <si>
    <r>
      <t xml:space="preserve">1 Nos. </t>
    </r>
    <r>
      <rPr>
        <b/>
        <sz val="9"/>
        <rFont val="Calibri"/>
        <family val="2"/>
        <scheme val="minor"/>
      </rPr>
      <t>160</t>
    </r>
    <r>
      <rPr>
        <sz val="9"/>
        <rFont val="Calibri"/>
        <family val="2"/>
        <scheme val="minor"/>
      </rPr>
      <t>A TP+NL MCCB with display built in thermal magnetic based release (adjustable O/L, adjustable S/C &amp; adjustable E/F) of fault breaking capacity 25KA (Ics=Icu=100%) upto 415V manually operated with extended rotary handle with castle lock for door interlock with Phase spreader &amp; Phase Barriers at both sides. MCCB shall conforming to IS-1397-2 1993 as amended.</t>
    </r>
  </si>
  <si>
    <r>
      <rPr>
        <b/>
        <sz val="9"/>
        <rFont val="Calibri"/>
        <family val="2"/>
        <scheme val="minor"/>
      </rPr>
      <t>200</t>
    </r>
    <r>
      <rPr>
        <sz val="9"/>
        <rFont val="Calibri"/>
        <family val="2"/>
        <scheme val="minor"/>
      </rPr>
      <t xml:space="preserve"> Amps TP+N, 25kA, 500volts grade busbar chamber of suitable length with </t>
    </r>
    <r>
      <rPr>
        <b/>
        <sz val="9"/>
        <rFont val="Calibri"/>
        <family val="2"/>
        <scheme val="minor"/>
      </rPr>
      <t>Aluminium</t>
    </r>
    <r>
      <rPr>
        <sz val="9"/>
        <rFont val="Calibri"/>
        <family val="2"/>
        <scheme val="minor"/>
      </rPr>
      <t xml:space="preserve"> busbars mount on SMC supports. All interconnections shall be as follows; a). Upto 63A, FRLS PVC insulated copper flexible colour coded wires b). 64Amp to 200Amp Copper Bus-bars and c). 201Amp and above Aluminium Bus-bars , current density of bus-bars shall not be less than 1Amps/sq.mm for Aluminium and 2Amps/sq.mm for copper cross sectional area of Bus Bar.</t>
    </r>
  </si>
  <si>
    <r>
      <rPr>
        <b/>
        <sz val="9"/>
        <rFont val="Calibri"/>
        <family val="2"/>
        <scheme val="minor"/>
      </rPr>
      <t>2 Set of 20A,TP MPCB</t>
    </r>
    <r>
      <rPr>
        <sz val="9"/>
        <rFont val="Calibri"/>
        <family val="2"/>
        <scheme val="minor"/>
      </rPr>
      <t xml:space="preserve"> with inbuilt over load relay of 50kA breaking capacity each with 5HP DOL motor starter type ii  co-ordination along with TP power contactors (AC3Duty) with inbuilt 2NO + 2NC contact and single phase Ammeter with single CT with selector switch, Red, Green &amp; Yellow Indicating Lamps each with control SP HRC Fuses, Start/Stop Push buttons, Auto/Manual/off selector switch, 230Vac, 0-30Secondand SPP Complete as required,  </t>
    </r>
    <r>
      <rPr>
        <b/>
        <sz val="9"/>
        <rFont val="Calibri"/>
        <family val="2"/>
        <scheme val="minor"/>
      </rPr>
      <t>For 2 Nos.2500-4000 CFM Ceiling suspended AHU.</t>
    </r>
  </si>
  <si>
    <r>
      <rPr>
        <b/>
        <sz val="9"/>
        <rFont val="Calibri"/>
        <family val="2"/>
        <scheme val="minor"/>
      </rPr>
      <t>1 Set of 40A,TP MPCB</t>
    </r>
    <r>
      <rPr>
        <sz val="9"/>
        <rFont val="Calibri"/>
        <family val="2"/>
        <scheme val="minor"/>
      </rPr>
      <t xml:space="preserve"> with inbuilt over load relay of 50kA breaking capacity each with 10HP DOL motor starter type ii  co-ordination along with TP power contactors (AC3Duty) with inbuilt 2NO + 2NC contact and single phase Ammeter with single CT with selector switch, Red, Green &amp; Yellow Indicating Lamps each with control SP HRC Fuses, Start/Stop Push buttons, Auto/Manual/off selector switch, 230Vac, 0-30Secondand SPP Complete as required,  </t>
    </r>
    <r>
      <rPr>
        <b/>
        <sz val="9"/>
        <rFont val="Calibri"/>
        <family val="2"/>
        <scheme val="minor"/>
      </rPr>
      <t>For 1 No. 12000/14000 CFM Floor Standing Air washer.</t>
    </r>
  </si>
  <si>
    <r>
      <rPr>
        <b/>
        <sz val="9"/>
        <rFont val="Calibri"/>
        <family val="2"/>
        <scheme val="minor"/>
      </rPr>
      <t>2 Set of 63A,TP MPCB</t>
    </r>
    <r>
      <rPr>
        <sz val="9"/>
        <rFont val="Calibri"/>
        <family val="2"/>
        <scheme val="minor"/>
      </rPr>
      <t xml:space="preserve"> with inbuilt over load relay of 50kA breaking capacity each with 15 HP Star-Delta motor starter type ii co-ordination along with 3 Nos TP power contactors (AC3Duty) with inbuilt 2NO + 2NC contact and necessary additional potantial free auxiliary contactor, 24 VAC Auxilary transformer (Minimum 100VA upto 5HP and 200VA for above), digital Ammeter with selector switch, Red, Green &amp; Yellow Indicating Lamps each with control SP HRC Fuses, Start/Stop Push buttons, Auto/Manual/off selector switch, Star-Delta timer and On delay Time for delayed automatic restart of air handling unit motor (0-180 Sec) and SPP Complete as required, For 1 No 12000/14000 CFM Floor Standing Wet Scrubber. Provide interlocking in such a manner, when  Air-Washer fresh air unit motor make start/stop subsequently the Pump &amp; motor Exhaust Scrubber shall start/stop vice varsa. In case any pump does not start with-in 30 second the motor of respective pump should also not start.</t>
    </r>
    <r>
      <rPr>
        <b/>
        <sz val="9"/>
        <rFont val="Calibri"/>
        <family val="2"/>
        <scheme val="minor"/>
      </rPr>
      <t xml:space="preserve"> (1 No. Dry Scrubber &amp; 1No. Spare)</t>
    </r>
  </si>
  <si>
    <r>
      <t xml:space="preserve">Supplying and fixing of following sizes of Corrugated pattern (min 120gsm) </t>
    </r>
    <r>
      <rPr>
        <b/>
        <sz val="9"/>
        <rFont val="Calibri"/>
        <family val="2"/>
        <scheme val="minor"/>
      </rPr>
      <t>Pre-Galvanized Steel</t>
    </r>
    <r>
      <rPr>
        <sz val="9"/>
        <rFont val="Calibri"/>
        <family val="2"/>
        <scheme val="minor"/>
      </rPr>
      <t xml:space="preserve"> (min Z120GSM) </t>
    </r>
    <r>
      <rPr>
        <b/>
        <sz val="9"/>
        <rFont val="Calibri"/>
        <family val="2"/>
        <scheme val="minor"/>
      </rPr>
      <t>Flexible Conduit</t>
    </r>
    <r>
      <rPr>
        <sz val="9"/>
        <rFont val="Calibri"/>
        <family val="2"/>
        <scheme val="minor"/>
      </rPr>
      <t xml:space="preserve"> as per IS:3480 &amp; BS:731-1 latest as on date, helical wound single lock, LFHSUV resistance against corrosion, certain water tightness, Coupler for tight spot installation at both ends. Temperature Range - 25 deg 'C' to +90 deg 'C' and IP rating: 40, complete with all required accessories in such a way wires should not be viewed and proper clamp on surface at max distance of 300mm completed as required.</t>
    </r>
  </si>
  <si>
    <r>
      <t xml:space="preserve">Design, fabrication, assembling, wiring, supply, installation, testing &amp; commissioning of (IP:43) horizontal type 7-Segment Distribution boards Three pole and Neutral conforming to IS: 8623-1 &amp; 3, made out of pre-treated and powder coated (minimum 60-80 micron), minimum 1.2mm thick sheet steel double door enclosure (IK 09), 500 V, mount on surface / recess, complete with minimum 3 x 63A tinned copper insulated prong type short links with end cap , common neutral bus bar, common earth bar, din bar, interconnections including earthing stud etc. as required. The cost shall include required minimum 10sqmm copper insulated interconnection wire set, blanking Plates, sticking saddles, cement spill protector, cable ties, circuit identification labels &amp; laminated DB Detail chart as standard or as suggested by Architect/Consultant. </t>
    </r>
    <r>
      <rPr>
        <b/>
        <sz val="9"/>
        <rFont val="Calibri"/>
        <family val="2"/>
        <scheme val="minor"/>
      </rPr>
      <t>(As described below)</t>
    </r>
  </si>
  <si>
    <r>
      <t xml:space="preserve">Supply, laying, connection, testing and commissioning of following sizes of 1.1kV grade  </t>
    </r>
    <r>
      <rPr>
        <b/>
        <sz val="9"/>
        <rFont val="Calibri"/>
        <family val="2"/>
        <scheme val="minor"/>
      </rPr>
      <t xml:space="preserve">Single core FR PVC </t>
    </r>
    <r>
      <rPr>
        <sz val="9"/>
        <rFont val="Calibri"/>
        <family val="2"/>
        <scheme val="minor"/>
      </rPr>
      <t xml:space="preserve">insulated </t>
    </r>
    <r>
      <rPr>
        <b/>
        <sz val="9"/>
        <rFont val="Calibri"/>
        <family val="2"/>
        <scheme val="minor"/>
      </rPr>
      <t xml:space="preserve">Single core </t>
    </r>
    <r>
      <rPr>
        <sz val="9"/>
        <rFont val="Calibri"/>
        <family val="2"/>
        <scheme val="minor"/>
      </rPr>
      <t xml:space="preserve">unsheathed Industrial Flexible </t>
    </r>
    <r>
      <rPr>
        <b/>
        <sz val="9"/>
        <rFont val="Calibri"/>
        <family val="2"/>
        <scheme val="minor"/>
      </rPr>
      <t>Cable</t>
    </r>
    <r>
      <rPr>
        <sz val="9"/>
        <rFont val="Calibri"/>
        <family val="2"/>
        <scheme val="minor"/>
      </rPr>
      <t xml:space="preserve"> confirming to IS:694/1990 and IS: 732 for installation with Flexible Bright annealed copper conductor for 1.1kV voltage grade. It should include both ends terminal joints providing tinned copper terminal lugs, single compression PVC cable glands up to 16 sqmm cable and double compression PVC cable glands for above, insulation tape, effecting terminal connections to the equipment complete as required.</t>
    </r>
  </si>
  <si>
    <r>
      <t>Wiring for SWITCH Controlled light &amp; Fan point with 1.5Sqm FRLS PVC insulated multistrandeded copper conductor 1100 Volt grade wires in</t>
    </r>
    <r>
      <rPr>
        <b/>
        <sz val="9"/>
        <rFont val="Calibri"/>
        <family val="2"/>
        <scheme val="minor"/>
      </rPr>
      <t xml:space="preserve"> GI surface/concealed conduit</t>
    </r>
    <r>
      <rPr>
        <sz val="9"/>
        <rFont val="Calibri"/>
        <family val="2"/>
        <scheme val="minor"/>
      </rPr>
      <t xml:space="preserve"> with accessories including cost of providing saddles etc for surface conduiting and/or cost of cutting and filling chases for recessed conduiting and including the cost of supplying and fixing a 6 Amp 240 Volt grid plate mounted modulr switch with moulded cover plate in zinc chromate passivated MS box, including the cost of running 1.5 sq mm green colour FRLS PVC insulated copper solid conductor wire for loop earthing complete as per specifications and as required, including providing of 2x1.5 sq.mm. +1.5 sq.mm. (E) circuit wiring from DB to switch board. </t>
    </r>
    <r>
      <rPr>
        <b/>
        <sz val="9"/>
        <rFont val="Calibri"/>
        <family val="2"/>
        <scheme val="minor"/>
      </rPr>
      <t>(Cost of MCB not to be included in this item)</t>
    </r>
  </si>
  <si>
    <r>
      <t xml:space="preserve">Wiring for MCB Controlled light point with 1.5Sqm FRLS PVC insulated multistrandeded copper conductor 1100 Volt grade wires in </t>
    </r>
    <r>
      <rPr>
        <b/>
        <sz val="9"/>
        <rFont val="Calibri"/>
        <family val="2"/>
        <scheme val="minor"/>
      </rPr>
      <t xml:space="preserve">GI surface/concealed conduit </t>
    </r>
    <r>
      <rPr>
        <sz val="9"/>
        <rFont val="Calibri"/>
        <family val="2"/>
        <scheme val="minor"/>
      </rPr>
      <t xml:space="preserve">with accessories including cost of providing saddles etc for surface conduiting and/or cost of cutting and filling chases for recessed conduiting and including the cost of supplying and fixing a 6 Amp 240 Volt grid plate mounted modulr switch with moulded cover plate in zinc chromate passivated MS box, including the cost of running 1.5 sq mm green colour FRLS PVC insulated copper solid conductor wire for loop earthing complete as per specifications and as required, including providing of 2x1.5 sq.mm. +1.5 sq.mm. (E) circuit wiring from DB to switch board. </t>
    </r>
    <r>
      <rPr>
        <b/>
        <sz val="9"/>
        <rFont val="Calibri"/>
        <family val="2"/>
        <scheme val="minor"/>
      </rPr>
      <t>(Cost of MCB not to be included in this item)</t>
    </r>
  </si>
  <si>
    <r>
      <t xml:space="preserve">Secondary Looped Power point Wiring on the above circuit for </t>
    </r>
    <r>
      <rPr>
        <b/>
        <sz val="9"/>
        <rFont val="Calibri"/>
        <family val="2"/>
        <scheme val="minor"/>
      </rPr>
      <t>6 pin 6/ 16 A Power plug</t>
    </r>
    <r>
      <rPr>
        <sz val="9"/>
        <rFont val="Calibri"/>
        <family val="2"/>
        <scheme val="minor"/>
      </rPr>
      <t xml:space="preserve"> point controlled by 16A Switch with 3 x 4 Sq. mm PVC insulated FRLS multi strand copper conductor 1100 Volt grade wires in recessed/surface </t>
    </r>
    <r>
      <rPr>
        <b/>
        <sz val="9"/>
        <rFont val="Calibri"/>
        <family val="2"/>
        <scheme val="minor"/>
      </rPr>
      <t>GI conduit</t>
    </r>
    <r>
      <rPr>
        <sz val="9"/>
        <rFont val="Calibri"/>
        <family val="2"/>
        <scheme val="minor"/>
      </rPr>
      <t xml:space="preserve"> with accessories including cost of providing saddles etc for surface conduiting and/or cost of cutting chases for recessed conduiting, including the cost of providing &amp; fixing  of Modular 6 pin 6A/ 16 A socket outlet controlled by 16 A switch in zinc chromate passivated PVC box, complete as per specification and as required.  (Looped socket on item above in same circuit)</t>
    </r>
  </si>
  <si>
    <r>
      <t>Power point Wiring for a set of</t>
    </r>
    <r>
      <rPr>
        <b/>
        <sz val="9"/>
        <rFont val="Calibri"/>
        <family val="2"/>
        <scheme val="minor"/>
      </rPr>
      <t xml:space="preserve"> 6 pin 2x6/ 16 A Power plug</t>
    </r>
    <r>
      <rPr>
        <sz val="9"/>
        <rFont val="Calibri"/>
        <family val="2"/>
        <scheme val="minor"/>
      </rPr>
      <t xml:space="preserve"> point controlled by 1x16A Switch with 3 x 4 Sq. mm PVC insulated FRLS multi strand copper conductor 1100 Volt grade wires in recessed/surface </t>
    </r>
    <r>
      <rPr>
        <b/>
        <sz val="9"/>
        <rFont val="Calibri"/>
        <family val="2"/>
        <scheme val="minor"/>
      </rPr>
      <t>GI conduit</t>
    </r>
    <r>
      <rPr>
        <sz val="9"/>
        <rFont val="Calibri"/>
        <family val="2"/>
        <scheme val="minor"/>
      </rPr>
      <t xml:space="preserve"> with accessories including cost of providing saddles etc for surface conduiting and/or cost of cutting chases for recessed conduiting, including the cost of providing &amp; fixing Modular 6 pin 2 nos.6A/ 16 A socket outlet controlled by 1 no. 16 A switch in zinc chromate passivated PVC box, complete as per specification and as required. (raw +ups circuits both)</t>
    </r>
  </si>
  <si>
    <r>
      <t xml:space="preserve">Wiring for single phase </t>
    </r>
    <r>
      <rPr>
        <b/>
        <sz val="9"/>
        <rFont val="Calibri"/>
        <family val="2"/>
        <scheme val="minor"/>
      </rPr>
      <t>20A, 230 V  Industrial Socket &amp; Plug Top in Moulded Plastic Box (IP55)</t>
    </r>
    <r>
      <rPr>
        <sz val="9"/>
        <rFont val="Calibri"/>
        <family val="2"/>
        <scheme val="minor"/>
      </rPr>
      <t xml:space="preserve"> controlled by </t>
    </r>
    <r>
      <rPr>
        <b/>
        <sz val="9"/>
        <rFont val="Calibri"/>
        <family val="2"/>
        <scheme val="minor"/>
      </rPr>
      <t xml:space="preserve">20A SP MCB </t>
    </r>
    <r>
      <rPr>
        <sz val="9"/>
        <rFont val="Calibri"/>
        <family val="2"/>
        <scheme val="minor"/>
      </rPr>
      <t xml:space="preserve">with 3 x 4 Sq. mm PVC insulated FRLS multi strand copper conductor 1100 Volt grade wires in recessed/surface </t>
    </r>
    <r>
      <rPr>
        <b/>
        <sz val="9"/>
        <rFont val="Calibri"/>
        <family val="2"/>
        <scheme val="minor"/>
      </rPr>
      <t>GI conduit</t>
    </r>
    <r>
      <rPr>
        <sz val="9"/>
        <rFont val="Calibri"/>
        <family val="2"/>
        <scheme val="minor"/>
      </rPr>
      <t xml:space="preserve"> with accessories including cost of saddles etc for surface conduiting and/or cost of cutting chases for recessed conduiting, including providing of JB at Eqpt. Location, complete as per specification and as required. (Make ABB, Legrands, Schneider) </t>
    </r>
  </si>
  <si>
    <r>
      <t xml:space="preserve">Wiring for single phase </t>
    </r>
    <r>
      <rPr>
        <b/>
        <sz val="9"/>
        <rFont val="Calibri"/>
        <family val="2"/>
        <scheme val="minor"/>
      </rPr>
      <t>32A, 230 V  Industrial Socket &amp; Plug Top in Moulded Plastic Box (IP55)</t>
    </r>
    <r>
      <rPr>
        <sz val="9"/>
        <rFont val="Calibri"/>
        <family val="2"/>
        <scheme val="minor"/>
      </rPr>
      <t xml:space="preserve"> controlled by </t>
    </r>
    <r>
      <rPr>
        <b/>
        <sz val="9"/>
        <rFont val="Calibri"/>
        <family val="2"/>
        <scheme val="minor"/>
      </rPr>
      <t xml:space="preserve">32A DP MCB </t>
    </r>
    <r>
      <rPr>
        <sz val="9"/>
        <rFont val="Calibri"/>
        <family val="2"/>
        <scheme val="minor"/>
      </rPr>
      <t>with 3 x 6 Sq. mm PVC insulated FRLS multi strand copper conductor 1100 Volt grade wires in recessed/surface</t>
    </r>
    <r>
      <rPr>
        <b/>
        <sz val="9"/>
        <rFont val="Calibri"/>
        <family val="2"/>
        <scheme val="minor"/>
      </rPr>
      <t xml:space="preserve"> GI conduit</t>
    </r>
    <r>
      <rPr>
        <sz val="9"/>
        <rFont val="Calibri"/>
        <family val="2"/>
        <scheme val="minor"/>
      </rPr>
      <t xml:space="preserve"> with accessories including cost of saddles etc for surface conduiting and/or cost of cutting chases for recessed conduiting, including providing of JB at Eqpt. Location, complete as per specification and as required. (Make ABB, Legrands, Schneider) </t>
    </r>
  </si>
  <si>
    <r>
      <t xml:space="preserve">Wiring for three phase </t>
    </r>
    <r>
      <rPr>
        <b/>
        <sz val="9"/>
        <rFont val="Calibri"/>
        <family val="2"/>
        <scheme val="minor"/>
      </rPr>
      <t>20A, 400 V  Industrial Socket &amp; Plug Top in Moulded Plastic Box (IP55)</t>
    </r>
    <r>
      <rPr>
        <sz val="9"/>
        <rFont val="Calibri"/>
        <family val="2"/>
        <scheme val="minor"/>
      </rPr>
      <t xml:space="preserve"> controlled by </t>
    </r>
    <r>
      <rPr>
        <b/>
        <sz val="9"/>
        <rFont val="Calibri"/>
        <family val="2"/>
        <scheme val="minor"/>
      </rPr>
      <t xml:space="preserve">20A FP MCB </t>
    </r>
    <r>
      <rPr>
        <sz val="9"/>
        <rFont val="Calibri"/>
        <family val="2"/>
        <scheme val="minor"/>
      </rPr>
      <t xml:space="preserve">with 4 x 4 Sq. mm PVC insulated FRLS multi strand copper conductor 1100 Volt grade wires in recessed/surface </t>
    </r>
    <r>
      <rPr>
        <b/>
        <sz val="9"/>
        <rFont val="Calibri"/>
        <family val="2"/>
        <scheme val="minor"/>
      </rPr>
      <t>GI conduit</t>
    </r>
    <r>
      <rPr>
        <sz val="9"/>
        <rFont val="Calibri"/>
        <family val="2"/>
        <scheme val="minor"/>
      </rPr>
      <t xml:space="preserve"> with accessories including cost of saddles etc for surface conduiting and/or cost of cutting chases for recessed conduiting, including providing of JB at Eqpt. Location, complete as per specification and as required. (Make ABB, Legrands, Schneider) </t>
    </r>
  </si>
  <si>
    <r>
      <t xml:space="preserve">Wiring for three phase </t>
    </r>
    <r>
      <rPr>
        <b/>
        <sz val="9"/>
        <rFont val="Calibri"/>
        <family val="2"/>
        <scheme val="minor"/>
      </rPr>
      <t>32A, 400 V  Industrial Socket &amp; Plug Top in Moulded Plastic Box (IP55)</t>
    </r>
    <r>
      <rPr>
        <sz val="9"/>
        <rFont val="Calibri"/>
        <family val="2"/>
        <scheme val="minor"/>
      </rPr>
      <t xml:space="preserve"> controlled by </t>
    </r>
    <r>
      <rPr>
        <b/>
        <sz val="9"/>
        <rFont val="Calibri"/>
        <family val="2"/>
        <scheme val="minor"/>
      </rPr>
      <t xml:space="preserve">32A FP MCB </t>
    </r>
    <r>
      <rPr>
        <sz val="9"/>
        <rFont val="Calibri"/>
        <family val="2"/>
        <scheme val="minor"/>
      </rPr>
      <t xml:space="preserve">with 4 x 6 Sq. mm PVC insulated FRLS multi strand copper conductor 1100 Volt grade wires in recessed/surface </t>
    </r>
    <r>
      <rPr>
        <b/>
        <sz val="9"/>
        <rFont val="Calibri"/>
        <family val="2"/>
        <scheme val="minor"/>
      </rPr>
      <t>GI conduit</t>
    </r>
    <r>
      <rPr>
        <sz val="9"/>
        <rFont val="Calibri"/>
        <family val="2"/>
        <scheme val="minor"/>
      </rPr>
      <t xml:space="preserve"> with accessories including cost of saddles etc for surface conduiting and/or cost of cutting chases for recessed conduiting, including providing of JB at Eqpt. Location, complete as per specification and as required. (Make ABB, Legrands, Schneider) </t>
    </r>
  </si>
  <si>
    <r>
      <t xml:space="preserve">Wiring for three phase </t>
    </r>
    <r>
      <rPr>
        <b/>
        <sz val="9"/>
        <rFont val="Calibri"/>
        <family val="2"/>
        <scheme val="minor"/>
      </rPr>
      <t>32A, 400 V  Industrial Socket &amp; Plug Top in Moulded Plastic Box (IP55)</t>
    </r>
    <r>
      <rPr>
        <sz val="9"/>
        <rFont val="Calibri"/>
        <family val="2"/>
        <scheme val="minor"/>
      </rPr>
      <t xml:space="preserve"> controlled by </t>
    </r>
    <r>
      <rPr>
        <b/>
        <sz val="9"/>
        <rFont val="Calibri"/>
        <family val="2"/>
        <scheme val="minor"/>
      </rPr>
      <t xml:space="preserve">32A FP MCB </t>
    </r>
    <r>
      <rPr>
        <sz val="9"/>
        <rFont val="Calibri"/>
        <family val="2"/>
        <scheme val="minor"/>
      </rPr>
      <t xml:space="preserve">with 4 x 10 Sq. mm PVC insulated FRLS multi strand copper conductor 1100 Volt grade wires in recessed/surface </t>
    </r>
    <r>
      <rPr>
        <b/>
        <sz val="9"/>
        <rFont val="Calibri"/>
        <family val="2"/>
        <scheme val="minor"/>
      </rPr>
      <t>GI conduit</t>
    </r>
    <r>
      <rPr>
        <sz val="9"/>
        <rFont val="Calibri"/>
        <family val="2"/>
        <scheme val="minor"/>
      </rPr>
      <t xml:space="preserve"> with accessories including cost of saddles etc for surface conduiting and/or cost of cutting chases for recessed conduiting, including providing of JB at Eqpt. Location, complete as per specification and as required. (Make ABB, Legrands, Schneider) </t>
    </r>
  </si>
  <si>
    <r>
      <t xml:space="preserve">Wiring for three phase 32A, FP Juntion Box (IP55) with 4 x 6 Sq. mm PVC insulated FRLS multi strand copper conductor 1100 Volt grade wires in recessed/surface </t>
    </r>
    <r>
      <rPr>
        <b/>
        <sz val="9"/>
        <rFont val="Calibri"/>
        <family val="2"/>
        <scheme val="minor"/>
      </rPr>
      <t>GI conduit</t>
    </r>
    <r>
      <rPr>
        <sz val="9"/>
        <rFont val="Calibri"/>
        <family val="2"/>
        <scheme val="minor"/>
      </rPr>
      <t xml:space="preserve"> with accessories including cost of saddles etc for surface conduiting and/or cost of cutting chases for recessed conduiting, including providing of JB at Eqpt. Location, complete as per specification and as required. (without any MCB) </t>
    </r>
  </si>
  <si>
    <r>
      <t xml:space="preserve">Extra for providing &amp; fixing of </t>
    </r>
    <r>
      <rPr>
        <b/>
        <sz val="9"/>
        <rFont val="Calibri"/>
        <family val="2"/>
        <scheme val="minor"/>
      </rPr>
      <t>32A FP MCB (IP55)</t>
    </r>
    <r>
      <rPr>
        <sz val="9"/>
        <rFont val="Calibri"/>
        <family val="2"/>
        <scheme val="minor"/>
      </rPr>
      <t xml:space="preserve"> near by the above item. (Make ABB, Legrands, Schneider)</t>
    </r>
  </si>
  <si>
    <r>
      <t xml:space="preserve">Wiring for three phase 63A, FP Juntion Box (IP55) with 4 x  10 Sq. mm PVC insulated FRLS multi strand copper conductor 1100 Volt grade wires in recessed/surface </t>
    </r>
    <r>
      <rPr>
        <b/>
        <sz val="9"/>
        <rFont val="Calibri"/>
        <family val="2"/>
        <scheme val="minor"/>
      </rPr>
      <t>GI conduit</t>
    </r>
    <r>
      <rPr>
        <sz val="9"/>
        <rFont val="Calibri"/>
        <family val="2"/>
        <scheme val="minor"/>
      </rPr>
      <t xml:space="preserve"> with accessories including cost of saddles etc for surface conduiting and/or cost of cutting chases for recessed conduiting, including providing of JB at Eqpt. Location, complete as per specification and as required. (without any MCB) </t>
    </r>
  </si>
  <si>
    <r>
      <t xml:space="preserve">Extra for providing &amp; fixing of </t>
    </r>
    <r>
      <rPr>
        <b/>
        <sz val="9"/>
        <rFont val="Calibri"/>
        <family val="2"/>
        <scheme val="minor"/>
      </rPr>
      <t>63A FP MCB (IP55)</t>
    </r>
    <r>
      <rPr>
        <sz val="9"/>
        <rFont val="Calibri"/>
        <family val="2"/>
        <scheme val="minor"/>
      </rPr>
      <t xml:space="preserve"> near by the above item. (Make ABB, Legrands, Schneider)</t>
    </r>
  </si>
  <si>
    <r>
      <t xml:space="preserve">Installation, testing, &amp; commissioning of following type of Lighting Fixtures including all fixing  hardwares complete as required </t>
    </r>
    <r>
      <rPr>
        <b/>
        <sz val="9"/>
        <rFont val="Calibri"/>
        <family val="2"/>
        <scheme val="minor"/>
      </rPr>
      <t>Make - Philips, Wipro, Havells, Futura</t>
    </r>
  </si>
  <si>
    <r>
      <t xml:space="preserve">SELF CONTAINED RECHARGEABLE EMERGENCY LED LIGHT </t>
    </r>
    <r>
      <rPr>
        <b/>
        <sz val="9"/>
        <rFont val="Calibri"/>
        <family val="2"/>
        <scheme val="minor"/>
      </rPr>
      <t>30W (3 Hours Backup, IP 65, Weatherproof) Makes: Prolite, Philips, Futura</t>
    </r>
  </si>
  <si>
    <r>
      <t xml:space="preserve">Supply, Installation, Testing &amp; Commissioning of </t>
    </r>
    <r>
      <rPr>
        <b/>
        <sz val="9"/>
        <rFont val="Calibri"/>
        <family val="2"/>
        <scheme val="minor"/>
      </rPr>
      <t>6 KVA UPS</t>
    </r>
    <r>
      <rPr>
        <sz val="9"/>
        <rFont val="Calibri"/>
        <family val="2"/>
        <scheme val="minor"/>
      </rPr>
      <t xml:space="preserve"> complete with sealed Maintenace free 12 V Battery for 30 Minutes back-up. Make: Socemec / Labotek / APC</t>
    </r>
  </si>
  <si>
    <r>
      <t xml:space="preserve">Supply, installation, testing and commissioning of </t>
    </r>
    <r>
      <rPr>
        <b/>
        <sz val="9"/>
        <rFont val="Calibri"/>
        <family val="2"/>
        <scheme val="minor"/>
      </rPr>
      <t>Siren cum Strobe</t>
    </r>
    <r>
      <rPr>
        <sz val="9"/>
        <rFont val="Calibri"/>
        <family val="2"/>
        <scheme val="minor"/>
      </rPr>
      <t xml:space="preserve"> mount on surface / wall / false ceiling complete as required. </t>
    </r>
  </si>
  <si>
    <r>
      <t xml:space="preserve">Installation, Testing and Commissioning of 2MP x IR Fixed lens Turret Camera, 1920 X 1080 at 25/30fps,1/2.9"CMOS, Fixed lens 2.8mm,H.265, H.264 compression,Smart Compression, internal 850nm IR Range 30 meter or better,Built in Microphone, 100dB true WDR as per IEC62676, Triple streaming,Motion Detection,Camera sabotage,IP66,IK10 Housing,Camera shall support  SD card 512GB or better ,ONVIF profile S,G, &amp; T,NDAA,UL/cUL Listed, UL 60950-22, CE, FCC.  
</t>
    </r>
    <r>
      <rPr>
        <b/>
        <sz val="9"/>
        <rFont val="Calibri"/>
        <family val="2"/>
        <scheme val="minor"/>
      </rPr>
      <t>Approved Makes- Axis P series/ Pelco Value Series /  Avigilon H5 series/ Mobotix</t>
    </r>
  </si>
  <si>
    <t xml:space="preserve">TOTAL COST OF ELECTRICAL </t>
  </si>
  <si>
    <r>
      <t xml:space="preserve">Providing,   fixing,  jointing    and    testing   in   position UPVC pipes   for soil, waste  and  vent  installation  conforming  cut  to  required  lengths including  all   necessary  fittings and specials such as Bends, junctions, offsets, access pieces (plain or door) &amp; vent cowl. Fixing at wall/ceiling level supported by  clamps   &amp;  hangers etc.    Making    proper  connection  with   sealerl  joint of required depth,making connection with existing pipes with all fittings including cutting, chases/holes in floors /walls/ slab  etc  and making good the same after pipe  have  been  duly  laid  and  testing complete. ( Including Fiittings like Nani Trap etc ) - </t>
    </r>
    <r>
      <rPr>
        <b/>
        <sz val="9"/>
        <color theme="1"/>
        <rFont val="Calibri"/>
        <family val="2"/>
        <scheme val="minor"/>
      </rPr>
      <t xml:space="preserve"> 6 Kg Pressure Pipe Make -  Prices. Aster, Himalaya or Equivalent</t>
    </r>
  </si>
  <si>
    <r>
      <t xml:space="preserve">Providing, fixing &amp; testing uPVC pipes, conforming to IS 4985 class 3 (6 kg/cm2) including injection moulded fittings, jointing with solvent cement, cutting and making good the floors and walls and jointing  to trap/waste pipe, complete of outer dia. </t>
    </r>
    <r>
      <rPr>
        <b/>
        <sz val="9"/>
        <color theme="1"/>
        <rFont val="Calibri"/>
        <family val="2"/>
        <scheme val="minor"/>
      </rPr>
      <t>Make -  Prices. Aster, Himalaya or Equivalent</t>
    </r>
  </si>
  <si>
    <r>
      <t xml:space="preserve">Providing and fixing CPVC (Chlorinated Poly Vinyl Chloride) water supply pipes with pipe as per CTS SDR 11 at working pressure of 400 PSI at 23. Deg.C &amp; 100 PSI AT 82 Deg. C &amp; SCH 40 pipe as per ASTM F441 &amp; fittings as per ASTM F439 shall be used for higher diameter of cPVC pipes &amp; fittings in size 65 mm, 80 mm &amp; 100 mm.using solvent welded CPVC fittings l.e. Tees, Elbows, Couplers, Uniouns, Reducers, brushings etc. including transition fittings connection between CPVC &amp; metal pipe/G.l i.e. Brass Adaptors (Both male &amp; Female threaded) with only CPVC solvent cement with fabricated and subsequently hot dip galvanised clamps / structural steel supports as required / directed at site including cutting chase and fitting the same with cement concrete cement mortar as required. All termination points for installation of faucets shall have brass termination fittings. Installation shall be to the satisfication of the Engineer-In-Charge. (for domestic and flushing water supply inside the shafts and ceiling floor) </t>
    </r>
    <r>
      <rPr>
        <b/>
        <sz val="9"/>
        <color theme="1"/>
        <rFont val="Calibri"/>
        <family val="2"/>
        <scheme val="minor"/>
      </rPr>
      <t>Make - Jindal, Prices. Aster, Himalaya or Equivalent</t>
    </r>
  </si>
  <si>
    <r>
      <t>Providing and Fixing 100 Lph R.O Unit with  500 ltr Water tank for RO</t>
    </r>
    <r>
      <rPr>
        <b/>
        <sz val="9"/>
        <color theme="1"/>
        <rFont val="Calibri"/>
        <family val="2"/>
        <scheme val="minor"/>
      </rPr>
      <t xml:space="preserve"> Make - Sintex or Equivalent - Color - White</t>
    </r>
    <r>
      <rPr>
        <sz val="9"/>
        <color theme="1"/>
        <rFont val="Calibri"/>
        <family val="2"/>
        <scheme val="minor"/>
      </rPr>
      <t xml:space="preserve"> ( Food Grade)</t>
    </r>
  </si>
  <si>
    <r>
      <t xml:space="preserve">Providing &amp; Fixing  </t>
    </r>
    <r>
      <rPr>
        <b/>
        <sz val="9"/>
        <color theme="1"/>
        <rFont val="Calibri"/>
        <family val="2"/>
        <scheme val="minor"/>
      </rPr>
      <t>Hot water geyser</t>
    </r>
    <r>
      <rPr>
        <sz val="9"/>
        <color theme="1"/>
        <rFont val="Calibri"/>
        <family val="2"/>
        <scheme val="minor"/>
      </rPr>
      <t xml:space="preserve"> (make venus &amp; equvlent)</t>
    </r>
  </si>
  <si>
    <r>
      <t xml:space="preserve">Providing and fixing of 15 mm dia </t>
    </r>
    <r>
      <rPr>
        <b/>
        <sz val="9"/>
        <color theme="1"/>
        <rFont val="Calibri"/>
        <family val="2"/>
        <scheme val="minor"/>
      </rPr>
      <t>brass angle valve</t>
    </r>
    <r>
      <rPr>
        <sz val="9"/>
        <color theme="1"/>
        <rFont val="Calibri"/>
        <family val="2"/>
        <scheme val="minor"/>
      </rPr>
      <t xml:space="preserve"> complete with wall flange of approved make.</t>
    </r>
    <r>
      <rPr>
        <b/>
        <sz val="9"/>
        <color theme="1"/>
        <rFont val="Calibri"/>
        <family val="2"/>
        <scheme val="minor"/>
      </rPr>
      <t xml:space="preserve"> (For Sink &amp; Geyser)</t>
    </r>
  </si>
  <si>
    <r>
      <t xml:space="preserve">Providing and fixing of 15 mm dia, 600 mm length stainless </t>
    </r>
    <r>
      <rPr>
        <b/>
        <sz val="9"/>
        <color theme="1"/>
        <rFont val="Calibri"/>
        <family val="2"/>
        <scheme val="minor"/>
      </rPr>
      <t>steel braided flexible connection pipes</t>
    </r>
    <r>
      <rPr>
        <sz val="9"/>
        <color theme="1"/>
        <rFont val="Calibri"/>
        <family val="2"/>
        <scheme val="minor"/>
      </rPr>
      <t xml:space="preserve"> with C.P nuts, of approved make. </t>
    </r>
    <r>
      <rPr>
        <b/>
        <sz val="9"/>
        <color theme="1"/>
        <rFont val="Calibri"/>
        <family val="2"/>
        <scheme val="minor"/>
      </rPr>
      <t>(For Sink &amp; Geyser)</t>
    </r>
  </si>
  <si>
    <r>
      <t xml:space="preserve">Supply, Installation , testing and commissioning  of "Eurovent certified Class- A efficiency", factory built ceiling suspended Double Skinned Chilled  water air-handling unit with thermal break profile fabricated out of extruded aluminium section with 0.8mm pre-plasticized GI  sheet outside &amp; 0.8mm plain 275GSM GI Sheet inside, blower section with AMCA certified </t>
    </r>
    <r>
      <rPr>
        <b/>
        <sz val="9"/>
        <rFont val="Calibri"/>
        <family val="2"/>
        <scheme val="minor"/>
      </rPr>
      <t>Plug fans with VFD</t>
    </r>
    <r>
      <rPr>
        <sz val="9"/>
        <rFont val="Calibri"/>
        <family val="2"/>
        <scheme val="minor"/>
      </rPr>
      <t xml:space="preserve"> having airfoil blade (Suitable static pressure as required , minimum 2 bend GSS/ PVC eliminators ) and  blower motor TEFC type with IE-3 Class rating suitable for operation on 415 volts ± 10% , 50 Hz ± 5% AC supply , 6RD (3RD+3RD With 400mm gap between the two coils )  cooling  coil  selected for off coil temperature  of 11.5 °C of Aluminium finned Copper tube( Tube thickness not less than 0.5 mm) and with coil section , thermostat ,pre-filter with non wovensynthetic media  down to 10 micron  particle  size  with an efficiency  of  90% &amp; space for Electrostatic</t>
    </r>
    <r>
      <rPr>
        <strike/>
        <sz val="9"/>
        <rFont val="Calibri"/>
        <family val="2"/>
        <scheme val="minor"/>
      </rPr>
      <t xml:space="preserve"> </t>
    </r>
    <r>
      <rPr>
        <sz val="9"/>
        <rFont val="Calibri"/>
        <family val="2"/>
        <scheme val="minor"/>
      </rPr>
      <t>filter section  air purification system that improves the indoor air quality through reducing harmful pollutants like particulate matter (PMx), PM 2.5, allergens, pollen, smoke, bacteria, pathogens based on Electrostatic precipitation technology,polished stainless steel drain pan made  out of 18 G sheet duly insulated complete with motor  and  belt  drive  package.It should be a monobloc structured unit specifically designed for integration in Return Air path of the AHU, to centrally capture the pollutants.  The AHU shall be complete in all respect and drain piping as per the specification to be provided to the closest floor drain. The unit shall be BMS compatible.
Note: all hanging support GRIPPLE / HIRA WALRAVEN guide line (SMACNA)</t>
    </r>
  </si>
  <si>
    <r>
      <t xml:space="preserve"> </t>
    </r>
    <r>
      <rPr>
        <b/>
        <sz val="9"/>
        <color indexed="8"/>
        <rFont val="Calibri"/>
        <family val="2"/>
        <scheme val="minor"/>
      </rPr>
      <t>Note:- complete all accessories, fittings, MS pipes 10 mtr.,PICV Valve,  Drain with insulation as required. Make:- Zonex, Zeco, VTS</t>
    </r>
  </si>
  <si>
    <r>
      <t xml:space="preserve">Receiving, Installation, testing and commissioning  of  </t>
    </r>
    <r>
      <rPr>
        <sz val="9"/>
        <color rgb="FF000000"/>
        <rFont val="Calibri"/>
        <family val="2"/>
        <scheme val="minor"/>
      </rPr>
      <t>Double Skin (Forward Curved DIDW Fan) Air Washer Unit will be comprising as per Follow : -</t>
    </r>
  </si>
  <si>
    <r>
      <t xml:space="preserve">Double skin Modular Extracted   Aluminum Profile frame construction with  25 mm thk. Insulated Panel Fan section with Fan canvass connection, drive package with taper lock pullies ,electric motor ,Base frame for Fan motor assembly , Vibration isolator, Access door for maintenance and Angle base frame for unit in 50x5 mm. TEFC foot mounted induction motor suitable for 415V +10% Hz , 3 phase supply , 1440 rpm , Insulation class F and Eff - 2, Degree of protection IP 55 ,conforms to IS : 325. Humidification section with 200 &amp; 50 mm thick cell pad,  SS-304  sump ( 18 G ), single  phase pump &amp; PVC  Internal piping with spray headers. Filter section with 50 mm thk. Wire mesh metallic Pre filter, giving minimum 90% efficiency, makeup, quickfill and drain connections, butterfly valves for quickfill, pumps (2 Nos, 1W+1S), Y strainers and necessary fittings.         
</t>
    </r>
    <r>
      <rPr>
        <b/>
        <sz val="9"/>
        <rFont val="Calibri"/>
        <family val="2"/>
        <scheme val="minor"/>
      </rPr>
      <t>Note : It is contractor responsibilty to provide  secure structural framework for ceiling suspended units duly vetted ,certified &amp; verified by site incharge, engineer  &amp; structural engineer appointed by client &amp; approval taken from MEP Consultant prior to ordering / execution at site. Make:- Zonex, Zeco, Blowtech</t>
    </r>
  </si>
  <si>
    <r>
      <t xml:space="preserve">Supply of the following SISW  fans with Backward curved inclined type heavy duty class I SISW centrifugal fan with 3 phase TEFC with IP55 protection &amp; class F insulation, Double skin construction complete with  Filters,adjusting  brackets, 'V' drive belt &amp; belt guard, vibration spring isolators, canvas connection and epoxy painted all as per specs.            </t>
    </r>
    <r>
      <rPr>
        <b/>
        <sz val="9"/>
        <rFont val="Calibri"/>
        <family val="2"/>
        <scheme val="minor"/>
      </rPr>
      <t>Motor : BB/Havells/ABB</t>
    </r>
  </si>
  <si>
    <r>
      <t>Supply, installation, testing and commissioning of 50 micron powder coated  "</t>
    </r>
    <r>
      <rPr>
        <b/>
        <sz val="9"/>
        <rFont val="Calibri"/>
        <family val="2"/>
        <scheme val="minor"/>
      </rPr>
      <t>Aluminium" collar volume control dampers</t>
    </r>
    <r>
      <rPr>
        <sz val="9"/>
        <rFont val="Calibri"/>
        <family val="2"/>
        <scheme val="minor"/>
      </rPr>
      <t xml:space="preserve"> with key operated of black painted in supply air registers / terminals. </t>
    </r>
  </si>
  <si>
    <r>
      <t xml:space="preserve">Supply, installation, testing and commissioning of 50 micron powder coated  </t>
    </r>
    <r>
      <rPr>
        <b/>
        <sz val="9"/>
        <rFont val="Calibri"/>
        <family val="2"/>
        <scheme val="minor"/>
      </rPr>
      <t>Linear Grill/Diffuser,  Note: color as per Interior Designer</t>
    </r>
  </si>
  <si>
    <r>
      <t xml:space="preserve">Providing,  laying,  testing  &amp;  commissioning  of   'C'  class heavy  duty  </t>
    </r>
    <r>
      <rPr>
        <b/>
        <sz val="9"/>
        <color indexed="8"/>
        <rFont val="Calibri"/>
        <family val="2"/>
        <scheme val="minor"/>
      </rPr>
      <t xml:space="preserve">MS  pipe  </t>
    </r>
    <r>
      <rPr>
        <sz val="9"/>
        <color indexed="8"/>
        <rFont val="Calibri"/>
        <family val="2"/>
        <scheme val="minor"/>
      </rPr>
      <t xml:space="preserve">conforming  to  IS  3589/IS  1239 including  Welding,  fittings  like  elbows,  tees,  flanges, tapers, nuts bolts, gaskets etc. and fixing the pipe on the wall/ceiling   with   suitable   clamp/support   frame   and painting with two or more coats of synthetic enamel paint of required shade complete as required : </t>
    </r>
    <r>
      <rPr>
        <b/>
        <sz val="9"/>
        <color indexed="8"/>
        <rFont val="Calibri"/>
        <family val="2"/>
        <scheme val="minor"/>
      </rPr>
      <t>Make-SURYA PIPES/ JINDAL HISSAR</t>
    </r>
    <r>
      <rPr>
        <sz val="9"/>
        <rFont val="Calibri"/>
        <family val="2"/>
        <scheme val="minor"/>
      </rPr>
      <t xml:space="preserve"> </t>
    </r>
    <r>
      <rPr>
        <b/>
        <sz val="9"/>
        <rFont val="Calibri"/>
        <family val="2"/>
        <scheme val="minor"/>
      </rPr>
      <t>(Note: Qty. as per drg and may vary depending upon the use  of existing pipe lines)</t>
    </r>
  </si>
  <si>
    <r>
      <t xml:space="preserve">Providing, fixing, testing and commissioning brass quartzoid sprinklers K-80 (UL-Underwriters Laboratories Listed) suitable for 175 psi(12 Bars) maximum working pressure and 7 psi(0.5 Bars) minimum operating pressure with 15 mm dia BSPT threaded opening complete in all respects. The type &amp; temperature rating shall be as follows. </t>
    </r>
    <r>
      <rPr>
        <b/>
        <sz val="9"/>
        <color indexed="8"/>
        <rFont val="Calibri"/>
        <family val="2"/>
        <scheme val="minor"/>
      </rPr>
      <t>Make-SAFEX/NEWAGE/HD FIRE</t>
    </r>
  </si>
  <si>
    <r>
      <t xml:space="preserve">Supplying,   installation,   testing   &amp;   commissioning   of sprinkler  flexible  pipe  (UL  Listed)  of  stainless  steel complete   with   15   NPT   on   reducer   thread   with maximum working pressure of 175 PSI test pressure of 875  PSI  (Burst)  with  branch  line  (Inlet)  25mm  NPT male  thread  to  sprinkler  head  (Outlet)  15mm  NPT female  thread  with  reducer,  nipple,  2  side  brackets, center bracket, stockbar of following sizes complete as required.  </t>
    </r>
    <r>
      <rPr>
        <b/>
        <sz val="9"/>
        <color indexed="8"/>
        <rFont val="Calibri"/>
        <family val="2"/>
        <scheme val="minor"/>
      </rPr>
      <t>Make-SAFEX/NEWAGE/HD FIRE</t>
    </r>
  </si>
  <si>
    <r>
      <t xml:space="preserve">Providing and fixing following size </t>
    </r>
    <r>
      <rPr>
        <b/>
        <sz val="9"/>
        <rFont val="Calibri"/>
        <family val="2"/>
        <scheme val="minor"/>
      </rPr>
      <t>Pressure gauge</t>
    </r>
    <r>
      <rPr>
        <sz val="9"/>
        <rFont val="Calibri"/>
        <family val="2"/>
        <scheme val="minor"/>
      </rPr>
      <t xml:space="preserve"> (0-15 Kg/Cm2) complete with shut off valve duly calibrated before installation complete as required &amp; as per enclosed specification.
150mm dia.</t>
    </r>
  </si>
  <si>
    <r>
      <t xml:space="preserve">Providing &amp; fixing </t>
    </r>
    <r>
      <rPr>
        <b/>
        <sz val="9"/>
        <color indexed="63"/>
        <rFont val="Calibri"/>
        <family val="2"/>
        <scheme val="minor"/>
      </rPr>
      <t>flow switch</t>
    </r>
    <r>
      <rPr>
        <sz val="9"/>
        <color indexed="63"/>
        <rFont val="Calibri"/>
        <family val="2"/>
        <scheme val="minor"/>
      </rPr>
      <t xml:space="preserve"> in following sizes M.S. pipe including connection etc as required.                                                                        150mm dia.</t>
    </r>
  </si>
  <si>
    <r>
      <t xml:space="preserve">Supplying, fixing, testing and commissioning of </t>
    </r>
    <r>
      <rPr>
        <b/>
        <sz val="9"/>
        <color indexed="63"/>
        <rFont val="Calibri"/>
        <family val="2"/>
        <scheme val="minor"/>
      </rPr>
      <t xml:space="preserve">butterfly valve </t>
    </r>
    <r>
      <rPr>
        <sz val="9"/>
        <color indexed="63"/>
        <rFont val="Calibri"/>
        <family val="2"/>
        <scheme val="minor"/>
      </rPr>
      <t>of PN 1.6 rating with bronze/gunmetal seat duly ISI marked  complete  with  nuts,  bolts,  washers,  gaskets conforming to IS 13095 of following sizes as required :</t>
    </r>
  </si>
  <si>
    <r>
      <t xml:space="preserve">Supply, installation, testing and commissioning ISI marked (IS:15683) Fire Extinguisher, Carbon-di-oxide type capacity 4.5 Kg. Flat base including valve, discharge hose of not less than 10 mm dia, 1M long and complete in all respects including initial fill with CO2 gas conforming to IS:307-1966 and walll suspension braket as required as per specifications. </t>
    </r>
    <r>
      <rPr>
        <b/>
        <sz val="9"/>
        <color indexed="8"/>
        <rFont val="Calibri"/>
        <family val="2"/>
        <scheme val="minor"/>
      </rPr>
      <t>(Make-MINIMAX/SAFEX/KALPEX, PADMINI)</t>
    </r>
  </si>
  <si>
    <r>
      <t>Supply, installation, testing and commissioning of 6kg ABC (Powder Type) Fire Extinguisher. Mild Steel Cylinders ISI marked fitted with pressure indicating gauge, internal tube, squeeze lever type valve fully charged with ABC 90 powder (Mono Ammonium Phosphate) pressured by Nitrogen complete in all respects including wall suspension bracket and conforming to IS:15683 as required as per specifications.</t>
    </r>
    <r>
      <rPr>
        <b/>
        <sz val="9"/>
        <color indexed="8"/>
        <rFont val="Calibri"/>
        <family val="2"/>
        <scheme val="minor"/>
      </rPr>
      <t xml:space="preserve"> (Make-MINIMAX/SAFEX/KALPEX/PADMINI)</t>
    </r>
  </si>
  <si>
    <t>TOTAL COST OF FIRE FIGHTING</t>
  </si>
  <si>
    <r>
      <t>P&amp;F</t>
    </r>
    <r>
      <rPr>
        <b/>
        <sz val="9"/>
        <rFont val="Calibri"/>
        <family val="2"/>
        <scheme val="minor"/>
      </rPr>
      <t xml:space="preserve"> </t>
    </r>
    <r>
      <rPr>
        <sz val="9"/>
        <rFont val="Calibri"/>
        <family val="2"/>
        <scheme val="minor"/>
      </rPr>
      <t>of</t>
    </r>
    <r>
      <rPr>
        <b/>
        <sz val="9"/>
        <rFont val="Calibri"/>
        <family val="2"/>
        <scheme val="minor"/>
      </rPr>
      <t xml:space="preserve"> 12 mm thick full body  granite finish tile cladding </t>
    </r>
    <r>
      <rPr>
        <sz val="9"/>
        <rFont val="Calibri"/>
        <family val="2"/>
        <scheme val="minor"/>
      </rPr>
      <t>walls / column's surface with cement sand mortar bed in 1:4 proportions, finishing of joints in white cement with added colour pigments, including cutting of random sizes , finishing of top edges up to the mark, making cut out provision for all related services such as electrical switch board, plumbing fittings, etc as require. Complete laying in proper line &amp; level as per architectural detail drawing &amp; site engineer's instruction.
Basic rate 180/- Sq Ft</t>
    </r>
  </si>
  <si>
    <t>SUB TOTAL OF INTERIOR WORKS</t>
  </si>
  <si>
    <t>RO / KG</t>
  </si>
  <si>
    <t>Remarks</t>
  </si>
  <si>
    <t>GST @ 18 %</t>
  </si>
  <si>
    <t>Total Woth GST</t>
  </si>
  <si>
    <t>Work Order Amount</t>
  </si>
  <si>
    <t xml:space="preserve">Grand Total </t>
  </si>
  <si>
    <t>Grand Total of façade</t>
  </si>
  <si>
    <t xml:space="preserve">Previous Bill Amount </t>
  </si>
  <si>
    <t>This Bill Amount</t>
  </si>
  <si>
    <t>Cumulative Bill Amount</t>
  </si>
  <si>
    <t xml:space="preserve">Preious Bill </t>
  </si>
  <si>
    <t xml:space="preserve">This Bill </t>
  </si>
  <si>
    <t>Cumulative Bill</t>
  </si>
  <si>
    <t>% OF Work</t>
  </si>
  <si>
    <t>% of Works</t>
  </si>
  <si>
    <t>As Per Work order</t>
  </si>
  <si>
    <t>As per Bill Quantity</t>
  </si>
  <si>
    <t>As per Bill Amount</t>
  </si>
  <si>
    <t>Contractor: Stars and Merit Interiors Private Limited</t>
  </si>
  <si>
    <t>Site Name  :Copper Chimney Project, Vishal Cinema, Delhi</t>
  </si>
  <si>
    <t>Project : Charcoal Concept</t>
  </si>
  <si>
    <t xml:space="preserve">Work:Civil ,Interior Finishing,Façade and MEP Works </t>
  </si>
  <si>
    <t>Work order No : DCPL/Vishal Cinema/CC/23-24/CP-202</t>
  </si>
  <si>
    <t>Work: Interior Finishing Work</t>
  </si>
  <si>
    <t xml:space="preserve">Work: Civil Works </t>
  </si>
  <si>
    <t>Work: Bells Works</t>
  </si>
  <si>
    <t>Remarlks</t>
  </si>
  <si>
    <t>Work: Façade Signage Works</t>
  </si>
  <si>
    <t>Work: Façade Finishing Works</t>
  </si>
  <si>
    <t>Work: Fire-Fighting Works</t>
  </si>
  <si>
    <t>Work: Electrical  Works</t>
  </si>
  <si>
    <t>Work: Plumbing Works</t>
  </si>
  <si>
    <t>Bill NO. : RA-4 Bill</t>
  </si>
  <si>
    <t>Measurement Book of Civil Work Copper Chimney Rajouri Garden</t>
  </si>
  <si>
    <t>S.No.</t>
  </si>
  <si>
    <t>Items</t>
  </si>
  <si>
    <t>Descriptions</t>
  </si>
  <si>
    <t>Unit</t>
  </si>
  <si>
    <t>Measurement (mm)</t>
  </si>
  <si>
    <t>Measurement (Feet)</t>
  </si>
  <si>
    <t>L</t>
  </si>
  <si>
    <t>H</t>
  </si>
  <si>
    <t>NO</t>
  </si>
  <si>
    <t>TOTAL</t>
  </si>
  <si>
    <t xml:space="preserve">Sqft </t>
  </si>
  <si>
    <t>Boh area</t>
  </si>
  <si>
    <t>Extra Fire exit Area</t>
  </si>
  <si>
    <t>FOH area</t>
  </si>
  <si>
    <t>Basement area</t>
  </si>
  <si>
    <t>Total:-</t>
  </si>
  <si>
    <t xml:space="preserve">1st Time </t>
  </si>
  <si>
    <t xml:space="preserve">2nd Time As per Mall Requirement </t>
  </si>
  <si>
    <t>Boh area For Drain</t>
  </si>
  <si>
    <t>Boh area For Supply Lines</t>
  </si>
  <si>
    <t>Bar Area</t>
  </si>
  <si>
    <t xml:space="preserve">Basement Area for cables </t>
  </si>
  <si>
    <t>Basement Area for Gas Lines</t>
  </si>
  <si>
    <t>a.</t>
  </si>
  <si>
    <t>b.</t>
  </si>
  <si>
    <t>Foh To Boh Area Gate wall</t>
  </si>
  <si>
    <t>Boh area Window Wall</t>
  </si>
  <si>
    <t>Pillar</t>
  </si>
  <si>
    <t>Back Wall</t>
  </si>
  <si>
    <t>Fire Exit Wall</t>
  </si>
  <si>
    <t>Mid Partation Wall</t>
  </si>
  <si>
    <t>c.</t>
  </si>
  <si>
    <t>d.</t>
  </si>
  <si>
    <t>Kitchen Front Wall</t>
  </si>
  <si>
    <t>e.</t>
  </si>
  <si>
    <t>Kitchen Entry In house</t>
  </si>
  <si>
    <t>Less gate</t>
  </si>
  <si>
    <t>Window Closer</t>
  </si>
  <si>
    <t>Fan Area Closer</t>
  </si>
  <si>
    <t>New Fire Exit Top closer</t>
  </si>
  <si>
    <t>Foh area</t>
  </si>
  <si>
    <t>Basement Area Above Door</t>
  </si>
  <si>
    <t>Kicthen Area MID Partation</t>
  </si>
  <si>
    <t>After Disscussion With Project Manager the Height Was Reduced As 1100</t>
  </si>
  <si>
    <t>Live Kitchen</t>
  </si>
  <si>
    <t>Outer Wall Was Demolished As Per PMC team Instruction</t>
  </si>
  <si>
    <t>Wall Edge</t>
  </si>
  <si>
    <t>Kicthen Area MID Partation Wall Edge</t>
  </si>
  <si>
    <t>less Gate</t>
  </si>
  <si>
    <t>FOH area Including Bar and Live Kitchen</t>
  </si>
  <si>
    <t>Electrical Panle Area</t>
  </si>
  <si>
    <t>Boh Area</t>
  </si>
  <si>
    <t>Live Kitchen area</t>
  </si>
  <si>
    <t>Basement Area</t>
  </si>
  <si>
    <t>Less 300*300 Tiles area</t>
  </si>
  <si>
    <t xml:space="preserve"> 300*300 Tiles area</t>
  </si>
  <si>
    <t>Spice jar area</t>
  </si>
  <si>
    <t xml:space="preserve">L.h.s Wall </t>
  </si>
  <si>
    <t>After Dvr Rack Area</t>
  </si>
  <si>
    <t>Coloum</t>
  </si>
  <si>
    <t>Foh Area Window Bottom</t>
  </si>
  <si>
    <t>R.h.s Wall</t>
  </si>
  <si>
    <t>Front Wall</t>
  </si>
  <si>
    <t xml:space="preserve">Kitchen Entry Foh to Boh Area </t>
  </si>
  <si>
    <t>Less Gates</t>
  </si>
  <si>
    <t>Boh area window wall</t>
  </si>
  <si>
    <t>Low Height Partation</t>
  </si>
  <si>
    <t>Height was reduced after confirmation of Project manager</t>
  </si>
  <si>
    <t>Fire Exit Edge</t>
  </si>
  <si>
    <t>Half Height Wall</t>
  </si>
  <si>
    <t>L.h.s Wall After Bar</t>
  </si>
  <si>
    <t>Window Wall</t>
  </si>
  <si>
    <t>Less Window</t>
  </si>
  <si>
    <t>Suspended Ceiling For Bells Hanging</t>
  </si>
  <si>
    <t xml:space="preserve">Vertical </t>
  </si>
  <si>
    <t>Less Opening</t>
  </si>
  <si>
    <t>Horizontal</t>
  </si>
  <si>
    <t>Bill NO. :RA-4 Bill</t>
  </si>
  <si>
    <t>Bar area</t>
  </si>
  <si>
    <t>Measurement Book of Interior Work Copper Chimney Rajouri Garden</t>
  </si>
  <si>
    <t>General Site Work</t>
  </si>
  <si>
    <t>Carpentary Work</t>
  </si>
  <si>
    <t>Photo Frame Wall</t>
  </si>
  <si>
    <t>Heritage Wall</t>
  </si>
  <si>
    <t>Photo Frame wall</t>
  </si>
  <si>
    <t>Live Kitchen Window Partation</t>
  </si>
  <si>
    <t>Less Window Area</t>
  </si>
  <si>
    <t>Window</t>
  </si>
  <si>
    <t>Verical</t>
  </si>
  <si>
    <t>Decorative Wall</t>
  </si>
  <si>
    <t>Measurement Book of Façade  Work Copper Chimney Rajouri Garden</t>
  </si>
  <si>
    <t xml:space="preserve">Led Panel </t>
  </si>
  <si>
    <t>Measurement Book of Bells Work Copper Chimney Rajouri Garden</t>
  </si>
  <si>
    <t>Work: Interior Finishing and MEP Work</t>
  </si>
  <si>
    <t>Stucko Paint</t>
  </si>
  <si>
    <t>Stucko paint As Per Approval makes and approved drawings</t>
  </si>
  <si>
    <t>Removal</t>
  </si>
  <si>
    <t xml:space="preserve">Existing Exhaust fan removal </t>
  </si>
  <si>
    <t>Ms Plateform</t>
  </si>
  <si>
    <t xml:space="preserve">Electrical Panel Platform </t>
  </si>
  <si>
    <t xml:space="preserve">Each </t>
  </si>
  <si>
    <t xml:space="preserve">Sccafolding </t>
  </si>
  <si>
    <t>Scaffolding For Outside Area for exhaust and fresh air duct.</t>
  </si>
  <si>
    <t xml:space="preserve">Storage Rack </t>
  </si>
  <si>
    <t>Providing and Fixing Of Storage made out of 18mm thick ply With Mica Finish as Per the approval of Project Incharge.Having Size of 900*900*2400</t>
  </si>
  <si>
    <t xml:space="preserve">Ahu Boxing </t>
  </si>
  <si>
    <t xml:space="preserve">Frosted Film </t>
  </si>
  <si>
    <t>Equipment Shifting</t>
  </si>
  <si>
    <t xml:space="preserve">Providing labourers for unloading and shifting of Kitchen equipments as per instruction given by Site in charge </t>
  </si>
  <si>
    <t>L.S</t>
  </si>
  <si>
    <t>SS Gratings</t>
  </si>
  <si>
    <t>Providing and fixing of Chamber SS cover grating  upto size 300 mm 300 mm.</t>
  </si>
  <si>
    <t>Providing and fixing of Chamber SS cover grating  upto size 300 mm 600 mm.</t>
  </si>
  <si>
    <t>Grand Total</t>
  </si>
  <si>
    <t>As Amendment</t>
  </si>
  <si>
    <t>RA Bill No : 4</t>
  </si>
  <si>
    <t>Providing and Fixing of Gypsum Laying on Exisiting Ply Boxing  For Boxing  Ahu With Appvoved finish,as Per the approval of Project Incharge.</t>
  </si>
  <si>
    <t>Sprinkler</t>
  </si>
  <si>
    <t>Pendent Concealed Sprinklers (141°)- Quick response type</t>
  </si>
  <si>
    <t xml:space="preserve">Site Deep Cleaning </t>
  </si>
  <si>
    <t>WPC of Main Wall.</t>
  </si>
  <si>
    <t>Extra for 19 mm WPC of Main Wall.</t>
  </si>
  <si>
    <t>SS Front For Bar</t>
  </si>
  <si>
    <t>SS Front Elevations For Bar Area Including Glass Hangings Unit</t>
  </si>
  <si>
    <t>Buster Pump</t>
  </si>
  <si>
    <t>P/F and Fixing Pressure Buster Pump For Kitchen water supply Lines</t>
  </si>
  <si>
    <t xml:space="preserve">Final/Deep Cleaning of the Site for final Handover as directed by Project Incahrge. Vendor need to take Prior Approval from Projcet incharge to carried out this activity. </t>
  </si>
  <si>
    <t>Main Wall 1</t>
  </si>
  <si>
    <t>Main Wall 2</t>
  </si>
  <si>
    <t>Main Wall Partition with MS Frame and WPS and Gypsum</t>
  </si>
  <si>
    <t>AHU Boxing</t>
  </si>
  <si>
    <t>Total Qty</t>
  </si>
  <si>
    <t>Trap Doors.</t>
  </si>
  <si>
    <t>Duct Paint</t>
  </si>
  <si>
    <t>Bell Ceiling</t>
  </si>
  <si>
    <t>Measurement Book of Electrical Work Copper Chimney Rajouri Garden</t>
  </si>
  <si>
    <t>Measurement (m)</t>
  </si>
  <si>
    <t>Design, fabrication, assembling, wiring, supply, installation, testing &amp; commissioning of (IP:43) Distribution boards</t>
  </si>
  <si>
    <t>Measurement Book of Plumbing Work Copper Chimney Rajouri Garden</t>
  </si>
  <si>
    <t>Drain Line</t>
  </si>
  <si>
    <t xml:space="preserve">Kitchen </t>
  </si>
  <si>
    <t>Kitchen to live kitchen</t>
  </si>
  <si>
    <t>Basement main connection</t>
  </si>
  <si>
    <r>
      <t xml:space="preserve">Providing, fixing &amp; testing UPVC pipes, conforming to IS 4985 class 3 (6 kg/cm2) including injection moulded fittings, jointing with solvent cement, cutting and making good the floors and walls and jointing  to trap/waste pipe, complete of outer dia. </t>
    </r>
    <r>
      <rPr>
        <b/>
        <sz val="9"/>
        <color theme="1"/>
        <rFont val="Calibri"/>
        <family val="2"/>
        <scheme val="minor"/>
      </rPr>
      <t>Make -  Prices. Aster, Himalaya or Equivalent</t>
    </r>
  </si>
  <si>
    <t>50 mm OD Wate pipe</t>
  </si>
  <si>
    <t>Bar back wall to counter wall</t>
  </si>
  <si>
    <t>RO Water Line</t>
  </si>
  <si>
    <t>Chilled Water Supply</t>
  </si>
  <si>
    <t>Bar back wall point</t>
  </si>
  <si>
    <t>Kitchen Entry wall</t>
  </si>
  <si>
    <t>Kitchen Back wall</t>
  </si>
  <si>
    <t>Kitchen RHS Wall</t>
  </si>
  <si>
    <t>Kitchen LHS Wall</t>
  </si>
  <si>
    <t>Down pipe</t>
  </si>
  <si>
    <t>Ro Water Supply Line</t>
  </si>
  <si>
    <t>Gyser point</t>
  </si>
  <si>
    <t>Sink Point</t>
  </si>
  <si>
    <t>Ro Water Point</t>
  </si>
  <si>
    <t>Right Side wall to Partition Wall</t>
  </si>
  <si>
    <t>Ro</t>
  </si>
  <si>
    <t xml:space="preserve">CWS </t>
  </si>
  <si>
    <t>HOT point</t>
  </si>
  <si>
    <t>Bar to Kitchen Entry</t>
  </si>
  <si>
    <t>Main entry to kitchn Beam Height</t>
  </si>
  <si>
    <t>Drain Pipe</t>
  </si>
  <si>
    <t>drain RO Line</t>
  </si>
  <si>
    <t>Kitchen Back wall 32 dia</t>
  </si>
  <si>
    <t>Down pipe Line</t>
  </si>
  <si>
    <t>Main Line Ceiling to Raw slab</t>
  </si>
  <si>
    <t>Main line GF to Basement</t>
  </si>
  <si>
    <t>Basement to Main Connection</t>
  </si>
  <si>
    <t>AHU Drain Line</t>
  </si>
  <si>
    <t>1st Ahu</t>
  </si>
  <si>
    <t>2nd AHU</t>
  </si>
  <si>
    <t>Measurement Book of HVAC Work Copper Chimney Rajouri Garden</t>
  </si>
  <si>
    <t xml:space="preserve"> M.s Structure As per Approved Drawing, Base for air washer and scrubber,Ro and water tank </t>
  </si>
  <si>
    <t>KG</t>
  </si>
  <si>
    <t>Measurement Book of Fire - Work Copper Chimney Rajouri Garden</t>
  </si>
  <si>
    <t>Branch-1</t>
  </si>
  <si>
    <t>Branch-2</t>
  </si>
  <si>
    <t>Branch-3</t>
  </si>
  <si>
    <t>Branch-4</t>
  </si>
  <si>
    <t>Branch-5</t>
  </si>
  <si>
    <t>BOH area</t>
  </si>
  <si>
    <t>Main Header Branch-1</t>
  </si>
  <si>
    <t>Branch-6</t>
  </si>
  <si>
    <t xml:space="preserve">Rework </t>
  </si>
  <si>
    <t>Main Header</t>
  </si>
  <si>
    <t>Branch-1,2,3,4</t>
  </si>
  <si>
    <t>50mm dia- 65 mm dia</t>
  </si>
  <si>
    <t>Ded. Of walls</t>
  </si>
  <si>
    <t>Granite BOH kitchen wall</t>
  </si>
  <si>
    <t>Main Entrance below door and glazing</t>
  </si>
  <si>
    <t>FOH to BOH Stairs</t>
  </si>
  <si>
    <t>Electrical Room Stairs</t>
  </si>
  <si>
    <t>main Door Less</t>
  </si>
  <si>
    <t>Main Kitchen</t>
  </si>
  <si>
    <t xml:space="preserve">Ded. Of Hood </t>
  </si>
  <si>
    <t>Basement</t>
  </si>
  <si>
    <t>Duct-1</t>
  </si>
  <si>
    <t>Duct-2</t>
  </si>
  <si>
    <t>SS Taps for Sink</t>
  </si>
  <si>
    <t>Civil Work changes due to Layout</t>
  </si>
  <si>
    <t>Drawer units for sofas as per revised Drawings</t>
  </si>
  <si>
    <t>For Tank Connections</t>
  </si>
  <si>
    <t>Extra For Basement Area Connections as per mall requirement</t>
  </si>
  <si>
    <t>65mm dia</t>
  </si>
  <si>
    <t>Near Bar Area</t>
  </si>
  <si>
    <t>Inside facede</t>
  </si>
  <si>
    <t>blank off</t>
  </si>
  <si>
    <t>Connection Coller</t>
  </si>
  <si>
    <t>fresh air</t>
  </si>
  <si>
    <t>Offset</t>
  </si>
  <si>
    <t>Planium Fresh air</t>
  </si>
  <si>
    <t>Balnk off Fresh air</t>
  </si>
  <si>
    <t>Balnk off Exhaust</t>
  </si>
  <si>
    <t>Exhaust  peace</t>
  </si>
  <si>
    <t>Bend</t>
  </si>
  <si>
    <t>piece</t>
  </si>
  <si>
    <t>band</t>
  </si>
  <si>
    <t>bend</t>
  </si>
  <si>
    <t>Connection coller</t>
  </si>
  <si>
    <t>Blank off</t>
  </si>
  <si>
    <t>Plainium Exhaust</t>
  </si>
  <si>
    <t>Exhaust Blank OFF</t>
  </si>
  <si>
    <t>Piece</t>
  </si>
  <si>
    <t>Hoods Coller</t>
  </si>
  <si>
    <t>Fresh Air Balnk Off</t>
  </si>
  <si>
    <t>Blankoff</t>
  </si>
  <si>
    <t>Barnch Coller</t>
  </si>
  <si>
    <t xml:space="preserve">Grill Coller </t>
  </si>
  <si>
    <t>basement</t>
  </si>
  <si>
    <t>New area to be add</t>
  </si>
  <si>
    <t>Lobby Power Db</t>
  </si>
  <si>
    <t>Fresh air</t>
  </si>
  <si>
    <t>scrubber</t>
  </si>
  <si>
    <t>Kitchen Power Db</t>
  </si>
  <si>
    <t>Kitchen Dish Washer</t>
  </si>
  <si>
    <t>Rmt</t>
  </si>
  <si>
    <t>Ups For Store Room</t>
  </si>
  <si>
    <t>Bar Counter Metal Clad1</t>
  </si>
  <si>
    <t>Bar Counter Metal Clad2</t>
  </si>
  <si>
    <t>Ahu1</t>
  </si>
  <si>
    <t>Ahu2</t>
  </si>
  <si>
    <t>Kitchen hood Side</t>
  </si>
  <si>
    <t>Lobby UPS</t>
  </si>
  <si>
    <t>Fresh air Pump Looping</t>
  </si>
  <si>
    <t>Ups In</t>
  </si>
  <si>
    <t>RO</t>
  </si>
  <si>
    <t xml:space="preserve">GI conduit </t>
  </si>
  <si>
    <t>Main Gate Counter (2nos. Data/1nos. Voice)</t>
  </si>
  <si>
    <t>Bar Area (2nos. Data/1nos. Voice)</t>
  </si>
  <si>
    <t>Bar Out Area (2nos. Data)</t>
  </si>
  <si>
    <t>Counter (2nos. Data/1nos. Voice)</t>
  </si>
  <si>
    <t>Main Gate Outside (2nos. Data/1nos. Voice)</t>
  </si>
  <si>
    <t>TV 1</t>
  </si>
  <si>
    <t>TV 2</t>
  </si>
  <si>
    <t>WIFI 1</t>
  </si>
  <si>
    <t>WIFI 2</t>
  </si>
  <si>
    <t>Kitchen1</t>
  </si>
  <si>
    <t>Kitchen2</t>
  </si>
  <si>
    <t>Kitchen3</t>
  </si>
  <si>
    <t>Baseement area</t>
  </si>
  <si>
    <t>Boh area Tray</t>
  </si>
  <si>
    <t>Cabel Tray Basement B2</t>
  </si>
  <si>
    <t>Cabel Tray Basement B1</t>
  </si>
  <si>
    <t>Boh Area Tranking</t>
  </si>
  <si>
    <t>Zone Panel To SD1</t>
  </si>
  <si>
    <t>SD1 to Sd 2</t>
  </si>
  <si>
    <t>SD 2 to SD 3</t>
  </si>
  <si>
    <t>SD 3 To SD 4</t>
  </si>
  <si>
    <t>Sd 4 to SD 5</t>
  </si>
  <si>
    <t>SD 5 to HEAt 6</t>
  </si>
  <si>
    <t>Heat To RI</t>
  </si>
  <si>
    <t>HEAT 6 To SD 7</t>
  </si>
  <si>
    <t>SD 7 to Heat 8</t>
  </si>
  <si>
    <t>SD 7 TO Ri</t>
  </si>
  <si>
    <t>Haat 8 to MCp</t>
  </si>
  <si>
    <t>MCp TO SD 9</t>
  </si>
  <si>
    <t>SD 9 to Relay Module Panle</t>
  </si>
  <si>
    <t>Relay Module to Basement SD 10</t>
  </si>
  <si>
    <t>SD 10 To Ri</t>
  </si>
  <si>
    <t>SD 10 to SD 11</t>
  </si>
  <si>
    <t>Sd 11 To Mcp</t>
  </si>
  <si>
    <t>MCP to Panel</t>
  </si>
  <si>
    <t>Hooter 1</t>
  </si>
  <si>
    <t>Hooter 2</t>
  </si>
  <si>
    <t>Sp1</t>
  </si>
  <si>
    <t>Sp3</t>
  </si>
  <si>
    <t>Sp 5</t>
  </si>
  <si>
    <t>Main Gate</t>
  </si>
  <si>
    <t>Bar</t>
  </si>
  <si>
    <t>Lobby Cam 1</t>
  </si>
  <si>
    <t>Lobby Cam 2</t>
  </si>
  <si>
    <t>Panel Side1</t>
  </si>
  <si>
    <t>Store Room</t>
  </si>
  <si>
    <t>Store Room1</t>
  </si>
  <si>
    <t>Panel Side2</t>
  </si>
  <si>
    <t>Lobby</t>
  </si>
  <si>
    <t>Panel Side</t>
  </si>
  <si>
    <t>For fresh air Supply and drain</t>
  </si>
  <si>
    <t xml:space="preserve">0.8 mm   (22 gauge) </t>
  </si>
  <si>
    <t>GSS Ahu Planium</t>
  </si>
  <si>
    <t>Curtain Wall LHS</t>
  </si>
  <si>
    <t xml:space="preserve">Extended area Covering of Ahu Planeum </t>
  </si>
  <si>
    <t>Lot</t>
  </si>
  <si>
    <t>Deep Cleaning</t>
  </si>
  <si>
    <t xml:space="preserve">Metal Ceiling </t>
  </si>
  <si>
    <t xml:space="preserve">Supply of Metal Ceiling </t>
  </si>
  <si>
    <t>Supply of Metal false ceiling consisting 600mmx600mmX0.7 mm tilesalong  with necessary supports , hangers etc. Make-Armstrong</t>
  </si>
  <si>
    <t>6-Way TPN Db</t>
  </si>
  <si>
    <t>Supply and Installation of TPN DB including Switchgear as per site requirement.</t>
  </si>
  <si>
    <t xml:space="preserve">LED Glass </t>
  </si>
  <si>
    <t>Supply and Fixing of Glass for LED TV Protection including With SS Profiles as per design and site requirement</t>
  </si>
  <si>
    <t xml:space="preserve">Supply and Installation HI-Wall Split AC 1.5 tonnes as per requirement </t>
  </si>
  <si>
    <t>HI-Wall Split AC</t>
  </si>
  <si>
    <t>LT Cabels</t>
  </si>
  <si>
    <t xml:space="preserve">4C X2.5 Sqmm Copper CaBLE </t>
  </si>
  <si>
    <t xml:space="preserve">Supply and Laying,Testing and Comissioning of 4C X2.5 Sqmm Copper Cable for GLD Panel along with </t>
  </si>
  <si>
    <t xml:space="preserve">Supply and Laying,Testing and Comissioning of 2C X1.5 Sqmm Copper Cable for GLD Panel along with </t>
  </si>
  <si>
    <t xml:space="preserve">2C X1.5 Sqmm Copper CaBLE </t>
  </si>
  <si>
    <t xml:space="preserve">Supply of Lights </t>
  </si>
  <si>
    <t xml:space="preserve">Supply and installation of Lights as per Site requirement and approved by Project incharge </t>
  </si>
  <si>
    <t>Luxxor-LED 36 Watt</t>
  </si>
  <si>
    <t>Luxxor-LED 12 Watt</t>
  </si>
  <si>
    <t>Luxxor-LED 36 Watt- Recessed Light</t>
  </si>
  <si>
    <t>Luxxor-LED 12 Watt- Spot light four way movement</t>
  </si>
  <si>
    <t xml:space="preserve">3C X2.5 Sqmm Copper CaBLE </t>
  </si>
  <si>
    <t>Supply and Laying,Testing and Comissioning of 3C X2.5 Sqmm Copper Cable for Pump Controller</t>
  </si>
  <si>
    <t xml:space="preserve">4C X1.5 Sqmm Copper CaBLE </t>
  </si>
  <si>
    <t xml:space="preserve">Supply and Laying,Testing and Comissioning of 4C X1.5 Sqmm Copper Cable for Ahu control cable </t>
  </si>
  <si>
    <t>Ceiling Mounted CO2 Fire Cylinder</t>
  </si>
  <si>
    <t>Supply and installation of Ceiling Mounted CO2 Fire Cylinder as per site requirement</t>
  </si>
  <si>
    <t xml:space="preserve">Rework at Entrance MS Framing Work </t>
  </si>
  <si>
    <t>Extra Labour used for rework of Fire-Fighting Works as per Mall and Client Instructions.</t>
  </si>
  <si>
    <t xml:space="preserve">Extra Labour used for rework of Electrical  Works as per client Instructions and further changes in drawings as per mall and as per client </t>
  </si>
  <si>
    <t>Extra Switchgear as per Instructed by mall management.</t>
  </si>
  <si>
    <t>Drawer units</t>
  </si>
  <si>
    <t xml:space="preserve">Rework of Fire-Fighting Works </t>
  </si>
  <si>
    <t xml:space="preserve">Rework of Electrical  Works </t>
  </si>
  <si>
    <t>RCCB 40/4/30 ma</t>
  </si>
  <si>
    <t>ELCB 63/2/30 ma</t>
  </si>
  <si>
    <t>RCCB 63/4/30 ma</t>
  </si>
  <si>
    <t>1200 mm Alfa Breeze</t>
  </si>
  <si>
    <t xml:space="preserve">Gas Piping Work </t>
  </si>
  <si>
    <t xml:space="preserve">Supply and laying of Gas Piping Work as per recommend by Projects incharge </t>
  </si>
  <si>
    <t>Lumsum</t>
  </si>
  <si>
    <t>Hood Installation</t>
  </si>
  <si>
    <t>Installation of Hood inside Kitchen area and Live kitchen area rates are including of all the consumables.</t>
  </si>
  <si>
    <t>Anti-Vibration pads</t>
  </si>
  <si>
    <t xml:space="preserve">Supply and Installation of Anti-vibration pads as per requirement </t>
  </si>
  <si>
    <t>Noted</t>
  </si>
  <si>
    <t>No VFD</t>
  </si>
  <si>
    <t>Miscellaneous (Non BOQ item)</t>
  </si>
  <si>
    <t>Noted; removed from Kitchen fabricator scope</t>
  </si>
  <si>
    <t>part of initial scope</t>
  </si>
  <si>
    <t>-</t>
  </si>
  <si>
    <t>Not approved</t>
  </si>
  <si>
    <t>Providing Additional Ms Rods 900mm for Fans Fixing As per the Instruction of  Project incharge.</t>
  </si>
  <si>
    <t xml:space="preserve"> Three phase 20A, 400 V  Industrial Socket &amp; Plug Top Changed With Single Phase Modular Swith Socket</t>
  </si>
  <si>
    <t>Removal of Live Kitchen Area Glazing And Refixing of the same for tandoor Placement, as per the instruction of the Project Manager</t>
  </si>
  <si>
    <t>Two Additional Point For Ceiling  Fans, As per The site Condition. As per the Instruction Of Project Manager.</t>
  </si>
  <si>
    <t xml:space="preserve">Additional Switch Sockets And Site Condition. As approved by Project Manager </t>
  </si>
  <si>
    <t xml:space="preserve">L.S </t>
  </si>
  <si>
    <t xml:space="preserve">Providing And Fixing  Of 1000w Helogen For Tandoor </t>
  </si>
  <si>
    <t>Proving LPG Cylinder and required fittings For Kitchen Use, As per the instruction of Project Incharge</t>
  </si>
  <si>
    <t>Silicon Work Done As Per The Instructions</t>
  </si>
  <si>
    <t>Ls</t>
  </si>
  <si>
    <t xml:space="preserve">Faucets For Dish Wash Area </t>
  </si>
  <si>
    <t>Additinoal Plumbing Point as per the Site Condition</t>
  </si>
  <si>
    <t>Equipment Drain work With Mislanious Fittings</t>
  </si>
  <si>
    <t>Proving Tip Wooden Box and per instructions of project manager</t>
  </si>
  <si>
    <t>Fixing of Pesto flash</t>
  </si>
  <si>
    <t xml:space="preserve">Entrance gate duco paint </t>
  </si>
  <si>
    <t xml:space="preserve">Kitchen Equepment Installatiin </t>
  </si>
  <si>
    <t xml:space="preserve">Cat 6 wire for additional </t>
  </si>
  <si>
    <t xml:space="preserve">Panel integration </t>
  </si>
  <si>
    <t xml:space="preserve">Labour </t>
  </si>
  <si>
    <t>Pcc For Basement area</t>
  </si>
  <si>
    <t>Jar Unit Which was waste due Drawing Changes</t>
  </si>
  <si>
    <t>Stucco Paint</t>
  </si>
  <si>
    <t xml:space="preserve">Supply and Installation HI-Wall Split AC 2 tonnes as per requirement </t>
  </si>
  <si>
    <t>Luxxor-LED 12 Watt- Spot light four way movement with phase cut drivers</t>
  </si>
  <si>
    <t>Rate</t>
  </si>
  <si>
    <t>Amount</t>
  </si>
  <si>
    <t>Final Doscounted Amount</t>
  </si>
  <si>
    <t>S&amp;M Remarks</t>
  </si>
  <si>
    <t>This will further increase due to the delays from Mall team and working time from 1 AM midnight till 6 AM</t>
  </si>
  <si>
    <t>This will further increase.</t>
  </si>
  <si>
    <t>It is not there in any other items nor in the Initial BOQ.</t>
  </si>
  <si>
    <t>This will furtehr increase.</t>
  </si>
  <si>
    <t>Extra for 12 mm WPC of Main Wall.</t>
  </si>
  <si>
    <t>These are not part of Initial BOQ.</t>
  </si>
  <si>
    <t>What we have taken very less Amount There have been few changes due to which lot of labour and material was wasted. Reducing to 12 K</t>
  </si>
  <si>
    <t>What we have quoted is less. There have been Several Changes due to which lot of labour and overheads Reducing it to 20 K</t>
  </si>
  <si>
    <t>Storage Drawer units for sofas as per revised Drawings ( Units are made in 18mm ply and both side laminate finishing, Sliding Channels, Handles etc using barnded harware hetich etc. Approx Size (500X600)</t>
  </si>
  <si>
    <t>Basic Rate of Rs 78 PSF plus Rs 27 as the installation cost.</t>
  </si>
  <si>
    <t>2 Tr Ac installed in palce of 1.5 Tr.</t>
  </si>
  <si>
    <t>Providing and fixing of Hollow metal fire rated  door. Door frame shall be double rebate profile of Suitable szie made out of 1.60mm (16gauge)minimum thick galvanized steel sheet.All doors and frames shall be finished with polyurethane aliphatic grade paint of approved colour.
The door leaf and frame shall have passed minimum 250 hours of salt spray test.2Hrs Fire Rated Single leaf of size</t>
  </si>
  <si>
    <t>Miscellaneous (Non BOQ item -2</t>
  </si>
  <si>
    <t>It is the complete arrangement of SS with Brass Color Coating for the Baar. Cost from the supplier for us is Rs 46000/ Plus the Coating cost is 14000/</t>
  </si>
  <si>
    <t>Basis cost of Rs 21600/ plus Rs 15000/ freight from Bangalore to Delhi</t>
  </si>
  <si>
    <t>Noted. Reduce qty to 3 as we added 3 additional only</t>
  </si>
  <si>
    <t>Not Approved</t>
  </si>
  <si>
    <t>Not Approved, location not mentioned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</si>
</sst>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3" formatCode="_(* #,##0.00_);_(* \(#,##0.00\);_(* &quot;-&quot;??_);_(@_)"/>
    <numFmt numFmtId="164" formatCode="_ &quot;₹&quot;\ * #,##0.00_ ;_ &quot;₹&quot;\ * \-#,##0.00_ ;_ &quot;₹&quot;\ * &quot;-&quot;??_ ;_ @_ "/>
    <numFmt numFmtId="165" formatCode="_ * #,##0.00_ ;_ * \-#,##0.00_ ;_ * &quot;-&quot;??_ ;_ @_ "/>
    <numFmt numFmtId="166" formatCode="_(* #,##0.00_);_(* \(#,##0.00\);_(* \-??_);_(@_)"/>
    <numFmt numFmtId="167" formatCode="#,##0_);\-#,##0"/>
    <numFmt numFmtId="168" formatCode="0.0"/>
    <numFmt numFmtId="169" formatCode="_-&quot;Rs&quot;* #,##0.00_-;\-&quot;Rs&quot;* #,##0.00_-;_-&quot;Rs&quot;* &quot;-&quot;??_-;_-@_-"/>
    <numFmt numFmtId="170" formatCode="_(* #,##0_);_(* \(#,##0\);_(* &quot;-&quot;??_);_(@_)"/>
    <numFmt numFmtId="171" formatCode="_-* #,##0.00_-;\-* #,##0.00_-;_-* &quot;-&quot;??_-;_-@_-"/>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sz val="8"/>
      <name val="Arial"/>
      <family val="2"/>
    </font>
    <font>
      <sz val="10"/>
      <name val="Book Antiqua"/>
      <family val="1"/>
    </font>
    <font>
      <sz val="10"/>
      <color indexed="8"/>
      <name val="Calibri"/>
      <family val="2"/>
      <scheme val="minor"/>
    </font>
    <font>
      <sz val="10"/>
      <name val="Calibri"/>
      <family val="2"/>
      <scheme val="minor"/>
    </font>
    <font>
      <sz val="10"/>
      <name val="Arial"/>
      <family val="2"/>
      <charset val="204"/>
    </font>
    <font>
      <b/>
      <i/>
      <sz val="10"/>
      <name val="Calibri"/>
      <family val="2"/>
      <scheme val="minor"/>
    </font>
    <font>
      <b/>
      <sz val="10"/>
      <name val="Calibri"/>
      <family val="2"/>
      <scheme val="minor"/>
    </font>
    <font>
      <sz val="10"/>
      <color rgb="FF000000"/>
      <name val="Calibri"/>
      <family val="2"/>
      <scheme val="minor"/>
    </font>
    <font>
      <sz val="10"/>
      <color theme="1"/>
      <name val="Calibri"/>
      <family val="2"/>
      <scheme val="minor"/>
    </font>
    <font>
      <strike/>
      <sz val="10"/>
      <name val="Calibri"/>
      <family val="2"/>
      <scheme val="minor"/>
    </font>
    <font>
      <sz val="9"/>
      <name val="Calibri"/>
      <family val="2"/>
      <scheme val="minor"/>
    </font>
    <font>
      <sz val="11"/>
      <color indexed="8"/>
      <name val="Times New Roman"/>
      <family val="1"/>
    </font>
    <font>
      <sz val="11"/>
      <color rgb="FF000000"/>
      <name val="Calibri"/>
      <family val="2"/>
    </font>
    <font>
      <sz val="11"/>
      <color rgb="FF000000"/>
      <name val="Calibri"/>
      <family val="2"/>
    </font>
    <font>
      <sz val="10"/>
      <name val="Arial"/>
      <family val="2"/>
      <charset val="1"/>
    </font>
    <font>
      <b/>
      <i/>
      <sz val="9"/>
      <name val="Calibri"/>
      <family val="2"/>
      <scheme val="minor"/>
    </font>
    <font>
      <b/>
      <sz val="9"/>
      <name val="Calibri"/>
      <family val="2"/>
      <scheme val="minor"/>
    </font>
    <font>
      <sz val="9"/>
      <color rgb="FF000000"/>
      <name val="Calibri"/>
      <family val="2"/>
      <scheme val="minor"/>
    </font>
    <font>
      <sz val="9"/>
      <color rgb="FFFF0000"/>
      <name val="Calibri"/>
      <family val="2"/>
      <scheme val="minor"/>
    </font>
    <font>
      <sz val="9"/>
      <color indexed="8"/>
      <name val="Calibri"/>
      <family val="2"/>
      <scheme val="minor"/>
    </font>
    <font>
      <sz val="9"/>
      <color theme="1"/>
      <name val="Calibri"/>
      <family val="2"/>
      <scheme val="minor"/>
    </font>
    <font>
      <b/>
      <sz val="9"/>
      <color indexed="10"/>
      <name val="Calibri"/>
      <family val="2"/>
      <scheme val="minor"/>
    </font>
    <font>
      <strike/>
      <sz val="9"/>
      <name val="Calibri"/>
      <family val="2"/>
      <scheme val="minor"/>
    </font>
    <font>
      <b/>
      <sz val="11"/>
      <name val="Calibri"/>
      <family val="2"/>
      <scheme val="minor"/>
    </font>
    <font>
      <b/>
      <sz val="9"/>
      <color theme="1"/>
      <name val="Calibri"/>
      <family val="2"/>
      <scheme val="minor"/>
    </font>
    <font>
      <b/>
      <sz val="9"/>
      <color rgb="FF000000"/>
      <name val="Calibri"/>
      <family val="2"/>
      <scheme val="minor"/>
    </font>
    <font>
      <b/>
      <sz val="9"/>
      <color indexed="8"/>
      <name val="Calibri"/>
      <family val="2"/>
      <scheme val="minor"/>
    </font>
    <font>
      <b/>
      <i/>
      <sz val="9"/>
      <color rgb="FFFF0000"/>
      <name val="Calibri"/>
      <family val="2"/>
      <scheme val="minor"/>
    </font>
    <font>
      <b/>
      <sz val="9"/>
      <color indexed="63"/>
      <name val="Calibri"/>
      <family val="2"/>
      <scheme val="minor"/>
    </font>
    <font>
      <sz val="9"/>
      <color indexed="63"/>
      <name val="Calibri"/>
      <family val="2"/>
      <scheme val="minor"/>
    </font>
    <font>
      <sz val="10"/>
      <name val="Arial"/>
      <family val="2"/>
    </font>
    <font>
      <sz val="12"/>
      <name val="Century Gothic"/>
      <family val="2"/>
    </font>
    <font>
      <b/>
      <sz val="12"/>
      <name val="Century Gothic"/>
      <family val="2"/>
    </font>
    <font>
      <b/>
      <sz val="12"/>
      <name val="Calibri"/>
      <family val="2"/>
      <scheme val="minor"/>
    </font>
    <font>
      <b/>
      <sz val="11"/>
      <name val="Arial"/>
      <family val="2"/>
    </font>
    <font>
      <sz val="11"/>
      <color theme="1"/>
      <name val="Arial"/>
      <family val="2"/>
    </font>
    <font>
      <sz val="12"/>
      <name val="Calibri"/>
      <family val="2"/>
      <scheme val="minor"/>
    </font>
    <font>
      <sz val="10"/>
      <color theme="1"/>
      <name val="Arial"/>
      <family val="2"/>
    </font>
    <font>
      <sz val="11"/>
      <name val="Calibri"/>
      <family val="2"/>
      <scheme val="minor"/>
    </font>
    <font>
      <b/>
      <sz val="9"/>
      <name val="Arial"/>
      <family val="2"/>
    </font>
    <font>
      <b/>
      <sz val="10"/>
      <name val="Arial"/>
      <family val="2"/>
    </font>
    <font>
      <sz val="9"/>
      <name val="Arial"/>
      <family val="2"/>
    </font>
    <font>
      <sz val="10"/>
      <color indexed="8"/>
      <name val="Arial"/>
      <family val="2"/>
    </font>
    <font>
      <b/>
      <sz val="10"/>
      <color rgb="FF000000"/>
      <name val="Calibri"/>
      <family val="2"/>
      <scheme val="minor"/>
    </font>
    <font>
      <sz val="8"/>
      <name val="Arial"/>
      <family val="2"/>
    </font>
  </fonts>
  <fills count="11">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rgb="FFFFFF00"/>
        <bgColor indexed="64"/>
      </patternFill>
    </fill>
    <fill>
      <patternFill patternType="solid">
        <fgColor rgb="FF92D050"/>
        <bgColor indexed="64"/>
      </patternFill>
    </fill>
    <fill>
      <patternFill patternType="solid">
        <fgColor theme="9"/>
        <bgColor indexed="64"/>
      </patternFill>
    </fill>
    <fill>
      <patternFill patternType="solid">
        <fgColor rgb="FFFFC000"/>
        <bgColor indexed="64"/>
      </patternFill>
    </fill>
    <fill>
      <patternFill patternType="solid">
        <fgColor rgb="FFFF0000"/>
        <bgColor indexed="64"/>
      </patternFill>
    </fill>
  </fills>
  <borders count="48">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thin">
        <color indexed="64"/>
      </left>
      <right/>
      <top/>
      <bottom style="thin">
        <color indexed="64"/>
      </bottom>
      <diagonal/>
    </border>
    <border>
      <left style="thin">
        <color indexed="64"/>
      </left>
      <right style="thin">
        <color indexed="64"/>
      </right>
      <top/>
      <bottom/>
      <diagonal/>
    </border>
  </borders>
  <cellStyleXfs count="46">
    <xf numFmtId="0" fontId="0" fillId="0" borderId="0"/>
    <xf numFmtId="43" fontId="8"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43" fontId="8" fillId="0" borderId="0" applyFont="0" applyFill="0" applyBorder="0" applyAlignment="0" applyProtection="0"/>
    <xf numFmtId="0" fontId="8" fillId="0" borderId="0"/>
    <xf numFmtId="43" fontId="8" fillId="0" borderId="0" applyFont="0" applyFill="0" applyBorder="0" applyAlignment="0" applyProtection="0"/>
    <xf numFmtId="0" fontId="8" fillId="0" borderId="0"/>
    <xf numFmtId="166" fontId="8" fillId="0" borderId="0" applyFill="0" applyBorder="0" applyAlignment="0" applyProtection="0"/>
    <xf numFmtId="0" fontId="7" fillId="0" borderId="0"/>
    <xf numFmtId="0" fontId="8" fillId="0" borderId="0"/>
    <xf numFmtId="0" fontId="6" fillId="0" borderId="0"/>
    <xf numFmtId="0" fontId="5" fillId="0" borderId="0"/>
    <xf numFmtId="0" fontId="14" fillId="0" borderId="0"/>
    <xf numFmtId="0" fontId="8" fillId="0" borderId="0">
      <alignment vertical="center" wrapText="1"/>
    </xf>
    <xf numFmtId="0" fontId="8" fillId="0" borderId="0">
      <alignment vertical="center" wrapText="1"/>
    </xf>
    <xf numFmtId="0" fontId="8" fillId="0" borderId="0"/>
    <xf numFmtId="0" fontId="4" fillId="0" borderId="0"/>
    <xf numFmtId="0" fontId="22" fillId="0" borderId="0"/>
    <xf numFmtId="0" fontId="4" fillId="0" borderId="0"/>
    <xf numFmtId="0" fontId="22" fillId="0" borderId="0"/>
    <xf numFmtId="0" fontId="22" fillId="0" borderId="0"/>
    <xf numFmtId="0" fontId="8" fillId="0" borderId="0"/>
    <xf numFmtId="43" fontId="22" fillId="0" borderId="0" applyFont="0" applyFill="0" applyBorder="0" applyAlignment="0" applyProtection="0"/>
    <xf numFmtId="0" fontId="8" fillId="0" borderId="0"/>
    <xf numFmtId="43" fontId="8" fillId="0" borderId="0" applyFont="0" applyFill="0" applyBorder="0" applyAlignment="0" applyProtection="0"/>
    <xf numFmtId="0" fontId="23" fillId="0" borderId="0"/>
    <xf numFmtId="43" fontId="22" fillId="0" borderId="0" applyFont="0" applyFill="0" applyBorder="0" applyAlignment="0" applyProtection="0"/>
    <xf numFmtId="0" fontId="24" fillId="0" borderId="0"/>
    <xf numFmtId="0" fontId="24" fillId="0" borderId="0"/>
    <xf numFmtId="165" fontId="22" fillId="0" borderId="0" applyFont="0" applyFill="0" applyBorder="0" applyAlignment="0" applyProtection="0"/>
    <xf numFmtId="165" fontId="22" fillId="0" borderId="0" applyFont="0" applyFill="0" applyBorder="0" applyAlignment="0" applyProtection="0"/>
    <xf numFmtId="169" fontId="8" fillId="0" borderId="0" applyFont="0" applyFill="0" applyBorder="0" applyAlignment="0" applyProtection="0"/>
    <xf numFmtId="9" fontId="40" fillId="0" borderId="0" applyFont="0" applyFill="0" applyBorder="0" applyAlignment="0" applyProtection="0"/>
    <xf numFmtId="0" fontId="3" fillId="0" borderId="0"/>
    <xf numFmtId="0" fontId="3" fillId="0" borderId="0"/>
    <xf numFmtId="0" fontId="3" fillId="0" borderId="0"/>
    <xf numFmtId="0" fontId="3" fillId="0" borderId="0"/>
    <xf numFmtId="0" fontId="8" fillId="0" borderId="0"/>
    <xf numFmtId="171" fontId="8" fillId="0" borderId="0" applyFont="0" applyFill="0" applyBorder="0" applyAlignment="0" applyProtection="0"/>
    <xf numFmtId="0" fontId="2" fillId="0" borderId="0"/>
    <xf numFmtId="0" fontId="2" fillId="0" borderId="0"/>
    <xf numFmtId="0" fontId="22" fillId="0" borderId="0"/>
    <xf numFmtId="9" fontId="8" fillId="0" borderId="0" applyFont="0" applyFill="0" applyBorder="0" applyAlignment="0" applyProtection="0"/>
    <xf numFmtId="0" fontId="1" fillId="0" borderId="0"/>
  </cellStyleXfs>
  <cellXfs count="866">
    <xf numFmtId="0" fontId="0" fillId="0" borderId="0" xfId="0"/>
    <xf numFmtId="0" fontId="13" fillId="3" borderId="1" xfId="0" applyFont="1" applyFill="1" applyBorder="1" applyAlignment="1">
      <alignment vertical="center"/>
    </xf>
    <xf numFmtId="43" fontId="13" fillId="0" borderId="0" xfId="1" applyFont="1" applyBorder="1" applyAlignment="1">
      <alignment horizontal="center" vertical="center"/>
    </xf>
    <xf numFmtId="0" fontId="13" fillId="3" borderId="1" xfId="0" applyFont="1" applyFill="1" applyBorder="1" applyAlignment="1">
      <alignment horizontal="center" vertical="center"/>
    </xf>
    <xf numFmtId="0" fontId="13" fillId="3" borderId="5" xfId="0" applyFont="1" applyFill="1" applyBorder="1"/>
    <xf numFmtId="0" fontId="13" fillId="0" borderId="5" xfId="8" applyFont="1" applyBorder="1"/>
    <xf numFmtId="0" fontId="13" fillId="0" borderId="5" xfId="0" applyFont="1" applyBorder="1"/>
    <xf numFmtId="0" fontId="16" fillId="3" borderId="4" xfId="0" applyFont="1" applyFill="1" applyBorder="1" applyAlignment="1">
      <alignment vertical="center"/>
    </xf>
    <xf numFmtId="0" fontId="13" fillId="0" borderId="0" xfId="0" applyFont="1" applyAlignment="1">
      <alignment horizontal="center" vertical="center"/>
    </xf>
    <xf numFmtId="0" fontId="13" fillId="0" borderId="0" xfId="0" applyFont="1"/>
    <xf numFmtId="0" fontId="13" fillId="4" borderId="0" xfId="0" applyFont="1" applyFill="1" applyAlignment="1">
      <alignment horizontal="center" vertical="center"/>
    </xf>
    <xf numFmtId="0" fontId="13" fillId="3" borderId="0" xfId="0" applyFont="1" applyFill="1"/>
    <xf numFmtId="0" fontId="13" fillId="0" borderId="0" xfId="0" applyFont="1" applyAlignment="1">
      <alignment horizontal="justify" vertical="top" wrapText="1"/>
    </xf>
    <xf numFmtId="0" fontId="13" fillId="0" borderId="0" xfId="0" applyFont="1" applyAlignment="1">
      <alignment vertical="center"/>
    </xf>
    <xf numFmtId="0" fontId="12" fillId="3" borderId="0" xfId="0" applyFont="1" applyFill="1"/>
    <xf numFmtId="0" fontId="13" fillId="0" borderId="0" xfId="8" applyFont="1"/>
    <xf numFmtId="0" fontId="13" fillId="0" borderId="1" xfId="0" applyFont="1" applyBorder="1" applyAlignment="1">
      <alignment horizontal="center" vertical="center"/>
    </xf>
    <xf numFmtId="0" fontId="13" fillId="0" borderId="1" xfId="0" applyFont="1" applyBorder="1" applyAlignment="1">
      <alignment horizontal="left" vertical="center"/>
    </xf>
    <xf numFmtId="0" fontId="17" fillId="0" borderId="1" xfId="12" applyFont="1" applyBorder="1" applyAlignment="1">
      <alignment horizontal="center" vertical="center" wrapText="1"/>
    </xf>
    <xf numFmtId="43" fontId="12" fillId="0" borderId="1" xfId="5" applyFont="1" applyBorder="1" applyAlignment="1">
      <alignment horizontal="center" vertical="center" wrapText="1"/>
    </xf>
    <xf numFmtId="0" fontId="13" fillId="0" borderId="1" xfId="0" applyFont="1" applyBorder="1" applyAlignment="1">
      <alignment horizontal="center" vertical="center" wrapText="1"/>
    </xf>
    <xf numFmtId="0" fontId="13" fillId="0" borderId="1" xfId="0" applyFont="1" applyBorder="1" applyAlignment="1">
      <alignment vertical="center"/>
    </xf>
    <xf numFmtId="2" fontId="13" fillId="0" borderId="1" xfId="0" applyNumberFormat="1" applyFont="1" applyBorder="1" applyAlignment="1">
      <alignment horizontal="center" vertical="center" wrapText="1"/>
    </xf>
    <xf numFmtId="0" fontId="13" fillId="0" borderId="1" xfId="0" applyFont="1" applyBorder="1" applyAlignment="1">
      <alignment vertical="center" wrapText="1"/>
    </xf>
    <xf numFmtId="164" fontId="13" fillId="2" borderId="1" xfId="1" applyNumberFormat="1" applyFont="1" applyFill="1" applyBorder="1" applyAlignment="1">
      <alignment horizontal="right" vertical="center"/>
    </xf>
    <xf numFmtId="0" fontId="16" fillId="0" borderId="3" xfId="0" applyFont="1" applyBorder="1" applyAlignment="1">
      <alignment horizontal="center" vertical="center"/>
    </xf>
    <xf numFmtId="0" fontId="13" fillId="0" borderId="4" xfId="0" applyFont="1" applyBorder="1" applyAlignment="1">
      <alignment horizontal="center" vertical="center"/>
    </xf>
    <xf numFmtId="0" fontId="13" fillId="0" borderId="7" xfId="0" applyFont="1" applyBorder="1" applyAlignment="1">
      <alignment horizontal="center" vertical="center"/>
    </xf>
    <xf numFmtId="0" fontId="13" fillId="0" borderId="8" xfId="0" applyFont="1" applyBorder="1" applyAlignment="1">
      <alignment horizontal="center" vertical="center"/>
    </xf>
    <xf numFmtId="0" fontId="13" fillId="0" borderId="8" xfId="0" applyFont="1" applyBorder="1" applyAlignment="1">
      <alignment vertical="center"/>
    </xf>
    <xf numFmtId="43" fontId="13" fillId="0" borderId="8" xfId="1" applyFont="1" applyBorder="1" applyAlignment="1">
      <alignment horizontal="center" vertical="center"/>
    </xf>
    <xf numFmtId="0" fontId="13" fillId="0" borderId="9" xfId="0" applyFont="1" applyBorder="1"/>
    <xf numFmtId="0" fontId="13" fillId="5" borderId="1" xfId="0" applyFont="1" applyFill="1" applyBorder="1" applyAlignment="1">
      <alignment horizontal="center" vertical="center"/>
    </xf>
    <xf numFmtId="0" fontId="13" fillId="5" borderId="1" xfId="0" applyFont="1" applyFill="1" applyBorder="1" applyAlignment="1">
      <alignment vertical="center"/>
    </xf>
    <xf numFmtId="164" fontId="16" fillId="5" borderId="1" xfId="0" applyNumberFormat="1" applyFont="1" applyFill="1" applyBorder="1" applyAlignment="1">
      <alignment horizontal="right" vertical="center"/>
    </xf>
    <xf numFmtId="0" fontId="16" fillId="5" borderId="4" xfId="0" applyFont="1" applyFill="1" applyBorder="1" applyAlignment="1">
      <alignment vertical="center"/>
    </xf>
    <xf numFmtId="0" fontId="13" fillId="5" borderId="5" xfId="0" applyFont="1" applyFill="1" applyBorder="1"/>
    <xf numFmtId="164" fontId="13" fillId="0" borderId="1" xfId="0" applyNumberFormat="1" applyFont="1" applyBorder="1" applyAlignment="1">
      <alignment vertical="center" wrapText="1"/>
    </xf>
    <xf numFmtId="0" fontId="11" fillId="0" borderId="0" xfId="0" applyFont="1" applyAlignment="1">
      <alignment horizontal="justify" vertical="top" wrapText="1"/>
    </xf>
    <xf numFmtId="0" fontId="19" fillId="0" borderId="0" xfId="8" applyFont="1"/>
    <xf numFmtId="0" fontId="21" fillId="0" borderId="0" xfId="0" applyFont="1"/>
    <xf numFmtId="0" fontId="16" fillId="0" borderId="1" xfId="0" applyFont="1" applyBorder="1" applyAlignment="1">
      <alignment horizontal="center" vertical="top"/>
    </xf>
    <xf numFmtId="0" fontId="15" fillId="0" borderId="1" xfId="0" applyFont="1" applyBorder="1" applyAlignment="1">
      <alignment horizontal="center" vertical="center"/>
    </xf>
    <xf numFmtId="0" fontId="15" fillId="0" borderId="1" xfId="0" applyFont="1" applyBorder="1" applyAlignment="1">
      <alignment horizontal="left" vertical="center"/>
    </xf>
    <xf numFmtId="43" fontId="16" fillId="0" borderId="1" xfId="5" applyFont="1" applyBorder="1" applyAlignment="1">
      <alignment horizontal="center" vertical="center"/>
    </xf>
    <xf numFmtId="0" fontId="16" fillId="4" borderId="1" xfId="8" applyFont="1" applyFill="1" applyBorder="1" applyAlignment="1">
      <alignment horizontal="center" vertical="center"/>
    </xf>
    <xf numFmtId="166" fontId="16" fillId="4" borderId="1" xfId="9" applyFont="1" applyFill="1" applyBorder="1" applyAlignment="1">
      <alignment horizontal="center" vertical="center"/>
    </xf>
    <xf numFmtId="43" fontId="13" fillId="0" borderId="1" xfId="1" applyFont="1" applyBorder="1" applyAlignment="1">
      <alignment horizontal="center" vertical="center"/>
    </xf>
    <xf numFmtId="164" fontId="16" fillId="3" borderId="1" xfId="0" applyNumberFormat="1" applyFont="1" applyFill="1" applyBorder="1" applyAlignment="1">
      <alignment horizontal="right" vertical="center"/>
    </xf>
    <xf numFmtId="0" fontId="16" fillId="0" borderId="4" xfId="0" applyFont="1" applyBorder="1" applyAlignment="1">
      <alignment horizontal="center" vertical="center"/>
    </xf>
    <xf numFmtId="0" fontId="16" fillId="4" borderId="4" xfId="8" applyFont="1" applyFill="1" applyBorder="1" applyAlignment="1">
      <alignment horizontal="center" vertical="center"/>
    </xf>
    <xf numFmtId="0" fontId="16" fillId="4" borderId="5" xfId="0" applyFont="1" applyFill="1" applyBorder="1" applyAlignment="1">
      <alignment horizontal="center" vertical="center"/>
    </xf>
    <xf numFmtId="2" fontId="13" fillId="0" borderId="8" xfId="0" applyNumberFormat="1" applyFont="1" applyBorder="1" applyAlignment="1">
      <alignment horizontal="center" vertical="center"/>
    </xf>
    <xf numFmtId="2" fontId="13" fillId="0" borderId="8" xfId="1" applyNumberFormat="1" applyFont="1" applyBorder="1" applyAlignment="1">
      <alignment horizontal="center" vertical="center"/>
    </xf>
    <xf numFmtId="2" fontId="13" fillId="0" borderId="1" xfId="1" applyNumberFormat="1" applyFont="1" applyBorder="1" applyAlignment="1">
      <alignment horizontal="center" vertical="center" wrapText="1"/>
    </xf>
    <xf numFmtId="0" fontId="20" fillId="2" borderId="0" xfId="0" applyFont="1" applyFill="1" applyAlignment="1">
      <alignment horizontal="center" vertical="center"/>
    </xf>
    <xf numFmtId="0" fontId="20" fillId="2" borderId="0" xfId="0" applyFont="1" applyFill="1"/>
    <xf numFmtId="0" fontId="20" fillId="2" borderId="0" xfId="0" applyFont="1" applyFill="1" applyAlignment="1">
      <alignment horizontal="justify" vertical="top" wrapText="1"/>
    </xf>
    <xf numFmtId="0" fontId="29" fillId="2" borderId="0" xfId="0" applyFont="1" applyFill="1"/>
    <xf numFmtId="0" fontId="20" fillId="2" borderId="0" xfId="8" applyFont="1" applyFill="1"/>
    <xf numFmtId="0" fontId="26" fillId="2" borderId="0" xfId="8" applyFont="1" applyFill="1" applyAlignment="1">
      <alignment horizontal="center" vertical="top"/>
    </xf>
    <xf numFmtId="0" fontId="20" fillId="2" borderId="0" xfId="8" applyFont="1" applyFill="1" applyAlignment="1">
      <alignment horizontal="left" vertical="top" wrapText="1"/>
    </xf>
    <xf numFmtId="0" fontId="20" fillId="2" borderId="0" xfId="8" applyFont="1" applyFill="1" applyAlignment="1">
      <alignment horizontal="center" vertical="center" wrapText="1"/>
    </xf>
    <xf numFmtId="0" fontId="20" fillId="2" borderId="0" xfId="0" applyFont="1" applyFill="1" applyAlignment="1">
      <alignment vertical="center"/>
    </xf>
    <xf numFmtId="43" fontId="20" fillId="2" borderId="0" xfId="1" applyFont="1" applyFill="1" applyBorder="1" applyAlignment="1">
      <alignment horizontal="center" vertical="center"/>
    </xf>
    <xf numFmtId="170" fontId="20" fillId="2" borderId="0" xfId="1" applyNumberFormat="1" applyFont="1" applyFill="1" applyAlignment="1">
      <alignment horizontal="center" vertical="center"/>
    </xf>
    <xf numFmtId="170" fontId="20" fillId="2" borderId="0" xfId="1" applyNumberFormat="1" applyFont="1" applyFill="1" applyBorder="1" applyAlignment="1">
      <alignment horizontal="center" vertical="center"/>
    </xf>
    <xf numFmtId="0" fontId="32" fillId="2" borderId="0" xfId="8" applyFont="1" applyFill="1"/>
    <xf numFmtId="0" fontId="20" fillId="2" borderId="0" xfId="0" applyFont="1" applyFill="1" applyAlignment="1">
      <alignment horizontal="center" vertical="center" wrapText="1"/>
    </xf>
    <xf numFmtId="0" fontId="20" fillId="2" borderId="0" xfId="0" applyFont="1" applyFill="1" applyAlignment="1">
      <alignment vertical="center" wrapText="1"/>
    </xf>
    <xf numFmtId="0" fontId="20" fillId="2" borderId="0" xfId="19" applyFont="1" applyFill="1" applyAlignment="1" applyProtection="1">
      <alignment wrapText="1"/>
      <protection hidden="1"/>
    </xf>
    <xf numFmtId="0" fontId="20" fillId="2" borderId="0" xfId="19" applyFont="1" applyFill="1" applyProtection="1">
      <protection hidden="1"/>
    </xf>
    <xf numFmtId="0" fontId="20" fillId="2" borderId="0" xfId="19" applyFont="1" applyFill="1" applyAlignment="1" applyProtection="1">
      <alignment vertical="top" wrapText="1"/>
      <protection hidden="1"/>
    </xf>
    <xf numFmtId="0" fontId="27" fillId="2" borderId="0" xfId="19" applyFont="1" applyFill="1" applyProtection="1">
      <protection hidden="1"/>
    </xf>
    <xf numFmtId="0" fontId="27" fillId="2" borderId="0" xfId="19" applyFont="1" applyFill="1" applyAlignment="1" applyProtection="1">
      <alignment horizontal="center" vertical="center"/>
      <protection hidden="1"/>
    </xf>
    <xf numFmtId="0" fontId="27" fillId="2" borderId="0" xfId="19" applyFont="1" applyFill="1" applyAlignment="1" applyProtection="1">
      <alignment horizontal="left" vertical="top"/>
      <protection hidden="1"/>
    </xf>
    <xf numFmtId="0" fontId="27" fillId="2" borderId="0" xfId="22" applyFont="1" applyFill="1"/>
    <xf numFmtId="0" fontId="27" fillId="2" borderId="0" xfId="19" applyFont="1" applyFill="1" applyAlignment="1" applyProtection="1">
      <alignment wrapText="1"/>
      <protection hidden="1"/>
    </xf>
    <xf numFmtId="0" fontId="20" fillId="2" borderId="0" xfId="0" applyFont="1" applyFill="1" applyAlignment="1">
      <alignment wrapText="1"/>
    </xf>
    <xf numFmtId="0" fontId="30" fillId="2" borderId="0" xfId="13" applyFont="1" applyFill="1" applyAlignment="1">
      <alignment horizontal="center" vertical="center"/>
    </xf>
    <xf numFmtId="0" fontId="30" fillId="2" borderId="0" xfId="13" applyFont="1" applyFill="1" applyAlignment="1">
      <alignment horizontal="center" vertical="center" wrapText="1"/>
    </xf>
    <xf numFmtId="170" fontId="30" fillId="2" borderId="0" xfId="1" applyNumberFormat="1" applyFont="1" applyFill="1" applyAlignment="1">
      <alignment horizontal="center" vertical="center"/>
    </xf>
    <xf numFmtId="9" fontId="27" fillId="2" borderId="0" xfId="1" applyNumberFormat="1" applyFont="1" applyFill="1" applyAlignment="1" applyProtection="1">
      <alignment horizontal="center" vertical="center"/>
      <protection hidden="1"/>
    </xf>
    <xf numFmtId="9" fontId="30" fillId="2" borderId="1" xfId="1" applyNumberFormat="1" applyFont="1" applyFill="1" applyBorder="1" applyAlignment="1" applyProtection="1">
      <alignment horizontal="center" vertical="center"/>
      <protection hidden="1"/>
    </xf>
    <xf numFmtId="9" fontId="30" fillId="2" borderId="1" xfId="1" quotePrefix="1" applyNumberFormat="1" applyFont="1" applyFill="1" applyBorder="1" applyAlignment="1" applyProtection="1">
      <alignment horizontal="center" vertical="center"/>
      <protection hidden="1"/>
    </xf>
    <xf numFmtId="9" fontId="35" fillId="2" borderId="1" xfId="1" applyNumberFormat="1" applyFont="1" applyFill="1" applyBorder="1" applyAlignment="1" applyProtection="1">
      <alignment horizontal="center" vertical="center"/>
      <protection hidden="1"/>
    </xf>
    <xf numFmtId="0" fontId="27" fillId="2" borderId="1" xfId="22" applyFont="1" applyFill="1" applyBorder="1"/>
    <xf numFmtId="170" fontId="20" fillId="2" borderId="1" xfId="1" applyNumberFormat="1" applyFont="1" applyFill="1" applyBorder="1" applyAlignment="1">
      <alignment horizontal="center" vertical="center"/>
    </xf>
    <xf numFmtId="170" fontId="20" fillId="2" borderId="1" xfId="1" applyNumberFormat="1" applyFont="1" applyFill="1" applyBorder="1" applyAlignment="1">
      <alignment horizontal="center" vertical="center" wrapText="1"/>
    </xf>
    <xf numFmtId="10" fontId="20" fillId="2" borderId="1" xfId="1" applyNumberFormat="1" applyFont="1" applyFill="1" applyBorder="1" applyAlignment="1">
      <alignment horizontal="center" vertical="center"/>
    </xf>
    <xf numFmtId="10" fontId="20" fillId="2" borderId="1" xfId="1" applyNumberFormat="1" applyFont="1" applyFill="1" applyBorder="1" applyAlignment="1">
      <alignment horizontal="center" vertical="center" wrapText="1"/>
    </xf>
    <xf numFmtId="170" fontId="20" fillId="2" borderId="1" xfId="1" applyNumberFormat="1" applyFont="1" applyFill="1" applyBorder="1" applyAlignment="1" applyProtection="1">
      <alignment horizontal="center" vertical="center" wrapText="1"/>
      <protection hidden="1"/>
    </xf>
    <xf numFmtId="170" fontId="27" fillId="2" borderId="1" xfId="1" applyNumberFormat="1" applyFont="1" applyFill="1" applyBorder="1" applyAlignment="1" applyProtection="1">
      <alignment horizontal="center" vertical="center" wrapText="1"/>
      <protection hidden="1"/>
    </xf>
    <xf numFmtId="0" fontId="27" fillId="2" borderId="1" xfId="19" applyFont="1" applyFill="1" applyBorder="1" applyAlignment="1" applyProtection="1">
      <alignment wrapText="1"/>
      <protection hidden="1"/>
    </xf>
    <xf numFmtId="170" fontId="27" fillId="2" borderId="1" xfId="19" applyNumberFormat="1" applyFont="1" applyFill="1" applyBorder="1" applyAlignment="1" applyProtection="1">
      <alignment wrapText="1"/>
      <protection hidden="1"/>
    </xf>
    <xf numFmtId="9" fontId="30" fillId="2" borderId="1" xfId="1" applyNumberFormat="1" applyFont="1" applyFill="1" applyBorder="1" applyAlignment="1" applyProtection="1">
      <alignment horizontal="center" vertical="center" wrapText="1"/>
      <protection hidden="1"/>
    </xf>
    <xf numFmtId="9" fontId="20" fillId="2" borderId="1" xfId="1" applyNumberFormat="1" applyFont="1" applyFill="1" applyBorder="1" applyAlignment="1" applyProtection="1">
      <alignment horizontal="center" vertical="center" wrapText="1"/>
      <protection hidden="1"/>
    </xf>
    <xf numFmtId="9" fontId="20" fillId="2" borderId="1" xfId="1" applyNumberFormat="1" applyFont="1" applyFill="1" applyBorder="1" applyAlignment="1">
      <alignment horizontal="center" vertical="center" wrapText="1"/>
    </xf>
    <xf numFmtId="0" fontId="26" fillId="2" borderId="1" xfId="0" applyFont="1" applyFill="1" applyBorder="1" applyAlignment="1">
      <alignment horizontal="center" vertical="center"/>
    </xf>
    <xf numFmtId="0" fontId="25" fillId="2" borderId="1" xfId="0" applyFont="1" applyFill="1" applyBorder="1" applyAlignment="1">
      <alignment horizontal="center" vertical="center"/>
    </xf>
    <xf numFmtId="0" fontId="26" fillId="2" borderId="1" xfId="8" applyFont="1" applyFill="1" applyBorder="1" applyAlignment="1">
      <alignment horizontal="center" vertical="center"/>
    </xf>
    <xf numFmtId="170" fontId="26" fillId="2" borderId="1" xfId="1" applyNumberFormat="1" applyFont="1" applyFill="1" applyBorder="1" applyAlignment="1">
      <alignment horizontal="center" vertical="center"/>
    </xf>
    <xf numFmtId="0" fontId="20" fillId="2" borderId="1" xfId="0" applyFont="1" applyFill="1" applyBorder="1" applyAlignment="1">
      <alignment horizontal="center" vertical="center"/>
    </xf>
    <xf numFmtId="0" fontId="26" fillId="2" borderId="1" xfId="0" applyFont="1" applyFill="1" applyBorder="1" applyAlignment="1">
      <alignment vertical="center"/>
    </xf>
    <xf numFmtId="170" fontId="26" fillId="2" borderId="1" xfId="1" applyNumberFormat="1" applyFont="1" applyFill="1" applyBorder="1" applyAlignment="1">
      <alignment vertical="center"/>
    </xf>
    <xf numFmtId="0" fontId="20" fillId="2" borderId="1" xfId="0" applyFont="1" applyFill="1" applyBorder="1"/>
    <xf numFmtId="3" fontId="20" fillId="2" borderId="1" xfId="0" applyNumberFormat="1" applyFont="1" applyFill="1" applyBorder="1" applyAlignment="1">
      <alignment horizontal="left" vertical="center" wrapText="1"/>
    </xf>
    <xf numFmtId="3" fontId="20" fillId="2" borderId="1" xfId="0" applyNumberFormat="1" applyFont="1" applyFill="1" applyBorder="1" applyAlignment="1">
      <alignment horizontal="center" vertical="center" wrapText="1"/>
    </xf>
    <xf numFmtId="170" fontId="27" fillId="2" borderId="1" xfId="1" applyNumberFormat="1" applyFont="1" applyFill="1" applyBorder="1" applyAlignment="1">
      <alignment horizontal="center" vertical="center" wrapText="1"/>
    </xf>
    <xf numFmtId="170" fontId="20" fillId="2" borderId="1" xfId="1" applyNumberFormat="1" applyFont="1" applyFill="1" applyBorder="1" applyAlignment="1">
      <alignment horizontal="right" vertical="center"/>
    </xf>
    <xf numFmtId="0" fontId="27" fillId="2" borderId="1" xfId="12" applyFont="1" applyFill="1" applyBorder="1" applyAlignment="1">
      <alignment horizontal="justify" vertical="center" wrapText="1"/>
    </xf>
    <xf numFmtId="0" fontId="27" fillId="2" borderId="1" xfId="12" applyFont="1" applyFill="1" applyBorder="1" applyAlignment="1">
      <alignment horizontal="center" vertical="center" wrapText="1"/>
    </xf>
    <xf numFmtId="0" fontId="28" fillId="2" borderId="1" xfId="0" applyFont="1" applyFill="1" applyBorder="1" applyAlignment="1">
      <alignment horizontal="justify" vertical="top" wrapText="1"/>
    </xf>
    <xf numFmtId="43" fontId="29" fillId="2" borderId="1" xfId="5" applyFont="1" applyFill="1" applyBorder="1" applyAlignment="1">
      <alignment horizontal="center" vertical="center" wrapText="1"/>
    </xf>
    <xf numFmtId="0" fontId="20" fillId="2" borderId="1" xfId="5" applyNumberFormat="1" applyFont="1" applyFill="1" applyBorder="1" applyAlignment="1">
      <alignment horizontal="center" vertical="center" wrapText="1"/>
    </xf>
    <xf numFmtId="0" fontId="20" fillId="2" borderId="1" xfId="5" applyNumberFormat="1" applyFont="1" applyFill="1" applyBorder="1" applyAlignment="1">
      <alignment horizontal="left" vertical="center" wrapText="1"/>
    </xf>
    <xf numFmtId="0" fontId="29" fillId="2" borderId="1" xfId="0" applyFont="1" applyFill="1" applyBorder="1" applyAlignment="1">
      <alignment horizontal="justify" vertical="top" wrapText="1"/>
    </xf>
    <xf numFmtId="0" fontId="20" fillId="2" borderId="1" xfId="0" applyFont="1" applyFill="1" applyBorder="1" applyAlignment="1">
      <alignment horizontal="center" vertical="center" wrapText="1"/>
    </xf>
    <xf numFmtId="0" fontId="20" fillId="2" borderId="1" xfId="0" applyFont="1" applyFill="1" applyBorder="1" applyAlignment="1">
      <alignment vertical="center"/>
    </xf>
    <xf numFmtId="0" fontId="20" fillId="2" borderId="1" xfId="0" applyFont="1" applyFill="1" applyBorder="1" applyAlignment="1">
      <alignment vertical="top" wrapText="1"/>
    </xf>
    <xf numFmtId="43" fontId="29" fillId="2" borderId="1" xfId="2" applyFont="1" applyFill="1" applyBorder="1" applyAlignment="1">
      <alignment horizontal="center" vertical="center" wrapText="1"/>
    </xf>
    <xf numFmtId="43" fontId="20" fillId="2" borderId="1" xfId="1" applyFont="1" applyFill="1" applyBorder="1" applyAlignment="1">
      <alignment horizontal="center" vertical="center" wrapText="1"/>
    </xf>
    <xf numFmtId="1" fontId="20" fillId="2" borderId="1" xfId="0" quotePrefix="1" applyNumberFormat="1" applyFont="1" applyFill="1" applyBorder="1" applyAlignment="1">
      <alignment horizontal="justify" vertical="justify" wrapText="1"/>
    </xf>
    <xf numFmtId="0" fontId="29" fillId="2" borderId="1" xfId="0" applyFont="1" applyFill="1" applyBorder="1" applyAlignment="1">
      <alignment horizontal="left" vertical="center"/>
    </xf>
    <xf numFmtId="0" fontId="20" fillId="2" borderId="1" xfId="0" applyFont="1" applyFill="1" applyBorder="1" applyAlignment="1">
      <alignment vertical="center" wrapText="1"/>
    </xf>
    <xf numFmtId="0" fontId="27" fillId="2" borderId="1" xfId="0" applyFont="1" applyFill="1" applyBorder="1" applyAlignment="1">
      <alignment horizontal="justify" vertical="center" wrapText="1"/>
    </xf>
    <xf numFmtId="0" fontId="20" fillId="2" borderId="1" xfId="8" applyFont="1" applyFill="1" applyBorder="1" applyAlignment="1">
      <alignment horizontal="left" vertical="top" wrapText="1"/>
    </xf>
    <xf numFmtId="0" fontId="20" fillId="2" borderId="1" xfId="8" applyFont="1" applyFill="1" applyBorder="1" applyAlignment="1">
      <alignment horizontal="left" vertical="center" wrapText="1"/>
    </xf>
    <xf numFmtId="0" fontId="20" fillId="2" borderId="1" xfId="8" applyFont="1" applyFill="1" applyBorder="1" applyAlignment="1">
      <alignment wrapText="1"/>
    </xf>
    <xf numFmtId="0" fontId="20" fillId="2" borderId="1" xfId="0" applyFont="1" applyFill="1" applyBorder="1" applyAlignment="1">
      <alignment horizontal="left" vertical="center" wrapText="1"/>
    </xf>
    <xf numFmtId="0" fontId="26" fillId="2" borderId="1" xfId="8" applyFont="1" applyFill="1" applyBorder="1" applyAlignment="1">
      <alignment horizontal="center" vertical="top"/>
    </xf>
    <xf numFmtId="0" fontId="26" fillId="2" borderId="1" xfId="8" applyFont="1" applyFill="1" applyBorder="1" applyAlignment="1">
      <alignment vertical="center" wrapText="1"/>
    </xf>
    <xf numFmtId="0" fontId="20" fillId="2" borderId="1" xfId="8" applyFont="1" applyFill="1" applyBorder="1" applyAlignment="1">
      <alignment vertical="center" wrapText="1"/>
    </xf>
    <xf numFmtId="43" fontId="20" fillId="2" borderId="1" xfId="5" applyFont="1" applyFill="1" applyBorder="1" applyAlignment="1">
      <alignment horizontal="center" vertical="center" wrapText="1"/>
    </xf>
    <xf numFmtId="0" fontId="20" fillId="2" borderId="1" xfId="8" applyFont="1" applyFill="1" applyBorder="1" applyAlignment="1">
      <alignment horizontal="center" vertical="center"/>
    </xf>
    <xf numFmtId="0" fontId="20" fillId="2" borderId="1" xfId="8" applyFont="1" applyFill="1" applyBorder="1" applyAlignment="1">
      <alignment horizontal="center" vertical="top"/>
    </xf>
    <xf numFmtId="0" fontId="28" fillId="2" borderId="1" xfId="0" applyFont="1" applyFill="1" applyBorder="1" applyAlignment="1">
      <alignment vertical="center" wrapText="1"/>
    </xf>
    <xf numFmtId="0" fontId="26" fillId="2" borderId="1" xfId="0" applyFont="1" applyFill="1" applyBorder="1" applyAlignment="1">
      <alignment vertical="center" wrapText="1"/>
    </xf>
    <xf numFmtId="170" fontId="26" fillId="2" borderId="1" xfId="1" applyNumberFormat="1" applyFont="1" applyFill="1" applyBorder="1" applyAlignment="1">
      <alignment horizontal="right" vertical="center"/>
    </xf>
    <xf numFmtId="0" fontId="29" fillId="2" borderId="1" xfId="5" applyNumberFormat="1" applyFont="1" applyFill="1" applyBorder="1" applyAlignment="1">
      <alignment horizontal="left" vertical="center" wrapText="1"/>
    </xf>
    <xf numFmtId="43" fontId="20" fillId="2" borderId="1" xfId="1" applyFont="1" applyFill="1" applyBorder="1" applyAlignment="1">
      <alignment horizontal="center" vertical="center"/>
    </xf>
    <xf numFmtId="0" fontId="26" fillId="2" borderId="1" xfId="8" applyFont="1" applyFill="1" applyBorder="1" applyAlignment="1">
      <alignment horizontal="center" vertical="center" wrapText="1"/>
    </xf>
    <xf numFmtId="0" fontId="20" fillId="2" borderId="1" xfId="8" applyFont="1" applyFill="1" applyBorder="1" applyAlignment="1">
      <alignment horizontal="center" vertical="top" wrapText="1"/>
    </xf>
    <xf numFmtId="0" fontId="20" fillId="2" borderId="1" xfId="8" applyFont="1" applyFill="1" applyBorder="1" applyAlignment="1">
      <alignment horizontal="center" vertical="center" wrapText="1"/>
    </xf>
    <xf numFmtId="167" fontId="20" fillId="2" borderId="1" xfId="8" applyNumberFormat="1" applyFont="1" applyFill="1" applyBorder="1" applyAlignment="1">
      <alignment horizontal="center" vertical="center" wrapText="1"/>
    </xf>
    <xf numFmtId="1" fontId="26" fillId="2" borderId="1" xfId="8" applyNumberFormat="1" applyFont="1" applyFill="1" applyBorder="1" applyAlignment="1">
      <alignment horizontal="center" vertical="center"/>
    </xf>
    <xf numFmtId="2" fontId="20" fillId="2" borderId="1" xfId="8" applyNumberFormat="1" applyFont="1" applyFill="1" applyBorder="1" applyAlignment="1">
      <alignment horizontal="left" vertical="center" wrapText="1"/>
    </xf>
    <xf numFmtId="0" fontId="20" fillId="2" borderId="1" xfId="0" applyFont="1" applyFill="1" applyBorder="1" applyAlignment="1">
      <alignment wrapText="1"/>
    </xf>
    <xf numFmtId="0" fontId="26" fillId="2" borderId="1" xfId="8" applyFont="1" applyFill="1" applyBorder="1" applyAlignment="1">
      <alignment horizontal="center" vertical="top" wrapText="1"/>
    </xf>
    <xf numFmtId="0" fontId="20" fillId="2" borderId="1" xfId="0" applyFont="1" applyFill="1" applyBorder="1" applyAlignment="1">
      <alignment horizontal="left" vertical="top" wrapText="1"/>
    </xf>
    <xf numFmtId="0" fontId="30" fillId="2" borderId="1" xfId="0" applyFont="1" applyFill="1" applyBorder="1" applyAlignment="1">
      <alignment horizontal="left" vertical="center" wrapText="1"/>
    </xf>
    <xf numFmtId="0" fontId="20" fillId="2" borderId="1" xfId="8" applyFont="1" applyFill="1" applyBorder="1" applyAlignment="1">
      <alignment vertical="top" wrapText="1"/>
    </xf>
    <xf numFmtId="0" fontId="28" fillId="2" borderId="1" xfId="8" applyFont="1" applyFill="1" applyBorder="1" applyAlignment="1">
      <alignment horizontal="center" vertical="center"/>
    </xf>
    <xf numFmtId="0" fontId="28" fillId="2" borderId="1" xfId="8" applyFont="1" applyFill="1" applyBorder="1" applyAlignment="1">
      <alignment horizontal="left" vertical="top"/>
    </xf>
    <xf numFmtId="0" fontId="26" fillId="2" borderId="1" xfId="8" applyFont="1" applyFill="1" applyBorder="1" applyAlignment="1">
      <alignment horizontal="left" vertical="center" wrapText="1"/>
    </xf>
    <xf numFmtId="0" fontId="30" fillId="2" borderId="1" xfId="8" applyFont="1" applyFill="1" applyBorder="1" applyAlignment="1">
      <alignment wrapText="1"/>
    </xf>
    <xf numFmtId="0" fontId="20" fillId="2" borderId="1" xfId="8" applyFont="1" applyFill="1" applyBorder="1" applyAlignment="1">
      <alignment horizontal="left" vertical="top"/>
    </xf>
    <xf numFmtId="0" fontId="26" fillId="2" borderId="1" xfId="0" applyFont="1" applyFill="1" applyBorder="1" applyAlignment="1">
      <alignment horizontal="left" vertical="center"/>
    </xf>
    <xf numFmtId="0" fontId="26" fillId="2" borderId="1" xfId="0" applyFont="1" applyFill="1" applyBorder="1" applyAlignment="1">
      <alignment horizontal="left" vertical="center" wrapText="1"/>
    </xf>
    <xf numFmtId="166" fontId="20" fillId="2" borderId="1" xfId="9" applyFont="1" applyFill="1" applyBorder="1" applyAlignment="1">
      <alignment horizontal="center" vertical="center"/>
    </xf>
    <xf numFmtId="0" fontId="26" fillId="2" borderId="1" xfId="0" applyFont="1" applyFill="1" applyBorder="1" applyAlignment="1">
      <alignment horizontal="right" vertical="center"/>
    </xf>
    <xf numFmtId="0" fontId="26" fillId="2" borderId="1" xfId="0" applyFont="1" applyFill="1" applyBorder="1" applyAlignment="1">
      <alignment horizontal="right" vertical="center" wrapText="1"/>
    </xf>
    <xf numFmtId="0" fontId="41" fillId="2" borderId="0" xfId="0" applyFont="1" applyFill="1"/>
    <xf numFmtId="0" fontId="42" fillId="2" borderId="0" xfId="0" applyFont="1" applyFill="1" applyAlignment="1">
      <alignment horizontal="center"/>
    </xf>
    <xf numFmtId="0" fontId="42" fillId="2" borderId="0" xfId="0" applyFont="1" applyFill="1"/>
    <xf numFmtId="10" fontId="20" fillId="2" borderId="1" xfId="0" applyNumberFormat="1" applyFont="1" applyFill="1" applyBorder="1" applyAlignment="1">
      <alignment vertical="center"/>
    </xf>
    <xf numFmtId="10" fontId="20" fillId="2" borderId="1" xfId="8" applyNumberFormat="1" applyFont="1" applyFill="1" applyBorder="1" applyAlignment="1">
      <alignment vertical="center"/>
    </xf>
    <xf numFmtId="0" fontId="20" fillId="2" borderId="13" xfId="0" applyFont="1" applyFill="1" applyBorder="1" applyAlignment="1">
      <alignment horizontal="center" vertical="center"/>
    </xf>
    <xf numFmtId="0" fontId="20" fillId="2" borderId="13" xfId="0" applyFont="1" applyFill="1" applyBorder="1" applyAlignment="1">
      <alignment vertical="center"/>
    </xf>
    <xf numFmtId="43" fontId="20" fillId="2" borderId="13" xfId="1" applyFont="1" applyFill="1" applyBorder="1" applyAlignment="1">
      <alignment horizontal="center" vertical="center"/>
    </xf>
    <xf numFmtId="0" fontId="26" fillId="2" borderId="1" xfId="19" applyFont="1" applyFill="1" applyBorder="1" applyAlignment="1" applyProtection="1">
      <alignment horizontal="center" vertical="center" wrapText="1"/>
      <protection hidden="1"/>
    </xf>
    <xf numFmtId="0" fontId="20" fillId="2" borderId="1" xfId="19" applyFont="1" applyFill="1" applyBorder="1" applyAlignment="1" applyProtection="1">
      <alignment wrapText="1"/>
      <protection hidden="1"/>
    </xf>
    <xf numFmtId="0" fontId="26" fillId="2" borderId="1" xfId="19" applyFont="1" applyFill="1" applyBorder="1" applyAlignment="1" applyProtection="1">
      <alignment horizontal="left" vertical="center" wrapText="1"/>
      <protection hidden="1"/>
    </xf>
    <xf numFmtId="0" fontId="20" fillId="2" borderId="1" xfId="19" applyFont="1" applyFill="1" applyBorder="1" applyAlignment="1" applyProtection="1">
      <alignment horizontal="center" wrapText="1"/>
      <protection hidden="1"/>
    </xf>
    <xf numFmtId="0" fontId="26" fillId="2" borderId="1" xfId="19" applyFont="1" applyFill="1" applyBorder="1" applyAlignment="1" applyProtection="1">
      <alignment horizontal="center" vertical="top" wrapText="1"/>
      <protection hidden="1"/>
    </xf>
    <xf numFmtId="0" fontId="26" fillId="2" borderId="1" xfId="19" applyFont="1" applyFill="1" applyBorder="1" applyAlignment="1" applyProtection="1">
      <alignment vertical="center" wrapText="1"/>
      <protection hidden="1"/>
    </xf>
    <xf numFmtId="0" fontId="20" fillId="2" borderId="1" xfId="18" applyFont="1" applyFill="1" applyBorder="1" applyAlignment="1" applyProtection="1">
      <alignment horizontal="justify" vertical="top" wrapText="1"/>
      <protection hidden="1"/>
    </xf>
    <xf numFmtId="0" fontId="20" fillId="2" borderId="1" xfId="19" applyFont="1" applyFill="1" applyBorder="1" applyAlignment="1" applyProtection="1">
      <alignment horizontal="center" vertical="center" wrapText="1"/>
      <protection hidden="1"/>
    </xf>
    <xf numFmtId="0" fontId="26" fillId="2" borderId="1" xfId="19" applyFont="1" applyFill="1" applyBorder="1" applyAlignment="1" applyProtection="1">
      <alignment horizontal="justify" vertical="top" wrapText="1"/>
      <protection hidden="1"/>
    </xf>
    <xf numFmtId="0" fontId="20" fillId="2" borderId="1" xfId="19" applyFont="1" applyFill="1" applyBorder="1" applyAlignment="1" applyProtection="1">
      <alignment horizontal="justify" vertical="top" wrapText="1"/>
      <protection hidden="1"/>
    </xf>
    <xf numFmtId="0" fontId="20" fillId="2" borderId="1" xfId="19" applyFont="1" applyFill="1" applyBorder="1" applyAlignment="1" applyProtection="1">
      <alignment horizontal="center" vertical="top" wrapText="1"/>
      <protection hidden="1"/>
    </xf>
    <xf numFmtId="0" fontId="20" fillId="2" borderId="1" xfId="20" applyFont="1" applyFill="1" applyBorder="1" applyAlignment="1" applyProtection="1">
      <alignment horizontal="justify" vertical="top" wrapText="1"/>
      <protection hidden="1"/>
    </xf>
    <xf numFmtId="0" fontId="26" fillId="2" borderId="1" xfId="20" applyFont="1" applyFill="1" applyBorder="1" applyAlignment="1" applyProtection="1">
      <alignment horizontal="justify" vertical="top" wrapText="1"/>
      <protection hidden="1"/>
    </xf>
    <xf numFmtId="0" fontId="20" fillId="2" borderId="1" xfId="20" applyFont="1" applyFill="1" applyBorder="1" applyAlignment="1" applyProtection="1">
      <alignment horizontal="justify" vertical="center" wrapText="1"/>
      <protection hidden="1"/>
    </xf>
    <xf numFmtId="0" fontId="26" fillId="2" borderId="1" xfId="20" applyFont="1" applyFill="1" applyBorder="1" applyAlignment="1" applyProtection="1">
      <alignment horizontal="left" vertical="top" wrapText="1"/>
      <protection hidden="1"/>
    </xf>
    <xf numFmtId="0" fontId="26" fillId="2" borderId="1" xfId="21" applyFont="1" applyFill="1" applyBorder="1" applyAlignment="1" applyProtection="1">
      <alignment horizontal="justify" vertical="top" wrapText="1"/>
      <protection hidden="1"/>
    </xf>
    <xf numFmtId="0" fontId="20" fillId="2" borderId="1" xfId="18" applyFont="1" applyFill="1" applyBorder="1" applyAlignment="1" applyProtection="1">
      <alignment horizontal="justify" vertical="top"/>
      <protection hidden="1"/>
    </xf>
    <xf numFmtId="0" fontId="26" fillId="2" borderId="1" xfId="18" applyFont="1" applyFill="1" applyBorder="1" applyAlignment="1" applyProtection="1">
      <alignment horizontal="center" vertical="center"/>
      <protection hidden="1"/>
    </xf>
    <xf numFmtId="0" fontId="26" fillId="2" borderId="1" xfId="18" applyFont="1" applyFill="1" applyBorder="1" applyAlignment="1" applyProtection="1">
      <alignment horizontal="justify" vertical="top" wrapText="1"/>
      <protection hidden="1"/>
    </xf>
    <xf numFmtId="0" fontId="25" fillId="2" borderId="1" xfId="22" applyFont="1" applyFill="1" applyBorder="1" applyAlignment="1" applyProtection="1">
      <alignment horizontal="left" vertical="center" wrapText="1"/>
      <protection hidden="1"/>
    </xf>
    <xf numFmtId="0" fontId="20" fillId="2" borderId="1" xfId="18" applyFont="1" applyFill="1" applyBorder="1" applyAlignment="1" applyProtection="1">
      <alignment horizontal="center" vertical="center"/>
      <protection hidden="1"/>
    </xf>
    <xf numFmtId="9" fontId="20" fillId="2" borderId="1" xfId="1" applyNumberFormat="1" applyFont="1" applyFill="1" applyBorder="1" applyAlignment="1" applyProtection="1">
      <alignment wrapText="1"/>
      <protection hidden="1"/>
    </xf>
    <xf numFmtId="2" fontId="20" fillId="2" borderId="1" xfId="19" applyNumberFormat="1" applyFont="1" applyFill="1" applyBorder="1" applyAlignment="1" applyProtection="1">
      <alignment horizontal="center" vertical="top" wrapText="1"/>
      <protection hidden="1"/>
    </xf>
    <xf numFmtId="0" fontId="20" fillId="2" borderId="1" xfId="19" applyFont="1" applyFill="1" applyBorder="1" applyAlignment="1" applyProtection="1">
      <alignment horizontal="center" vertical="top"/>
      <protection hidden="1"/>
    </xf>
    <xf numFmtId="0" fontId="20" fillId="2" borderId="1" xfId="18" applyFont="1" applyFill="1" applyBorder="1" applyAlignment="1" applyProtection="1">
      <alignment horizontal="justify" vertical="center" wrapText="1"/>
      <protection hidden="1"/>
    </xf>
    <xf numFmtId="0" fontId="26" fillId="2" borderId="1" xfId="23" applyFont="1" applyFill="1" applyBorder="1" applyAlignment="1" applyProtection="1">
      <alignment vertical="top" wrapText="1"/>
      <protection hidden="1"/>
    </xf>
    <xf numFmtId="0" fontId="26" fillId="2" borderId="1" xfId="23" quotePrefix="1" applyFont="1" applyFill="1" applyBorder="1" applyAlignment="1" applyProtection="1">
      <alignment horizontal="justify" vertical="top" wrapText="1"/>
      <protection hidden="1"/>
    </xf>
    <xf numFmtId="0" fontId="26" fillId="2" borderId="1" xfId="23" applyFont="1" applyFill="1" applyBorder="1" applyAlignment="1" applyProtection="1">
      <alignment horizontal="center" wrapText="1"/>
      <protection hidden="1"/>
    </xf>
    <xf numFmtId="0" fontId="26" fillId="2" borderId="1" xfId="23" applyFont="1" applyFill="1" applyBorder="1" applyAlignment="1" applyProtection="1">
      <alignment horizontal="justify" vertical="top" wrapText="1"/>
      <protection hidden="1"/>
    </xf>
    <xf numFmtId="0" fontId="20" fillId="2" borderId="1" xfId="23" applyFont="1" applyFill="1" applyBorder="1" applyAlignment="1" applyProtection="1">
      <alignment horizontal="center" vertical="top" wrapText="1"/>
      <protection hidden="1"/>
    </xf>
    <xf numFmtId="0" fontId="26" fillId="2" borderId="1" xfId="23" quotePrefix="1" applyFont="1" applyFill="1" applyBorder="1" applyAlignment="1" applyProtection="1">
      <alignment horizontal="left" vertical="center" wrapText="1"/>
      <protection hidden="1"/>
    </xf>
    <xf numFmtId="0" fontId="20" fillId="2" borderId="1" xfId="23" applyFont="1" applyFill="1" applyBorder="1" applyAlignment="1" applyProtection="1">
      <alignment horizontal="center" wrapText="1"/>
      <protection hidden="1"/>
    </xf>
    <xf numFmtId="0" fontId="20" fillId="2" borderId="1" xfId="19" applyFont="1" applyFill="1" applyBorder="1" applyAlignment="1" applyProtection="1">
      <alignment vertical="top" wrapText="1"/>
      <protection hidden="1"/>
    </xf>
    <xf numFmtId="2" fontId="34" fillId="2" borderId="1" xfId="19" applyNumberFormat="1" applyFont="1" applyFill="1" applyBorder="1" applyAlignment="1" applyProtection="1">
      <alignment horizontal="center" vertical="center"/>
      <protection hidden="1"/>
    </xf>
    <xf numFmtId="2" fontId="34" fillId="2" borderId="1" xfId="19" applyNumberFormat="1" applyFont="1" applyFill="1" applyBorder="1" applyAlignment="1" applyProtection="1">
      <alignment horizontal="left" vertical="top" wrapText="1"/>
      <protection hidden="1"/>
    </xf>
    <xf numFmtId="2" fontId="30" fillId="2" borderId="1" xfId="19" applyNumberFormat="1" applyFont="1" applyFill="1" applyBorder="1" applyAlignment="1" applyProtection="1">
      <alignment horizontal="center" vertical="center"/>
      <protection hidden="1"/>
    </xf>
    <xf numFmtId="0" fontId="30" fillId="2" borderId="1" xfId="19" applyFont="1" applyFill="1" applyBorder="1" applyAlignment="1" applyProtection="1">
      <alignment horizontal="center" vertical="center"/>
      <protection hidden="1"/>
    </xf>
    <xf numFmtId="0" fontId="30" fillId="2" borderId="1" xfId="19" applyFont="1" applyFill="1" applyBorder="1" applyAlignment="1" applyProtection="1">
      <alignment horizontal="justify" vertical="top" wrapText="1"/>
      <protection hidden="1"/>
    </xf>
    <xf numFmtId="165" fontId="30" fillId="2" borderId="1" xfId="32" applyFont="1" applyFill="1" applyBorder="1" applyAlignment="1" applyProtection="1">
      <alignment horizontal="center" vertical="center"/>
      <protection hidden="1"/>
    </xf>
    <xf numFmtId="165" fontId="30" fillId="2" borderId="1" xfId="32" applyFont="1" applyFill="1" applyBorder="1" applyAlignment="1" applyProtection="1">
      <alignment horizontal="center" vertical="center" wrapText="1"/>
      <protection hidden="1"/>
    </xf>
    <xf numFmtId="0" fontId="30" fillId="2" borderId="1" xfId="19" applyFont="1" applyFill="1" applyBorder="1" applyAlignment="1" applyProtection="1">
      <alignment horizontal="justify" vertical="top"/>
      <protection hidden="1"/>
    </xf>
    <xf numFmtId="0" fontId="30" fillId="2" borderId="1" xfId="18" applyFont="1" applyFill="1" applyBorder="1" applyAlignment="1" applyProtection="1">
      <alignment horizontal="justify" vertical="top"/>
      <protection hidden="1"/>
    </xf>
    <xf numFmtId="0" fontId="30" fillId="2" borderId="1" xfId="18" applyFont="1" applyFill="1" applyBorder="1" applyAlignment="1" applyProtection="1">
      <alignment vertical="top" wrapText="1"/>
      <protection hidden="1"/>
    </xf>
    <xf numFmtId="0" fontId="34" fillId="2" borderId="1" xfId="19" applyFont="1" applyFill="1" applyBorder="1" applyAlignment="1" applyProtection="1">
      <alignment horizontal="justify" vertical="top" wrapText="1"/>
      <protection hidden="1"/>
    </xf>
    <xf numFmtId="168" fontId="30" fillId="2" borderId="1" xfId="19" applyNumberFormat="1" applyFont="1" applyFill="1" applyBorder="1" applyAlignment="1" applyProtection="1">
      <alignment horizontal="center" vertical="center"/>
      <protection hidden="1"/>
    </xf>
    <xf numFmtId="0" fontId="30" fillId="2" borderId="1" xfId="19" applyFont="1" applyFill="1" applyBorder="1" applyAlignment="1" applyProtection="1">
      <alignment horizontal="center" vertical="center" wrapText="1"/>
      <protection hidden="1"/>
    </xf>
    <xf numFmtId="2" fontId="34" fillId="2" borderId="1" xfId="19" applyNumberFormat="1" applyFont="1" applyFill="1" applyBorder="1" applyAlignment="1" applyProtection="1">
      <alignment horizontal="justify" vertical="top" wrapText="1"/>
      <protection hidden="1"/>
    </xf>
    <xf numFmtId="2" fontId="30" fillId="2" borderId="1" xfId="19" quotePrefix="1" applyNumberFormat="1" applyFont="1" applyFill="1" applyBorder="1" applyAlignment="1" applyProtection="1">
      <alignment horizontal="center" vertical="center"/>
      <protection hidden="1"/>
    </xf>
    <xf numFmtId="0" fontId="30" fillId="2" borderId="1" xfId="19" quotePrefix="1" applyFont="1" applyFill="1" applyBorder="1" applyAlignment="1" applyProtection="1">
      <alignment horizontal="center" vertical="center"/>
      <protection hidden="1"/>
    </xf>
    <xf numFmtId="0" fontId="20" fillId="2" borderId="1" xfId="19" applyFont="1" applyFill="1" applyBorder="1" applyAlignment="1" applyProtection="1">
      <alignment horizontal="center" vertical="center"/>
      <protection hidden="1"/>
    </xf>
    <xf numFmtId="0" fontId="26" fillId="2" borderId="1" xfId="0" applyFont="1" applyFill="1" applyBorder="1" applyAlignment="1">
      <alignment horizontal="center" vertical="center" wrapText="1"/>
    </xf>
    <xf numFmtId="0" fontId="30" fillId="2" borderId="1" xfId="13" applyFont="1" applyFill="1" applyBorder="1" applyAlignment="1">
      <alignment horizontal="center" vertical="center"/>
    </xf>
    <xf numFmtId="0" fontId="30" fillId="2" borderId="1" xfId="13" applyFont="1" applyFill="1" applyBorder="1" applyAlignment="1">
      <alignment horizontal="center" vertical="center" wrapText="1"/>
    </xf>
    <xf numFmtId="170" fontId="30" fillId="2" borderId="1" xfId="1" applyNumberFormat="1" applyFont="1" applyFill="1" applyBorder="1" applyAlignment="1">
      <alignment horizontal="center" vertical="center"/>
    </xf>
    <xf numFmtId="10" fontId="30" fillId="2" borderId="1" xfId="13" applyNumberFormat="1" applyFont="1" applyFill="1" applyBorder="1" applyAlignment="1">
      <alignment horizontal="center" vertical="center"/>
    </xf>
    <xf numFmtId="43" fontId="26" fillId="2" borderId="1" xfId="1" applyFont="1" applyFill="1" applyBorder="1" applyAlignment="1">
      <alignment horizontal="center" vertical="center"/>
    </xf>
    <xf numFmtId="43" fontId="26" fillId="2" borderId="1" xfId="1" applyFont="1" applyFill="1" applyBorder="1" applyAlignment="1">
      <alignment vertical="center"/>
    </xf>
    <xf numFmtId="43" fontId="27" fillId="2" borderId="1" xfId="1" applyFont="1" applyFill="1" applyBorder="1" applyAlignment="1">
      <alignment horizontal="center" vertical="center" wrapText="1"/>
    </xf>
    <xf numFmtId="43" fontId="20" fillId="2" borderId="1" xfId="1" applyFont="1" applyFill="1" applyBorder="1" applyAlignment="1">
      <alignment horizontal="right" vertical="center"/>
    </xf>
    <xf numFmtId="43" fontId="29" fillId="2" borderId="1" xfId="1" applyFont="1" applyFill="1" applyBorder="1" applyAlignment="1">
      <alignment horizontal="center" vertical="center" wrapText="1"/>
    </xf>
    <xf numFmtId="43" fontId="20" fillId="2" borderId="1" xfId="1" applyFont="1" applyFill="1" applyBorder="1" applyAlignment="1" applyProtection="1">
      <alignment horizontal="center" vertical="center" wrapText="1"/>
      <protection locked="0"/>
    </xf>
    <xf numFmtId="43" fontId="30" fillId="2" borderId="1" xfId="1" applyFont="1" applyFill="1" applyBorder="1" applyAlignment="1">
      <alignment horizontal="center" vertical="center" wrapText="1"/>
    </xf>
    <xf numFmtId="43" fontId="26" fillId="2" borderId="1" xfId="1" applyFont="1" applyFill="1" applyBorder="1" applyAlignment="1">
      <alignment horizontal="center" vertical="center" wrapText="1"/>
    </xf>
    <xf numFmtId="43" fontId="26" fillId="2" borderId="1" xfId="1" applyFont="1" applyFill="1" applyBorder="1" applyAlignment="1">
      <alignment horizontal="right" vertical="center"/>
    </xf>
    <xf numFmtId="43" fontId="20" fillId="2" borderId="1" xfId="1" applyFont="1" applyFill="1" applyBorder="1" applyAlignment="1">
      <alignment vertical="center"/>
    </xf>
    <xf numFmtId="43" fontId="20" fillId="2" borderId="0" xfId="1" applyFont="1" applyFill="1" applyAlignment="1">
      <alignment horizontal="center" vertical="center" wrapText="1"/>
    </xf>
    <xf numFmtId="43" fontId="20" fillId="2" borderId="0" xfId="1" applyFont="1" applyFill="1" applyAlignment="1">
      <alignment horizontal="center" vertical="center"/>
    </xf>
    <xf numFmtId="43" fontId="20" fillId="2" borderId="0" xfId="1" applyFont="1" applyFill="1" applyAlignment="1">
      <alignment vertical="center"/>
    </xf>
    <xf numFmtId="10" fontId="20" fillId="2" borderId="0" xfId="0" applyNumberFormat="1" applyFont="1" applyFill="1" applyAlignment="1">
      <alignment vertical="center"/>
    </xf>
    <xf numFmtId="0" fontId="28" fillId="2" borderId="1" xfId="0" applyFont="1" applyFill="1" applyBorder="1" applyAlignment="1">
      <alignment horizontal="center" vertical="center" wrapText="1"/>
    </xf>
    <xf numFmtId="10" fontId="20" fillId="2" borderId="1" xfId="0" applyNumberFormat="1" applyFont="1" applyFill="1" applyBorder="1" applyAlignment="1">
      <alignment horizontal="center" vertical="center" wrapText="1"/>
    </xf>
    <xf numFmtId="1" fontId="20" fillId="2" borderId="1" xfId="0" quotePrefix="1" applyNumberFormat="1" applyFont="1" applyFill="1" applyBorder="1" applyAlignment="1">
      <alignment horizontal="center" vertical="center" wrapText="1"/>
    </xf>
    <xf numFmtId="0" fontId="29" fillId="2" borderId="1" xfId="0" applyFont="1" applyFill="1" applyBorder="1" applyAlignment="1">
      <alignment horizontal="center" vertical="center"/>
    </xf>
    <xf numFmtId="43" fontId="20" fillId="2" borderId="1" xfId="1" applyFont="1" applyFill="1" applyBorder="1" applyAlignment="1">
      <alignment vertical="center" wrapText="1"/>
    </xf>
    <xf numFmtId="43" fontId="20" fillId="2" borderId="1" xfId="1" applyFont="1" applyFill="1" applyBorder="1" applyAlignment="1">
      <alignment horizontal="left" vertical="center" wrapText="1"/>
    </xf>
    <xf numFmtId="0" fontId="20" fillId="0" borderId="1" xfId="8" applyFont="1" applyBorder="1" applyAlignment="1">
      <alignment horizontal="center" vertical="center"/>
    </xf>
    <xf numFmtId="0" fontId="20" fillId="0" borderId="1" xfId="8" applyFont="1" applyBorder="1" applyAlignment="1">
      <alignment horizontal="left" vertical="top" wrapText="1"/>
    </xf>
    <xf numFmtId="0" fontId="20" fillId="0" borderId="1" xfId="8" applyFont="1" applyBorder="1" applyAlignment="1">
      <alignment horizontal="center" vertical="center" wrapText="1"/>
    </xf>
    <xf numFmtId="43" fontId="20" fillId="0" borderId="1" xfId="1" applyFont="1" applyFill="1" applyBorder="1" applyAlignment="1">
      <alignment horizontal="center" vertical="center"/>
    </xf>
    <xf numFmtId="43" fontId="20" fillId="0" borderId="1" xfId="1" applyFont="1" applyFill="1" applyBorder="1" applyAlignment="1">
      <alignment horizontal="center" vertical="center" wrapText="1"/>
    </xf>
    <xf numFmtId="0" fontId="20" fillId="0" borderId="1" xfId="0" applyFont="1" applyBorder="1" applyAlignment="1">
      <alignment horizontal="left" vertical="top" wrapText="1"/>
    </xf>
    <xf numFmtId="0" fontId="30" fillId="0" borderId="1" xfId="0" applyFont="1" applyBorder="1" applyAlignment="1">
      <alignment horizontal="left" vertical="center" wrapText="1"/>
    </xf>
    <xf numFmtId="43" fontId="32" fillId="2" borderId="0" xfId="1" applyFont="1" applyFill="1" applyAlignment="1">
      <alignment horizontal="center" vertical="center"/>
    </xf>
    <xf numFmtId="43" fontId="29" fillId="2" borderId="0" xfId="1" applyFont="1" applyFill="1" applyAlignment="1">
      <alignment horizontal="center" vertical="center"/>
    </xf>
    <xf numFmtId="43" fontId="26" fillId="2" borderId="1" xfId="1" applyFont="1" applyFill="1" applyBorder="1" applyAlignment="1" applyProtection="1">
      <alignment vertical="center" wrapText="1"/>
      <protection hidden="1"/>
    </xf>
    <xf numFmtId="43" fontId="26" fillId="2" borderId="1" xfId="1" applyFont="1" applyFill="1" applyBorder="1" applyAlignment="1" applyProtection="1">
      <alignment horizontal="center" vertical="center" wrapText="1"/>
      <protection hidden="1"/>
    </xf>
    <xf numFmtId="43" fontId="20" fillId="2" borderId="1" xfId="1" applyFont="1" applyFill="1" applyBorder="1" applyAlignment="1" applyProtection="1">
      <alignment wrapText="1"/>
      <protection hidden="1"/>
    </xf>
    <xf numFmtId="43" fontId="20" fillId="2" borderId="1" xfId="1" applyFont="1" applyFill="1" applyBorder="1" applyAlignment="1" applyProtection="1">
      <alignment horizontal="center" vertical="center" wrapText="1"/>
      <protection hidden="1"/>
    </xf>
    <xf numFmtId="43" fontId="20" fillId="2" borderId="1" xfId="1" applyFont="1" applyFill="1" applyBorder="1" applyAlignment="1" applyProtection="1">
      <alignment vertical="center" wrapText="1"/>
      <protection hidden="1"/>
    </xf>
    <xf numFmtId="43" fontId="20" fillId="2" borderId="1" xfId="1" applyFont="1" applyFill="1" applyBorder="1" applyAlignment="1" applyProtection="1">
      <alignment horizontal="center" vertical="center"/>
      <protection hidden="1"/>
    </xf>
    <xf numFmtId="43" fontId="20" fillId="2" borderId="1" xfId="1" applyFont="1" applyFill="1" applyBorder="1" applyAlignment="1" applyProtection="1">
      <alignment horizontal="right" vertical="center" wrapText="1"/>
      <protection hidden="1"/>
    </xf>
    <xf numFmtId="43" fontId="27" fillId="2" borderId="1" xfId="1" applyFont="1" applyFill="1" applyBorder="1" applyAlignment="1" applyProtection="1">
      <alignment horizontal="center" vertical="center"/>
      <protection hidden="1"/>
    </xf>
    <xf numFmtId="43" fontId="30" fillId="2" borderId="1" xfId="1" applyFont="1" applyFill="1" applyBorder="1" applyAlignment="1" applyProtection="1">
      <alignment horizontal="center" vertical="center"/>
      <protection hidden="1"/>
    </xf>
    <xf numFmtId="43" fontId="20" fillId="2" borderId="1" xfId="1" quotePrefix="1" applyFont="1" applyFill="1" applyBorder="1" applyAlignment="1" applyProtection="1">
      <alignment horizontal="center" vertical="center"/>
      <protection hidden="1"/>
    </xf>
    <xf numFmtId="43" fontId="28" fillId="2" borderId="1" xfId="1" applyFont="1" applyFill="1" applyBorder="1" applyAlignment="1" applyProtection="1">
      <alignment horizontal="center" vertical="center"/>
      <protection hidden="1"/>
    </xf>
    <xf numFmtId="43" fontId="30" fillId="2" borderId="1" xfId="1" quotePrefix="1" applyFont="1" applyFill="1" applyBorder="1" applyAlignment="1" applyProtection="1">
      <alignment horizontal="center" vertical="center"/>
      <protection hidden="1"/>
    </xf>
    <xf numFmtId="43" fontId="30" fillId="2" borderId="1" xfId="1" applyFont="1" applyFill="1" applyBorder="1" applyAlignment="1" applyProtection="1">
      <alignment horizontal="center" vertical="center" wrapText="1"/>
      <protection hidden="1"/>
    </xf>
    <xf numFmtId="43" fontId="35" fillId="2" borderId="1" xfId="1" applyFont="1" applyFill="1" applyBorder="1" applyAlignment="1" applyProtection="1">
      <alignment horizontal="center" vertical="center"/>
      <protection hidden="1"/>
    </xf>
    <xf numFmtId="43" fontId="20" fillId="2" borderId="0" xfId="1" applyFont="1" applyFill="1" applyAlignment="1" applyProtection="1">
      <alignment horizontal="center" vertical="center"/>
      <protection hidden="1"/>
    </xf>
    <xf numFmtId="43" fontId="27" fillId="2" borderId="0" xfId="1" applyFont="1" applyFill="1" applyAlignment="1" applyProtection="1">
      <alignment horizontal="center" vertical="center"/>
      <protection hidden="1"/>
    </xf>
    <xf numFmtId="43" fontId="27" fillId="2" borderId="1" xfId="1" applyFont="1" applyFill="1" applyBorder="1" applyProtection="1">
      <protection hidden="1"/>
    </xf>
    <xf numFmtId="0" fontId="26" fillId="2" borderId="1" xfId="22" applyFont="1" applyFill="1" applyBorder="1" applyAlignment="1">
      <alignment horizontal="center" vertical="center" wrapText="1"/>
    </xf>
    <xf numFmtId="0" fontId="26" fillId="2" borderId="1" xfId="22" applyFont="1" applyFill="1" applyBorder="1" applyAlignment="1">
      <alignment horizontal="left" vertical="center" wrapText="1"/>
    </xf>
    <xf numFmtId="0" fontId="20" fillId="2" borderId="1" xfId="22" applyFont="1" applyFill="1" applyBorder="1" applyAlignment="1">
      <alignment horizontal="left" vertical="center" wrapText="1"/>
    </xf>
    <xf numFmtId="0" fontId="20" fillId="2" borderId="1" xfId="22" applyFont="1" applyFill="1" applyBorder="1" applyAlignment="1">
      <alignment horizontal="center" wrapText="1"/>
    </xf>
    <xf numFmtId="0" fontId="20" fillId="2" borderId="1" xfId="22" applyFont="1" applyFill="1" applyBorder="1" applyAlignment="1">
      <alignment horizontal="left" vertical="top"/>
    </xf>
    <xf numFmtId="0" fontId="20" fillId="2" borderId="1" xfId="22" applyFont="1" applyFill="1" applyBorder="1" applyAlignment="1">
      <alignment horizontal="left" vertical="top" wrapText="1"/>
    </xf>
    <xf numFmtId="0" fontId="29" fillId="2" borderId="1" xfId="22" applyFont="1" applyFill="1" applyBorder="1" applyAlignment="1">
      <alignment horizontal="left" vertical="top" wrapText="1"/>
    </xf>
    <xf numFmtId="0" fontId="20" fillId="2" borderId="1" xfId="27" applyFont="1" applyFill="1" applyBorder="1" applyAlignment="1">
      <alignment horizontal="left" vertical="top" wrapText="1"/>
    </xf>
    <xf numFmtId="0" fontId="20" fillId="2" borderId="1" xfId="27" applyFont="1" applyFill="1" applyBorder="1" applyAlignment="1">
      <alignment horizontal="center" vertical="center" wrapText="1"/>
    </xf>
    <xf numFmtId="0" fontId="20" fillId="2" borderId="1" xfId="22" applyFont="1" applyFill="1" applyBorder="1" applyAlignment="1">
      <alignment horizontal="center" vertical="center" wrapText="1"/>
    </xf>
    <xf numFmtId="0" fontId="37" fillId="2" borderId="1" xfId="22" applyFont="1" applyFill="1" applyBorder="1" applyAlignment="1">
      <alignment horizontal="left" vertical="center" wrapText="1"/>
    </xf>
    <xf numFmtId="0" fontId="30" fillId="2" borderId="1" xfId="29" applyFont="1" applyFill="1" applyBorder="1" applyAlignment="1">
      <alignment horizontal="justify" vertical="top" wrapText="1"/>
    </xf>
    <xf numFmtId="2" fontId="26" fillId="2" borderId="1" xfId="22" quotePrefix="1" applyNumberFormat="1" applyFont="1" applyFill="1" applyBorder="1" applyAlignment="1">
      <alignment horizontal="justify" vertical="justify" wrapText="1"/>
    </xf>
    <xf numFmtId="0" fontId="30" fillId="2" borderId="1" xfId="30" applyFont="1" applyFill="1" applyBorder="1" applyAlignment="1">
      <alignment horizontal="justify" vertical="top" wrapText="1"/>
    </xf>
    <xf numFmtId="0" fontId="20" fillId="2" borderId="1" xfId="19" applyFont="1" applyFill="1" applyBorder="1" applyAlignment="1">
      <alignment horizontal="center" vertical="center" wrapText="1"/>
    </xf>
    <xf numFmtId="0" fontId="34" fillId="2" borderId="1" xfId="30" applyFont="1" applyFill="1" applyBorder="1" applyAlignment="1">
      <alignment horizontal="justify" vertical="top" wrapText="1"/>
    </xf>
    <xf numFmtId="0" fontId="20" fillId="2" borderId="1" xfId="19" applyFont="1" applyFill="1" applyBorder="1" applyAlignment="1">
      <alignment horizontal="left" vertical="center" wrapText="1"/>
    </xf>
    <xf numFmtId="0" fontId="26" fillId="2" borderId="1" xfId="22" applyFont="1" applyFill="1" applyBorder="1" applyAlignment="1">
      <alignment horizontal="center" wrapText="1"/>
    </xf>
    <xf numFmtId="0" fontId="20" fillId="2" borderId="1" xfId="27" applyFont="1" applyFill="1" applyBorder="1" applyAlignment="1">
      <alignment horizontal="left" vertical="distributed" wrapText="1"/>
    </xf>
    <xf numFmtId="3" fontId="20" fillId="2" borderId="1" xfId="27" applyNumberFormat="1" applyFont="1" applyFill="1" applyBorder="1" applyAlignment="1">
      <alignment horizontal="center" vertical="center"/>
    </xf>
    <xf numFmtId="2" fontId="26" fillId="2" borderId="1" xfId="19" applyNumberFormat="1" applyFont="1" applyFill="1" applyBorder="1" applyAlignment="1">
      <alignment horizontal="left" wrapText="1"/>
    </xf>
    <xf numFmtId="0" fontId="29" fillId="2" borderId="1" xfId="27" applyFont="1" applyFill="1" applyBorder="1" applyAlignment="1">
      <alignment horizontal="center" vertical="center"/>
    </xf>
    <xf numFmtId="2" fontId="20" fillId="2" borderId="1" xfId="19" applyNumberFormat="1" applyFont="1" applyFill="1" applyBorder="1" applyAlignment="1">
      <alignment horizontal="left" vertical="top" wrapText="1"/>
    </xf>
    <xf numFmtId="0" fontId="29" fillId="2" borderId="1" xfId="27" applyFont="1" applyFill="1" applyBorder="1" applyAlignment="1">
      <alignment vertical="center" wrapText="1"/>
    </xf>
    <xf numFmtId="0" fontId="30" fillId="2" borderId="1" xfId="29" applyFont="1" applyFill="1" applyBorder="1" applyAlignment="1">
      <alignment horizontal="center" wrapText="1"/>
    </xf>
    <xf numFmtId="0" fontId="30" fillId="2" borderId="1" xfId="29" applyFont="1" applyFill="1" applyBorder="1" applyAlignment="1">
      <alignment horizontal="center" vertical="top" wrapText="1"/>
    </xf>
    <xf numFmtId="0" fontId="20" fillId="2" borderId="1" xfId="22" applyFont="1" applyFill="1" applyBorder="1" applyAlignment="1">
      <alignment horizontal="left" vertical="center"/>
    </xf>
    <xf numFmtId="0" fontId="20" fillId="2" borderId="1" xfId="22" applyFont="1" applyFill="1" applyBorder="1" applyAlignment="1">
      <alignment horizontal="center" vertical="center"/>
    </xf>
    <xf numFmtId="2" fontId="30" fillId="2" borderId="1" xfId="22" applyNumberFormat="1" applyFont="1" applyFill="1" applyBorder="1" applyAlignment="1">
      <alignment vertical="top" wrapText="1"/>
    </xf>
    <xf numFmtId="0" fontId="20" fillId="6" borderId="1" xfId="22" applyFont="1" applyFill="1" applyBorder="1" applyAlignment="1">
      <alignment horizontal="center" vertical="center" wrapText="1"/>
    </xf>
    <xf numFmtId="43" fontId="30" fillId="2" borderId="1" xfId="1" applyFont="1" applyFill="1" applyBorder="1" applyAlignment="1">
      <alignment vertical="center" wrapText="1"/>
    </xf>
    <xf numFmtId="43" fontId="30" fillId="2" borderId="1" xfId="1" applyFont="1" applyFill="1" applyBorder="1" applyAlignment="1">
      <alignment vertical="center"/>
    </xf>
    <xf numFmtId="43" fontId="27" fillId="2" borderId="0" xfId="1" applyFont="1" applyFill="1" applyAlignment="1">
      <alignment horizontal="center" vertical="center"/>
    </xf>
    <xf numFmtId="2" fontId="34" fillId="2" borderId="1" xfId="19" applyNumberFormat="1" applyFont="1" applyFill="1" applyBorder="1" applyAlignment="1" applyProtection="1">
      <alignment horizontal="center" vertical="center" wrapText="1"/>
      <protection hidden="1"/>
    </xf>
    <xf numFmtId="0" fontId="27" fillId="2" borderId="1" xfId="19" applyFont="1" applyFill="1" applyBorder="1" applyAlignment="1" applyProtection="1">
      <alignment horizontal="center" vertical="center" wrapText="1"/>
      <protection hidden="1"/>
    </xf>
    <xf numFmtId="0" fontId="20" fillId="2" borderId="1" xfId="19" applyFont="1" applyFill="1" applyBorder="1" applyAlignment="1" applyProtection="1">
      <alignment horizontal="left" vertical="top" wrapText="1"/>
      <protection hidden="1"/>
    </xf>
    <xf numFmtId="0" fontId="39" fillId="2" borderId="1" xfId="18" applyFont="1" applyFill="1" applyBorder="1" applyAlignment="1" applyProtection="1">
      <alignment horizontal="justify" vertical="top" wrapText="1"/>
      <protection hidden="1"/>
    </xf>
    <xf numFmtId="0" fontId="35" fillId="2" borderId="1" xfId="18" applyFont="1" applyFill="1" applyBorder="1" applyAlignment="1">
      <alignment horizontal="center" wrapText="1"/>
    </xf>
    <xf numFmtId="0" fontId="26" fillId="2" borderId="1" xfId="18" applyFont="1" applyFill="1" applyBorder="1" applyAlignment="1">
      <alignment vertical="center" wrapText="1"/>
    </xf>
    <xf numFmtId="0" fontId="26" fillId="2" borderId="1" xfId="18" applyFont="1" applyFill="1" applyBorder="1" applyAlignment="1">
      <alignment horizontal="center" vertical="center" wrapText="1"/>
    </xf>
    <xf numFmtId="0" fontId="20" fillId="2" borderId="1" xfId="18" applyFont="1" applyFill="1" applyBorder="1" applyAlignment="1">
      <alignment horizontal="left" vertical="center" wrapText="1"/>
    </xf>
    <xf numFmtId="0" fontId="20" fillId="2" borderId="1" xfId="18" applyFont="1" applyFill="1" applyBorder="1" applyAlignment="1">
      <alignment horizontal="center" vertical="center" wrapText="1"/>
    </xf>
    <xf numFmtId="0" fontId="26" fillId="2" borderId="0" xfId="0" applyFont="1" applyFill="1" applyAlignment="1">
      <alignment horizontal="center" vertical="center"/>
    </xf>
    <xf numFmtId="43" fontId="30" fillId="2" borderId="1" xfId="1" applyFont="1" applyFill="1" applyBorder="1" applyAlignment="1">
      <alignment horizontal="center" vertical="center"/>
    </xf>
    <xf numFmtId="43" fontId="30" fillId="2" borderId="0" xfId="1" applyFont="1" applyFill="1" applyAlignment="1">
      <alignment horizontal="center" vertical="center"/>
    </xf>
    <xf numFmtId="1" fontId="20" fillId="7" borderId="1" xfId="23" applyNumberFormat="1" applyFont="1" applyFill="1" applyBorder="1" applyAlignment="1" applyProtection="1">
      <alignment horizontal="center" vertical="top" wrapText="1"/>
      <protection hidden="1"/>
    </xf>
    <xf numFmtId="0" fontId="26" fillId="7" borderId="1" xfId="25" applyFont="1" applyFill="1" applyBorder="1" applyAlignment="1" applyProtection="1">
      <alignment horizontal="left" vertical="top" wrapText="1"/>
      <protection hidden="1"/>
    </xf>
    <xf numFmtId="0" fontId="20" fillId="7" borderId="1" xfId="23" applyFont="1" applyFill="1" applyBorder="1" applyAlignment="1" applyProtection="1">
      <alignment horizontal="center" wrapText="1"/>
      <protection hidden="1"/>
    </xf>
    <xf numFmtId="43" fontId="26" fillId="7" borderId="1" xfId="1" applyFont="1" applyFill="1" applyBorder="1" applyAlignment="1" applyProtection="1">
      <alignment wrapText="1"/>
      <protection hidden="1"/>
    </xf>
    <xf numFmtId="0" fontId="20" fillId="7" borderId="1" xfId="0" applyFont="1" applyFill="1" applyBorder="1" applyAlignment="1">
      <alignment horizontal="center" vertical="center"/>
    </xf>
    <xf numFmtId="43" fontId="20" fillId="7" borderId="1" xfId="1" applyFont="1" applyFill="1" applyBorder="1" applyAlignment="1">
      <alignment horizontal="center" vertical="center"/>
    </xf>
    <xf numFmtId="43" fontId="26" fillId="7" borderId="1" xfId="1" applyFont="1" applyFill="1" applyBorder="1" applyAlignment="1">
      <alignment horizontal="center" vertical="center"/>
    </xf>
    <xf numFmtId="0" fontId="20" fillId="7" borderId="1" xfId="0" applyFont="1" applyFill="1" applyBorder="1" applyAlignment="1">
      <alignment vertical="center"/>
    </xf>
    <xf numFmtId="0" fontId="30" fillId="7" borderId="1" xfId="23" quotePrefix="1" applyFont="1" applyFill="1" applyBorder="1" applyAlignment="1" applyProtection="1">
      <alignment horizontal="center" vertical="center"/>
      <protection hidden="1"/>
    </xf>
    <xf numFmtId="0" fontId="34" fillId="7" borderId="1" xfId="23" quotePrefix="1" applyFont="1" applyFill="1" applyBorder="1" applyAlignment="1" applyProtection="1">
      <alignment horizontal="justify" vertical="top"/>
      <protection hidden="1"/>
    </xf>
    <xf numFmtId="0" fontId="34" fillId="7" borderId="1" xfId="23" quotePrefix="1" applyFont="1" applyFill="1" applyBorder="1" applyAlignment="1" applyProtection="1">
      <alignment horizontal="center" vertical="center"/>
      <protection hidden="1"/>
    </xf>
    <xf numFmtId="43" fontId="34" fillId="7" borderId="1" xfId="1" quotePrefix="1" applyFont="1" applyFill="1" applyBorder="1" applyAlignment="1" applyProtection="1">
      <alignment horizontal="center" vertical="center"/>
      <protection hidden="1"/>
    </xf>
    <xf numFmtId="9" fontId="34" fillId="7" borderId="1" xfId="1" quotePrefix="1" applyNumberFormat="1" applyFont="1" applyFill="1" applyBorder="1" applyAlignment="1" applyProtection="1">
      <alignment horizontal="center" vertical="center"/>
      <protection hidden="1"/>
    </xf>
    <xf numFmtId="170" fontId="34" fillId="7" borderId="1" xfId="1" quotePrefix="1" applyNumberFormat="1" applyFont="1" applyFill="1" applyBorder="1" applyAlignment="1" applyProtection="1">
      <alignment horizontal="center" vertical="center"/>
      <protection hidden="1"/>
    </xf>
    <xf numFmtId="0" fontId="27" fillId="7" borderId="1" xfId="22" applyFont="1" applyFill="1" applyBorder="1" applyAlignment="1">
      <alignment vertical="center"/>
    </xf>
    <xf numFmtId="0" fontId="35" fillId="7" borderId="1" xfId="22" applyFont="1" applyFill="1" applyBorder="1" applyAlignment="1">
      <alignment vertical="center"/>
    </xf>
    <xf numFmtId="43" fontId="27" fillId="7" borderId="1" xfId="1" applyFont="1" applyFill="1" applyBorder="1" applyAlignment="1">
      <alignment horizontal="center" vertical="center"/>
    </xf>
    <xf numFmtId="43" fontId="27" fillId="7" borderId="1" xfId="1" applyFont="1" applyFill="1" applyBorder="1" applyAlignment="1">
      <alignment vertical="center"/>
    </xf>
    <xf numFmtId="43" fontId="35" fillId="7" borderId="1" xfId="1" applyFont="1" applyFill="1" applyBorder="1" applyAlignment="1">
      <alignment horizontal="right" vertical="center"/>
    </xf>
    <xf numFmtId="1" fontId="30" fillId="7" borderId="1" xfId="23" applyNumberFormat="1" applyFont="1" applyFill="1" applyBorder="1" applyAlignment="1">
      <alignment horizontal="center" vertical="top" wrapText="1"/>
    </xf>
    <xf numFmtId="43" fontId="34" fillId="7" borderId="1" xfId="1" applyFont="1" applyFill="1" applyBorder="1" applyAlignment="1">
      <alignment horizontal="left" vertical="top" wrapText="1"/>
    </xf>
    <xf numFmtId="43" fontId="26" fillId="7" borderId="1" xfId="1" applyFont="1" applyFill="1" applyBorder="1" applyAlignment="1">
      <alignment horizontal="center" vertical="top" wrapText="1"/>
    </xf>
    <xf numFmtId="0" fontId="26" fillId="7" borderId="1" xfId="0" applyFont="1" applyFill="1" applyBorder="1" applyAlignment="1">
      <alignment vertical="center"/>
    </xf>
    <xf numFmtId="0" fontId="20" fillId="7" borderId="1" xfId="0" applyFont="1" applyFill="1" applyBorder="1" applyAlignment="1">
      <alignment vertical="center" wrapText="1"/>
    </xf>
    <xf numFmtId="43" fontId="20" fillId="7" borderId="1" xfId="1" applyFont="1" applyFill="1" applyBorder="1" applyAlignment="1">
      <alignment vertical="center"/>
    </xf>
    <xf numFmtId="43" fontId="26" fillId="7" borderId="1" xfId="1" applyFont="1" applyFill="1" applyBorder="1" applyAlignment="1">
      <alignment horizontal="right" vertical="center"/>
    </xf>
    <xf numFmtId="170" fontId="26" fillId="7" borderId="1" xfId="1" applyNumberFormat="1" applyFont="1" applyFill="1" applyBorder="1" applyAlignment="1">
      <alignment horizontal="right" vertical="center"/>
    </xf>
    <xf numFmtId="10" fontId="20" fillId="7" borderId="1" xfId="0" applyNumberFormat="1" applyFont="1" applyFill="1" applyBorder="1" applyAlignment="1">
      <alignment vertical="center"/>
    </xf>
    <xf numFmtId="164" fontId="26" fillId="7" borderId="1" xfId="0" applyNumberFormat="1" applyFont="1" applyFill="1" applyBorder="1" applyAlignment="1">
      <alignment horizontal="right" vertical="center"/>
    </xf>
    <xf numFmtId="0" fontId="43" fillId="7" borderId="1" xfId="0" applyFont="1" applyFill="1" applyBorder="1" applyAlignment="1">
      <alignment horizontal="center" vertical="center"/>
    </xf>
    <xf numFmtId="43" fontId="43" fillId="7" borderId="1" xfId="1" applyFont="1" applyFill="1" applyBorder="1" applyAlignment="1">
      <alignment horizontal="center" vertical="center"/>
    </xf>
    <xf numFmtId="170" fontId="43" fillId="7" borderId="1" xfId="1" applyNumberFormat="1" applyFont="1" applyFill="1" applyBorder="1" applyAlignment="1">
      <alignment horizontal="center" vertical="center"/>
    </xf>
    <xf numFmtId="9" fontId="26" fillId="2" borderId="1" xfId="34" applyFont="1" applyFill="1" applyBorder="1" applyAlignment="1">
      <alignment horizontal="center" vertical="center"/>
    </xf>
    <xf numFmtId="9" fontId="27" fillId="2" borderId="1" xfId="34" applyFont="1" applyFill="1" applyBorder="1" applyAlignment="1">
      <alignment horizontal="center" vertical="center" wrapText="1"/>
    </xf>
    <xf numFmtId="9" fontId="20" fillId="2" borderId="1" xfId="34" applyFont="1" applyFill="1" applyBorder="1" applyAlignment="1">
      <alignment horizontal="center" vertical="center" wrapText="1"/>
    </xf>
    <xf numFmtId="9" fontId="20" fillId="2" borderId="1" xfId="34" applyFont="1" applyFill="1" applyBorder="1" applyAlignment="1">
      <alignment horizontal="center" vertical="center"/>
    </xf>
    <xf numFmtId="9" fontId="26" fillId="7" borderId="1" xfId="34" applyFont="1" applyFill="1" applyBorder="1" applyAlignment="1">
      <alignment horizontal="center" vertical="center"/>
    </xf>
    <xf numFmtId="9" fontId="20" fillId="2" borderId="13" xfId="34" applyFont="1" applyFill="1" applyBorder="1" applyAlignment="1">
      <alignment horizontal="center" vertical="center"/>
    </xf>
    <xf numFmtId="9" fontId="20" fillId="2" borderId="0" xfId="34" applyFont="1" applyFill="1" applyAlignment="1">
      <alignment horizontal="center" vertical="center"/>
    </xf>
    <xf numFmtId="9" fontId="20" fillId="2" borderId="0" xfId="34" applyFont="1" applyFill="1" applyBorder="1" applyAlignment="1">
      <alignment horizontal="center" vertical="center"/>
    </xf>
    <xf numFmtId="0" fontId="45" fillId="0" borderId="0" xfId="0" applyFont="1"/>
    <xf numFmtId="0" fontId="46" fillId="2" borderId="1" xfId="0" applyFont="1" applyFill="1" applyBorder="1" applyAlignment="1">
      <alignment horizontal="center" vertical="top"/>
    </xf>
    <xf numFmtId="0" fontId="46" fillId="2" borderId="1" xfId="0" applyFont="1" applyFill="1" applyBorder="1" applyAlignment="1">
      <alignment horizontal="left" vertical="top"/>
    </xf>
    <xf numFmtId="170" fontId="46" fillId="2" borderId="1" xfId="1" applyNumberFormat="1" applyFont="1" applyFill="1" applyBorder="1" applyAlignment="1">
      <alignment vertical="center" wrapText="1"/>
    </xf>
    <xf numFmtId="0" fontId="43" fillId="0" borderId="1" xfId="0" applyFont="1" applyBorder="1" applyAlignment="1">
      <alignment horizontal="left" vertical="top"/>
    </xf>
    <xf numFmtId="0" fontId="43" fillId="0" borderId="1" xfId="0" applyFont="1" applyBorder="1" applyAlignment="1">
      <alignment horizontal="left" vertical="top" wrapText="1"/>
    </xf>
    <xf numFmtId="170" fontId="43" fillId="0" borderId="1" xfId="1" applyNumberFormat="1" applyFont="1" applyFill="1" applyBorder="1" applyAlignment="1">
      <alignment vertical="center" wrapText="1"/>
    </xf>
    <xf numFmtId="0" fontId="43" fillId="0" borderId="1" xfId="0" applyFont="1" applyBorder="1"/>
    <xf numFmtId="43" fontId="46" fillId="2" borderId="1" xfId="1" applyFont="1" applyFill="1" applyBorder="1" applyAlignment="1">
      <alignment vertical="center" wrapText="1"/>
    </xf>
    <xf numFmtId="43" fontId="43" fillId="0" borderId="1" xfId="1" applyFont="1" applyFill="1" applyBorder="1" applyAlignment="1">
      <alignment vertical="center" wrapText="1"/>
    </xf>
    <xf numFmtId="43" fontId="41" fillId="2" borderId="0" xfId="1" applyFont="1" applyFill="1" applyAlignment="1">
      <alignment vertical="center" wrapText="1"/>
    </xf>
    <xf numFmtId="9" fontId="20" fillId="0" borderId="1" xfId="34" applyFont="1" applyFill="1" applyBorder="1" applyAlignment="1">
      <alignment horizontal="center" vertical="center"/>
    </xf>
    <xf numFmtId="9" fontId="26" fillId="2" borderId="1" xfId="34" applyFont="1" applyFill="1" applyBorder="1" applyAlignment="1">
      <alignment horizontal="right" vertical="center"/>
    </xf>
    <xf numFmtId="9" fontId="26" fillId="2" borderId="1" xfId="34" applyFont="1" applyFill="1" applyBorder="1" applyAlignment="1">
      <alignment vertical="center"/>
    </xf>
    <xf numFmtId="9" fontId="26" fillId="7" borderId="1" xfId="34" applyFont="1" applyFill="1" applyBorder="1" applyAlignment="1">
      <alignment horizontal="right" vertical="center"/>
    </xf>
    <xf numFmtId="43" fontId="20" fillId="2" borderId="1" xfId="8" applyNumberFormat="1" applyFont="1" applyFill="1" applyBorder="1" applyAlignment="1">
      <alignment vertical="center"/>
    </xf>
    <xf numFmtId="43" fontId="27" fillId="2" borderId="1" xfId="1" applyFont="1" applyFill="1" applyBorder="1" applyAlignment="1" applyProtection="1">
      <alignment horizontal="center" vertical="center" wrapText="1"/>
      <protection hidden="1"/>
    </xf>
    <xf numFmtId="170" fontId="27" fillId="2" borderId="1" xfId="19" applyNumberFormat="1" applyFont="1" applyFill="1" applyBorder="1" applyAlignment="1" applyProtection="1">
      <alignment horizontal="center" vertical="center" wrapText="1"/>
      <protection hidden="1"/>
    </xf>
    <xf numFmtId="43" fontId="30" fillId="7" borderId="1" xfId="1" quotePrefix="1" applyFont="1" applyFill="1" applyBorder="1" applyAlignment="1">
      <alignment horizontal="center" vertical="center" wrapText="1"/>
    </xf>
    <xf numFmtId="43" fontId="20" fillId="7" borderId="1" xfId="1" quotePrefix="1" applyFont="1" applyFill="1" applyBorder="1" applyAlignment="1">
      <alignment horizontal="center" vertical="center" wrapText="1"/>
    </xf>
    <xf numFmtId="43" fontId="26" fillId="7" borderId="1" xfId="1" applyFont="1" applyFill="1" applyBorder="1" applyAlignment="1">
      <alignment horizontal="center" vertical="center" wrapText="1"/>
    </xf>
    <xf numFmtId="170" fontId="20" fillId="2" borderId="0" xfId="1" applyNumberFormat="1" applyFont="1" applyFill="1" applyAlignment="1">
      <alignment horizontal="center" vertical="center" wrapText="1"/>
    </xf>
    <xf numFmtId="10" fontId="27" fillId="2" borderId="0" xfId="22" applyNumberFormat="1" applyFont="1" applyFill="1"/>
    <xf numFmtId="0" fontId="20" fillId="0" borderId="1" xfId="8" applyFont="1" applyBorder="1" applyAlignment="1">
      <alignment horizontal="left" vertical="center" wrapText="1"/>
    </xf>
    <xf numFmtId="43" fontId="43" fillId="0" borderId="18" xfId="1" applyFont="1" applyBorder="1" applyAlignment="1">
      <alignment horizontal="center" vertical="center"/>
    </xf>
    <xf numFmtId="43" fontId="46" fillId="0" borderId="18" xfId="1" applyFont="1" applyBorder="1" applyAlignment="1">
      <alignment horizontal="center" vertical="center"/>
    </xf>
    <xf numFmtId="0" fontId="48" fillId="0" borderId="13" xfId="35" applyFont="1" applyBorder="1" applyAlignment="1">
      <alignment horizontal="center" vertical="center"/>
    </xf>
    <xf numFmtId="43" fontId="33" fillId="0" borderId="13" xfId="1" applyFont="1" applyBorder="1" applyAlignment="1">
      <alignment horizontal="center" vertical="center"/>
    </xf>
    <xf numFmtId="43" fontId="48" fillId="0" borderId="13" xfId="1" applyFont="1" applyBorder="1" applyAlignment="1">
      <alignment horizontal="center" vertical="center"/>
    </xf>
    <xf numFmtId="43" fontId="33" fillId="0" borderId="22" xfId="1" applyFont="1" applyBorder="1" applyAlignment="1">
      <alignment horizontal="center" vertical="center"/>
    </xf>
    <xf numFmtId="0" fontId="20" fillId="2" borderId="4" xfId="8" applyFont="1" applyFill="1" applyBorder="1" applyAlignment="1">
      <alignment horizontal="center" vertical="center"/>
    </xf>
    <xf numFmtId="3" fontId="20" fillId="0" borderId="1" xfId="8" applyNumberFormat="1" applyFont="1" applyBorder="1" applyAlignment="1">
      <alignment horizontal="left" vertical="center" wrapText="1"/>
    </xf>
    <xf numFmtId="3" fontId="20" fillId="2" borderId="1" xfId="8" applyNumberFormat="1" applyFont="1" applyFill="1" applyBorder="1" applyAlignment="1">
      <alignment horizontal="left" vertical="center" wrapText="1"/>
    </xf>
    <xf numFmtId="3" fontId="26" fillId="2" borderId="1" xfId="8" applyNumberFormat="1" applyFont="1" applyFill="1" applyBorder="1" applyAlignment="1">
      <alignment horizontal="center" vertical="center" wrapText="1"/>
    </xf>
    <xf numFmtId="0" fontId="13" fillId="0" borderId="1" xfId="8" applyFont="1" applyBorder="1"/>
    <xf numFmtId="3" fontId="20" fillId="2" borderId="1" xfId="8" applyNumberFormat="1" applyFont="1" applyFill="1" applyBorder="1" applyAlignment="1">
      <alignment horizontal="center" vertical="center" wrapText="1"/>
    </xf>
    <xf numFmtId="0" fontId="16" fillId="0" borderId="1" xfId="8" applyFont="1" applyBorder="1"/>
    <xf numFmtId="0" fontId="20" fillId="0" borderId="1" xfId="8" applyFont="1" applyBorder="1" applyAlignment="1">
      <alignment horizontal="left" vertical="center"/>
    </xf>
    <xf numFmtId="0" fontId="27" fillId="2" borderId="1" xfId="36" applyFont="1" applyFill="1" applyBorder="1" applyAlignment="1">
      <alignment horizontal="justify" vertical="center" wrapText="1"/>
    </xf>
    <xf numFmtId="0" fontId="20" fillId="0" borderId="1" xfId="5" applyNumberFormat="1" applyFont="1" applyFill="1" applyBorder="1" applyAlignment="1">
      <alignment horizontal="left" vertical="center" wrapText="1"/>
    </xf>
    <xf numFmtId="0" fontId="29" fillId="2" borderId="1" xfId="8" applyFont="1" applyFill="1" applyBorder="1" applyAlignment="1">
      <alignment horizontal="justify" vertical="top" wrapText="1"/>
    </xf>
    <xf numFmtId="0" fontId="13" fillId="0" borderId="1" xfId="8" applyFont="1" applyBorder="1" applyAlignment="1">
      <alignment horizontal="center"/>
    </xf>
    <xf numFmtId="0" fontId="16" fillId="0" borderId="1" xfId="8" applyFont="1" applyBorder="1" applyAlignment="1">
      <alignment horizontal="center"/>
    </xf>
    <xf numFmtId="0" fontId="36" fillId="2" borderId="1" xfId="8" applyFont="1" applyFill="1" applyBorder="1" applyAlignment="1">
      <alignment horizontal="justify" vertical="top" wrapText="1"/>
    </xf>
    <xf numFmtId="14" fontId="13" fillId="0" borderId="1" xfId="8" applyNumberFormat="1" applyFont="1" applyBorder="1" applyAlignment="1">
      <alignment horizontal="left" vertical="top"/>
    </xf>
    <xf numFmtId="14" fontId="13" fillId="0" borderId="1" xfId="8" applyNumberFormat="1" applyFont="1" applyBorder="1" applyAlignment="1">
      <alignment horizontal="left"/>
    </xf>
    <xf numFmtId="0" fontId="20" fillId="0" borderId="1" xfId="8" applyFont="1" applyBorder="1" applyAlignment="1">
      <alignment vertical="center"/>
    </xf>
    <xf numFmtId="1" fontId="20" fillId="2" borderId="1" xfId="8" quotePrefix="1" applyNumberFormat="1" applyFont="1" applyFill="1" applyBorder="1" applyAlignment="1">
      <alignment horizontal="justify" vertical="justify" wrapText="1"/>
    </xf>
    <xf numFmtId="43" fontId="36" fillId="2" borderId="1" xfId="5" applyFont="1" applyFill="1" applyBorder="1" applyAlignment="1">
      <alignment horizontal="center" vertical="center" wrapText="1"/>
    </xf>
    <xf numFmtId="0" fontId="20" fillId="0" borderId="1" xfId="8" applyFont="1" applyBorder="1" applyAlignment="1">
      <alignment horizontal="center" vertical="top"/>
    </xf>
    <xf numFmtId="0" fontId="20" fillId="8" borderId="1" xfId="8" applyFont="1" applyFill="1" applyBorder="1" applyAlignment="1">
      <alignment vertical="center" wrapText="1"/>
    </xf>
    <xf numFmtId="0" fontId="20" fillId="0" borderId="1" xfId="8" applyFont="1" applyBorder="1" applyAlignment="1">
      <alignment vertical="center" wrapText="1"/>
    </xf>
    <xf numFmtId="0" fontId="28" fillId="2" borderId="1" xfId="8" applyFont="1" applyFill="1" applyBorder="1" applyAlignment="1">
      <alignment vertical="center" wrapText="1"/>
    </xf>
    <xf numFmtId="0" fontId="20" fillId="0" borderId="23" xfId="8" applyFont="1" applyBorder="1" applyAlignment="1">
      <alignment horizontal="left" vertical="center"/>
    </xf>
    <xf numFmtId="0" fontId="20" fillId="2" borderId="23" xfId="8" applyFont="1" applyFill="1" applyBorder="1" applyAlignment="1">
      <alignment vertical="center" wrapText="1"/>
    </xf>
    <xf numFmtId="0" fontId="20" fillId="0" borderId="0" xfId="8" applyFont="1" applyAlignment="1">
      <alignment horizontal="center" vertical="center"/>
    </xf>
    <xf numFmtId="0" fontId="16" fillId="0" borderId="0" xfId="8" applyFont="1"/>
    <xf numFmtId="0" fontId="29" fillId="2" borderId="23" xfId="5" applyNumberFormat="1" applyFont="1" applyFill="1" applyBorder="1" applyAlignment="1">
      <alignment horizontal="left" vertical="center" wrapText="1"/>
    </xf>
    <xf numFmtId="0" fontId="13" fillId="0" borderId="1" xfId="8" applyFont="1" applyBorder="1" applyAlignment="1">
      <alignment horizontal="center" vertical="center" wrapText="1"/>
    </xf>
    <xf numFmtId="0" fontId="20" fillId="0" borderId="23" xfId="8" applyFont="1" applyBorder="1" applyAlignment="1">
      <alignment horizontal="left" vertical="center" wrapText="1"/>
    </xf>
    <xf numFmtId="0" fontId="13" fillId="0" borderId="8" xfId="8" applyFont="1" applyBorder="1"/>
    <xf numFmtId="0" fontId="20" fillId="2" borderId="1" xfId="0" applyFont="1" applyFill="1" applyBorder="1" applyAlignment="1">
      <alignment horizontal="right" wrapText="1"/>
    </xf>
    <xf numFmtId="0" fontId="20" fillId="2" borderId="1" xfId="0" applyFont="1" applyFill="1" applyBorder="1" applyAlignment="1">
      <alignment horizontal="center" vertical="top" wrapText="1"/>
    </xf>
    <xf numFmtId="0" fontId="20" fillId="2" borderId="13" xfId="0" applyFont="1" applyFill="1" applyBorder="1" applyAlignment="1">
      <alignment horizontal="center" vertical="center" wrapText="1"/>
    </xf>
    <xf numFmtId="0" fontId="26" fillId="2" borderId="0" xfId="8" applyFont="1" applyFill="1" applyAlignment="1">
      <alignment horizontal="center" vertical="top" wrapText="1"/>
    </xf>
    <xf numFmtId="43" fontId="13" fillId="0" borderId="24" xfId="1" applyFont="1" applyBorder="1" applyAlignment="1">
      <alignment horizontal="center" vertical="center"/>
    </xf>
    <xf numFmtId="0" fontId="16" fillId="0" borderId="6" xfId="35" applyFont="1" applyBorder="1" applyAlignment="1">
      <alignment horizontal="center" vertical="center"/>
    </xf>
    <xf numFmtId="43" fontId="13" fillId="0" borderId="6" xfId="1" applyFont="1" applyBorder="1" applyAlignment="1">
      <alignment horizontal="center" vertical="center"/>
    </xf>
    <xf numFmtId="0" fontId="13" fillId="0" borderId="3" xfId="35" applyFont="1" applyBorder="1" applyAlignment="1">
      <alignment horizontal="center" vertical="center"/>
    </xf>
    <xf numFmtId="43" fontId="13" fillId="2" borderId="4" xfId="1" applyFont="1" applyFill="1" applyBorder="1" applyAlignment="1">
      <alignment horizontal="center" vertical="center"/>
    </xf>
    <xf numFmtId="0" fontId="13" fillId="2" borderId="1" xfId="8" applyFont="1" applyFill="1" applyBorder="1" applyAlignment="1">
      <alignment horizontal="left" vertical="center" wrapText="1"/>
    </xf>
    <xf numFmtId="0" fontId="16" fillId="0" borderId="1" xfId="35" applyFont="1" applyBorder="1" applyAlignment="1">
      <alignment horizontal="center" vertical="center"/>
    </xf>
    <xf numFmtId="43" fontId="16" fillId="7" borderId="5" xfId="1" applyFont="1" applyFill="1" applyBorder="1" applyAlignment="1">
      <alignment horizontal="center" vertical="center"/>
    </xf>
    <xf numFmtId="43" fontId="13" fillId="0" borderId="4" xfId="1" applyFont="1" applyBorder="1" applyAlignment="1">
      <alignment horizontal="center" vertical="center"/>
    </xf>
    <xf numFmtId="43" fontId="16" fillId="0" borderId="5" xfId="1" applyFont="1" applyBorder="1" applyAlignment="1">
      <alignment horizontal="center" vertical="center"/>
    </xf>
    <xf numFmtId="2" fontId="13" fillId="2" borderId="1" xfId="8" applyNumberFormat="1" applyFont="1" applyFill="1" applyBorder="1" applyAlignment="1">
      <alignment horizontal="left" vertical="center" wrapText="1"/>
    </xf>
    <xf numFmtId="0" fontId="16" fillId="0" borderId="1" xfId="35" applyFont="1" applyBorder="1" applyAlignment="1">
      <alignment horizontal="center" vertical="center" wrapText="1"/>
    </xf>
    <xf numFmtId="0" fontId="13" fillId="2" borderId="1" xfId="8" applyFont="1" applyFill="1" applyBorder="1" applyAlignment="1">
      <alignment vertical="center" wrapText="1"/>
    </xf>
    <xf numFmtId="43" fontId="20" fillId="2" borderId="4" xfId="1" applyFont="1" applyFill="1" applyBorder="1" applyAlignment="1">
      <alignment horizontal="center" vertical="center" wrapText="1"/>
    </xf>
    <xf numFmtId="0" fontId="30" fillId="2" borderId="1" xfId="8" applyFont="1" applyFill="1" applyBorder="1" applyAlignment="1">
      <alignment horizontal="left" vertical="center" wrapText="1"/>
    </xf>
    <xf numFmtId="0" fontId="13" fillId="0" borderId="1" xfId="8" applyFont="1" applyBorder="1" applyAlignment="1">
      <alignment vertical="center" wrapText="1"/>
    </xf>
    <xf numFmtId="43" fontId="13" fillId="0" borderId="5" xfId="1" applyFont="1" applyBorder="1" applyAlignment="1">
      <alignment horizontal="center" vertical="center"/>
    </xf>
    <xf numFmtId="3" fontId="16" fillId="2" borderId="1" xfId="8" applyNumberFormat="1" applyFont="1" applyFill="1" applyBorder="1" applyAlignment="1">
      <alignment horizontal="center" vertical="center" wrapText="1"/>
    </xf>
    <xf numFmtId="0" fontId="13" fillId="0" borderId="5" xfId="8" applyFont="1" applyBorder="1" applyAlignment="1">
      <alignment horizontal="center" vertical="center"/>
    </xf>
    <xf numFmtId="0" fontId="13" fillId="2" borderId="1" xfId="8" applyFont="1" applyFill="1" applyBorder="1" applyAlignment="1">
      <alignment horizontal="left" vertical="top" wrapText="1"/>
    </xf>
    <xf numFmtId="3" fontId="13" fillId="2" borderId="1" xfId="8" applyNumberFormat="1" applyFont="1" applyFill="1" applyBorder="1" applyAlignment="1">
      <alignment horizontal="center" vertical="center" wrapText="1"/>
    </xf>
    <xf numFmtId="0" fontId="13" fillId="0" borderId="4" xfId="8" applyFont="1" applyBorder="1" applyAlignment="1">
      <alignment vertical="center"/>
    </xf>
    <xf numFmtId="3" fontId="26" fillId="0" borderId="1" xfId="8" applyNumberFormat="1" applyFont="1" applyBorder="1" applyAlignment="1">
      <alignment horizontal="center" vertical="center" wrapText="1"/>
    </xf>
    <xf numFmtId="43" fontId="16" fillId="0" borderId="1" xfId="1" applyFont="1" applyFill="1" applyBorder="1"/>
    <xf numFmtId="43" fontId="16" fillId="0" borderId="5" xfId="1" applyFont="1" applyFill="1" applyBorder="1"/>
    <xf numFmtId="0" fontId="18" fillId="2" borderId="1" xfId="8" applyFont="1" applyFill="1" applyBorder="1" applyAlignment="1">
      <alignment wrapText="1"/>
    </xf>
    <xf numFmtId="0" fontId="13" fillId="2" borderId="1" xfId="8" applyFont="1" applyFill="1" applyBorder="1" applyAlignment="1">
      <alignment wrapText="1"/>
    </xf>
    <xf numFmtId="0" fontId="16" fillId="2" borderId="1" xfId="8" applyFont="1" applyFill="1" applyBorder="1" applyAlignment="1">
      <alignment horizontal="center" vertical="center" wrapText="1"/>
    </xf>
    <xf numFmtId="43" fontId="13" fillId="2" borderId="1" xfId="1" applyFont="1" applyFill="1" applyBorder="1" applyAlignment="1">
      <alignment horizontal="center" vertical="center" wrapText="1"/>
    </xf>
    <xf numFmtId="43" fontId="13" fillId="2" borderId="1" xfId="1" applyFont="1" applyFill="1" applyBorder="1" applyAlignment="1">
      <alignment horizontal="center" vertical="center"/>
    </xf>
    <xf numFmtId="0" fontId="13" fillId="2" borderId="1" xfId="8" applyFont="1" applyFill="1" applyBorder="1" applyAlignment="1">
      <alignment horizontal="center" vertical="center" wrapText="1"/>
    </xf>
    <xf numFmtId="165" fontId="13" fillId="0" borderId="5" xfId="8" applyNumberFormat="1" applyFont="1" applyBorder="1" applyAlignment="1">
      <alignment horizontal="center" vertical="center"/>
    </xf>
    <xf numFmtId="3" fontId="13" fillId="2" borderId="1" xfId="8" applyNumberFormat="1" applyFont="1" applyFill="1" applyBorder="1" applyAlignment="1">
      <alignment horizontal="left" vertical="center" wrapText="1"/>
    </xf>
    <xf numFmtId="43" fontId="13" fillId="0" borderId="7" xfId="1" applyFont="1" applyBorder="1" applyAlignment="1">
      <alignment horizontal="center" vertical="center"/>
    </xf>
    <xf numFmtId="0" fontId="13" fillId="0" borderId="9" xfId="8" applyFont="1" applyBorder="1" applyAlignment="1">
      <alignment horizontal="center" vertical="center"/>
    </xf>
    <xf numFmtId="43" fontId="13" fillId="0" borderId="0" xfId="1" applyFont="1" applyAlignment="1">
      <alignment horizontal="center" vertical="center"/>
    </xf>
    <xf numFmtId="0" fontId="13" fillId="0" borderId="0" xfId="8" applyFont="1" applyAlignment="1">
      <alignment horizontal="center" vertical="center"/>
    </xf>
    <xf numFmtId="43" fontId="16" fillId="7" borderId="5" xfId="8" applyNumberFormat="1" applyFont="1" applyFill="1" applyBorder="1" applyAlignment="1">
      <alignment horizontal="center" vertical="center"/>
    </xf>
    <xf numFmtId="0" fontId="8" fillId="0" borderId="0" xfId="8"/>
    <xf numFmtId="43" fontId="43" fillId="0" borderId="24" xfId="1" applyFont="1" applyBorder="1" applyAlignment="1">
      <alignment horizontal="center" vertical="center"/>
    </xf>
    <xf numFmtId="43" fontId="46" fillId="0" borderId="24" xfId="1" applyFont="1" applyBorder="1" applyAlignment="1">
      <alignment horizontal="center" vertical="center"/>
    </xf>
    <xf numFmtId="0" fontId="20" fillId="2" borderId="2" xfId="8" applyFont="1" applyFill="1" applyBorder="1" applyAlignment="1">
      <alignment horizontal="center" vertical="center"/>
    </xf>
    <xf numFmtId="0" fontId="20" fillId="2" borderId="6" xfId="8" applyFont="1" applyFill="1" applyBorder="1" applyAlignment="1">
      <alignment horizontal="left" vertical="center" wrapText="1"/>
    </xf>
    <xf numFmtId="0" fontId="20" fillId="2" borderId="6" xfId="8" applyFont="1" applyFill="1" applyBorder="1" applyAlignment="1">
      <alignment horizontal="left" vertical="top" wrapText="1"/>
    </xf>
    <xf numFmtId="0" fontId="8" fillId="0" borderId="6" xfId="8" applyBorder="1" applyAlignment="1">
      <alignment horizontal="center"/>
    </xf>
    <xf numFmtId="43" fontId="0" fillId="0" borderId="6" xfId="1" applyFont="1" applyBorder="1" applyAlignment="1">
      <alignment horizontal="center" vertical="center"/>
    </xf>
    <xf numFmtId="43" fontId="0" fillId="0" borderId="3" xfId="1" applyFont="1" applyBorder="1" applyAlignment="1">
      <alignment horizontal="center" vertical="center"/>
    </xf>
    <xf numFmtId="3" fontId="49" fillId="2" borderId="1" xfId="8" applyNumberFormat="1" applyFont="1" applyFill="1" applyBorder="1" applyAlignment="1">
      <alignment horizontal="center" vertical="center" wrapText="1"/>
    </xf>
    <xf numFmtId="43" fontId="8" fillId="0" borderId="1" xfId="1" applyFont="1" applyBorder="1" applyAlignment="1">
      <alignment horizontal="center" vertical="center"/>
    </xf>
    <xf numFmtId="43" fontId="8" fillId="0" borderId="5" xfId="1" applyFont="1" applyBorder="1" applyAlignment="1">
      <alignment horizontal="center" vertical="center"/>
    </xf>
    <xf numFmtId="0" fontId="8" fillId="0" borderId="1" xfId="8" applyBorder="1" applyAlignment="1">
      <alignment horizontal="center"/>
    </xf>
    <xf numFmtId="43" fontId="0" fillId="0" borderId="1" xfId="1" applyFont="1" applyBorder="1" applyAlignment="1">
      <alignment horizontal="center" vertical="center"/>
    </xf>
    <xf numFmtId="43" fontId="0" fillId="0" borderId="5" xfId="1" applyFont="1" applyBorder="1" applyAlignment="1">
      <alignment horizontal="center" vertical="center"/>
    </xf>
    <xf numFmtId="0" fontId="8" fillId="2" borderId="4" xfId="8" applyFill="1" applyBorder="1" applyAlignment="1">
      <alignment horizontal="center" vertical="top"/>
    </xf>
    <xf numFmtId="0" fontId="8" fillId="0" borderId="1" xfId="8" applyBorder="1" applyAlignment="1">
      <alignment vertical="top"/>
    </xf>
    <xf numFmtId="0" fontId="50" fillId="0" borderId="1" xfId="8" applyFont="1" applyBorder="1"/>
    <xf numFmtId="43" fontId="50" fillId="0" borderId="1" xfId="1" applyFont="1" applyBorder="1" applyAlignment="1">
      <alignment horizontal="center" vertical="center"/>
    </xf>
    <xf numFmtId="0" fontId="8" fillId="0" borderId="1" xfId="8" applyBorder="1" applyAlignment="1">
      <alignment horizontal="center" vertical="center"/>
    </xf>
    <xf numFmtId="43" fontId="0" fillId="0" borderId="1" xfId="1" applyFont="1" applyFill="1" applyBorder="1" applyAlignment="1">
      <alignment horizontal="center" vertical="center"/>
    </xf>
    <xf numFmtId="43" fontId="0" fillId="0" borderId="5" xfId="1" applyFont="1" applyFill="1" applyBorder="1" applyAlignment="1">
      <alignment horizontal="center" vertical="center"/>
    </xf>
    <xf numFmtId="0" fontId="8" fillId="0" borderId="0" xfId="8" applyAlignment="1">
      <alignment vertical="center"/>
    </xf>
    <xf numFmtId="0" fontId="8" fillId="0" borderId="4" xfId="8" applyBorder="1"/>
    <xf numFmtId="0" fontId="8" fillId="0" borderId="1" xfId="8" applyBorder="1"/>
    <xf numFmtId="3" fontId="51" fillId="2" borderId="1" xfId="8" applyNumberFormat="1" applyFont="1" applyFill="1" applyBorder="1" applyAlignment="1">
      <alignment horizontal="center" vertical="center" wrapText="1"/>
    </xf>
    <xf numFmtId="0" fontId="20" fillId="2" borderId="4" xfId="8" applyFont="1" applyFill="1" applyBorder="1" applyAlignment="1">
      <alignment horizontal="center" vertical="top"/>
    </xf>
    <xf numFmtId="43" fontId="0" fillId="7" borderId="5" xfId="1" applyFont="1" applyFill="1" applyBorder="1" applyAlignment="1">
      <alignment horizontal="center" vertical="center"/>
    </xf>
    <xf numFmtId="0" fontId="8" fillId="0" borderId="7" xfId="8" applyBorder="1"/>
    <xf numFmtId="0" fontId="8" fillId="0" borderId="8" xfId="8" applyBorder="1"/>
    <xf numFmtId="0" fontId="8" fillId="0" borderId="8" xfId="8" applyBorder="1" applyAlignment="1">
      <alignment horizontal="center"/>
    </xf>
    <xf numFmtId="43" fontId="0" fillId="0" borderId="8" xfId="1" applyFont="1" applyBorder="1" applyAlignment="1">
      <alignment horizontal="center" vertical="center"/>
    </xf>
    <xf numFmtId="43" fontId="0" fillId="0" borderId="9" xfId="1" applyFont="1" applyBorder="1" applyAlignment="1">
      <alignment horizontal="center" vertical="center"/>
    </xf>
    <xf numFmtId="0" fontId="8" fillId="0" borderId="0" xfId="8" applyAlignment="1">
      <alignment horizontal="center"/>
    </xf>
    <xf numFmtId="43" fontId="0" fillId="0" borderId="0" xfId="1" applyFont="1" applyAlignment="1">
      <alignment horizontal="center" vertical="center"/>
    </xf>
    <xf numFmtId="43" fontId="50" fillId="7" borderId="5" xfId="1" applyFont="1" applyFill="1" applyBorder="1" applyAlignment="1">
      <alignment horizontal="center" vertical="center"/>
    </xf>
    <xf numFmtId="0" fontId="30" fillId="2" borderId="2" xfId="37" applyFont="1" applyFill="1" applyBorder="1" applyAlignment="1">
      <alignment horizontal="center" vertical="center"/>
    </xf>
    <xf numFmtId="0" fontId="30" fillId="2" borderId="6" xfId="37" applyFont="1" applyFill="1" applyBorder="1" applyAlignment="1">
      <alignment horizontal="center" vertical="center" wrapText="1"/>
    </xf>
    <xf numFmtId="0" fontId="8" fillId="0" borderId="6" xfId="8" applyBorder="1" applyAlignment="1">
      <alignment horizontal="center" vertical="center"/>
    </xf>
    <xf numFmtId="0" fontId="8" fillId="0" borderId="6" xfId="8" applyBorder="1" applyAlignment="1">
      <alignment vertical="center"/>
    </xf>
    <xf numFmtId="43" fontId="20" fillId="2" borderId="6" xfId="1" applyFont="1" applyFill="1" applyBorder="1" applyAlignment="1">
      <alignment horizontal="center" vertical="center"/>
    </xf>
    <xf numFmtId="43" fontId="0" fillId="7" borderId="3" xfId="1" applyFont="1" applyFill="1" applyBorder="1" applyAlignment="1">
      <alignment vertical="center"/>
    </xf>
    <xf numFmtId="0" fontId="30" fillId="2" borderId="4" xfId="37" applyFont="1" applyFill="1" applyBorder="1" applyAlignment="1">
      <alignment horizontal="center" vertical="center"/>
    </xf>
    <xf numFmtId="0" fontId="30" fillId="2" borderId="1" xfId="37" applyFont="1" applyFill="1" applyBorder="1" applyAlignment="1">
      <alignment horizontal="center" vertical="center" wrapText="1"/>
    </xf>
    <xf numFmtId="0" fontId="8" fillId="0" borderId="1" xfId="8" applyBorder="1" applyAlignment="1">
      <alignment vertical="center"/>
    </xf>
    <xf numFmtId="43" fontId="0" fillId="7" borderId="5" xfId="1" applyFont="1" applyFill="1" applyBorder="1" applyAlignment="1">
      <alignment vertical="center"/>
    </xf>
    <xf numFmtId="0" fontId="30" fillId="2" borderId="7" xfId="37" applyFont="1" applyFill="1" applyBorder="1" applyAlignment="1">
      <alignment horizontal="center" vertical="center"/>
    </xf>
    <xf numFmtId="0" fontId="30" fillId="2" borderId="8" xfId="37" applyFont="1" applyFill="1" applyBorder="1" applyAlignment="1">
      <alignment horizontal="center" vertical="center" wrapText="1"/>
    </xf>
    <xf numFmtId="0" fontId="8" fillId="0" borderId="8" xfId="8" applyBorder="1" applyAlignment="1">
      <alignment horizontal="center" vertical="center"/>
    </xf>
    <xf numFmtId="0" fontId="8" fillId="0" borderId="8" xfId="8" applyBorder="1" applyAlignment="1">
      <alignment vertical="center"/>
    </xf>
    <xf numFmtId="43" fontId="20" fillId="2" borderId="8" xfId="1" applyFont="1" applyFill="1" applyBorder="1" applyAlignment="1">
      <alignment horizontal="center" vertical="center"/>
    </xf>
    <xf numFmtId="43" fontId="0" fillId="7" borderId="9" xfId="1" applyFont="1" applyFill="1" applyBorder="1" applyAlignment="1">
      <alignment vertical="center"/>
    </xf>
    <xf numFmtId="0" fontId="8" fillId="0" borderId="0" xfId="8" applyAlignment="1">
      <alignment horizontal="center" vertical="center"/>
    </xf>
    <xf numFmtId="43" fontId="16" fillId="2" borderId="18" xfId="1" applyFont="1" applyFill="1" applyBorder="1" applyAlignment="1">
      <alignment horizontal="center" vertical="center"/>
    </xf>
    <xf numFmtId="43" fontId="8" fillId="2" borderId="13" xfId="1" applyFont="1" applyFill="1" applyBorder="1" applyAlignment="1">
      <alignment horizontal="center" vertical="center"/>
    </xf>
    <xf numFmtId="43" fontId="52" fillId="2" borderId="1" xfId="5" applyFont="1" applyFill="1" applyBorder="1" applyAlignment="1">
      <alignment horizontal="center" vertical="center" wrapText="1"/>
    </xf>
    <xf numFmtId="43" fontId="8" fillId="2" borderId="1" xfId="1" applyFont="1" applyFill="1" applyBorder="1" applyAlignment="1">
      <alignment horizontal="center" vertical="center"/>
    </xf>
    <xf numFmtId="0" fontId="8" fillId="0" borderId="5" xfId="8" applyBorder="1" applyAlignment="1">
      <alignment horizontal="center" vertical="center"/>
    </xf>
    <xf numFmtId="0" fontId="8" fillId="0" borderId="4" xfId="8" applyBorder="1" applyAlignment="1">
      <alignment horizontal="center" vertical="center"/>
    </xf>
    <xf numFmtId="0" fontId="50" fillId="7" borderId="4" xfId="8" applyFont="1" applyFill="1" applyBorder="1" applyAlignment="1">
      <alignment horizontal="center" vertical="center"/>
    </xf>
    <xf numFmtId="0" fontId="50" fillId="7" borderId="1" xfId="8" applyFont="1" applyFill="1" applyBorder="1" applyAlignment="1">
      <alignment horizontal="center" vertical="center"/>
    </xf>
    <xf numFmtId="43" fontId="50" fillId="7" borderId="1" xfId="1" applyFont="1" applyFill="1" applyBorder="1" applyAlignment="1">
      <alignment horizontal="center" vertical="center"/>
    </xf>
    <xf numFmtId="0" fontId="50" fillId="7" borderId="5" xfId="8" applyFont="1" applyFill="1" applyBorder="1" applyAlignment="1">
      <alignment horizontal="center" vertical="center"/>
    </xf>
    <xf numFmtId="0" fontId="8" fillId="0" borderId="7" xfId="8" applyBorder="1" applyAlignment="1">
      <alignment horizontal="center" vertical="center"/>
    </xf>
    <xf numFmtId="43" fontId="8" fillId="0" borderId="8" xfId="1" applyFont="1" applyBorder="1" applyAlignment="1">
      <alignment horizontal="center" vertical="center"/>
    </xf>
    <xf numFmtId="0" fontId="8" fillId="0" borderId="9" xfId="8" applyBorder="1" applyAlignment="1">
      <alignment horizontal="center" vertical="center"/>
    </xf>
    <xf numFmtId="43" fontId="8" fillId="0" borderId="0" xfId="1" applyFont="1" applyAlignment="1">
      <alignment horizontal="center" vertical="center"/>
    </xf>
    <xf numFmtId="2" fontId="8" fillId="2" borderId="1" xfId="8" applyNumberFormat="1" applyFill="1" applyBorder="1" applyAlignment="1">
      <alignment horizontal="left" vertical="top" wrapText="1"/>
    </xf>
    <xf numFmtId="0" fontId="8" fillId="2" borderId="1" xfId="8" applyFill="1" applyBorder="1" applyAlignment="1">
      <alignment vertical="top" wrapText="1"/>
    </xf>
    <xf numFmtId="0" fontId="8" fillId="2" borderId="1" xfId="8" applyFill="1" applyBorder="1" applyAlignment="1">
      <alignment horizontal="left" vertical="top" wrapText="1"/>
    </xf>
    <xf numFmtId="43" fontId="8" fillId="2" borderId="1" xfId="1" applyFont="1" applyFill="1" applyBorder="1" applyAlignment="1">
      <alignment horizontal="center" vertical="center" wrapText="1"/>
    </xf>
    <xf numFmtId="0" fontId="8" fillId="0" borderId="1" xfId="8" applyBorder="1" applyAlignment="1">
      <alignment vertical="top" wrapText="1"/>
    </xf>
    <xf numFmtId="0" fontId="8" fillId="0" borderId="1" xfId="39" applyBorder="1" applyAlignment="1">
      <alignment horizontal="justify" vertical="top" wrapText="1"/>
    </xf>
    <xf numFmtId="0" fontId="47" fillId="0" borderId="1" xfId="39" applyFont="1" applyBorder="1" applyAlignment="1">
      <alignment horizontal="justify" vertical="top" wrapText="1"/>
    </xf>
    <xf numFmtId="171" fontId="47" fillId="0" borderId="1" xfId="40" applyFont="1" applyFill="1" applyBorder="1" applyAlignment="1">
      <alignment horizontal="right" vertical="center"/>
    </xf>
    <xf numFmtId="43" fontId="16" fillId="2" borderId="1" xfId="1" applyFont="1" applyFill="1" applyBorder="1" applyAlignment="1">
      <alignment horizontal="center" vertical="center"/>
    </xf>
    <xf numFmtId="43" fontId="8" fillId="0" borderId="1" xfId="1" applyFont="1" applyFill="1" applyBorder="1" applyAlignment="1">
      <alignment horizontal="center" vertical="center"/>
    </xf>
    <xf numFmtId="43" fontId="13" fillId="0" borderId="3" xfId="1" applyFont="1" applyBorder="1" applyAlignment="1">
      <alignment horizontal="center" vertical="center"/>
    </xf>
    <xf numFmtId="43" fontId="8" fillId="0" borderId="1" xfId="1" applyBorder="1" applyAlignment="1">
      <alignment horizontal="center" vertical="center"/>
    </xf>
    <xf numFmtId="43" fontId="8" fillId="0" borderId="5" xfId="1" applyBorder="1" applyAlignment="1">
      <alignment horizontal="center" vertical="center"/>
    </xf>
    <xf numFmtId="43" fontId="8" fillId="0" borderId="8" xfId="1" applyBorder="1" applyAlignment="1">
      <alignment horizontal="center" vertical="center"/>
    </xf>
    <xf numFmtId="43" fontId="8" fillId="0" borderId="9" xfId="1" applyBorder="1" applyAlignment="1">
      <alignment horizontal="center" vertical="center"/>
    </xf>
    <xf numFmtId="43" fontId="8" fillId="0" borderId="0" xfId="1" applyAlignment="1">
      <alignment horizontal="center" vertical="center"/>
    </xf>
    <xf numFmtId="0" fontId="43" fillId="6" borderId="13" xfId="0" applyFont="1" applyFill="1" applyBorder="1" applyAlignment="1">
      <alignment horizontal="center" vertical="center"/>
    </xf>
    <xf numFmtId="43" fontId="43" fillId="6" borderId="13" xfId="1" applyFont="1" applyFill="1" applyBorder="1" applyAlignment="1">
      <alignment horizontal="center" vertical="center" wrapText="1"/>
    </xf>
    <xf numFmtId="170" fontId="43" fillId="6" borderId="13" xfId="1" applyNumberFormat="1" applyFont="1" applyFill="1" applyBorder="1" applyAlignment="1">
      <alignment horizontal="center" vertical="center" wrapText="1"/>
    </xf>
    <xf numFmtId="0" fontId="46" fillId="0" borderId="1" xfId="0" applyFont="1" applyBorder="1" applyAlignment="1">
      <alignment horizontal="center" vertical="top"/>
    </xf>
    <xf numFmtId="0" fontId="46" fillId="0" borderId="1" xfId="0" applyFont="1" applyBorder="1" applyAlignment="1">
      <alignment horizontal="left" vertical="top"/>
    </xf>
    <xf numFmtId="43" fontId="46" fillId="0" borderId="1" xfId="1" applyFont="1" applyFill="1" applyBorder="1" applyAlignment="1">
      <alignment vertical="center" wrapText="1"/>
    </xf>
    <xf numFmtId="0" fontId="46" fillId="0" borderId="1" xfId="0" applyFont="1" applyBorder="1" applyAlignment="1">
      <alignment horizontal="left" vertical="top" wrapText="1"/>
    </xf>
    <xf numFmtId="0" fontId="13" fillId="2" borderId="37" xfId="8" applyFont="1" applyFill="1" applyBorder="1" applyAlignment="1">
      <alignment horizontal="center" vertical="center"/>
    </xf>
    <xf numFmtId="2" fontId="13" fillId="2" borderId="13" xfId="8" applyNumberFormat="1" applyFont="1" applyFill="1" applyBorder="1" applyAlignment="1">
      <alignment horizontal="left" vertical="center" wrapText="1"/>
    </xf>
    <xf numFmtId="0" fontId="13" fillId="2" borderId="13" xfId="0" applyFont="1" applyFill="1" applyBorder="1" applyAlignment="1">
      <alignment horizontal="left" vertical="center" wrapText="1"/>
    </xf>
    <xf numFmtId="43" fontId="13" fillId="2" borderId="13" xfId="1" applyFont="1" applyFill="1" applyBorder="1" applyAlignment="1">
      <alignment horizontal="center" vertical="center"/>
    </xf>
    <xf numFmtId="43" fontId="16" fillId="2" borderId="13" xfId="1" applyFont="1" applyFill="1" applyBorder="1" applyAlignment="1">
      <alignment horizontal="center" vertical="center"/>
    </xf>
    <xf numFmtId="0" fontId="13" fillId="2" borderId="4" xfId="8" applyFont="1" applyFill="1" applyBorder="1" applyAlignment="1">
      <alignment horizontal="center" vertical="center"/>
    </xf>
    <xf numFmtId="0" fontId="13" fillId="2" borderId="1" xfId="0" applyFont="1" applyFill="1" applyBorder="1" applyAlignment="1">
      <alignment horizontal="left" vertical="center" wrapText="1"/>
    </xf>
    <xf numFmtId="43" fontId="12" fillId="2" borderId="1" xfId="5" applyFont="1" applyFill="1" applyBorder="1" applyAlignment="1">
      <alignment horizontal="center" vertical="center" wrapText="1"/>
    </xf>
    <xf numFmtId="43" fontId="53" fillId="2" borderId="1" xfId="1" applyFont="1" applyFill="1" applyBorder="1" applyAlignment="1">
      <alignment horizontal="center" vertical="center" wrapText="1"/>
    </xf>
    <xf numFmtId="43" fontId="16" fillId="0" borderId="1" xfId="1" applyFont="1" applyBorder="1" applyAlignment="1">
      <alignment horizontal="center" vertical="center"/>
    </xf>
    <xf numFmtId="43" fontId="16" fillId="0" borderId="1" xfId="1" applyFont="1" applyFill="1" applyBorder="1" applyAlignment="1">
      <alignment horizontal="center" vertical="center"/>
    </xf>
    <xf numFmtId="0" fontId="13" fillId="0" borderId="1" xfId="0" applyFont="1" applyBorder="1" applyAlignment="1">
      <alignment horizontal="left" vertical="center" wrapText="1"/>
    </xf>
    <xf numFmtId="0" fontId="13" fillId="0" borderId="1" xfId="39" applyFont="1" applyBorder="1" applyAlignment="1">
      <alignment horizontal="left" vertical="center" wrapText="1"/>
    </xf>
    <xf numFmtId="0" fontId="18" fillId="0" borderId="1" xfId="39" applyFont="1" applyBorder="1" applyAlignment="1">
      <alignment horizontal="left" vertical="center" wrapText="1"/>
    </xf>
    <xf numFmtId="0" fontId="18" fillId="0" borderId="1" xfId="39" applyFont="1" applyBorder="1" applyAlignment="1">
      <alignment horizontal="center" vertical="center"/>
    </xf>
    <xf numFmtId="171" fontId="18" fillId="0" borderId="1" xfId="40" applyFont="1" applyFill="1" applyBorder="1" applyAlignment="1">
      <alignment horizontal="center" vertical="center"/>
    </xf>
    <xf numFmtId="0" fontId="50" fillId="0" borderId="1" xfId="0" applyFont="1" applyBorder="1"/>
    <xf numFmtId="3" fontId="49" fillId="2" borderId="1" xfId="0" applyNumberFormat="1" applyFont="1" applyFill="1" applyBorder="1" applyAlignment="1">
      <alignment horizontal="center" vertical="center" wrapText="1"/>
    </xf>
    <xf numFmtId="43" fontId="50" fillId="0" borderId="1" xfId="1" applyFont="1" applyBorder="1"/>
    <xf numFmtId="43" fontId="50" fillId="0" borderId="5" xfId="0" applyNumberFormat="1" applyFont="1" applyBorder="1"/>
    <xf numFmtId="0" fontId="0" fillId="0" borderId="4" xfId="0" applyBorder="1"/>
    <xf numFmtId="0" fontId="0" fillId="0" borderId="1" xfId="0" applyBorder="1"/>
    <xf numFmtId="43" fontId="8" fillId="0" borderId="1" xfId="1" applyFont="1" applyFill="1" applyBorder="1"/>
    <xf numFmtId="0" fontId="8" fillId="0" borderId="1" xfId="0" applyFont="1" applyBorder="1"/>
    <xf numFmtId="43" fontId="8" fillId="0" borderId="5" xfId="1" applyFont="1" applyFill="1" applyBorder="1"/>
    <xf numFmtId="3" fontId="51" fillId="2" borderId="1" xfId="0" applyNumberFormat="1" applyFont="1" applyFill="1" applyBorder="1" applyAlignment="1">
      <alignment horizontal="center" vertical="center" wrapText="1"/>
    </xf>
    <xf numFmtId="43" fontId="8" fillId="0" borderId="1" xfId="1" applyFont="1" applyBorder="1"/>
    <xf numFmtId="0" fontId="13" fillId="0" borderId="1" xfId="0" applyFont="1" applyBorder="1"/>
    <xf numFmtId="0" fontId="36" fillId="2" borderId="1" xfId="8" applyFont="1" applyFill="1" applyBorder="1" applyAlignment="1">
      <alignment horizontal="justify" vertical="center" wrapText="1"/>
    </xf>
    <xf numFmtId="0" fontId="13" fillId="0" borderId="1" xfId="8" applyFont="1" applyBorder="1" applyAlignment="1">
      <alignment vertical="center"/>
    </xf>
    <xf numFmtId="43" fontId="13" fillId="0" borderId="1" xfId="1" applyFont="1" applyBorder="1" applyAlignment="1">
      <alignment vertical="center"/>
    </xf>
    <xf numFmtId="0" fontId="13" fillId="0" borderId="0" xfId="8" applyFont="1" applyAlignment="1">
      <alignment vertical="center"/>
    </xf>
    <xf numFmtId="0" fontId="33" fillId="2" borderId="1" xfId="8" applyFont="1" applyFill="1" applyBorder="1" applyAlignment="1">
      <alignment wrapText="1"/>
    </xf>
    <xf numFmtId="43" fontId="0" fillId="0" borderId="1" xfId="1" applyFont="1" applyBorder="1"/>
    <xf numFmtId="3" fontId="26" fillId="2" borderId="14" xfId="8" applyNumberFormat="1" applyFont="1" applyFill="1" applyBorder="1" applyAlignment="1">
      <alignment horizontal="center" vertical="center" wrapText="1"/>
    </xf>
    <xf numFmtId="0" fontId="20" fillId="0" borderId="23" xfId="0" applyFont="1" applyBorder="1" applyAlignment="1">
      <alignment horizontal="left" vertical="center"/>
    </xf>
    <xf numFmtId="3" fontId="26" fillId="2" borderId="1" xfId="0" applyNumberFormat="1" applyFont="1" applyFill="1" applyBorder="1" applyAlignment="1">
      <alignment horizontal="center" vertical="center" wrapText="1"/>
    </xf>
    <xf numFmtId="0" fontId="20" fillId="0" borderId="23" xfId="0" applyFont="1" applyBorder="1" applyAlignment="1">
      <alignment horizontal="left" vertical="center" wrapText="1"/>
    </xf>
    <xf numFmtId="43" fontId="20" fillId="2" borderId="4" xfId="1" applyFont="1" applyFill="1" applyBorder="1" applyAlignment="1">
      <alignment horizontal="center" vertical="center"/>
    </xf>
    <xf numFmtId="43" fontId="20" fillId="2" borderId="23" xfId="1" applyFont="1" applyFill="1" applyBorder="1" applyAlignment="1">
      <alignment horizontal="center" vertical="center"/>
    </xf>
    <xf numFmtId="43" fontId="13" fillId="0" borderId="4" xfId="1" applyFont="1" applyBorder="1" applyAlignment="1">
      <alignment vertical="center"/>
    </xf>
    <xf numFmtId="43" fontId="0" fillId="0" borderId="4" xfId="1" applyFont="1" applyBorder="1" applyAlignment="1">
      <alignment vertical="center"/>
    </xf>
    <xf numFmtId="43" fontId="13" fillId="0" borderId="7" xfId="1" applyFont="1" applyBorder="1" applyAlignment="1">
      <alignment vertical="center"/>
    </xf>
    <xf numFmtId="43" fontId="13" fillId="0" borderId="0" xfId="1" applyFont="1" applyAlignment="1">
      <alignment vertical="center"/>
    </xf>
    <xf numFmtId="43" fontId="50" fillId="7" borderId="5" xfId="1" applyFont="1" applyFill="1" applyBorder="1" applyAlignment="1">
      <alignment horizontal="center"/>
    </xf>
    <xf numFmtId="43" fontId="13" fillId="7" borderId="5" xfId="1" applyFont="1" applyFill="1" applyBorder="1" applyAlignment="1">
      <alignment horizontal="center" vertical="center"/>
    </xf>
    <xf numFmtId="43" fontId="50" fillId="0" borderId="5" xfId="1" applyFont="1" applyBorder="1" applyAlignment="1">
      <alignment horizontal="center" vertical="center"/>
    </xf>
    <xf numFmtId="43" fontId="13" fillId="0" borderId="1" xfId="1" applyFont="1" applyFill="1" applyBorder="1" applyAlignment="1">
      <alignment horizontal="center" vertical="center"/>
    </xf>
    <xf numFmtId="43" fontId="13" fillId="0" borderId="9" xfId="1" applyFont="1" applyBorder="1" applyAlignment="1">
      <alignment horizontal="center" vertical="center"/>
    </xf>
    <xf numFmtId="43" fontId="43" fillId="0" borderId="18" xfId="1" applyFont="1" applyFill="1" applyBorder="1" applyAlignment="1">
      <alignment horizontal="center" vertical="center"/>
    </xf>
    <xf numFmtId="0" fontId="26" fillId="2" borderId="13" xfId="19" applyFont="1" applyFill="1" applyBorder="1" applyAlignment="1" applyProtection="1">
      <alignment horizontal="center" vertical="top" wrapText="1"/>
      <protection hidden="1"/>
    </xf>
    <xf numFmtId="0" fontId="20" fillId="2" borderId="13" xfId="19" applyFont="1" applyFill="1" applyBorder="1" applyAlignment="1" applyProtection="1">
      <alignment horizontal="center" vertical="center" wrapText="1"/>
      <protection hidden="1"/>
    </xf>
    <xf numFmtId="43" fontId="0" fillId="0" borderId="13" xfId="1" applyFont="1" applyFill="1" applyBorder="1" applyAlignment="1">
      <alignment horizontal="center" vertical="center"/>
    </xf>
    <xf numFmtId="43" fontId="50" fillId="0" borderId="22" xfId="1" applyFont="1" applyFill="1" applyBorder="1" applyAlignment="1">
      <alignment horizontal="center" vertical="center"/>
    </xf>
    <xf numFmtId="0" fontId="20" fillId="2" borderId="1" xfId="42" applyFont="1" applyFill="1" applyBorder="1" applyAlignment="1" applyProtection="1">
      <alignment horizontal="justify" vertical="top" wrapText="1"/>
      <protection hidden="1"/>
    </xf>
    <xf numFmtId="43" fontId="50" fillId="7" borderId="22" xfId="1" applyFont="1" applyFill="1" applyBorder="1" applyAlignment="1">
      <alignment horizontal="center" vertical="center"/>
    </xf>
    <xf numFmtId="0" fontId="26" fillId="2" borderId="13" xfId="19" applyFont="1" applyFill="1" applyBorder="1" applyAlignment="1" applyProtection="1">
      <alignment horizontal="left" vertical="center" wrapText="1"/>
      <protection hidden="1"/>
    </xf>
    <xf numFmtId="0" fontId="20" fillId="2" borderId="1" xfId="42" applyFont="1" applyFill="1" applyBorder="1" applyAlignment="1" applyProtection="1">
      <alignment horizontal="center" vertical="center"/>
      <protection hidden="1"/>
    </xf>
    <xf numFmtId="0" fontId="20" fillId="2" borderId="1" xfId="42" applyFont="1" applyFill="1" applyBorder="1" applyAlignment="1" applyProtection="1">
      <alignment horizontal="justify" vertical="center" wrapText="1"/>
      <protection hidden="1"/>
    </xf>
    <xf numFmtId="43" fontId="0" fillId="0" borderId="0" xfId="1" applyFont="1" applyFill="1" applyAlignment="1">
      <alignment horizontal="center" vertical="center"/>
    </xf>
    <xf numFmtId="2" fontId="34" fillId="2" borderId="2" xfId="19" applyNumberFormat="1" applyFont="1" applyFill="1" applyBorder="1" applyAlignment="1" applyProtection="1">
      <alignment horizontal="center" vertical="center"/>
      <protection hidden="1"/>
    </xf>
    <xf numFmtId="2" fontId="34" fillId="2" borderId="6" xfId="19" applyNumberFormat="1" applyFont="1" applyFill="1" applyBorder="1" applyAlignment="1" applyProtection="1">
      <alignment horizontal="left" vertical="top" wrapText="1"/>
      <protection hidden="1"/>
    </xf>
    <xf numFmtId="2" fontId="30" fillId="2" borderId="6" xfId="19" applyNumberFormat="1" applyFont="1" applyFill="1" applyBorder="1" applyAlignment="1" applyProtection="1">
      <alignment horizontal="center" vertical="center"/>
      <protection hidden="1"/>
    </xf>
    <xf numFmtId="43" fontId="0" fillId="0" borderId="6" xfId="1" applyFont="1" applyFill="1" applyBorder="1" applyAlignment="1">
      <alignment horizontal="center" vertical="center"/>
    </xf>
    <xf numFmtId="43" fontId="50" fillId="0" borderId="3" xfId="1" applyFont="1" applyFill="1" applyBorder="1" applyAlignment="1">
      <alignment horizontal="center" vertical="center"/>
    </xf>
    <xf numFmtId="0" fontId="30" fillId="2" borderId="4" xfId="19" applyFont="1" applyFill="1" applyBorder="1" applyAlignment="1" applyProtection="1">
      <alignment horizontal="center" vertical="center"/>
      <protection hidden="1"/>
    </xf>
    <xf numFmtId="43" fontId="0" fillId="0" borderId="5" xfId="1" applyFont="1" applyFill="1" applyBorder="1" applyAlignment="1">
      <alignment horizontal="center"/>
    </xf>
    <xf numFmtId="0" fontId="30" fillId="2" borderId="1" xfId="42" applyFont="1" applyFill="1" applyBorder="1" applyAlignment="1" applyProtection="1">
      <alignment horizontal="justify" vertical="top"/>
      <protection hidden="1"/>
    </xf>
    <xf numFmtId="0" fontId="30" fillId="2" borderId="1" xfId="42" applyFont="1" applyFill="1" applyBorder="1" applyAlignment="1" applyProtection="1">
      <alignment vertical="top" wrapText="1"/>
      <protection hidden="1"/>
    </xf>
    <xf numFmtId="168" fontId="30" fillId="2" borderId="4" xfId="19" applyNumberFormat="1" applyFont="1" applyFill="1" applyBorder="1" applyAlignment="1" applyProtection="1">
      <alignment horizontal="center" vertical="center"/>
      <protection hidden="1"/>
    </xf>
    <xf numFmtId="0" fontId="30" fillId="2" borderId="4" xfId="19" applyFont="1" applyFill="1" applyBorder="1" applyAlignment="1" applyProtection="1">
      <alignment horizontal="center" vertical="center" wrapText="1"/>
      <protection hidden="1"/>
    </xf>
    <xf numFmtId="2" fontId="30" fillId="2" borderId="4" xfId="19" applyNumberFormat="1" applyFont="1" applyFill="1" applyBorder="1" applyAlignment="1" applyProtection="1">
      <alignment horizontal="center" vertical="center"/>
      <protection hidden="1"/>
    </xf>
    <xf numFmtId="43" fontId="0" fillId="0" borderId="8" xfId="1" applyFont="1" applyFill="1" applyBorder="1" applyAlignment="1">
      <alignment horizontal="center" vertical="center"/>
    </xf>
    <xf numFmtId="43" fontId="0" fillId="0" borderId="9" xfId="1" applyFont="1" applyFill="1" applyBorder="1" applyAlignment="1">
      <alignment horizontal="center" vertical="center"/>
    </xf>
    <xf numFmtId="0" fontId="26" fillId="2" borderId="2" xfId="22" applyFont="1" applyFill="1" applyBorder="1" applyAlignment="1">
      <alignment horizontal="center" vertical="center" wrapText="1"/>
    </xf>
    <xf numFmtId="0" fontId="26" fillId="2" borderId="6" xfId="22" applyFont="1" applyFill="1" applyBorder="1" applyAlignment="1">
      <alignment horizontal="left" vertical="center" wrapText="1"/>
    </xf>
    <xf numFmtId="0" fontId="20" fillId="2" borderId="4" xfId="22" applyFont="1" applyFill="1" applyBorder="1" applyAlignment="1">
      <alignment horizontal="center" wrapText="1"/>
    </xf>
    <xf numFmtId="0" fontId="20" fillId="2" borderId="1" xfId="43" applyFont="1" applyFill="1" applyBorder="1" applyAlignment="1">
      <alignment horizontal="left" vertical="top" wrapText="1"/>
    </xf>
    <xf numFmtId="0" fontId="26" fillId="2" borderId="1" xfId="43" applyFont="1" applyFill="1" applyBorder="1" applyAlignment="1">
      <alignment horizontal="center" vertical="center" wrapText="1"/>
    </xf>
    <xf numFmtId="43" fontId="50" fillId="7" borderId="5" xfId="8" applyNumberFormat="1" applyFont="1" applyFill="1" applyBorder="1" applyAlignment="1">
      <alignment horizontal="center" vertical="center"/>
    </xf>
    <xf numFmtId="0" fontId="26" fillId="2" borderId="1" xfId="19" applyFont="1" applyFill="1" applyBorder="1" applyAlignment="1">
      <alignment horizontal="center" vertical="center" wrapText="1"/>
    </xf>
    <xf numFmtId="0" fontId="26" fillId="2" borderId="4" xfId="22" applyFont="1" applyFill="1" applyBorder="1" applyAlignment="1">
      <alignment horizontal="center" wrapText="1"/>
    </xf>
    <xf numFmtId="43" fontId="0" fillId="0" borderId="10" xfId="1" applyFont="1" applyBorder="1"/>
    <xf numFmtId="43" fontId="8" fillId="0" borderId="1" xfId="1" applyFont="1" applyBorder="1" applyAlignment="1">
      <alignment vertical="center"/>
    </xf>
    <xf numFmtId="0" fontId="27" fillId="2" borderId="4" xfId="22" applyFont="1" applyFill="1" applyBorder="1"/>
    <xf numFmtId="0" fontId="26" fillId="6" borderId="1" xfId="22" applyFont="1" applyFill="1" applyBorder="1" applyAlignment="1">
      <alignment horizontal="center" vertical="center" wrapText="1"/>
    </xf>
    <xf numFmtId="0" fontId="20" fillId="2" borderId="4" xfId="19" applyFont="1" applyFill="1" applyBorder="1" applyAlignment="1" applyProtection="1">
      <alignment horizontal="center" vertical="top" wrapText="1"/>
      <protection hidden="1"/>
    </xf>
    <xf numFmtId="0" fontId="20" fillId="2" borderId="7" xfId="19" applyFont="1" applyFill="1" applyBorder="1" applyAlignment="1" applyProtection="1">
      <alignment horizontal="center" vertical="top" wrapText="1"/>
      <protection hidden="1"/>
    </xf>
    <xf numFmtId="0" fontId="20" fillId="2" borderId="8" xfId="19" applyFont="1" applyFill="1" applyBorder="1" applyAlignment="1" applyProtection="1">
      <alignment horizontal="justify" vertical="top" wrapText="1"/>
      <protection hidden="1"/>
    </xf>
    <xf numFmtId="0" fontId="20" fillId="2" borderId="8" xfId="19" applyFont="1" applyFill="1" applyBorder="1" applyAlignment="1" applyProtection="1">
      <alignment horizontal="center" vertical="center" wrapText="1"/>
      <protection hidden="1"/>
    </xf>
    <xf numFmtId="43" fontId="50" fillId="0" borderId="5" xfId="8" applyNumberFormat="1" applyFont="1" applyBorder="1" applyAlignment="1">
      <alignment horizontal="center" vertical="center"/>
    </xf>
    <xf numFmtId="43" fontId="8" fillId="0" borderId="1" xfId="1" applyFont="1" applyFill="1" applyBorder="1" applyAlignment="1">
      <alignment vertical="center"/>
    </xf>
    <xf numFmtId="0" fontId="34" fillId="2" borderId="1" xfId="19" applyFont="1" applyFill="1" applyBorder="1" applyAlignment="1" applyProtection="1">
      <alignment horizontal="center" vertical="center" wrapText="1"/>
      <protection hidden="1"/>
    </xf>
    <xf numFmtId="0" fontId="26" fillId="7" borderId="1" xfId="19" applyFont="1" applyFill="1" applyBorder="1" applyAlignment="1" applyProtection="1">
      <alignment horizontal="justify" vertical="top" wrapText="1"/>
      <protection hidden="1"/>
    </xf>
    <xf numFmtId="165" fontId="34" fillId="7" borderId="1" xfId="32" applyFont="1" applyFill="1" applyBorder="1" applyAlignment="1" applyProtection="1">
      <alignment horizontal="center" vertical="center" wrapText="1"/>
      <protection hidden="1"/>
    </xf>
    <xf numFmtId="0" fontId="39" fillId="2" borderId="1" xfId="42" applyFont="1" applyFill="1" applyBorder="1" applyAlignment="1" applyProtection="1">
      <alignment horizontal="justify" vertical="top" wrapText="1"/>
      <protection hidden="1"/>
    </xf>
    <xf numFmtId="0" fontId="35" fillId="2" borderId="1" xfId="42" applyFont="1" applyFill="1" applyBorder="1" applyAlignment="1">
      <alignment horizontal="center" wrapText="1"/>
    </xf>
    <xf numFmtId="0" fontId="26" fillId="2" borderId="1" xfId="42" applyFont="1" applyFill="1" applyBorder="1" applyAlignment="1">
      <alignment vertical="center" wrapText="1"/>
    </xf>
    <xf numFmtId="0" fontId="26" fillId="2" borderId="1" xfId="42" applyFont="1" applyFill="1" applyBorder="1" applyAlignment="1">
      <alignment horizontal="center" vertical="center" wrapText="1"/>
    </xf>
    <xf numFmtId="0" fontId="20" fillId="2" borderId="1" xfId="42" applyFont="1" applyFill="1" applyBorder="1" applyAlignment="1">
      <alignment horizontal="left" vertical="center" wrapText="1"/>
    </xf>
    <xf numFmtId="0" fontId="20" fillId="2" borderId="1" xfId="42" applyFont="1" applyFill="1" applyBorder="1" applyAlignment="1">
      <alignment horizontal="center" vertical="center" wrapText="1"/>
    </xf>
    <xf numFmtId="0" fontId="26" fillId="2" borderId="4" xfId="23" applyFont="1" applyFill="1" applyBorder="1" applyAlignment="1" applyProtection="1">
      <alignment vertical="top" wrapText="1"/>
      <protection hidden="1"/>
    </xf>
    <xf numFmtId="10" fontId="20" fillId="0" borderId="1" xfId="1" applyNumberFormat="1" applyFont="1" applyFill="1" applyBorder="1" applyAlignment="1">
      <alignment horizontal="center" vertical="center"/>
    </xf>
    <xf numFmtId="43" fontId="13" fillId="9" borderId="1" xfId="1" applyFont="1" applyFill="1" applyBorder="1" applyAlignment="1">
      <alignment horizontal="center" vertical="center"/>
    </xf>
    <xf numFmtId="43" fontId="16" fillId="0" borderId="5" xfId="1" applyFont="1" applyFill="1" applyBorder="1" applyAlignment="1">
      <alignment horizontal="center" vertical="center"/>
    </xf>
    <xf numFmtId="0" fontId="13" fillId="0" borderId="8" xfId="8" applyFont="1" applyBorder="1" applyAlignment="1">
      <alignment horizontal="center"/>
    </xf>
    <xf numFmtId="0" fontId="13" fillId="0" borderId="0" xfId="8" applyFont="1" applyAlignment="1">
      <alignment horizontal="center"/>
    </xf>
    <xf numFmtId="43" fontId="13" fillId="9" borderId="5" xfId="1" applyFont="1" applyFill="1" applyBorder="1" applyAlignment="1">
      <alignment horizontal="center" vertical="center"/>
    </xf>
    <xf numFmtId="43" fontId="8" fillId="9" borderId="1" xfId="1" applyFont="1" applyFill="1" applyBorder="1" applyAlignment="1">
      <alignment horizontal="center" vertical="center"/>
    </xf>
    <xf numFmtId="43" fontId="8" fillId="9" borderId="1" xfId="1" applyFill="1" applyBorder="1" applyAlignment="1">
      <alignment horizontal="center" vertical="center"/>
    </xf>
    <xf numFmtId="43" fontId="8" fillId="9" borderId="5" xfId="1" applyFont="1" applyFill="1" applyBorder="1" applyAlignment="1">
      <alignment horizontal="center" vertical="center"/>
    </xf>
    <xf numFmtId="43" fontId="20" fillId="10" borderId="1" xfId="1" applyFont="1" applyFill="1" applyBorder="1" applyAlignment="1">
      <alignment horizontal="center" vertical="center"/>
    </xf>
    <xf numFmtId="170" fontId="20" fillId="2" borderId="23" xfId="1" applyNumberFormat="1" applyFont="1" applyFill="1" applyBorder="1" applyAlignment="1" applyProtection="1">
      <alignment horizontal="center" vertical="center" wrapText="1"/>
      <protection hidden="1"/>
    </xf>
    <xf numFmtId="170" fontId="20" fillId="2" borderId="1" xfId="1" applyNumberFormat="1" applyFont="1" applyFill="1" applyBorder="1" applyAlignment="1" applyProtection="1">
      <alignment horizontal="center" vertical="center"/>
      <protection hidden="1"/>
    </xf>
    <xf numFmtId="170" fontId="30" fillId="2" borderId="23" xfId="1" applyNumberFormat="1" applyFont="1" applyFill="1" applyBorder="1" applyAlignment="1" applyProtection="1">
      <alignment horizontal="center" vertical="center" wrapText="1"/>
      <protection hidden="1"/>
    </xf>
    <xf numFmtId="170" fontId="30" fillId="2" borderId="1" xfId="1" applyNumberFormat="1" applyFont="1" applyFill="1" applyBorder="1" applyAlignment="1" applyProtection="1">
      <alignment horizontal="center" vertical="center"/>
      <protection hidden="1"/>
    </xf>
    <xf numFmtId="170" fontId="28" fillId="2" borderId="1" xfId="1" applyNumberFormat="1" applyFont="1" applyFill="1" applyBorder="1" applyAlignment="1" applyProtection="1">
      <alignment horizontal="center" vertical="center" wrapText="1"/>
      <protection hidden="1"/>
    </xf>
    <xf numFmtId="170" fontId="28" fillId="2" borderId="1" xfId="1" applyNumberFormat="1" applyFont="1" applyFill="1" applyBorder="1" applyAlignment="1" applyProtection="1">
      <alignment horizontal="center" vertical="center"/>
      <protection hidden="1"/>
    </xf>
    <xf numFmtId="170" fontId="20" fillId="2" borderId="1" xfId="1" quotePrefix="1" applyNumberFormat="1" applyFont="1" applyFill="1" applyBorder="1" applyAlignment="1" applyProtection="1">
      <alignment horizontal="center" vertical="center"/>
      <protection hidden="1"/>
    </xf>
    <xf numFmtId="170" fontId="30" fillId="2" borderId="1" xfId="1" quotePrefix="1" applyNumberFormat="1" applyFont="1" applyFill="1" applyBorder="1" applyAlignment="1" applyProtection="1">
      <alignment horizontal="center" vertical="center"/>
      <protection hidden="1"/>
    </xf>
    <xf numFmtId="170" fontId="30" fillId="2" borderId="1" xfId="1" applyNumberFormat="1" applyFont="1" applyFill="1" applyBorder="1" applyAlignment="1" applyProtection="1">
      <alignment horizontal="center" vertical="center" wrapText="1"/>
      <protection hidden="1"/>
    </xf>
    <xf numFmtId="170" fontId="20" fillId="2" borderId="23" xfId="1" applyNumberFormat="1" applyFont="1" applyFill="1" applyBorder="1" applyAlignment="1">
      <alignment horizontal="center" vertical="center"/>
    </xf>
    <xf numFmtId="43" fontId="26" fillId="0" borderId="1" xfId="1" applyFont="1" applyFill="1" applyBorder="1" applyAlignment="1">
      <alignment horizontal="center" vertical="center"/>
    </xf>
    <xf numFmtId="43" fontId="13" fillId="0" borderId="0" xfId="8" applyNumberFormat="1" applyFont="1"/>
    <xf numFmtId="43" fontId="8" fillId="0" borderId="1" xfId="5" applyFont="1" applyFill="1" applyBorder="1" applyAlignment="1">
      <alignment horizontal="center" vertical="center"/>
    </xf>
    <xf numFmtId="43" fontId="50" fillId="7" borderId="22" xfId="5" applyFont="1" applyFill="1" applyBorder="1" applyAlignment="1">
      <alignment horizontal="center" vertical="center"/>
    </xf>
    <xf numFmtId="43" fontId="50" fillId="0" borderId="22" xfId="5" applyFont="1" applyFill="1" applyBorder="1" applyAlignment="1">
      <alignment horizontal="center" vertical="center"/>
    </xf>
    <xf numFmtId="43" fontId="8" fillId="7" borderId="1" xfId="5" applyFont="1" applyFill="1" applyBorder="1" applyAlignment="1">
      <alignment horizontal="center" vertical="center"/>
    </xf>
    <xf numFmtId="0" fontId="26" fillId="7" borderId="1" xfId="19" applyFont="1" applyFill="1" applyBorder="1" applyAlignment="1" applyProtection="1">
      <alignment horizontal="center" vertical="center" wrapText="1"/>
      <protection hidden="1"/>
    </xf>
    <xf numFmtId="43" fontId="50" fillId="7" borderId="1" xfId="5" applyFont="1" applyFill="1" applyBorder="1" applyAlignment="1">
      <alignment horizontal="center" vertical="center"/>
    </xf>
    <xf numFmtId="43" fontId="20" fillId="2" borderId="1" xfId="5" applyFont="1" applyFill="1" applyBorder="1" applyAlignment="1" applyProtection="1">
      <alignment horizontal="center" vertical="center" wrapText="1"/>
      <protection hidden="1"/>
    </xf>
    <xf numFmtId="43" fontId="50" fillId="0" borderId="46" xfId="5" applyFont="1" applyFill="1" applyBorder="1" applyAlignment="1">
      <alignment horizontal="center" vertical="center"/>
    </xf>
    <xf numFmtId="43" fontId="50" fillId="7" borderId="46" xfId="5" applyFont="1" applyFill="1" applyBorder="1" applyAlignment="1">
      <alignment horizontal="center" vertical="center"/>
    </xf>
    <xf numFmtId="43" fontId="8" fillId="0" borderId="22" xfId="5" applyFont="1" applyFill="1" applyBorder="1" applyAlignment="1">
      <alignment horizontal="center" vertical="center"/>
    </xf>
    <xf numFmtId="0" fontId="26" fillId="7" borderId="1" xfId="18" applyFont="1" applyFill="1" applyBorder="1" applyAlignment="1" applyProtection="1">
      <alignment horizontal="justify" vertical="center" wrapText="1"/>
      <protection hidden="1"/>
    </xf>
    <xf numFmtId="43" fontId="0" fillId="0" borderId="0" xfId="0" applyNumberFormat="1"/>
    <xf numFmtId="0" fontId="8" fillId="0" borderId="0" xfId="39"/>
    <xf numFmtId="165" fontId="8" fillId="0" borderId="0" xfId="39" applyNumberFormat="1"/>
    <xf numFmtId="43" fontId="20" fillId="7" borderId="1" xfId="1" applyFont="1" applyFill="1" applyBorder="1" applyAlignment="1" applyProtection="1">
      <alignment horizontal="center" vertical="center" wrapText="1"/>
      <protection hidden="1"/>
    </xf>
    <xf numFmtId="43" fontId="26" fillId="7" borderId="1" xfId="1" applyFont="1" applyFill="1" applyBorder="1" applyAlignment="1" applyProtection="1">
      <alignment vertical="center" wrapText="1"/>
      <protection hidden="1"/>
    </xf>
    <xf numFmtId="43" fontId="20" fillId="7" borderId="1" xfId="1" applyFont="1" applyFill="1" applyBorder="1" applyAlignment="1" applyProtection="1">
      <alignment vertical="center" wrapText="1"/>
      <protection hidden="1"/>
    </xf>
    <xf numFmtId="43" fontId="20" fillId="2" borderId="0" xfId="1" applyFont="1" applyFill="1" applyAlignment="1" applyProtection="1">
      <alignment vertical="center" wrapText="1"/>
      <protection hidden="1"/>
    </xf>
    <xf numFmtId="43" fontId="20" fillId="2" borderId="0" xfId="1" applyFont="1" applyFill="1" applyAlignment="1" applyProtection="1">
      <alignment horizontal="center" vertical="center" wrapText="1"/>
      <protection hidden="1"/>
    </xf>
    <xf numFmtId="10" fontId="26" fillId="2" borderId="1" xfId="1" applyNumberFormat="1" applyFont="1" applyFill="1" applyBorder="1" applyAlignment="1">
      <alignment horizontal="center" vertical="center"/>
    </xf>
    <xf numFmtId="10" fontId="20" fillId="2" borderId="1" xfId="1" applyNumberFormat="1" applyFont="1" applyFill="1" applyBorder="1" applyAlignment="1" applyProtection="1">
      <alignment vertical="center" wrapText="1"/>
      <protection hidden="1"/>
    </xf>
    <xf numFmtId="10" fontId="20" fillId="2" borderId="1" xfId="1" applyNumberFormat="1" applyFont="1" applyFill="1" applyBorder="1" applyAlignment="1" applyProtection="1">
      <alignment horizontal="center" vertical="center" wrapText="1"/>
      <protection hidden="1"/>
    </xf>
    <xf numFmtId="10" fontId="20" fillId="2" borderId="1" xfId="1" applyNumberFormat="1" applyFont="1" applyFill="1" applyBorder="1" applyAlignment="1" applyProtection="1">
      <alignment horizontal="center" vertical="center"/>
      <protection hidden="1"/>
    </xf>
    <xf numFmtId="10" fontId="26" fillId="2" borderId="1" xfId="1" applyNumberFormat="1" applyFont="1" applyFill="1" applyBorder="1" applyAlignment="1" applyProtection="1">
      <alignment horizontal="center" vertical="center" wrapText="1"/>
      <protection hidden="1"/>
    </xf>
    <xf numFmtId="10" fontId="26" fillId="7" borderId="1" xfId="1" applyNumberFormat="1" applyFont="1" applyFill="1" applyBorder="1" applyAlignment="1" applyProtection="1">
      <alignment vertical="center" wrapText="1"/>
      <protection hidden="1"/>
    </xf>
    <xf numFmtId="10" fontId="20" fillId="2" borderId="0" xfId="1" applyNumberFormat="1" applyFont="1" applyFill="1" applyAlignment="1" applyProtection="1">
      <alignment vertical="center" wrapText="1"/>
      <protection hidden="1"/>
    </xf>
    <xf numFmtId="0" fontId="34" fillId="7" borderId="1" xfId="19" applyFont="1" applyFill="1" applyBorder="1" applyAlignment="1" applyProtection="1">
      <alignment horizontal="justify" vertical="top" wrapText="1"/>
      <protection hidden="1"/>
    </xf>
    <xf numFmtId="165" fontId="34" fillId="7" borderId="1" xfId="32" applyFont="1" applyFill="1" applyBorder="1" applyAlignment="1" applyProtection="1">
      <alignment horizontal="center" vertical="center"/>
      <protection hidden="1"/>
    </xf>
    <xf numFmtId="43" fontId="8" fillId="0" borderId="5" xfId="8" applyNumberFormat="1" applyBorder="1" applyAlignment="1">
      <alignment horizontal="center" vertical="center"/>
    </xf>
    <xf numFmtId="0" fontId="26" fillId="7" borderId="1" xfId="22" applyFont="1" applyFill="1" applyBorder="1" applyAlignment="1">
      <alignment horizontal="left" vertical="center" wrapText="1"/>
    </xf>
    <xf numFmtId="0" fontId="26" fillId="7" borderId="1" xfId="22" applyFont="1" applyFill="1" applyBorder="1" applyAlignment="1">
      <alignment horizontal="center" vertical="center" wrapText="1"/>
    </xf>
    <xf numFmtId="43" fontId="50" fillId="7" borderId="1" xfId="1" applyFont="1" applyFill="1" applyBorder="1"/>
    <xf numFmtId="43" fontId="27" fillId="2" borderId="1" xfId="1" applyFont="1" applyFill="1" applyBorder="1" applyAlignment="1">
      <alignment vertical="center"/>
    </xf>
    <xf numFmtId="43" fontId="27" fillId="2" borderId="0" xfId="1" applyFont="1" applyFill="1" applyAlignment="1">
      <alignment vertical="center"/>
    </xf>
    <xf numFmtId="43" fontId="20" fillId="2" borderId="23" xfId="1" applyFont="1" applyFill="1" applyBorder="1" applyAlignment="1">
      <alignment horizontal="center" vertical="center" wrapText="1"/>
    </xf>
    <xf numFmtId="43" fontId="30" fillId="2" borderId="23" xfId="1" applyFont="1" applyFill="1" applyBorder="1" applyAlignment="1">
      <alignment horizontal="center" vertical="center" wrapText="1"/>
    </xf>
    <xf numFmtId="43" fontId="30" fillId="2" borderId="23" xfId="1" applyFont="1" applyFill="1" applyBorder="1" applyAlignment="1">
      <alignment horizontal="center" vertical="center"/>
    </xf>
    <xf numFmtId="10" fontId="27" fillId="2" borderId="1" xfId="1" applyNumberFormat="1" applyFont="1" applyFill="1" applyBorder="1" applyAlignment="1">
      <alignment vertical="center"/>
    </xf>
    <xf numFmtId="10" fontId="35" fillId="7" borderId="1" xfId="1" applyNumberFormat="1" applyFont="1" applyFill="1" applyBorder="1" applyAlignment="1">
      <alignment horizontal="right" vertical="center"/>
    </xf>
    <xf numFmtId="10" fontId="27" fillId="2" borderId="0" xfId="1" applyNumberFormat="1" applyFont="1" applyFill="1" applyAlignment="1">
      <alignment vertical="center"/>
    </xf>
    <xf numFmtId="0" fontId="20" fillId="0" borderId="1" xfId="19" applyFont="1" applyBorder="1" applyAlignment="1" applyProtection="1">
      <alignment horizontal="justify" vertical="top" wrapText="1"/>
      <protection hidden="1"/>
    </xf>
    <xf numFmtId="0" fontId="8" fillId="0" borderId="1" xfId="8" applyBorder="1" applyAlignment="1">
      <alignment horizontal="left" vertical="center" wrapText="1"/>
    </xf>
    <xf numFmtId="0" fontId="50" fillId="7" borderId="1" xfId="8" applyFont="1" applyFill="1" applyBorder="1" applyAlignment="1">
      <alignment horizontal="left" vertical="center" wrapText="1"/>
    </xf>
    <xf numFmtId="0" fontId="8" fillId="0" borderId="8" xfId="8" applyBorder="1" applyAlignment="1">
      <alignment horizontal="left" vertical="center" wrapText="1"/>
    </xf>
    <xf numFmtId="0" fontId="8" fillId="0" borderId="0" xfId="8" applyAlignment="1">
      <alignment horizontal="left" vertical="center" wrapText="1"/>
    </xf>
    <xf numFmtId="0" fontId="8" fillId="0" borderId="1" xfId="8" applyBorder="1" applyAlignment="1">
      <alignment wrapText="1"/>
    </xf>
    <xf numFmtId="0" fontId="8" fillId="0" borderId="1" xfId="8" applyBorder="1" applyAlignment="1">
      <alignment vertical="center" wrapText="1"/>
    </xf>
    <xf numFmtId="43" fontId="8" fillId="0" borderId="13" xfId="1" applyFont="1" applyFill="1" applyBorder="1" applyAlignment="1">
      <alignment horizontal="center" vertical="center"/>
    </xf>
    <xf numFmtId="9" fontId="16" fillId="2" borderId="1" xfId="44" applyFont="1" applyFill="1" applyBorder="1" applyAlignment="1">
      <alignment horizontal="center" vertical="center"/>
    </xf>
    <xf numFmtId="9" fontId="8" fillId="2" borderId="13" xfId="44" applyFont="1" applyFill="1" applyBorder="1" applyAlignment="1">
      <alignment horizontal="center" vertical="center"/>
    </xf>
    <xf numFmtId="9" fontId="8" fillId="0" borderId="1" xfId="44" applyFont="1" applyBorder="1" applyAlignment="1">
      <alignment horizontal="center" vertical="center"/>
    </xf>
    <xf numFmtId="9" fontId="50" fillId="7" borderId="1" xfId="44" applyFont="1" applyFill="1" applyBorder="1" applyAlignment="1">
      <alignment horizontal="center" vertical="center"/>
    </xf>
    <xf numFmtId="9" fontId="8" fillId="0" borderId="8" xfId="44" applyFont="1" applyBorder="1" applyAlignment="1">
      <alignment horizontal="center" vertical="center"/>
    </xf>
    <xf numFmtId="9" fontId="8" fillId="0" borderId="0" xfId="44" applyFont="1" applyAlignment="1">
      <alignment horizontal="center" vertical="center"/>
    </xf>
    <xf numFmtId="0" fontId="16" fillId="0" borderId="6" xfId="45" applyFont="1" applyBorder="1" applyAlignment="1">
      <alignment horizontal="center" vertical="center"/>
    </xf>
    <xf numFmtId="9" fontId="8" fillId="0" borderId="13" xfId="44" applyFont="1" applyFill="1" applyBorder="1" applyAlignment="1">
      <alignment horizontal="center" vertical="center"/>
    </xf>
    <xf numFmtId="0" fontId="20" fillId="0" borderId="1" xfId="19" applyFont="1" applyBorder="1" applyAlignment="1" applyProtection="1">
      <alignment horizontal="center" vertical="center" wrapText="1"/>
      <protection hidden="1"/>
    </xf>
    <xf numFmtId="43" fontId="20" fillId="0" borderId="1" xfId="1" applyFont="1" applyFill="1" applyBorder="1" applyAlignment="1" applyProtection="1">
      <alignment horizontal="center" vertical="center" wrapText="1"/>
      <protection hidden="1"/>
    </xf>
    <xf numFmtId="0" fontId="8" fillId="0" borderId="1" xfId="8" applyBorder="1" applyAlignment="1">
      <alignment horizontal="left" vertical="center"/>
    </xf>
    <xf numFmtId="0" fontId="20" fillId="0" borderId="1" xfId="22" applyFont="1" applyBorder="1" applyAlignment="1">
      <alignment horizontal="left" vertical="top" wrapText="1"/>
    </xf>
    <xf numFmtId="0" fontId="20" fillId="0" borderId="1" xfId="22" applyFont="1" applyBorder="1" applyAlignment="1">
      <alignment horizontal="center" vertical="center" wrapText="1"/>
    </xf>
    <xf numFmtId="43" fontId="20" fillId="0" borderId="1" xfId="1" applyFont="1" applyFill="1" applyBorder="1" applyAlignment="1">
      <alignment vertical="center" wrapText="1"/>
    </xf>
    <xf numFmtId="9" fontId="8" fillId="0" borderId="1" xfId="44" applyFont="1" applyFill="1" applyBorder="1" applyAlignment="1">
      <alignment horizontal="center" vertical="center"/>
    </xf>
    <xf numFmtId="43" fontId="16" fillId="0" borderId="13" xfId="1" applyFont="1" applyFill="1" applyBorder="1" applyAlignment="1">
      <alignment horizontal="center" vertical="center"/>
    </xf>
    <xf numFmtId="43" fontId="8" fillId="0" borderId="13" xfId="1" applyFont="1" applyBorder="1" applyAlignment="1">
      <alignment horizontal="center" vertical="center"/>
    </xf>
    <xf numFmtId="43" fontId="20" fillId="0" borderId="13" xfId="1" applyFont="1" applyFill="1" applyBorder="1" applyAlignment="1" applyProtection="1">
      <alignment horizontal="center" vertical="center" wrapText="1"/>
      <protection hidden="1"/>
    </xf>
    <xf numFmtId="43" fontId="13" fillId="0" borderId="13" xfId="1" applyFont="1" applyFill="1" applyBorder="1" applyAlignment="1">
      <alignment horizontal="center" vertical="center"/>
    </xf>
    <xf numFmtId="43" fontId="8" fillId="9" borderId="13" xfId="1" applyFont="1" applyFill="1" applyBorder="1" applyAlignment="1">
      <alignment horizontal="center" vertical="center"/>
    </xf>
    <xf numFmtId="43" fontId="8" fillId="10" borderId="13" xfId="1" applyFont="1" applyFill="1" applyBorder="1" applyAlignment="1">
      <alignment horizontal="center" vertical="center"/>
    </xf>
    <xf numFmtId="0" fontId="50" fillId="0" borderId="0" xfId="8" applyFont="1" applyBorder="1" applyAlignment="1">
      <alignment horizontal="left" vertical="center"/>
    </xf>
    <xf numFmtId="0" fontId="8" fillId="0" borderId="0" xfId="8" applyBorder="1" applyAlignment="1">
      <alignment horizontal="center" vertical="center"/>
    </xf>
    <xf numFmtId="43" fontId="13" fillId="2" borderId="46" xfId="1" applyFont="1" applyFill="1" applyBorder="1" applyAlignment="1">
      <alignment horizontal="center" vertical="center"/>
    </xf>
    <xf numFmtId="0" fontId="8" fillId="0" borderId="10" xfId="8" applyBorder="1" applyAlignment="1">
      <alignment horizontal="center" vertical="center"/>
    </xf>
    <xf numFmtId="0" fontId="8" fillId="0" borderId="10" xfId="8" applyBorder="1" applyAlignment="1">
      <alignment horizontal="center" vertical="center" wrapText="1"/>
    </xf>
    <xf numFmtId="0" fontId="50" fillId="7" borderId="10" xfId="8" applyFont="1" applyFill="1" applyBorder="1" applyAlignment="1">
      <alignment horizontal="center" vertical="center"/>
    </xf>
    <xf numFmtId="166" fontId="16" fillId="2" borderId="1" xfId="9" applyFont="1" applyFill="1" applyBorder="1" applyAlignment="1">
      <alignment horizontal="center" vertical="center"/>
    </xf>
    <xf numFmtId="0" fontId="8" fillId="0" borderId="1" xfId="8" applyBorder="1" applyAlignment="1">
      <alignment horizontal="center" vertical="center" wrapText="1"/>
    </xf>
    <xf numFmtId="0" fontId="8" fillId="0" borderId="0" xfId="8" applyAlignment="1">
      <alignment horizontal="center" vertical="center" wrapText="1"/>
    </xf>
    <xf numFmtId="43" fontId="50" fillId="7" borderId="1" xfId="8" applyNumberFormat="1" applyFont="1" applyFill="1" applyBorder="1" applyAlignment="1">
      <alignment horizontal="center" vertical="center"/>
    </xf>
    <xf numFmtId="165" fontId="8" fillId="0" borderId="0" xfId="8" applyNumberFormat="1" applyAlignment="1">
      <alignment horizontal="center" vertical="center"/>
    </xf>
    <xf numFmtId="0" fontId="8" fillId="0" borderId="5" xfId="8" applyBorder="1" applyAlignment="1">
      <alignment horizontal="center" vertical="center" wrapText="1"/>
    </xf>
    <xf numFmtId="0" fontId="33" fillId="0" borderId="42" xfId="0" applyFont="1" applyBorder="1" applyAlignment="1">
      <alignment horizontal="left" vertical="center"/>
    </xf>
    <xf numFmtId="0" fontId="33" fillId="0" borderId="43" xfId="0" applyFont="1" applyBorder="1" applyAlignment="1">
      <alignment horizontal="left" vertical="center"/>
    </xf>
    <xf numFmtId="0" fontId="33" fillId="0" borderId="44" xfId="0" applyFont="1" applyBorder="1" applyAlignment="1">
      <alignment horizontal="left" vertical="center"/>
    </xf>
    <xf numFmtId="0" fontId="33" fillId="0" borderId="45" xfId="0" applyFont="1" applyBorder="1" applyAlignment="1">
      <alignment horizontal="left" vertical="center"/>
    </xf>
    <xf numFmtId="0" fontId="33" fillId="0" borderId="38" xfId="0" applyFont="1" applyBorder="1" applyAlignment="1">
      <alignment horizontal="left" vertical="center"/>
    </xf>
    <xf numFmtId="0" fontId="33" fillId="0" borderId="39" xfId="0" applyFont="1" applyBorder="1" applyAlignment="1">
      <alignment horizontal="left" vertical="center"/>
    </xf>
    <xf numFmtId="0" fontId="33" fillId="0" borderId="40" xfId="0" applyFont="1" applyBorder="1" applyAlignment="1">
      <alignment horizontal="left" vertical="center"/>
    </xf>
    <xf numFmtId="0" fontId="33" fillId="0" borderId="41" xfId="0" applyFont="1" applyBorder="1" applyAlignment="1">
      <alignment horizontal="left" vertical="center"/>
    </xf>
    <xf numFmtId="170" fontId="26" fillId="2" borderId="14" xfId="1" applyNumberFormat="1" applyFont="1" applyFill="1" applyBorder="1" applyAlignment="1">
      <alignment horizontal="center" vertical="center" wrapText="1"/>
    </xf>
    <xf numFmtId="170" fontId="26" fillId="2" borderId="13" xfId="1" applyNumberFormat="1" applyFont="1" applyFill="1" applyBorder="1" applyAlignment="1">
      <alignment horizontal="center" vertical="center" wrapText="1"/>
    </xf>
    <xf numFmtId="0" fontId="44" fillId="0" borderId="17" xfId="0" applyFont="1" applyBorder="1" applyAlignment="1">
      <alignment horizontal="left" vertical="center"/>
    </xf>
    <xf numFmtId="0" fontId="44" fillId="0" borderId="15" xfId="0" applyFont="1" applyBorder="1" applyAlignment="1">
      <alignment horizontal="left" vertical="center"/>
    </xf>
    <xf numFmtId="0" fontId="44" fillId="0" borderId="16" xfId="0" applyFont="1" applyBorder="1" applyAlignment="1">
      <alignment horizontal="left" vertical="center"/>
    </xf>
    <xf numFmtId="0" fontId="44" fillId="0" borderId="0" xfId="0" applyFont="1" applyAlignment="1">
      <alignment horizontal="left" vertical="center"/>
    </xf>
    <xf numFmtId="43" fontId="26" fillId="0" borderId="10" xfId="1" applyFont="1" applyFill="1" applyBorder="1" applyAlignment="1">
      <alignment horizontal="center" vertical="center" wrapText="1"/>
    </xf>
    <xf numFmtId="43" fontId="26" fillId="0" borderId="11" xfId="1" applyFont="1" applyFill="1" applyBorder="1" applyAlignment="1">
      <alignment horizontal="center" vertical="center" wrapText="1"/>
    </xf>
    <xf numFmtId="43" fontId="26" fillId="0" borderId="12" xfId="1" applyFont="1" applyFill="1" applyBorder="1" applyAlignment="1">
      <alignment horizontal="center" vertical="center" wrapText="1"/>
    </xf>
    <xf numFmtId="0" fontId="26" fillId="2" borderId="14" xfId="8" applyFont="1" applyFill="1" applyBorder="1" applyAlignment="1">
      <alignment horizontal="center" vertical="center"/>
    </xf>
    <xf numFmtId="0" fontId="26" fillId="2" borderId="13" xfId="8" applyFont="1" applyFill="1" applyBorder="1" applyAlignment="1">
      <alignment horizontal="center" vertical="center"/>
    </xf>
    <xf numFmtId="0" fontId="26" fillId="2" borderId="14" xfId="8" applyFont="1" applyFill="1" applyBorder="1" applyAlignment="1">
      <alignment horizontal="center" vertical="center" wrapText="1"/>
    </xf>
    <xf numFmtId="0" fontId="26" fillId="2" borderId="13" xfId="8" applyFont="1" applyFill="1" applyBorder="1" applyAlignment="1">
      <alignment horizontal="center" vertical="center" wrapText="1"/>
    </xf>
    <xf numFmtId="166" fontId="26" fillId="2" borderId="14" xfId="9" applyFont="1" applyFill="1" applyBorder="1" applyAlignment="1">
      <alignment horizontal="center" vertical="center"/>
    </xf>
    <xf numFmtId="166" fontId="26" fillId="2" borderId="13" xfId="9" applyFont="1" applyFill="1" applyBorder="1" applyAlignment="1">
      <alignment horizontal="center" vertical="center"/>
    </xf>
    <xf numFmtId="0" fontId="26" fillId="7" borderId="1" xfId="0" applyFont="1" applyFill="1" applyBorder="1" applyAlignment="1">
      <alignment horizontal="center" vertical="center"/>
    </xf>
    <xf numFmtId="0" fontId="26" fillId="2" borderId="1" xfId="0" applyFont="1" applyFill="1" applyBorder="1" applyAlignment="1">
      <alignment horizontal="center" vertical="center"/>
    </xf>
    <xf numFmtId="49" fontId="33" fillId="0" borderId="19" xfId="35" applyNumberFormat="1" applyFont="1" applyBorder="1" applyAlignment="1">
      <alignment horizontal="center" vertical="center"/>
    </xf>
    <xf numFmtId="49" fontId="33" fillId="0" borderId="20" xfId="35" applyNumberFormat="1" applyFont="1" applyBorder="1" applyAlignment="1">
      <alignment horizontal="center" vertical="center"/>
    </xf>
    <xf numFmtId="49" fontId="33" fillId="0" borderId="21" xfId="35" applyNumberFormat="1" applyFont="1" applyBorder="1" applyAlignment="1">
      <alignment horizontal="center" vertical="center"/>
    </xf>
    <xf numFmtId="0" fontId="26" fillId="2" borderId="4" xfId="8" applyFont="1" applyFill="1" applyBorder="1" applyAlignment="1">
      <alignment horizontal="center" vertical="center"/>
    </xf>
    <xf numFmtId="0" fontId="26" fillId="2" borderId="1" xfId="8" applyFont="1" applyFill="1" applyBorder="1" applyAlignment="1">
      <alignment horizontal="center" vertical="center"/>
    </xf>
    <xf numFmtId="0" fontId="43" fillId="2" borderId="18" xfId="8" applyFont="1" applyFill="1" applyBorder="1" applyAlignment="1">
      <alignment horizontal="center" vertical="center" wrapText="1"/>
    </xf>
    <xf numFmtId="43" fontId="43" fillId="0" borderId="18" xfId="1" applyFont="1" applyBorder="1" applyAlignment="1">
      <alignment horizontal="center" vertical="center"/>
    </xf>
    <xf numFmtId="0" fontId="43" fillId="0" borderId="18" xfId="35" applyFont="1" applyBorder="1" applyAlignment="1">
      <alignment horizontal="center" vertical="center" wrapText="1"/>
    </xf>
    <xf numFmtId="0" fontId="43" fillId="0" borderId="18" xfId="35" applyFont="1" applyBorder="1" applyAlignment="1">
      <alignment horizontal="center" vertical="center"/>
    </xf>
    <xf numFmtId="0" fontId="20" fillId="2" borderId="1" xfId="8" applyFont="1" applyFill="1" applyBorder="1" applyAlignment="1">
      <alignment horizontal="center" vertical="center"/>
    </xf>
    <xf numFmtId="0" fontId="20" fillId="2" borderId="1" xfId="8" applyFont="1" applyFill="1" applyBorder="1" applyAlignment="1">
      <alignment horizontal="left" vertical="center" wrapText="1"/>
    </xf>
    <xf numFmtId="0" fontId="20" fillId="2" borderId="1" xfId="8" applyFont="1" applyFill="1" applyBorder="1" applyAlignment="1">
      <alignment horizontal="center" vertical="center" wrapText="1"/>
    </xf>
    <xf numFmtId="2" fontId="20" fillId="2" borderId="1" xfId="8" applyNumberFormat="1" applyFont="1" applyFill="1" applyBorder="1" applyAlignment="1">
      <alignment horizontal="center" vertical="center" wrapText="1"/>
    </xf>
    <xf numFmtId="43" fontId="20" fillId="2" borderId="1" xfId="1" applyFont="1" applyFill="1" applyBorder="1" applyAlignment="1">
      <alignment horizontal="center" vertical="center" wrapText="1"/>
    </xf>
    <xf numFmtId="0" fontId="20" fillId="0" borderId="1" xfId="8" applyFont="1" applyBorder="1" applyAlignment="1">
      <alignment horizontal="left" vertical="center" wrapText="1"/>
    </xf>
    <xf numFmtId="43" fontId="20" fillId="2" borderId="1" xfId="1" applyFont="1" applyFill="1" applyBorder="1" applyAlignment="1">
      <alignment horizontal="center" vertical="center"/>
    </xf>
    <xf numFmtId="0" fontId="20" fillId="2" borderId="1" xfId="8" applyFont="1" applyFill="1" applyBorder="1" applyAlignment="1">
      <alignment horizontal="left" vertical="top" wrapText="1"/>
    </xf>
    <xf numFmtId="0" fontId="26" fillId="2" borderId="1" xfId="8" applyFont="1" applyFill="1" applyBorder="1" applyAlignment="1">
      <alignment horizontal="center" vertical="center" wrapText="1"/>
    </xf>
    <xf numFmtId="0" fontId="16" fillId="0" borderId="2" xfId="35" applyFont="1" applyBorder="1" applyAlignment="1">
      <alignment horizontal="center" vertical="center" wrapText="1"/>
    </xf>
    <xf numFmtId="0" fontId="16" fillId="0" borderId="6" xfId="35" applyFont="1" applyBorder="1" applyAlignment="1">
      <alignment horizontal="center" vertical="center" wrapText="1"/>
    </xf>
    <xf numFmtId="0" fontId="16" fillId="0" borderId="4" xfId="35" applyFont="1" applyBorder="1" applyAlignment="1">
      <alignment horizontal="center" vertical="center" wrapText="1"/>
    </xf>
    <xf numFmtId="0" fontId="16" fillId="0" borderId="1" xfId="35" applyFont="1" applyBorder="1" applyAlignment="1">
      <alignment horizontal="center" vertical="center" wrapText="1"/>
    </xf>
    <xf numFmtId="0" fontId="26" fillId="2" borderId="10" xfId="8" applyFont="1" applyFill="1" applyBorder="1" applyAlignment="1">
      <alignment horizontal="center" vertical="center"/>
    </xf>
    <xf numFmtId="0" fontId="26" fillId="2" borderId="11" xfId="8" applyFont="1" applyFill="1" applyBorder="1" applyAlignment="1">
      <alignment horizontal="center" vertical="center"/>
    </xf>
    <xf numFmtId="0" fontId="26" fillId="2" borderId="12" xfId="8" applyFont="1" applyFill="1" applyBorder="1" applyAlignment="1">
      <alignment horizontal="center" vertical="center"/>
    </xf>
    <xf numFmtId="43" fontId="16" fillId="0" borderId="25" xfId="1" applyFont="1" applyBorder="1" applyAlignment="1">
      <alignment horizontal="center" vertical="center"/>
    </xf>
    <xf numFmtId="43" fontId="16" fillId="0" borderId="11" xfId="1" applyFont="1" applyBorder="1" applyAlignment="1">
      <alignment horizontal="center" vertical="center"/>
    </xf>
    <xf numFmtId="43" fontId="16" fillId="0" borderId="12" xfId="1" applyFont="1" applyBorder="1" applyAlignment="1">
      <alignment horizontal="center" vertical="center"/>
    </xf>
    <xf numFmtId="0" fontId="16" fillId="2" borderId="18" xfId="8" applyFont="1" applyFill="1" applyBorder="1" applyAlignment="1">
      <alignment horizontal="center" vertical="center" wrapText="1"/>
    </xf>
    <xf numFmtId="43" fontId="16" fillId="0" borderId="18" xfId="1" applyFont="1" applyBorder="1" applyAlignment="1">
      <alignment horizontal="center" vertical="center"/>
    </xf>
    <xf numFmtId="43" fontId="16" fillId="0" borderId="24" xfId="1" applyFont="1" applyBorder="1" applyAlignment="1">
      <alignment horizontal="center" vertical="center"/>
    </xf>
    <xf numFmtId="0" fontId="16" fillId="0" borderId="18" xfId="35" applyFont="1" applyBorder="1" applyAlignment="1">
      <alignment horizontal="center" vertical="center" wrapText="1"/>
    </xf>
    <xf numFmtId="0" fontId="16" fillId="0" borderId="24" xfId="35" applyFont="1" applyBorder="1" applyAlignment="1">
      <alignment horizontal="center" vertical="center" wrapText="1"/>
    </xf>
    <xf numFmtId="0" fontId="16" fillId="0" borderId="18" xfId="35" applyFont="1" applyBorder="1" applyAlignment="1">
      <alignment horizontal="center" vertical="center"/>
    </xf>
    <xf numFmtId="0" fontId="16" fillId="0" borderId="24" xfId="35" applyFont="1" applyBorder="1" applyAlignment="1">
      <alignment horizontal="center" vertical="center"/>
    </xf>
    <xf numFmtId="43" fontId="13" fillId="0" borderId="18" xfId="1" applyFont="1" applyBorder="1" applyAlignment="1">
      <alignment horizontal="center" vertical="center"/>
    </xf>
    <xf numFmtId="0" fontId="43" fillId="0" borderId="18" xfId="8" applyFont="1" applyBorder="1" applyAlignment="1">
      <alignment horizontal="center" vertical="center" wrapText="1"/>
    </xf>
    <xf numFmtId="49" fontId="43" fillId="0" borderId="18" xfId="41" applyNumberFormat="1" applyFont="1" applyBorder="1" applyAlignment="1">
      <alignment horizontal="center" vertical="center"/>
    </xf>
    <xf numFmtId="0" fontId="43" fillId="0" borderId="18" xfId="41" applyFont="1" applyBorder="1" applyAlignment="1">
      <alignment horizontal="center" vertical="center" wrapText="1"/>
    </xf>
    <xf numFmtId="0" fontId="43" fillId="0" borderId="18" xfId="41" applyFont="1" applyBorder="1" applyAlignment="1">
      <alignment horizontal="center" vertical="center"/>
    </xf>
    <xf numFmtId="43" fontId="43" fillId="0" borderId="34" xfId="1" applyFont="1" applyFill="1" applyBorder="1" applyAlignment="1">
      <alignment horizontal="center" vertical="center"/>
    </xf>
    <xf numFmtId="43" fontId="43" fillId="0" borderId="35" xfId="1" applyFont="1" applyFill="1" applyBorder="1" applyAlignment="1">
      <alignment horizontal="center" vertical="center"/>
    </xf>
    <xf numFmtId="43" fontId="43" fillId="0" borderId="36" xfId="1" applyFont="1" applyFill="1" applyBorder="1" applyAlignment="1">
      <alignment horizontal="center" vertical="center"/>
    </xf>
    <xf numFmtId="49" fontId="43" fillId="0" borderId="18" xfId="35" applyNumberFormat="1" applyFont="1" applyBorder="1" applyAlignment="1">
      <alignment horizontal="center" vertical="center"/>
    </xf>
    <xf numFmtId="49" fontId="43" fillId="0" borderId="24" xfId="35" applyNumberFormat="1" applyFont="1" applyBorder="1" applyAlignment="1">
      <alignment horizontal="center" vertical="center"/>
    </xf>
    <xf numFmtId="0" fontId="43" fillId="0" borderId="24" xfId="35" applyFont="1" applyBorder="1" applyAlignment="1">
      <alignment horizontal="center" vertical="center" wrapText="1"/>
    </xf>
    <xf numFmtId="0" fontId="43" fillId="0" borderId="24" xfId="35" applyFont="1" applyBorder="1" applyAlignment="1">
      <alignment horizontal="center" vertical="center"/>
    </xf>
    <xf numFmtId="0" fontId="15" fillId="0" borderId="2" xfId="0" applyFont="1" applyBorder="1" applyAlignment="1">
      <alignment horizontal="left" vertical="center" wrapText="1"/>
    </xf>
    <xf numFmtId="0" fontId="15" fillId="0" borderId="6" xfId="0" applyFont="1" applyBorder="1" applyAlignment="1">
      <alignment horizontal="left" vertical="center" wrapText="1"/>
    </xf>
    <xf numFmtId="14" fontId="16" fillId="0" borderId="6" xfId="0" applyNumberFormat="1" applyFont="1" applyBorder="1" applyAlignment="1">
      <alignment horizontal="center" vertical="center" wrapText="1"/>
    </xf>
    <xf numFmtId="0" fontId="16" fillId="0" borderId="6" xfId="0" applyFont="1" applyBorder="1" applyAlignment="1">
      <alignment horizontal="center" vertical="center" wrapText="1"/>
    </xf>
    <xf numFmtId="0" fontId="13" fillId="0" borderId="4" xfId="8" applyFont="1" applyBorder="1" applyAlignment="1">
      <alignment horizontal="center" vertical="top" wrapText="1"/>
    </xf>
    <xf numFmtId="0" fontId="13" fillId="0" borderId="1" xfId="8" applyFont="1" applyBorder="1" applyAlignment="1">
      <alignment horizontal="center" vertical="top" wrapText="1"/>
    </xf>
    <xf numFmtId="0" fontId="13" fillId="0" borderId="5" xfId="8" applyFont="1" applyBorder="1" applyAlignment="1">
      <alignment horizontal="center" vertical="top" wrapText="1"/>
    </xf>
    <xf numFmtId="0" fontId="13" fillId="0" borderId="4" xfId="0" applyFont="1" applyBorder="1" applyAlignment="1">
      <alignment horizontal="center" vertical="center"/>
    </xf>
    <xf numFmtId="0" fontId="13" fillId="0" borderId="1" xfId="0" applyFont="1" applyBorder="1" applyAlignment="1">
      <alignment horizontal="left" vertical="center"/>
    </xf>
    <xf numFmtId="0" fontId="43" fillId="7" borderId="1" xfId="0" applyFont="1" applyFill="1" applyBorder="1" applyAlignment="1">
      <alignment horizontal="center" vertical="center" wrapText="1"/>
    </xf>
    <xf numFmtId="0" fontId="43" fillId="0" borderId="26" xfId="35" applyFont="1" applyBorder="1" applyAlignment="1">
      <alignment horizontal="center" vertical="center" wrapText="1"/>
    </xf>
    <xf numFmtId="43" fontId="16" fillId="0" borderId="10" xfId="1" applyFont="1" applyFill="1" applyBorder="1" applyAlignment="1">
      <alignment horizontal="center" vertical="center" wrapText="1"/>
    </xf>
    <xf numFmtId="43" fontId="16" fillId="0" borderId="11" xfId="1" applyFont="1" applyFill="1" applyBorder="1" applyAlignment="1">
      <alignment horizontal="center" vertical="center" wrapText="1"/>
    </xf>
    <xf numFmtId="43" fontId="16" fillId="0" borderId="12" xfId="1" applyFont="1" applyFill="1" applyBorder="1" applyAlignment="1">
      <alignment horizontal="center" vertical="center" wrapText="1"/>
    </xf>
    <xf numFmtId="0" fontId="8" fillId="0" borderId="16" xfId="8" applyBorder="1" applyAlignment="1">
      <alignment horizontal="center" vertical="center"/>
    </xf>
    <xf numFmtId="0" fontId="8" fillId="0" borderId="0" xfId="8" applyBorder="1" applyAlignment="1">
      <alignment horizontal="center" vertical="center"/>
    </xf>
    <xf numFmtId="166" fontId="16" fillId="7" borderId="1" xfId="9" applyFont="1" applyFill="1" applyBorder="1" applyAlignment="1">
      <alignment horizontal="center" vertical="center"/>
    </xf>
    <xf numFmtId="0" fontId="8" fillId="0" borderId="14" xfId="8" applyBorder="1" applyAlignment="1">
      <alignment horizontal="center" vertical="center" wrapText="1"/>
    </xf>
    <xf numFmtId="0" fontId="8" fillId="0" borderId="47" xfId="8" applyBorder="1" applyAlignment="1">
      <alignment horizontal="center" vertical="center" wrapText="1"/>
    </xf>
    <xf numFmtId="0" fontId="8" fillId="0" borderId="13" xfId="8" applyBorder="1" applyAlignment="1">
      <alignment horizontal="center" vertical="center" wrapText="1"/>
    </xf>
    <xf numFmtId="0" fontId="50" fillId="0" borderId="31" xfId="8" applyFont="1" applyBorder="1" applyAlignment="1">
      <alignment horizontal="left" vertical="center"/>
    </xf>
    <xf numFmtId="0" fontId="50" fillId="0" borderId="32" xfId="8" applyFont="1" applyBorder="1" applyAlignment="1">
      <alignment horizontal="left" vertical="center"/>
    </xf>
    <xf numFmtId="0" fontId="50" fillId="0" borderId="33" xfId="8" applyFont="1" applyBorder="1" applyAlignment="1">
      <alignment horizontal="left" vertical="center"/>
    </xf>
    <xf numFmtId="0" fontId="50" fillId="0" borderId="27" xfId="8" applyFont="1" applyBorder="1" applyAlignment="1">
      <alignment horizontal="left" vertical="center"/>
    </xf>
    <xf numFmtId="0" fontId="50" fillId="0" borderId="28" xfId="8" applyFont="1" applyBorder="1" applyAlignment="1">
      <alignment horizontal="left" vertical="center"/>
    </xf>
    <xf numFmtId="0" fontId="50" fillId="0" borderId="29" xfId="8" applyFont="1" applyBorder="1" applyAlignment="1">
      <alignment horizontal="left" vertical="center"/>
    </xf>
    <xf numFmtId="0" fontId="50" fillId="0" borderId="16" xfId="8" applyFont="1" applyBorder="1" applyAlignment="1">
      <alignment horizontal="left" vertical="center"/>
    </xf>
    <xf numFmtId="0" fontId="50" fillId="0" borderId="0" xfId="8" applyFont="1" applyAlignment="1">
      <alignment horizontal="left" vertical="center"/>
    </xf>
    <xf numFmtId="0" fontId="50" fillId="0" borderId="30" xfId="8" applyFont="1" applyBorder="1" applyAlignment="1">
      <alignment horizontal="left" vertical="center"/>
    </xf>
    <xf numFmtId="166" fontId="16" fillId="2" borderId="34" xfId="9" applyFont="1" applyFill="1" applyBorder="1" applyAlignment="1">
      <alignment horizontal="center" vertical="center"/>
    </xf>
    <xf numFmtId="0" fontId="16" fillId="2" borderId="18" xfId="8" applyFont="1" applyFill="1" applyBorder="1" applyAlignment="1">
      <alignment horizontal="center" vertical="center"/>
    </xf>
    <xf numFmtId="0" fontId="16" fillId="2" borderId="18" xfId="8" applyFont="1" applyFill="1" applyBorder="1" applyAlignment="1">
      <alignment horizontal="left" vertical="center" wrapText="1"/>
    </xf>
    <xf numFmtId="166" fontId="16" fillId="2" borderId="18" xfId="9" applyFont="1" applyFill="1" applyBorder="1" applyAlignment="1">
      <alignment horizontal="center" vertical="center"/>
    </xf>
    <xf numFmtId="43" fontId="16" fillId="0" borderId="18" xfId="1" applyFont="1" applyFill="1" applyBorder="1" applyAlignment="1">
      <alignment horizontal="center" vertical="center" wrapText="1"/>
    </xf>
    <xf numFmtId="0" fontId="16" fillId="0" borderId="2" xfId="45" applyFont="1" applyBorder="1" applyAlignment="1">
      <alignment horizontal="center" vertical="center" wrapText="1"/>
    </xf>
    <xf numFmtId="0" fontId="16" fillId="0" borderId="6" xfId="45" applyFont="1" applyBorder="1" applyAlignment="1">
      <alignment horizontal="center" vertical="center" wrapText="1"/>
    </xf>
    <xf numFmtId="0" fontId="16" fillId="0" borderId="18" xfId="45" applyFont="1" applyBorder="1" applyAlignment="1">
      <alignment horizontal="center" vertical="center" wrapText="1"/>
    </xf>
    <xf numFmtId="0" fontId="16" fillId="0" borderId="24" xfId="45" applyFont="1" applyBorder="1" applyAlignment="1">
      <alignment horizontal="center" vertical="center" wrapText="1"/>
    </xf>
    <xf numFmtId="0" fontId="16" fillId="0" borderId="18" xfId="45" applyFont="1" applyBorder="1" applyAlignment="1">
      <alignment horizontal="center" vertical="center"/>
    </xf>
    <xf numFmtId="0" fontId="16" fillId="0" borderId="24" xfId="45" applyFont="1" applyBorder="1" applyAlignment="1">
      <alignment horizontal="center" vertical="center"/>
    </xf>
  </cellXfs>
  <cellStyles count="46">
    <cellStyle name="0,0_x000d__x000a_NA_x000d__x000a_" xfId="6"/>
    <cellStyle name="Comma" xfId="1" builtinId="3"/>
    <cellStyle name="Comma 10" xfId="9"/>
    <cellStyle name="Comma 2" xfId="2"/>
    <cellStyle name="Comma 2 19" xfId="24"/>
    <cellStyle name="Comma 2 2" xfId="31"/>
    <cellStyle name="Comma 2 2 2" xfId="40"/>
    <cellStyle name="Comma 2 3" xfId="5"/>
    <cellStyle name="Comma 2 4 5" xfId="26"/>
    <cellStyle name="Comma 2 5" xfId="32"/>
    <cellStyle name="Comma 3" xfId="7"/>
    <cellStyle name="Comma 46" xfId="28"/>
    <cellStyle name="Currency 2" xfId="33"/>
    <cellStyle name="Excel Built-in Normal" xfId="11"/>
    <cellStyle name="Excel Built-in Normal 1" xfId="16"/>
    <cellStyle name="Excel Built-in Normal 2" xfId="15"/>
    <cellStyle name="Normal" xfId="0" builtinId="0"/>
    <cellStyle name="Normal 10" xfId="8"/>
    <cellStyle name="Normal 10 2 4" xfId="25"/>
    <cellStyle name="Normal 123" xfId="18"/>
    <cellStyle name="Normal 123 2" xfId="20"/>
    <cellStyle name="Normal 123 3" xfId="42"/>
    <cellStyle name="Normal 124" xfId="22"/>
    <cellStyle name="Normal 2" xfId="3"/>
    <cellStyle name="Normal 2 11" xfId="29"/>
    <cellStyle name="Normal 2 2" xfId="39"/>
    <cellStyle name="Normal 2 5" xfId="30"/>
    <cellStyle name="Normal 3" xfId="13"/>
    <cellStyle name="Normal 3 2" xfId="10"/>
    <cellStyle name="Normal 3 3" xfId="37"/>
    <cellStyle name="Normal 3 5 2" xfId="19"/>
    <cellStyle name="Normal 3 5 2 2" xfId="21"/>
    <cellStyle name="Normal 4" xfId="14"/>
    <cellStyle name="Normal 5" xfId="12"/>
    <cellStyle name="Normal 5 2" xfId="36"/>
    <cellStyle name="Normal 6" xfId="27"/>
    <cellStyle name="Normal 6 18" xfId="23"/>
    <cellStyle name="Normal 6 2" xfId="43"/>
    <cellStyle name="Normal 8" xfId="35"/>
    <cellStyle name="Normal 8 2" xfId="41"/>
    <cellStyle name="Normal 8 3" xfId="45"/>
    <cellStyle name="Normal 9" xfId="38"/>
    <cellStyle name="Percent" xfId="34" builtinId="5"/>
    <cellStyle name="Percent 2" xfId="44"/>
    <cellStyle name="Style 1" xfId="4"/>
    <cellStyle name="Style 1 2" xfId="17"/>
  </cellStyles>
  <dxfs count="0"/>
  <tableStyles count="0" defaultTableStyle="TableStyleMedium9" defaultPivotStyle="PivotStyleMedium4"/>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5.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1" Type="http://schemas.openxmlformats.org/officeDocument/2006/relationships/image" Target="../media/image1.emf"/></Relationships>
</file>

<file path=xl/drawings/_rels/drawing7.x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6</xdr:col>
      <xdr:colOff>488156</xdr:colOff>
      <xdr:row>119</xdr:row>
      <xdr:rowOff>0</xdr:rowOff>
    </xdr:from>
    <xdr:to>
      <xdr:col>8</xdr:col>
      <xdr:colOff>289692</xdr:colOff>
      <xdr:row>119</xdr:row>
      <xdr:rowOff>2652</xdr:rowOff>
    </xdr:to>
    <xdr:pic>
      <xdr:nvPicPr>
        <xdr:cNvPr id="2" name="Picture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374981" y="489585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488156</xdr:colOff>
      <xdr:row>119</xdr:row>
      <xdr:rowOff>0</xdr:rowOff>
    </xdr:from>
    <xdr:ext cx="1068361" cy="2652"/>
    <xdr:pic>
      <xdr:nvPicPr>
        <xdr:cNvPr id="3" name="Picture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974806" y="428244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119</xdr:row>
      <xdr:rowOff>0</xdr:rowOff>
    </xdr:from>
    <xdr:ext cx="1068361" cy="2652"/>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1631" y="428244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119</xdr:row>
      <xdr:rowOff>0</xdr:rowOff>
    </xdr:from>
    <xdr:ext cx="1068361" cy="2652"/>
    <xdr:pic>
      <xdr:nvPicPr>
        <xdr:cNvPr id="5" name="Picture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41631" y="428244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119</xdr:row>
      <xdr:rowOff>0</xdr:rowOff>
    </xdr:from>
    <xdr:ext cx="1068361" cy="2652"/>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41831" y="428244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17</xdr:col>
      <xdr:colOff>0</xdr:colOff>
      <xdr:row>119</xdr:row>
      <xdr:rowOff>0</xdr:rowOff>
    </xdr:from>
    <xdr:ext cx="1068361" cy="2652"/>
    <xdr:pic>
      <xdr:nvPicPr>
        <xdr:cNvPr id="7" name="Picture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442031" y="42824400"/>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2.xml><?xml version="1.0" encoding="utf-8"?>
<xdr:wsDr xmlns:xdr="http://schemas.openxmlformats.org/drawingml/2006/spreadsheetDrawing" xmlns:a="http://schemas.openxmlformats.org/drawingml/2006/main">
  <xdr:twoCellAnchor>
    <xdr:from>
      <xdr:col>1</xdr:col>
      <xdr:colOff>2000250</xdr:colOff>
      <xdr:row>60</xdr:row>
      <xdr:rowOff>0</xdr:rowOff>
    </xdr:from>
    <xdr:to>
      <xdr:col>1</xdr:col>
      <xdr:colOff>2200275</xdr:colOff>
      <xdr:row>61</xdr:row>
      <xdr:rowOff>0</xdr:rowOff>
    </xdr:to>
    <xdr:sp macro="" textlink="">
      <xdr:nvSpPr>
        <xdr:cNvPr id="14" name="TextBox 605">
          <a:extLst>
            <a:ext uri="{FF2B5EF4-FFF2-40B4-BE49-F238E27FC236}">
              <a16:creationId xmlns:a16="http://schemas.microsoft.com/office/drawing/2014/main" id="{00000000-0008-0000-0900-00000E000000}"/>
            </a:ext>
          </a:extLst>
        </xdr:cNvPr>
        <xdr:cNvSpPr txBox="1">
          <a:spLocks noChangeArrowheads="1"/>
        </xdr:cNvSpPr>
      </xdr:nvSpPr>
      <xdr:spPr bwMode="auto">
        <a:xfrm>
          <a:off x="2619375"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60</xdr:row>
      <xdr:rowOff>0</xdr:rowOff>
    </xdr:from>
    <xdr:to>
      <xdr:col>1</xdr:col>
      <xdr:colOff>2200275</xdr:colOff>
      <xdr:row>61</xdr:row>
      <xdr:rowOff>0</xdr:rowOff>
    </xdr:to>
    <xdr:sp macro="" textlink="">
      <xdr:nvSpPr>
        <xdr:cNvPr id="15" name="TextBox 606">
          <a:extLst>
            <a:ext uri="{FF2B5EF4-FFF2-40B4-BE49-F238E27FC236}">
              <a16:creationId xmlns:a16="http://schemas.microsoft.com/office/drawing/2014/main" id="{00000000-0008-0000-0900-00000F000000}"/>
            </a:ext>
          </a:extLst>
        </xdr:cNvPr>
        <xdr:cNvSpPr txBox="1">
          <a:spLocks noChangeArrowheads="1"/>
        </xdr:cNvSpPr>
      </xdr:nvSpPr>
      <xdr:spPr bwMode="auto">
        <a:xfrm>
          <a:off x="2619375"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60</xdr:row>
      <xdr:rowOff>0</xdr:rowOff>
    </xdr:from>
    <xdr:to>
      <xdr:col>1</xdr:col>
      <xdr:colOff>2200275</xdr:colOff>
      <xdr:row>61</xdr:row>
      <xdr:rowOff>0</xdr:rowOff>
    </xdr:to>
    <xdr:sp macro="" textlink="">
      <xdr:nvSpPr>
        <xdr:cNvPr id="16" name="TextBox 607">
          <a:extLst>
            <a:ext uri="{FF2B5EF4-FFF2-40B4-BE49-F238E27FC236}">
              <a16:creationId xmlns:a16="http://schemas.microsoft.com/office/drawing/2014/main" id="{00000000-0008-0000-0900-000010000000}"/>
            </a:ext>
          </a:extLst>
        </xdr:cNvPr>
        <xdr:cNvSpPr txBox="1">
          <a:spLocks noChangeArrowheads="1"/>
        </xdr:cNvSpPr>
      </xdr:nvSpPr>
      <xdr:spPr bwMode="auto">
        <a:xfrm>
          <a:off x="2619375"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60</xdr:row>
      <xdr:rowOff>0</xdr:rowOff>
    </xdr:from>
    <xdr:to>
      <xdr:col>1</xdr:col>
      <xdr:colOff>2200275</xdr:colOff>
      <xdr:row>61</xdr:row>
      <xdr:rowOff>0</xdr:rowOff>
    </xdr:to>
    <xdr:sp macro="" textlink="">
      <xdr:nvSpPr>
        <xdr:cNvPr id="17" name="TextBox 608">
          <a:extLst>
            <a:ext uri="{FF2B5EF4-FFF2-40B4-BE49-F238E27FC236}">
              <a16:creationId xmlns:a16="http://schemas.microsoft.com/office/drawing/2014/main" id="{00000000-0008-0000-0900-000011000000}"/>
            </a:ext>
          </a:extLst>
        </xdr:cNvPr>
        <xdr:cNvSpPr txBox="1">
          <a:spLocks noChangeArrowheads="1"/>
        </xdr:cNvSpPr>
      </xdr:nvSpPr>
      <xdr:spPr bwMode="auto">
        <a:xfrm>
          <a:off x="2619375"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60</xdr:row>
      <xdr:rowOff>0</xdr:rowOff>
    </xdr:from>
    <xdr:to>
      <xdr:col>1</xdr:col>
      <xdr:colOff>2200275</xdr:colOff>
      <xdr:row>61</xdr:row>
      <xdr:rowOff>0</xdr:rowOff>
    </xdr:to>
    <xdr:sp macro="" textlink="">
      <xdr:nvSpPr>
        <xdr:cNvPr id="18" name="TextBox 611">
          <a:extLst>
            <a:ext uri="{FF2B5EF4-FFF2-40B4-BE49-F238E27FC236}">
              <a16:creationId xmlns:a16="http://schemas.microsoft.com/office/drawing/2014/main" id="{00000000-0008-0000-0900-000012000000}"/>
            </a:ext>
          </a:extLst>
        </xdr:cNvPr>
        <xdr:cNvSpPr txBox="1">
          <a:spLocks noChangeArrowheads="1"/>
        </xdr:cNvSpPr>
      </xdr:nvSpPr>
      <xdr:spPr bwMode="auto">
        <a:xfrm>
          <a:off x="2619375"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60</xdr:row>
      <xdr:rowOff>0</xdr:rowOff>
    </xdr:from>
    <xdr:to>
      <xdr:col>1</xdr:col>
      <xdr:colOff>2200275</xdr:colOff>
      <xdr:row>61</xdr:row>
      <xdr:rowOff>0</xdr:rowOff>
    </xdr:to>
    <xdr:sp macro="" textlink="">
      <xdr:nvSpPr>
        <xdr:cNvPr id="19" name="TextBox 612">
          <a:extLst>
            <a:ext uri="{FF2B5EF4-FFF2-40B4-BE49-F238E27FC236}">
              <a16:creationId xmlns:a16="http://schemas.microsoft.com/office/drawing/2014/main" id="{00000000-0008-0000-0900-000013000000}"/>
            </a:ext>
          </a:extLst>
        </xdr:cNvPr>
        <xdr:cNvSpPr txBox="1">
          <a:spLocks noChangeArrowheads="1"/>
        </xdr:cNvSpPr>
      </xdr:nvSpPr>
      <xdr:spPr bwMode="auto">
        <a:xfrm>
          <a:off x="2619375"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60</xdr:row>
      <xdr:rowOff>0</xdr:rowOff>
    </xdr:from>
    <xdr:to>
      <xdr:col>1</xdr:col>
      <xdr:colOff>2200275</xdr:colOff>
      <xdr:row>61</xdr:row>
      <xdr:rowOff>0</xdr:rowOff>
    </xdr:to>
    <xdr:sp macro="" textlink="">
      <xdr:nvSpPr>
        <xdr:cNvPr id="20" name="TextBox 613">
          <a:extLst>
            <a:ext uri="{FF2B5EF4-FFF2-40B4-BE49-F238E27FC236}">
              <a16:creationId xmlns:a16="http://schemas.microsoft.com/office/drawing/2014/main" id="{00000000-0008-0000-0900-000014000000}"/>
            </a:ext>
          </a:extLst>
        </xdr:cNvPr>
        <xdr:cNvSpPr txBox="1">
          <a:spLocks noChangeArrowheads="1"/>
        </xdr:cNvSpPr>
      </xdr:nvSpPr>
      <xdr:spPr bwMode="auto">
        <a:xfrm>
          <a:off x="2619375"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60</xdr:row>
      <xdr:rowOff>0</xdr:rowOff>
    </xdr:from>
    <xdr:to>
      <xdr:col>1</xdr:col>
      <xdr:colOff>2200275</xdr:colOff>
      <xdr:row>61</xdr:row>
      <xdr:rowOff>0</xdr:rowOff>
    </xdr:to>
    <xdr:sp macro="" textlink="">
      <xdr:nvSpPr>
        <xdr:cNvPr id="21" name="TextBox 614">
          <a:extLst>
            <a:ext uri="{FF2B5EF4-FFF2-40B4-BE49-F238E27FC236}">
              <a16:creationId xmlns:a16="http://schemas.microsoft.com/office/drawing/2014/main" id="{00000000-0008-0000-0900-000015000000}"/>
            </a:ext>
          </a:extLst>
        </xdr:cNvPr>
        <xdr:cNvSpPr txBox="1">
          <a:spLocks noChangeArrowheads="1"/>
        </xdr:cNvSpPr>
      </xdr:nvSpPr>
      <xdr:spPr bwMode="auto">
        <a:xfrm>
          <a:off x="2619375"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1733550</xdr:colOff>
      <xdr:row>60</xdr:row>
      <xdr:rowOff>9525</xdr:rowOff>
    </xdr:from>
    <xdr:to>
      <xdr:col>1</xdr:col>
      <xdr:colOff>1933575</xdr:colOff>
      <xdr:row>61</xdr:row>
      <xdr:rowOff>9525</xdr:rowOff>
    </xdr:to>
    <xdr:sp macro="" textlink="">
      <xdr:nvSpPr>
        <xdr:cNvPr id="22" name="TextBox 615">
          <a:extLst>
            <a:ext uri="{FF2B5EF4-FFF2-40B4-BE49-F238E27FC236}">
              <a16:creationId xmlns:a16="http://schemas.microsoft.com/office/drawing/2014/main" id="{00000000-0008-0000-0900-000016000000}"/>
            </a:ext>
          </a:extLst>
        </xdr:cNvPr>
        <xdr:cNvSpPr txBox="1">
          <a:spLocks noChangeArrowheads="1"/>
        </xdr:cNvSpPr>
      </xdr:nvSpPr>
      <xdr:spPr bwMode="auto">
        <a:xfrm>
          <a:off x="2352675" y="25088850"/>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1933575</xdr:colOff>
      <xdr:row>60</xdr:row>
      <xdr:rowOff>0</xdr:rowOff>
    </xdr:from>
    <xdr:to>
      <xdr:col>1</xdr:col>
      <xdr:colOff>2133600</xdr:colOff>
      <xdr:row>61</xdr:row>
      <xdr:rowOff>0</xdr:rowOff>
    </xdr:to>
    <xdr:sp macro="" textlink="">
      <xdr:nvSpPr>
        <xdr:cNvPr id="23" name="TextBox 616">
          <a:extLst>
            <a:ext uri="{FF2B5EF4-FFF2-40B4-BE49-F238E27FC236}">
              <a16:creationId xmlns:a16="http://schemas.microsoft.com/office/drawing/2014/main" id="{00000000-0008-0000-0900-000017000000}"/>
            </a:ext>
          </a:extLst>
        </xdr:cNvPr>
        <xdr:cNvSpPr txBox="1">
          <a:spLocks noChangeArrowheads="1"/>
        </xdr:cNvSpPr>
      </xdr:nvSpPr>
      <xdr:spPr bwMode="auto">
        <a:xfrm>
          <a:off x="2552700"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60</xdr:row>
      <xdr:rowOff>0</xdr:rowOff>
    </xdr:from>
    <xdr:to>
      <xdr:col>1</xdr:col>
      <xdr:colOff>2200275</xdr:colOff>
      <xdr:row>61</xdr:row>
      <xdr:rowOff>0</xdr:rowOff>
    </xdr:to>
    <xdr:sp macro="" textlink="">
      <xdr:nvSpPr>
        <xdr:cNvPr id="24" name="TextBox 618">
          <a:extLst>
            <a:ext uri="{FF2B5EF4-FFF2-40B4-BE49-F238E27FC236}">
              <a16:creationId xmlns:a16="http://schemas.microsoft.com/office/drawing/2014/main" id="{00000000-0008-0000-0900-000018000000}"/>
            </a:ext>
          </a:extLst>
        </xdr:cNvPr>
        <xdr:cNvSpPr txBox="1">
          <a:spLocks noChangeArrowheads="1"/>
        </xdr:cNvSpPr>
      </xdr:nvSpPr>
      <xdr:spPr bwMode="auto">
        <a:xfrm>
          <a:off x="2619375" y="25079325"/>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123825</xdr:colOff>
      <xdr:row>60</xdr:row>
      <xdr:rowOff>180975</xdr:rowOff>
    </xdr:from>
    <xdr:to>
      <xdr:col>4</xdr:col>
      <xdr:colOff>323850</xdr:colOff>
      <xdr:row>61</xdr:row>
      <xdr:rowOff>180975</xdr:rowOff>
    </xdr:to>
    <xdr:sp macro="" textlink="">
      <xdr:nvSpPr>
        <xdr:cNvPr id="25" name="TextBox 619">
          <a:extLst>
            <a:ext uri="{FF2B5EF4-FFF2-40B4-BE49-F238E27FC236}">
              <a16:creationId xmlns:a16="http://schemas.microsoft.com/office/drawing/2014/main" id="{00000000-0008-0000-0900-000019000000}"/>
            </a:ext>
          </a:extLst>
        </xdr:cNvPr>
        <xdr:cNvSpPr txBox="1">
          <a:spLocks noChangeArrowheads="1"/>
        </xdr:cNvSpPr>
      </xdr:nvSpPr>
      <xdr:spPr bwMode="auto">
        <a:xfrm>
          <a:off x="6753225" y="25260300"/>
          <a:ext cx="200025" cy="9715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2200275</xdr:colOff>
      <xdr:row>60</xdr:row>
      <xdr:rowOff>0</xdr:rowOff>
    </xdr:from>
    <xdr:to>
      <xdr:col>1</xdr:col>
      <xdr:colOff>2409825</xdr:colOff>
      <xdr:row>60</xdr:row>
      <xdr:rowOff>219075</xdr:rowOff>
    </xdr:to>
    <xdr:sp macro="" textlink="">
      <xdr:nvSpPr>
        <xdr:cNvPr id="28" name="TextBox 643">
          <a:extLst>
            <a:ext uri="{FF2B5EF4-FFF2-40B4-BE49-F238E27FC236}">
              <a16:creationId xmlns:a16="http://schemas.microsoft.com/office/drawing/2014/main" id="{00000000-0008-0000-0900-00001C000000}"/>
            </a:ext>
          </a:extLst>
        </xdr:cNvPr>
        <xdr:cNvSpPr txBox="1">
          <a:spLocks noChangeArrowheads="1"/>
        </xdr:cNvSpPr>
      </xdr:nvSpPr>
      <xdr:spPr bwMode="auto">
        <a:xfrm>
          <a:off x="2819400" y="25079325"/>
          <a:ext cx="209550"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123825</xdr:colOff>
      <xdr:row>60</xdr:row>
      <xdr:rowOff>180975</xdr:rowOff>
    </xdr:from>
    <xdr:to>
      <xdr:col>6</xdr:col>
      <xdr:colOff>323850</xdr:colOff>
      <xdr:row>61</xdr:row>
      <xdr:rowOff>180975</xdr:rowOff>
    </xdr:to>
    <xdr:sp macro="" textlink="">
      <xdr:nvSpPr>
        <xdr:cNvPr id="35" name="TextBox 619">
          <a:extLst>
            <a:ext uri="{FF2B5EF4-FFF2-40B4-BE49-F238E27FC236}">
              <a16:creationId xmlns:a16="http://schemas.microsoft.com/office/drawing/2014/main" id="{00000000-0008-0000-0900-000023000000}"/>
            </a:ext>
          </a:extLst>
        </xdr:cNvPr>
        <xdr:cNvSpPr txBox="1">
          <a:spLocks noChangeArrowheads="1"/>
        </xdr:cNvSpPr>
      </xdr:nvSpPr>
      <xdr:spPr bwMode="auto">
        <a:xfrm>
          <a:off x="10353675" y="19431000"/>
          <a:ext cx="200025" cy="9429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123825</xdr:colOff>
      <xdr:row>60</xdr:row>
      <xdr:rowOff>180975</xdr:rowOff>
    </xdr:from>
    <xdr:to>
      <xdr:col>9</xdr:col>
      <xdr:colOff>323850</xdr:colOff>
      <xdr:row>61</xdr:row>
      <xdr:rowOff>180975</xdr:rowOff>
    </xdr:to>
    <xdr:sp macro="" textlink="">
      <xdr:nvSpPr>
        <xdr:cNvPr id="26" name="TextBox 619">
          <a:extLst>
            <a:ext uri="{FF2B5EF4-FFF2-40B4-BE49-F238E27FC236}">
              <a16:creationId xmlns:a16="http://schemas.microsoft.com/office/drawing/2014/main" id="{00000000-0008-0000-0900-00001A000000}"/>
            </a:ext>
          </a:extLst>
        </xdr:cNvPr>
        <xdr:cNvSpPr txBox="1">
          <a:spLocks noChangeArrowheads="1"/>
        </xdr:cNvSpPr>
      </xdr:nvSpPr>
      <xdr:spPr bwMode="auto">
        <a:xfrm>
          <a:off x="8416178" y="18217963"/>
          <a:ext cx="200025" cy="93770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6</xdr:col>
      <xdr:colOff>123825</xdr:colOff>
      <xdr:row>60</xdr:row>
      <xdr:rowOff>180975</xdr:rowOff>
    </xdr:from>
    <xdr:to>
      <xdr:col>6</xdr:col>
      <xdr:colOff>323850</xdr:colOff>
      <xdr:row>61</xdr:row>
      <xdr:rowOff>180975</xdr:rowOff>
    </xdr:to>
    <xdr:sp macro="" textlink="">
      <xdr:nvSpPr>
        <xdr:cNvPr id="27" name="TextBox 619">
          <a:extLst>
            <a:ext uri="{FF2B5EF4-FFF2-40B4-BE49-F238E27FC236}">
              <a16:creationId xmlns:a16="http://schemas.microsoft.com/office/drawing/2014/main" id="{00000000-0008-0000-0900-00001B000000}"/>
            </a:ext>
          </a:extLst>
        </xdr:cNvPr>
        <xdr:cNvSpPr txBox="1">
          <a:spLocks noChangeArrowheads="1"/>
        </xdr:cNvSpPr>
      </xdr:nvSpPr>
      <xdr:spPr bwMode="auto">
        <a:xfrm>
          <a:off x="10809754" y="18217963"/>
          <a:ext cx="200025" cy="937708"/>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4</xdr:col>
      <xdr:colOff>123825</xdr:colOff>
      <xdr:row>60</xdr:row>
      <xdr:rowOff>180975</xdr:rowOff>
    </xdr:from>
    <xdr:to>
      <xdr:col>4</xdr:col>
      <xdr:colOff>323850</xdr:colOff>
      <xdr:row>61</xdr:row>
      <xdr:rowOff>180975</xdr:rowOff>
    </xdr:to>
    <xdr:sp macro="" textlink="">
      <xdr:nvSpPr>
        <xdr:cNvPr id="29" name="TextBox 619">
          <a:extLst>
            <a:ext uri="{FF2B5EF4-FFF2-40B4-BE49-F238E27FC236}">
              <a16:creationId xmlns:a16="http://schemas.microsoft.com/office/drawing/2014/main" id="{00000000-0008-0000-0900-00001D000000}"/>
            </a:ext>
          </a:extLst>
        </xdr:cNvPr>
        <xdr:cNvSpPr txBox="1">
          <a:spLocks noChangeArrowheads="1"/>
        </xdr:cNvSpPr>
      </xdr:nvSpPr>
      <xdr:spPr bwMode="auto">
        <a:xfrm>
          <a:off x="6943725" y="18819495"/>
          <a:ext cx="200025" cy="93726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2000250</xdr:colOff>
      <xdr:row>111</xdr:row>
      <xdr:rowOff>0</xdr:rowOff>
    </xdr:from>
    <xdr:to>
      <xdr:col>1</xdr:col>
      <xdr:colOff>2200275</xdr:colOff>
      <xdr:row>112</xdr:row>
      <xdr:rowOff>0</xdr:rowOff>
    </xdr:to>
    <xdr:sp macro="" textlink="">
      <xdr:nvSpPr>
        <xdr:cNvPr id="2" name="TextBox 605">
          <a:extLst>
            <a:ext uri="{FF2B5EF4-FFF2-40B4-BE49-F238E27FC236}">
              <a16:creationId xmlns:a16="http://schemas.microsoft.com/office/drawing/2014/main" id="{00000000-0008-0000-0A00-000002000000}"/>
            </a:ext>
          </a:extLst>
        </xdr:cNvPr>
        <xdr:cNvSpPr txBox="1">
          <a:spLocks noChangeArrowheads="1"/>
        </xdr:cNvSpPr>
      </xdr:nvSpPr>
      <xdr:spPr bwMode="auto">
        <a:xfrm>
          <a:off x="2609850" y="1111758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111</xdr:row>
      <xdr:rowOff>0</xdr:rowOff>
    </xdr:from>
    <xdr:to>
      <xdr:col>1</xdr:col>
      <xdr:colOff>2200275</xdr:colOff>
      <xdr:row>112</xdr:row>
      <xdr:rowOff>0</xdr:rowOff>
    </xdr:to>
    <xdr:sp macro="" textlink="">
      <xdr:nvSpPr>
        <xdr:cNvPr id="3" name="TextBox 606">
          <a:extLst>
            <a:ext uri="{FF2B5EF4-FFF2-40B4-BE49-F238E27FC236}">
              <a16:creationId xmlns:a16="http://schemas.microsoft.com/office/drawing/2014/main" id="{00000000-0008-0000-0A00-000003000000}"/>
            </a:ext>
          </a:extLst>
        </xdr:cNvPr>
        <xdr:cNvSpPr txBox="1">
          <a:spLocks noChangeArrowheads="1"/>
        </xdr:cNvSpPr>
      </xdr:nvSpPr>
      <xdr:spPr bwMode="auto">
        <a:xfrm>
          <a:off x="2609850" y="1111758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111</xdr:row>
      <xdr:rowOff>0</xdr:rowOff>
    </xdr:from>
    <xdr:to>
      <xdr:col>1</xdr:col>
      <xdr:colOff>2200275</xdr:colOff>
      <xdr:row>112</xdr:row>
      <xdr:rowOff>0</xdr:rowOff>
    </xdr:to>
    <xdr:sp macro="" textlink="">
      <xdr:nvSpPr>
        <xdr:cNvPr id="4" name="TextBox 607">
          <a:extLst>
            <a:ext uri="{FF2B5EF4-FFF2-40B4-BE49-F238E27FC236}">
              <a16:creationId xmlns:a16="http://schemas.microsoft.com/office/drawing/2014/main" id="{00000000-0008-0000-0A00-000004000000}"/>
            </a:ext>
          </a:extLst>
        </xdr:cNvPr>
        <xdr:cNvSpPr txBox="1">
          <a:spLocks noChangeArrowheads="1"/>
        </xdr:cNvSpPr>
      </xdr:nvSpPr>
      <xdr:spPr bwMode="auto">
        <a:xfrm>
          <a:off x="2609850" y="1111758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111</xdr:row>
      <xdr:rowOff>0</xdr:rowOff>
    </xdr:from>
    <xdr:to>
      <xdr:col>1</xdr:col>
      <xdr:colOff>2200275</xdr:colOff>
      <xdr:row>112</xdr:row>
      <xdr:rowOff>0</xdr:rowOff>
    </xdr:to>
    <xdr:sp macro="" textlink="">
      <xdr:nvSpPr>
        <xdr:cNvPr id="5" name="TextBox 608">
          <a:extLst>
            <a:ext uri="{FF2B5EF4-FFF2-40B4-BE49-F238E27FC236}">
              <a16:creationId xmlns:a16="http://schemas.microsoft.com/office/drawing/2014/main" id="{00000000-0008-0000-0A00-000005000000}"/>
            </a:ext>
          </a:extLst>
        </xdr:cNvPr>
        <xdr:cNvSpPr txBox="1">
          <a:spLocks noChangeArrowheads="1"/>
        </xdr:cNvSpPr>
      </xdr:nvSpPr>
      <xdr:spPr bwMode="auto">
        <a:xfrm>
          <a:off x="2609850" y="1111758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111</xdr:row>
      <xdr:rowOff>0</xdr:rowOff>
    </xdr:from>
    <xdr:to>
      <xdr:col>1</xdr:col>
      <xdr:colOff>2200275</xdr:colOff>
      <xdr:row>112</xdr:row>
      <xdr:rowOff>0</xdr:rowOff>
    </xdr:to>
    <xdr:sp macro="" textlink="">
      <xdr:nvSpPr>
        <xdr:cNvPr id="6" name="TextBox 611">
          <a:extLst>
            <a:ext uri="{FF2B5EF4-FFF2-40B4-BE49-F238E27FC236}">
              <a16:creationId xmlns:a16="http://schemas.microsoft.com/office/drawing/2014/main" id="{00000000-0008-0000-0A00-000006000000}"/>
            </a:ext>
          </a:extLst>
        </xdr:cNvPr>
        <xdr:cNvSpPr txBox="1">
          <a:spLocks noChangeArrowheads="1"/>
        </xdr:cNvSpPr>
      </xdr:nvSpPr>
      <xdr:spPr bwMode="auto">
        <a:xfrm>
          <a:off x="2609850" y="1111758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111</xdr:row>
      <xdr:rowOff>0</xdr:rowOff>
    </xdr:from>
    <xdr:to>
      <xdr:col>1</xdr:col>
      <xdr:colOff>2200275</xdr:colOff>
      <xdr:row>112</xdr:row>
      <xdr:rowOff>0</xdr:rowOff>
    </xdr:to>
    <xdr:sp macro="" textlink="">
      <xdr:nvSpPr>
        <xdr:cNvPr id="7" name="TextBox 612">
          <a:extLst>
            <a:ext uri="{FF2B5EF4-FFF2-40B4-BE49-F238E27FC236}">
              <a16:creationId xmlns:a16="http://schemas.microsoft.com/office/drawing/2014/main" id="{00000000-0008-0000-0A00-000007000000}"/>
            </a:ext>
          </a:extLst>
        </xdr:cNvPr>
        <xdr:cNvSpPr txBox="1">
          <a:spLocks noChangeArrowheads="1"/>
        </xdr:cNvSpPr>
      </xdr:nvSpPr>
      <xdr:spPr bwMode="auto">
        <a:xfrm>
          <a:off x="2609850" y="1111758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111</xdr:row>
      <xdr:rowOff>0</xdr:rowOff>
    </xdr:from>
    <xdr:to>
      <xdr:col>1</xdr:col>
      <xdr:colOff>2200275</xdr:colOff>
      <xdr:row>112</xdr:row>
      <xdr:rowOff>0</xdr:rowOff>
    </xdr:to>
    <xdr:sp macro="" textlink="">
      <xdr:nvSpPr>
        <xdr:cNvPr id="8" name="TextBox 613">
          <a:extLst>
            <a:ext uri="{FF2B5EF4-FFF2-40B4-BE49-F238E27FC236}">
              <a16:creationId xmlns:a16="http://schemas.microsoft.com/office/drawing/2014/main" id="{00000000-0008-0000-0A00-000008000000}"/>
            </a:ext>
          </a:extLst>
        </xdr:cNvPr>
        <xdr:cNvSpPr txBox="1">
          <a:spLocks noChangeArrowheads="1"/>
        </xdr:cNvSpPr>
      </xdr:nvSpPr>
      <xdr:spPr bwMode="auto">
        <a:xfrm>
          <a:off x="2609850" y="1111758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112</xdr:row>
      <xdr:rowOff>0</xdr:rowOff>
    </xdr:from>
    <xdr:to>
      <xdr:col>1</xdr:col>
      <xdr:colOff>2200275</xdr:colOff>
      <xdr:row>113</xdr:row>
      <xdr:rowOff>0</xdr:rowOff>
    </xdr:to>
    <xdr:sp macro="" textlink="">
      <xdr:nvSpPr>
        <xdr:cNvPr id="9" name="TextBox 605">
          <a:extLst>
            <a:ext uri="{FF2B5EF4-FFF2-40B4-BE49-F238E27FC236}">
              <a16:creationId xmlns:a16="http://schemas.microsoft.com/office/drawing/2014/main" id="{00000000-0008-0000-0A00-000009000000}"/>
            </a:ext>
          </a:extLst>
        </xdr:cNvPr>
        <xdr:cNvSpPr txBox="1">
          <a:spLocks noChangeArrowheads="1"/>
        </xdr:cNvSpPr>
      </xdr:nvSpPr>
      <xdr:spPr bwMode="auto">
        <a:xfrm>
          <a:off x="2640330"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112</xdr:row>
      <xdr:rowOff>0</xdr:rowOff>
    </xdr:from>
    <xdr:to>
      <xdr:col>1</xdr:col>
      <xdr:colOff>2200275</xdr:colOff>
      <xdr:row>113</xdr:row>
      <xdr:rowOff>0</xdr:rowOff>
    </xdr:to>
    <xdr:sp macro="" textlink="">
      <xdr:nvSpPr>
        <xdr:cNvPr id="10" name="TextBox 606">
          <a:extLst>
            <a:ext uri="{FF2B5EF4-FFF2-40B4-BE49-F238E27FC236}">
              <a16:creationId xmlns:a16="http://schemas.microsoft.com/office/drawing/2014/main" id="{00000000-0008-0000-0A00-00000A000000}"/>
            </a:ext>
          </a:extLst>
        </xdr:cNvPr>
        <xdr:cNvSpPr txBox="1">
          <a:spLocks noChangeArrowheads="1"/>
        </xdr:cNvSpPr>
      </xdr:nvSpPr>
      <xdr:spPr bwMode="auto">
        <a:xfrm>
          <a:off x="2640330"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112</xdr:row>
      <xdr:rowOff>0</xdr:rowOff>
    </xdr:from>
    <xdr:to>
      <xdr:col>1</xdr:col>
      <xdr:colOff>2200275</xdr:colOff>
      <xdr:row>113</xdr:row>
      <xdr:rowOff>0</xdr:rowOff>
    </xdr:to>
    <xdr:sp macro="" textlink="">
      <xdr:nvSpPr>
        <xdr:cNvPr id="11" name="TextBox 607">
          <a:extLst>
            <a:ext uri="{FF2B5EF4-FFF2-40B4-BE49-F238E27FC236}">
              <a16:creationId xmlns:a16="http://schemas.microsoft.com/office/drawing/2014/main" id="{00000000-0008-0000-0A00-00000B000000}"/>
            </a:ext>
          </a:extLst>
        </xdr:cNvPr>
        <xdr:cNvSpPr txBox="1">
          <a:spLocks noChangeArrowheads="1"/>
        </xdr:cNvSpPr>
      </xdr:nvSpPr>
      <xdr:spPr bwMode="auto">
        <a:xfrm>
          <a:off x="2640330"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112</xdr:row>
      <xdr:rowOff>0</xdr:rowOff>
    </xdr:from>
    <xdr:to>
      <xdr:col>1</xdr:col>
      <xdr:colOff>2200275</xdr:colOff>
      <xdr:row>113</xdr:row>
      <xdr:rowOff>0</xdr:rowOff>
    </xdr:to>
    <xdr:sp macro="" textlink="">
      <xdr:nvSpPr>
        <xdr:cNvPr id="12" name="TextBox 608">
          <a:extLst>
            <a:ext uri="{FF2B5EF4-FFF2-40B4-BE49-F238E27FC236}">
              <a16:creationId xmlns:a16="http://schemas.microsoft.com/office/drawing/2014/main" id="{00000000-0008-0000-0A00-00000C000000}"/>
            </a:ext>
          </a:extLst>
        </xdr:cNvPr>
        <xdr:cNvSpPr txBox="1">
          <a:spLocks noChangeArrowheads="1"/>
        </xdr:cNvSpPr>
      </xdr:nvSpPr>
      <xdr:spPr bwMode="auto">
        <a:xfrm>
          <a:off x="2640330"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112</xdr:row>
      <xdr:rowOff>0</xdr:rowOff>
    </xdr:from>
    <xdr:to>
      <xdr:col>1</xdr:col>
      <xdr:colOff>2200275</xdr:colOff>
      <xdr:row>113</xdr:row>
      <xdr:rowOff>0</xdr:rowOff>
    </xdr:to>
    <xdr:sp macro="" textlink="">
      <xdr:nvSpPr>
        <xdr:cNvPr id="13" name="TextBox 611">
          <a:extLst>
            <a:ext uri="{FF2B5EF4-FFF2-40B4-BE49-F238E27FC236}">
              <a16:creationId xmlns:a16="http://schemas.microsoft.com/office/drawing/2014/main" id="{00000000-0008-0000-0A00-00000D000000}"/>
            </a:ext>
          </a:extLst>
        </xdr:cNvPr>
        <xdr:cNvSpPr txBox="1">
          <a:spLocks noChangeArrowheads="1"/>
        </xdr:cNvSpPr>
      </xdr:nvSpPr>
      <xdr:spPr bwMode="auto">
        <a:xfrm>
          <a:off x="2640330"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112</xdr:row>
      <xdr:rowOff>0</xdr:rowOff>
    </xdr:from>
    <xdr:to>
      <xdr:col>1</xdr:col>
      <xdr:colOff>2200275</xdr:colOff>
      <xdr:row>113</xdr:row>
      <xdr:rowOff>0</xdr:rowOff>
    </xdr:to>
    <xdr:sp macro="" textlink="">
      <xdr:nvSpPr>
        <xdr:cNvPr id="14" name="TextBox 612">
          <a:extLst>
            <a:ext uri="{FF2B5EF4-FFF2-40B4-BE49-F238E27FC236}">
              <a16:creationId xmlns:a16="http://schemas.microsoft.com/office/drawing/2014/main" id="{00000000-0008-0000-0A00-00000E000000}"/>
            </a:ext>
          </a:extLst>
        </xdr:cNvPr>
        <xdr:cNvSpPr txBox="1">
          <a:spLocks noChangeArrowheads="1"/>
        </xdr:cNvSpPr>
      </xdr:nvSpPr>
      <xdr:spPr bwMode="auto">
        <a:xfrm>
          <a:off x="2640330"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112</xdr:row>
      <xdr:rowOff>0</xdr:rowOff>
    </xdr:from>
    <xdr:to>
      <xdr:col>1</xdr:col>
      <xdr:colOff>2200275</xdr:colOff>
      <xdr:row>113</xdr:row>
      <xdr:rowOff>0</xdr:rowOff>
    </xdr:to>
    <xdr:sp macro="" textlink="">
      <xdr:nvSpPr>
        <xdr:cNvPr id="15" name="TextBox 613">
          <a:extLst>
            <a:ext uri="{FF2B5EF4-FFF2-40B4-BE49-F238E27FC236}">
              <a16:creationId xmlns:a16="http://schemas.microsoft.com/office/drawing/2014/main" id="{00000000-0008-0000-0A00-00000F000000}"/>
            </a:ext>
          </a:extLst>
        </xdr:cNvPr>
        <xdr:cNvSpPr txBox="1">
          <a:spLocks noChangeArrowheads="1"/>
        </xdr:cNvSpPr>
      </xdr:nvSpPr>
      <xdr:spPr bwMode="auto">
        <a:xfrm>
          <a:off x="2640330"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112</xdr:row>
      <xdr:rowOff>0</xdr:rowOff>
    </xdr:from>
    <xdr:to>
      <xdr:col>1</xdr:col>
      <xdr:colOff>2200275</xdr:colOff>
      <xdr:row>113</xdr:row>
      <xdr:rowOff>0</xdr:rowOff>
    </xdr:to>
    <xdr:sp macro="" textlink="">
      <xdr:nvSpPr>
        <xdr:cNvPr id="16" name="TextBox 614">
          <a:extLst>
            <a:ext uri="{FF2B5EF4-FFF2-40B4-BE49-F238E27FC236}">
              <a16:creationId xmlns:a16="http://schemas.microsoft.com/office/drawing/2014/main" id="{00000000-0008-0000-0A00-000010000000}"/>
            </a:ext>
          </a:extLst>
        </xdr:cNvPr>
        <xdr:cNvSpPr txBox="1">
          <a:spLocks noChangeArrowheads="1"/>
        </xdr:cNvSpPr>
      </xdr:nvSpPr>
      <xdr:spPr bwMode="auto">
        <a:xfrm>
          <a:off x="2640330"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1733550</xdr:colOff>
      <xdr:row>112</xdr:row>
      <xdr:rowOff>9525</xdr:rowOff>
    </xdr:from>
    <xdr:to>
      <xdr:col>1</xdr:col>
      <xdr:colOff>1933575</xdr:colOff>
      <xdr:row>115</xdr:row>
      <xdr:rowOff>9525</xdr:rowOff>
    </xdr:to>
    <xdr:sp macro="" textlink="">
      <xdr:nvSpPr>
        <xdr:cNvPr id="17" name="TextBox 615">
          <a:extLst>
            <a:ext uri="{FF2B5EF4-FFF2-40B4-BE49-F238E27FC236}">
              <a16:creationId xmlns:a16="http://schemas.microsoft.com/office/drawing/2014/main" id="{00000000-0008-0000-0A00-000011000000}"/>
            </a:ext>
          </a:extLst>
        </xdr:cNvPr>
        <xdr:cNvSpPr txBox="1">
          <a:spLocks noChangeArrowheads="1"/>
        </xdr:cNvSpPr>
      </xdr:nvSpPr>
      <xdr:spPr bwMode="auto">
        <a:xfrm>
          <a:off x="2373630" y="18015585"/>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1933575</xdr:colOff>
      <xdr:row>112</xdr:row>
      <xdr:rowOff>0</xdr:rowOff>
    </xdr:from>
    <xdr:to>
      <xdr:col>1</xdr:col>
      <xdr:colOff>2133600</xdr:colOff>
      <xdr:row>113</xdr:row>
      <xdr:rowOff>0</xdr:rowOff>
    </xdr:to>
    <xdr:sp macro="" textlink="">
      <xdr:nvSpPr>
        <xdr:cNvPr id="18" name="TextBox 616">
          <a:extLst>
            <a:ext uri="{FF2B5EF4-FFF2-40B4-BE49-F238E27FC236}">
              <a16:creationId xmlns:a16="http://schemas.microsoft.com/office/drawing/2014/main" id="{00000000-0008-0000-0A00-000012000000}"/>
            </a:ext>
          </a:extLst>
        </xdr:cNvPr>
        <xdr:cNvSpPr txBox="1">
          <a:spLocks noChangeArrowheads="1"/>
        </xdr:cNvSpPr>
      </xdr:nvSpPr>
      <xdr:spPr bwMode="auto">
        <a:xfrm>
          <a:off x="2573655"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112</xdr:row>
      <xdr:rowOff>0</xdr:rowOff>
    </xdr:from>
    <xdr:to>
      <xdr:col>1</xdr:col>
      <xdr:colOff>2200275</xdr:colOff>
      <xdr:row>113</xdr:row>
      <xdr:rowOff>0</xdr:rowOff>
    </xdr:to>
    <xdr:sp macro="" textlink="">
      <xdr:nvSpPr>
        <xdr:cNvPr id="19" name="TextBox 618">
          <a:extLst>
            <a:ext uri="{FF2B5EF4-FFF2-40B4-BE49-F238E27FC236}">
              <a16:creationId xmlns:a16="http://schemas.microsoft.com/office/drawing/2014/main" id="{00000000-0008-0000-0A00-000013000000}"/>
            </a:ext>
          </a:extLst>
        </xdr:cNvPr>
        <xdr:cNvSpPr txBox="1">
          <a:spLocks noChangeArrowheads="1"/>
        </xdr:cNvSpPr>
      </xdr:nvSpPr>
      <xdr:spPr bwMode="auto">
        <a:xfrm>
          <a:off x="2640330" y="18006060"/>
          <a:ext cx="200025" cy="96774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2200275</xdr:colOff>
      <xdr:row>112</xdr:row>
      <xdr:rowOff>0</xdr:rowOff>
    </xdr:from>
    <xdr:to>
      <xdr:col>1</xdr:col>
      <xdr:colOff>2409825</xdr:colOff>
      <xdr:row>112</xdr:row>
      <xdr:rowOff>219075</xdr:rowOff>
    </xdr:to>
    <xdr:sp macro="" textlink="">
      <xdr:nvSpPr>
        <xdr:cNvPr id="20" name="TextBox 643">
          <a:extLst>
            <a:ext uri="{FF2B5EF4-FFF2-40B4-BE49-F238E27FC236}">
              <a16:creationId xmlns:a16="http://schemas.microsoft.com/office/drawing/2014/main" id="{00000000-0008-0000-0A00-000014000000}"/>
            </a:ext>
          </a:extLst>
        </xdr:cNvPr>
        <xdr:cNvSpPr txBox="1">
          <a:spLocks noChangeArrowheads="1"/>
        </xdr:cNvSpPr>
      </xdr:nvSpPr>
      <xdr:spPr bwMode="auto">
        <a:xfrm>
          <a:off x="2840355" y="18006060"/>
          <a:ext cx="209550"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2000250</xdr:colOff>
      <xdr:row>81</xdr:row>
      <xdr:rowOff>0</xdr:rowOff>
    </xdr:from>
    <xdr:to>
      <xdr:col>1</xdr:col>
      <xdr:colOff>2200275</xdr:colOff>
      <xdr:row>82</xdr:row>
      <xdr:rowOff>0</xdr:rowOff>
    </xdr:to>
    <xdr:sp macro="" textlink="">
      <xdr:nvSpPr>
        <xdr:cNvPr id="2" name="TextBox 605">
          <a:extLst>
            <a:ext uri="{FF2B5EF4-FFF2-40B4-BE49-F238E27FC236}">
              <a16:creationId xmlns:a16="http://schemas.microsoft.com/office/drawing/2014/main" id="{00000000-0008-0000-0C00-000002000000}"/>
            </a:ext>
          </a:extLst>
        </xdr:cNvPr>
        <xdr:cNvSpPr txBox="1">
          <a:spLocks noChangeArrowheads="1"/>
        </xdr:cNvSpPr>
      </xdr:nvSpPr>
      <xdr:spPr bwMode="auto">
        <a:xfrm>
          <a:off x="2609850" y="1818894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81</xdr:row>
      <xdr:rowOff>0</xdr:rowOff>
    </xdr:from>
    <xdr:to>
      <xdr:col>1</xdr:col>
      <xdr:colOff>2200275</xdr:colOff>
      <xdr:row>82</xdr:row>
      <xdr:rowOff>0</xdr:rowOff>
    </xdr:to>
    <xdr:sp macro="" textlink="">
      <xdr:nvSpPr>
        <xdr:cNvPr id="3" name="TextBox 606">
          <a:extLst>
            <a:ext uri="{FF2B5EF4-FFF2-40B4-BE49-F238E27FC236}">
              <a16:creationId xmlns:a16="http://schemas.microsoft.com/office/drawing/2014/main" id="{00000000-0008-0000-0C00-000003000000}"/>
            </a:ext>
          </a:extLst>
        </xdr:cNvPr>
        <xdr:cNvSpPr txBox="1">
          <a:spLocks noChangeArrowheads="1"/>
        </xdr:cNvSpPr>
      </xdr:nvSpPr>
      <xdr:spPr bwMode="auto">
        <a:xfrm>
          <a:off x="2609850" y="1818894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81</xdr:row>
      <xdr:rowOff>0</xdr:rowOff>
    </xdr:from>
    <xdr:to>
      <xdr:col>1</xdr:col>
      <xdr:colOff>2200275</xdr:colOff>
      <xdr:row>82</xdr:row>
      <xdr:rowOff>0</xdr:rowOff>
    </xdr:to>
    <xdr:sp macro="" textlink="">
      <xdr:nvSpPr>
        <xdr:cNvPr id="4" name="TextBox 607">
          <a:extLst>
            <a:ext uri="{FF2B5EF4-FFF2-40B4-BE49-F238E27FC236}">
              <a16:creationId xmlns:a16="http://schemas.microsoft.com/office/drawing/2014/main" id="{00000000-0008-0000-0C00-000004000000}"/>
            </a:ext>
          </a:extLst>
        </xdr:cNvPr>
        <xdr:cNvSpPr txBox="1">
          <a:spLocks noChangeArrowheads="1"/>
        </xdr:cNvSpPr>
      </xdr:nvSpPr>
      <xdr:spPr bwMode="auto">
        <a:xfrm>
          <a:off x="2609850" y="1818894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81</xdr:row>
      <xdr:rowOff>0</xdr:rowOff>
    </xdr:from>
    <xdr:to>
      <xdr:col>1</xdr:col>
      <xdr:colOff>2200275</xdr:colOff>
      <xdr:row>82</xdr:row>
      <xdr:rowOff>0</xdr:rowOff>
    </xdr:to>
    <xdr:sp macro="" textlink="">
      <xdr:nvSpPr>
        <xdr:cNvPr id="5" name="TextBox 608">
          <a:extLst>
            <a:ext uri="{FF2B5EF4-FFF2-40B4-BE49-F238E27FC236}">
              <a16:creationId xmlns:a16="http://schemas.microsoft.com/office/drawing/2014/main" id="{00000000-0008-0000-0C00-000005000000}"/>
            </a:ext>
          </a:extLst>
        </xdr:cNvPr>
        <xdr:cNvSpPr txBox="1">
          <a:spLocks noChangeArrowheads="1"/>
        </xdr:cNvSpPr>
      </xdr:nvSpPr>
      <xdr:spPr bwMode="auto">
        <a:xfrm>
          <a:off x="2609850" y="1818894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81</xdr:row>
      <xdr:rowOff>0</xdr:rowOff>
    </xdr:from>
    <xdr:to>
      <xdr:col>1</xdr:col>
      <xdr:colOff>2200275</xdr:colOff>
      <xdr:row>82</xdr:row>
      <xdr:rowOff>0</xdr:rowOff>
    </xdr:to>
    <xdr:sp macro="" textlink="">
      <xdr:nvSpPr>
        <xdr:cNvPr id="6" name="TextBox 611">
          <a:extLst>
            <a:ext uri="{FF2B5EF4-FFF2-40B4-BE49-F238E27FC236}">
              <a16:creationId xmlns:a16="http://schemas.microsoft.com/office/drawing/2014/main" id="{00000000-0008-0000-0C00-000006000000}"/>
            </a:ext>
          </a:extLst>
        </xdr:cNvPr>
        <xdr:cNvSpPr txBox="1">
          <a:spLocks noChangeArrowheads="1"/>
        </xdr:cNvSpPr>
      </xdr:nvSpPr>
      <xdr:spPr bwMode="auto">
        <a:xfrm>
          <a:off x="2609850" y="1818894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81</xdr:row>
      <xdr:rowOff>0</xdr:rowOff>
    </xdr:from>
    <xdr:to>
      <xdr:col>1</xdr:col>
      <xdr:colOff>2200275</xdr:colOff>
      <xdr:row>82</xdr:row>
      <xdr:rowOff>0</xdr:rowOff>
    </xdr:to>
    <xdr:sp macro="" textlink="">
      <xdr:nvSpPr>
        <xdr:cNvPr id="7" name="TextBox 612">
          <a:extLst>
            <a:ext uri="{FF2B5EF4-FFF2-40B4-BE49-F238E27FC236}">
              <a16:creationId xmlns:a16="http://schemas.microsoft.com/office/drawing/2014/main" id="{00000000-0008-0000-0C00-000007000000}"/>
            </a:ext>
          </a:extLst>
        </xdr:cNvPr>
        <xdr:cNvSpPr txBox="1">
          <a:spLocks noChangeArrowheads="1"/>
        </xdr:cNvSpPr>
      </xdr:nvSpPr>
      <xdr:spPr bwMode="auto">
        <a:xfrm>
          <a:off x="2609850" y="1818894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81</xdr:row>
      <xdr:rowOff>0</xdr:rowOff>
    </xdr:from>
    <xdr:to>
      <xdr:col>1</xdr:col>
      <xdr:colOff>2200275</xdr:colOff>
      <xdr:row>82</xdr:row>
      <xdr:rowOff>0</xdr:rowOff>
    </xdr:to>
    <xdr:sp macro="" textlink="">
      <xdr:nvSpPr>
        <xdr:cNvPr id="8" name="TextBox 613">
          <a:extLst>
            <a:ext uri="{FF2B5EF4-FFF2-40B4-BE49-F238E27FC236}">
              <a16:creationId xmlns:a16="http://schemas.microsoft.com/office/drawing/2014/main" id="{00000000-0008-0000-0C00-000008000000}"/>
            </a:ext>
          </a:extLst>
        </xdr:cNvPr>
        <xdr:cNvSpPr txBox="1">
          <a:spLocks noChangeArrowheads="1"/>
        </xdr:cNvSpPr>
      </xdr:nvSpPr>
      <xdr:spPr bwMode="auto">
        <a:xfrm>
          <a:off x="2609850" y="18188940"/>
          <a:ext cx="200025" cy="54102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488156</xdr:colOff>
      <xdr:row>7</xdr:row>
      <xdr:rowOff>0</xdr:rowOff>
    </xdr:from>
    <xdr:to>
      <xdr:col>8</xdr:col>
      <xdr:colOff>232542</xdr:colOff>
      <xdr:row>7</xdr:row>
      <xdr:rowOff>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384631" y="590550"/>
          <a:ext cx="10302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476250</xdr:colOff>
      <xdr:row>10</xdr:row>
      <xdr:rowOff>28575</xdr:rowOff>
    </xdr:from>
    <xdr:to>
      <xdr:col>3</xdr:col>
      <xdr:colOff>1415862</xdr:colOff>
      <xdr:row>11</xdr:row>
      <xdr:rowOff>1057</xdr:rowOff>
    </xdr:to>
    <xdr:pic>
      <xdr:nvPicPr>
        <xdr:cNvPr id="11" name="Picture 10">
          <a:extLst>
            <a:ext uri="{FF2B5EF4-FFF2-40B4-BE49-F238E27FC236}">
              <a16:creationId xmlns:a16="http://schemas.microsoft.com/office/drawing/2014/main" id="{00000000-0008-0000-0F00-00000B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7048500" y="2238375"/>
          <a:ext cx="939612" cy="819149"/>
        </a:xfrm>
        <a:prstGeom prst="rect">
          <a:avLst/>
        </a:prstGeom>
      </xdr:spPr>
    </xdr:pic>
    <xdr:clientData/>
  </xdr:twoCellAnchor>
  <xdr:twoCellAnchor editAs="oneCell">
    <xdr:from>
      <xdr:col>3</xdr:col>
      <xdr:colOff>438150</xdr:colOff>
      <xdr:row>11</xdr:row>
      <xdr:rowOff>19050</xdr:rowOff>
    </xdr:from>
    <xdr:to>
      <xdr:col>3</xdr:col>
      <xdr:colOff>1377762</xdr:colOff>
      <xdr:row>11</xdr:row>
      <xdr:rowOff>838199</xdr:rowOff>
    </xdr:to>
    <xdr:pic>
      <xdr:nvPicPr>
        <xdr:cNvPr id="12" name="Picture 11">
          <a:extLst>
            <a:ext uri="{FF2B5EF4-FFF2-40B4-BE49-F238E27FC236}">
              <a16:creationId xmlns:a16="http://schemas.microsoft.com/office/drawing/2014/main" id="{00000000-0008-0000-0F00-00000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5659" t="45447" r="59675" b="49115"/>
        <a:stretch/>
      </xdr:blipFill>
      <xdr:spPr>
        <a:xfrm>
          <a:off x="7010400" y="3400425"/>
          <a:ext cx="939612" cy="819149"/>
        </a:xfrm>
        <a:prstGeom prst="rect">
          <a:avLst/>
        </a:prstGeom>
      </xdr:spPr>
    </xdr:pic>
    <xdr:clientData/>
  </xdr:twoCellAnchor>
  <xdr:twoCellAnchor editAs="oneCell">
    <xdr:from>
      <xdr:col>3</xdr:col>
      <xdr:colOff>76200</xdr:colOff>
      <xdr:row>12</xdr:row>
      <xdr:rowOff>57150</xdr:rowOff>
    </xdr:from>
    <xdr:to>
      <xdr:col>3</xdr:col>
      <xdr:colOff>1830160</xdr:colOff>
      <xdr:row>12</xdr:row>
      <xdr:rowOff>675187</xdr:rowOff>
    </xdr:to>
    <xdr:pic>
      <xdr:nvPicPr>
        <xdr:cNvPr id="13" name="Picture 12">
          <a:extLst>
            <a:ext uri="{FF2B5EF4-FFF2-40B4-BE49-F238E27FC236}">
              <a16:creationId xmlns:a16="http://schemas.microsoft.com/office/drawing/2014/main" id="{00000000-0008-0000-0F00-00000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14222" t="55831" r="34821" b="40609"/>
        <a:stretch/>
      </xdr:blipFill>
      <xdr:spPr>
        <a:xfrm>
          <a:off x="6648450" y="3962400"/>
          <a:ext cx="1753960" cy="618037"/>
        </a:xfrm>
        <a:prstGeom prst="rect">
          <a:avLst/>
        </a:prstGeom>
      </xdr:spPr>
    </xdr:pic>
    <xdr:clientData/>
  </xdr:twoCellAnchor>
  <xdr:twoCellAnchor editAs="oneCell">
    <xdr:from>
      <xdr:col>3</xdr:col>
      <xdr:colOff>268061</xdr:colOff>
      <xdr:row>13</xdr:row>
      <xdr:rowOff>31174</xdr:rowOff>
    </xdr:from>
    <xdr:to>
      <xdr:col>3</xdr:col>
      <xdr:colOff>1677760</xdr:colOff>
      <xdr:row>13</xdr:row>
      <xdr:rowOff>566688</xdr:rowOff>
    </xdr:to>
    <xdr:pic>
      <xdr:nvPicPr>
        <xdr:cNvPr id="14" name="Picture 13">
          <a:extLst>
            <a:ext uri="{FF2B5EF4-FFF2-40B4-BE49-F238E27FC236}">
              <a16:creationId xmlns:a16="http://schemas.microsoft.com/office/drawing/2014/main" id="{00000000-0008-0000-0F00-00000E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58747" t="58152" r="35427" b="40898"/>
        <a:stretch/>
      </xdr:blipFill>
      <xdr:spPr>
        <a:xfrm>
          <a:off x="6840311" y="4974649"/>
          <a:ext cx="1409699" cy="535514"/>
        </a:xfrm>
        <a:prstGeom prst="rect">
          <a:avLst/>
        </a:prstGeom>
      </xdr:spPr>
    </xdr:pic>
    <xdr:clientData/>
  </xdr:twoCellAnchor>
  <xdr:oneCellAnchor>
    <xdr:from>
      <xdr:col>8</xdr:col>
      <xdr:colOff>488156</xdr:colOff>
      <xdr:row>7</xdr:row>
      <xdr:rowOff>0</xdr:rowOff>
    </xdr:from>
    <xdr:ext cx="993219" cy="0"/>
    <xdr:pic>
      <xdr:nvPicPr>
        <xdr:cNvPr id="8" name="Picture 7">
          <a:extLst>
            <a:ext uri="{FF2B5EF4-FFF2-40B4-BE49-F238E27FC236}">
              <a16:creationId xmlns:a16="http://schemas.microsoft.com/office/drawing/2014/main" id="{00000000-0008-0000-0F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55906" y="560917"/>
          <a:ext cx="993219"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7</xdr:row>
      <xdr:rowOff>0</xdr:rowOff>
    </xdr:from>
    <xdr:ext cx="993219" cy="0"/>
    <xdr:pic>
      <xdr:nvPicPr>
        <xdr:cNvPr id="9" name="Picture 8">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04739" y="560917"/>
          <a:ext cx="993219"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7</xdr:row>
      <xdr:rowOff>0</xdr:rowOff>
    </xdr:from>
    <xdr:ext cx="993219" cy="0"/>
    <xdr:pic>
      <xdr:nvPicPr>
        <xdr:cNvPr id="10" name="Picture 9">
          <a:extLst>
            <a:ext uri="{FF2B5EF4-FFF2-40B4-BE49-F238E27FC236}">
              <a16:creationId xmlns:a16="http://schemas.microsoft.com/office/drawing/2014/main" id="{00000000-0008-0000-0F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04739" y="560917"/>
          <a:ext cx="993219"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7</xdr:row>
      <xdr:rowOff>0</xdr:rowOff>
    </xdr:from>
    <xdr:ext cx="993219" cy="0"/>
    <xdr:pic>
      <xdr:nvPicPr>
        <xdr:cNvPr id="15" name="Picture 14">
          <a:extLst>
            <a:ext uri="{FF2B5EF4-FFF2-40B4-BE49-F238E27FC236}">
              <a16:creationId xmlns:a16="http://schemas.microsoft.com/office/drawing/2014/main" id="{00000000-0008-0000-0F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002823" y="560917"/>
          <a:ext cx="993219"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7</xdr:row>
      <xdr:rowOff>0</xdr:rowOff>
    </xdr:from>
    <xdr:ext cx="993219" cy="0"/>
    <xdr:pic>
      <xdr:nvPicPr>
        <xdr:cNvPr id="16" name="Picture 15">
          <a:extLst>
            <a:ext uri="{FF2B5EF4-FFF2-40B4-BE49-F238E27FC236}">
              <a16:creationId xmlns:a16="http://schemas.microsoft.com/office/drawing/2014/main" id="{00000000-0008-0000-0F00-000010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600906" y="560917"/>
          <a:ext cx="993219"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18</xdr:col>
      <xdr:colOff>0</xdr:colOff>
      <xdr:row>7</xdr:row>
      <xdr:rowOff>0</xdr:rowOff>
    </xdr:from>
    <xdr:ext cx="993219" cy="0"/>
    <xdr:pic>
      <xdr:nvPicPr>
        <xdr:cNvPr id="17" name="Picture 16">
          <a:extLst>
            <a:ext uri="{FF2B5EF4-FFF2-40B4-BE49-F238E27FC236}">
              <a16:creationId xmlns:a16="http://schemas.microsoft.com/office/drawing/2014/main" id="{00000000-0008-0000-0F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198989" y="560917"/>
          <a:ext cx="993219" cy="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6</xdr:col>
      <xdr:colOff>488156</xdr:colOff>
      <xdr:row>4</xdr:row>
      <xdr:rowOff>0</xdr:rowOff>
    </xdr:from>
    <xdr:to>
      <xdr:col>8</xdr:col>
      <xdr:colOff>270642</xdr:colOff>
      <xdr:row>4</xdr:row>
      <xdr:rowOff>2652</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727406" y="752475"/>
          <a:ext cx="1068361" cy="26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251391</xdr:colOff>
      <xdr:row>8</xdr:row>
      <xdr:rowOff>61480</xdr:rowOff>
    </xdr:from>
    <xdr:to>
      <xdr:col>1</xdr:col>
      <xdr:colOff>1085850</xdr:colOff>
      <xdr:row>8</xdr:row>
      <xdr:rowOff>1347217</xdr:rowOff>
    </xdr:to>
    <xdr:pic>
      <xdr:nvPicPr>
        <xdr:cNvPr id="2" name="Picture 1">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twoCellAnchor>
  <xdr:oneCellAnchor>
    <xdr:from>
      <xdr:col>1</xdr:col>
      <xdr:colOff>251391</xdr:colOff>
      <xdr:row>9</xdr:row>
      <xdr:rowOff>61480</xdr:rowOff>
    </xdr:from>
    <xdr:ext cx="834459" cy="1285737"/>
    <xdr:pic>
      <xdr:nvPicPr>
        <xdr:cNvPr id="6" name="Picture 5">
          <a:extLst>
            <a:ext uri="{FF2B5EF4-FFF2-40B4-BE49-F238E27FC236}">
              <a16:creationId xmlns:a16="http://schemas.microsoft.com/office/drawing/2014/main" id="{00000000-0008-0000-11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10</xdr:row>
      <xdr:rowOff>61480</xdr:rowOff>
    </xdr:from>
    <xdr:ext cx="834459" cy="1285737"/>
    <xdr:pic>
      <xdr:nvPicPr>
        <xdr:cNvPr id="7" name="Picture 6">
          <a:extLst>
            <a:ext uri="{FF2B5EF4-FFF2-40B4-BE49-F238E27FC236}">
              <a16:creationId xmlns:a16="http://schemas.microsoft.com/office/drawing/2014/main" id="{00000000-0008-0000-11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oneCellAnchor>
    <xdr:from>
      <xdr:col>1</xdr:col>
      <xdr:colOff>251391</xdr:colOff>
      <xdr:row>11</xdr:row>
      <xdr:rowOff>61480</xdr:rowOff>
    </xdr:from>
    <xdr:ext cx="834459" cy="1285737"/>
    <xdr:pic>
      <xdr:nvPicPr>
        <xdr:cNvPr id="8" name="Picture 7">
          <a:extLst>
            <a:ext uri="{FF2B5EF4-FFF2-40B4-BE49-F238E27FC236}">
              <a16:creationId xmlns:a16="http://schemas.microsoft.com/office/drawing/2014/main" id="{00000000-0008-0000-11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699066" y="1404505"/>
          <a:ext cx="834459" cy="1285737"/>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twoCellAnchor>
    <xdr:from>
      <xdr:col>1</xdr:col>
      <xdr:colOff>2000250</xdr:colOff>
      <xdr:row>23</xdr:row>
      <xdr:rowOff>0</xdr:rowOff>
    </xdr:from>
    <xdr:to>
      <xdr:col>1</xdr:col>
      <xdr:colOff>2200275</xdr:colOff>
      <xdr:row>24</xdr:row>
      <xdr:rowOff>0</xdr:rowOff>
    </xdr:to>
    <xdr:sp macro="" textlink="">
      <xdr:nvSpPr>
        <xdr:cNvPr id="2" name="TextBox 605">
          <a:extLst>
            <a:ext uri="{FF2B5EF4-FFF2-40B4-BE49-F238E27FC236}">
              <a16:creationId xmlns:a16="http://schemas.microsoft.com/office/drawing/2014/main" id="{00000000-0008-0000-1400-000002000000}"/>
            </a:ext>
          </a:extLst>
        </xdr:cNvPr>
        <xdr:cNvSpPr txBox="1">
          <a:spLocks noChangeArrowheads="1"/>
        </xdr:cNvSpPr>
      </xdr:nvSpPr>
      <xdr:spPr bwMode="auto">
        <a:xfrm>
          <a:off x="2622550"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23</xdr:row>
      <xdr:rowOff>0</xdr:rowOff>
    </xdr:from>
    <xdr:to>
      <xdr:col>1</xdr:col>
      <xdr:colOff>2200275</xdr:colOff>
      <xdr:row>24</xdr:row>
      <xdr:rowOff>0</xdr:rowOff>
    </xdr:to>
    <xdr:sp macro="" textlink="">
      <xdr:nvSpPr>
        <xdr:cNvPr id="3" name="TextBox 606">
          <a:extLst>
            <a:ext uri="{FF2B5EF4-FFF2-40B4-BE49-F238E27FC236}">
              <a16:creationId xmlns:a16="http://schemas.microsoft.com/office/drawing/2014/main" id="{00000000-0008-0000-1400-000003000000}"/>
            </a:ext>
          </a:extLst>
        </xdr:cNvPr>
        <xdr:cNvSpPr txBox="1">
          <a:spLocks noChangeArrowheads="1"/>
        </xdr:cNvSpPr>
      </xdr:nvSpPr>
      <xdr:spPr bwMode="auto">
        <a:xfrm>
          <a:off x="2622550"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23</xdr:row>
      <xdr:rowOff>0</xdr:rowOff>
    </xdr:from>
    <xdr:to>
      <xdr:col>1</xdr:col>
      <xdr:colOff>2200275</xdr:colOff>
      <xdr:row>24</xdr:row>
      <xdr:rowOff>0</xdr:rowOff>
    </xdr:to>
    <xdr:sp macro="" textlink="">
      <xdr:nvSpPr>
        <xdr:cNvPr id="4" name="TextBox 607">
          <a:extLst>
            <a:ext uri="{FF2B5EF4-FFF2-40B4-BE49-F238E27FC236}">
              <a16:creationId xmlns:a16="http://schemas.microsoft.com/office/drawing/2014/main" id="{00000000-0008-0000-1400-000004000000}"/>
            </a:ext>
          </a:extLst>
        </xdr:cNvPr>
        <xdr:cNvSpPr txBox="1">
          <a:spLocks noChangeArrowheads="1"/>
        </xdr:cNvSpPr>
      </xdr:nvSpPr>
      <xdr:spPr bwMode="auto">
        <a:xfrm>
          <a:off x="2622550"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23</xdr:row>
      <xdr:rowOff>0</xdr:rowOff>
    </xdr:from>
    <xdr:to>
      <xdr:col>1</xdr:col>
      <xdr:colOff>2200275</xdr:colOff>
      <xdr:row>24</xdr:row>
      <xdr:rowOff>0</xdr:rowOff>
    </xdr:to>
    <xdr:sp macro="" textlink="">
      <xdr:nvSpPr>
        <xdr:cNvPr id="5" name="TextBox 608">
          <a:extLst>
            <a:ext uri="{FF2B5EF4-FFF2-40B4-BE49-F238E27FC236}">
              <a16:creationId xmlns:a16="http://schemas.microsoft.com/office/drawing/2014/main" id="{00000000-0008-0000-1400-000005000000}"/>
            </a:ext>
          </a:extLst>
        </xdr:cNvPr>
        <xdr:cNvSpPr txBox="1">
          <a:spLocks noChangeArrowheads="1"/>
        </xdr:cNvSpPr>
      </xdr:nvSpPr>
      <xdr:spPr bwMode="auto">
        <a:xfrm>
          <a:off x="2622550"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23</xdr:row>
      <xdr:rowOff>0</xdr:rowOff>
    </xdr:from>
    <xdr:to>
      <xdr:col>1</xdr:col>
      <xdr:colOff>2200275</xdr:colOff>
      <xdr:row>24</xdr:row>
      <xdr:rowOff>0</xdr:rowOff>
    </xdr:to>
    <xdr:sp macro="" textlink="">
      <xdr:nvSpPr>
        <xdr:cNvPr id="6" name="TextBox 611">
          <a:extLst>
            <a:ext uri="{FF2B5EF4-FFF2-40B4-BE49-F238E27FC236}">
              <a16:creationId xmlns:a16="http://schemas.microsoft.com/office/drawing/2014/main" id="{00000000-0008-0000-1400-000006000000}"/>
            </a:ext>
          </a:extLst>
        </xdr:cNvPr>
        <xdr:cNvSpPr txBox="1">
          <a:spLocks noChangeArrowheads="1"/>
        </xdr:cNvSpPr>
      </xdr:nvSpPr>
      <xdr:spPr bwMode="auto">
        <a:xfrm>
          <a:off x="2622550"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23</xdr:row>
      <xdr:rowOff>0</xdr:rowOff>
    </xdr:from>
    <xdr:to>
      <xdr:col>1</xdr:col>
      <xdr:colOff>2200275</xdr:colOff>
      <xdr:row>24</xdr:row>
      <xdr:rowOff>0</xdr:rowOff>
    </xdr:to>
    <xdr:sp macro="" textlink="">
      <xdr:nvSpPr>
        <xdr:cNvPr id="7" name="TextBox 612">
          <a:extLst>
            <a:ext uri="{FF2B5EF4-FFF2-40B4-BE49-F238E27FC236}">
              <a16:creationId xmlns:a16="http://schemas.microsoft.com/office/drawing/2014/main" id="{00000000-0008-0000-1400-000007000000}"/>
            </a:ext>
          </a:extLst>
        </xdr:cNvPr>
        <xdr:cNvSpPr txBox="1">
          <a:spLocks noChangeArrowheads="1"/>
        </xdr:cNvSpPr>
      </xdr:nvSpPr>
      <xdr:spPr bwMode="auto">
        <a:xfrm>
          <a:off x="2622550"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23</xdr:row>
      <xdr:rowOff>0</xdr:rowOff>
    </xdr:from>
    <xdr:to>
      <xdr:col>1</xdr:col>
      <xdr:colOff>2200275</xdr:colOff>
      <xdr:row>24</xdr:row>
      <xdr:rowOff>0</xdr:rowOff>
    </xdr:to>
    <xdr:sp macro="" textlink="">
      <xdr:nvSpPr>
        <xdr:cNvPr id="8" name="TextBox 613">
          <a:extLst>
            <a:ext uri="{FF2B5EF4-FFF2-40B4-BE49-F238E27FC236}">
              <a16:creationId xmlns:a16="http://schemas.microsoft.com/office/drawing/2014/main" id="{00000000-0008-0000-1400-000008000000}"/>
            </a:ext>
          </a:extLst>
        </xdr:cNvPr>
        <xdr:cNvSpPr txBox="1">
          <a:spLocks noChangeArrowheads="1"/>
        </xdr:cNvSpPr>
      </xdr:nvSpPr>
      <xdr:spPr bwMode="auto">
        <a:xfrm>
          <a:off x="2622550"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23</xdr:row>
      <xdr:rowOff>0</xdr:rowOff>
    </xdr:from>
    <xdr:to>
      <xdr:col>1</xdr:col>
      <xdr:colOff>2200275</xdr:colOff>
      <xdr:row>24</xdr:row>
      <xdr:rowOff>0</xdr:rowOff>
    </xdr:to>
    <xdr:sp macro="" textlink="">
      <xdr:nvSpPr>
        <xdr:cNvPr id="9" name="TextBox 614">
          <a:extLst>
            <a:ext uri="{FF2B5EF4-FFF2-40B4-BE49-F238E27FC236}">
              <a16:creationId xmlns:a16="http://schemas.microsoft.com/office/drawing/2014/main" id="{00000000-0008-0000-1400-000009000000}"/>
            </a:ext>
          </a:extLst>
        </xdr:cNvPr>
        <xdr:cNvSpPr txBox="1">
          <a:spLocks noChangeArrowheads="1"/>
        </xdr:cNvSpPr>
      </xdr:nvSpPr>
      <xdr:spPr bwMode="auto">
        <a:xfrm>
          <a:off x="2622550"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1733550</xdr:colOff>
      <xdr:row>23</xdr:row>
      <xdr:rowOff>9525</xdr:rowOff>
    </xdr:from>
    <xdr:to>
      <xdr:col>1</xdr:col>
      <xdr:colOff>1933575</xdr:colOff>
      <xdr:row>24</xdr:row>
      <xdr:rowOff>9525</xdr:rowOff>
    </xdr:to>
    <xdr:sp macro="" textlink="">
      <xdr:nvSpPr>
        <xdr:cNvPr id="10" name="TextBox 615">
          <a:extLst>
            <a:ext uri="{FF2B5EF4-FFF2-40B4-BE49-F238E27FC236}">
              <a16:creationId xmlns:a16="http://schemas.microsoft.com/office/drawing/2014/main" id="{00000000-0008-0000-1400-00000A000000}"/>
            </a:ext>
          </a:extLst>
        </xdr:cNvPr>
        <xdr:cNvSpPr txBox="1">
          <a:spLocks noChangeArrowheads="1"/>
        </xdr:cNvSpPr>
      </xdr:nvSpPr>
      <xdr:spPr bwMode="auto">
        <a:xfrm>
          <a:off x="2355850" y="20342225"/>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1933575</xdr:colOff>
      <xdr:row>23</xdr:row>
      <xdr:rowOff>0</xdr:rowOff>
    </xdr:from>
    <xdr:to>
      <xdr:col>1</xdr:col>
      <xdr:colOff>2133600</xdr:colOff>
      <xdr:row>24</xdr:row>
      <xdr:rowOff>0</xdr:rowOff>
    </xdr:to>
    <xdr:sp macro="" textlink="">
      <xdr:nvSpPr>
        <xdr:cNvPr id="11" name="TextBox 616">
          <a:extLst>
            <a:ext uri="{FF2B5EF4-FFF2-40B4-BE49-F238E27FC236}">
              <a16:creationId xmlns:a16="http://schemas.microsoft.com/office/drawing/2014/main" id="{00000000-0008-0000-1400-00000B000000}"/>
            </a:ext>
          </a:extLst>
        </xdr:cNvPr>
        <xdr:cNvSpPr txBox="1">
          <a:spLocks noChangeArrowheads="1"/>
        </xdr:cNvSpPr>
      </xdr:nvSpPr>
      <xdr:spPr bwMode="auto">
        <a:xfrm>
          <a:off x="2555875"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2000250</xdr:colOff>
      <xdr:row>23</xdr:row>
      <xdr:rowOff>0</xdr:rowOff>
    </xdr:from>
    <xdr:to>
      <xdr:col>1</xdr:col>
      <xdr:colOff>2200275</xdr:colOff>
      <xdr:row>24</xdr:row>
      <xdr:rowOff>0</xdr:rowOff>
    </xdr:to>
    <xdr:sp macro="" textlink="">
      <xdr:nvSpPr>
        <xdr:cNvPr id="12" name="TextBox 618">
          <a:extLst>
            <a:ext uri="{FF2B5EF4-FFF2-40B4-BE49-F238E27FC236}">
              <a16:creationId xmlns:a16="http://schemas.microsoft.com/office/drawing/2014/main" id="{00000000-0008-0000-1400-00000C000000}"/>
            </a:ext>
          </a:extLst>
        </xdr:cNvPr>
        <xdr:cNvSpPr txBox="1">
          <a:spLocks noChangeArrowheads="1"/>
        </xdr:cNvSpPr>
      </xdr:nvSpPr>
      <xdr:spPr bwMode="auto">
        <a:xfrm>
          <a:off x="2622550" y="20332700"/>
          <a:ext cx="200025" cy="12192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xdr:col>
      <xdr:colOff>2200275</xdr:colOff>
      <xdr:row>23</xdr:row>
      <xdr:rowOff>0</xdr:rowOff>
    </xdr:from>
    <xdr:to>
      <xdr:col>1</xdr:col>
      <xdr:colOff>2409825</xdr:colOff>
      <xdr:row>23</xdr:row>
      <xdr:rowOff>219075</xdr:rowOff>
    </xdr:to>
    <xdr:sp macro="" textlink="">
      <xdr:nvSpPr>
        <xdr:cNvPr id="13" name="TextBox 643">
          <a:extLst>
            <a:ext uri="{FF2B5EF4-FFF2-40B4-BE49-F238E27FC236}">
              <a16:creationId xmlns:a16="http://schemas.microsoft.com/office/drawing/2014/main" id="{00000000-0008-0000-1400-00000D000000}"/>
            </a:ext>
          </a:extLst>
        </xdr:cNvPr>
        <xdr:cNvSpPr txBox="1">
          <a:spLocks noChangeArrowheads="1"/>
        </xdr:cNvSpPr>
      </xdr:nvSpPr>
      <xdr:spPr bwMode="auto">
        <a:xfrm>
          <a:off x="2822575" y="20332700"/>
          <a:ext cx="209550" cy="2190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3465A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ep%20Kumar/AppData/Local/Microsoft/Windows/INetCache/Content.Outlook/9F8IZCGV/RA-4%20Bill%20of%20Copper%20Chimney%20Finishing%20and%20MEP%20Works%2012%20augus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IVIL WORK"/>
      <sheetName val="Civil MB"/>
      <sheetName val="INTERIOR WORK"/>
      <sheetName val="Int. MB"/>
      <sheetName val="BOQ-Electrical "/>
      <sheetName val="Elec Mb"/>
      <sheetName val="BOQ-PHE"/>
      <sheetName val="Phe Mb"/>
      <sheetName val="HVAC"/>
      <sheetName val="HvacMb"/>
      <sheetName val="Fire Fighting"/>
      <sheetName val="Firemb"/>
      <sheetName val="FACADE"/>
      <sheetName val="facademb"/>
      <sheetName val="FACADE SIGNAGE"/>
      <sheetName val="MISCELLANEOUS"/>
      <sheetName val="BELLS"/>
      <sheetName val="Bells MB"/>
      <sheetName val="NON BOQ"/>
      <sheetName val="Non BOQ M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6">
          <cell r="M86">
            <v>6</v>
          </cell>
        </row>
        <row r="88">
          <cell r="M88">
            <v>2</v>
          </cell>
        </row>
        <row r="89">
          <cell r="M89">
            <v>1</v>
          </cell>
        </row>
        <row r="90">
          <cell r="M90">
            <v>2</v>
          </cell>
        </row>
        <row r="91">
          <cell r="M91">
            <v>1</v>
          </cell>
        </row>
        <row r="92">
          <cell r="M92">
            <v>2</v>
          </cell>
        </row>
        <row r="93">
          <cell r="M93">
            <v>1</v>
          </cell>
        </row>
        <row r="94">
          <cell r="M94">
            <v>1</v>
          </cell>
        </row>
        <row r="95">
          <cell r="M95">
            <v>4</v>
          </cell>
        </row>
        <row r="96">
          <cell r="M96">
            <v>1</v>
          </cell>
        </row>
        <row r="97">
          <cell r="M97">
            <v>1</v>
          </cell>
        </row>
        <row r="98">
          <cell r="M98">
            <v>1</v>
          </cell>
        </row>
        <row r="99">
          <cell r="M99">
            <v>1</v>
          </cell>
        </row>
        <row r="100">
          <cell r="M100">
            <v>0.67499999999999993</v>
          </cell>
        </row>
        <row r="101">
          <cell r="M101">
            <v>0.67499999999999993</v>
          </cell>
        </row>
        <row r="102">
          <cell r="M102">
            <v>1</v>
          </cell>
        </row>
        <row r="103">
          <cell r="M103">
            <v>1</v>
          </cell>
        </row>
        <row r="104">
          <cell r="M104">
            <v>1</v>
          </cell>
        </row>
        <row r="105">
          <cell r="M105">
            <v>1</v>
          </cell>
        </row>
        <row r="106">
          <cell r="M106">
            <v>1</v>
          </cell>
        </row>
        <row r="107">
          <cell r="M107">
            <v>1</v>
          </cell>
        </row>
        <row r="108">
          <cell r="M108">
            <v>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4"/>
  <sheetViews>
    <sheetView tabSelected="1" topLeftCell="A7" zoomScaleSheetLayoutView="100" workbookViewId="0">
      <selection activeCell="F8" sqref="F8"/>
    </sheetView>
  </sheetViews>
  <sheetFormatPr defaultColWidth="8.81640625" defaultRowHeight="16" x14ac:dyDescent="0.35"/>
  <cols>
    <col min="1" max="1" width="10.1796875" style="162" customWidth="1"/>
    <col min="2" max="2" width="32.54296875" style="162" customWidth="1"/>
    <col min="3" max="3" width="16.453125" style="366" bestFit="1" customWidth="1"/>
    <col min="4" max="5" width="15.1796875" style="366" bestFit="1" customWidth="1"/>
    <col min="6" max="6" width="17.453125" style="366" customWidth="1"/>
    <col min="7" max="7" width="18" style="162" customWidth="1"/>
    <col min="8" max="16384" width="8.81640625" style="162"/>
  </cols>
  <sheetData>
    <row r="1" spans="1:7" s="356" customFormat="1" ht="18" customHeight="1" thickBot="1" x14ac:dyDescent="0.35">
      <c r="A1" s="754" t="s">
        <v>655</v>
      </c>
      <c r="B1" s="755"/>
      <c r="C1" s="755"/>
      <c r="D1" s="756"/>
      <c r="E1" s="756"/>
      <c r="F1" s="756"/>
      <c r="G1" s="757"/>
    </row>
    <row r="2" spans="1:7" s="356" customFormat="1" ht="18" customHeight="1" thickBot="1" x14ac:dyDescent="0.35">
      <c r="A2" s="754" t="s">
        <v>654</v>
      </c>
      <c r="B2" s="755"/>
      <c r="C2" s="755"/>
      <c r="D2" s="756"/>
      <c r="E2" s="756"/>
      <c r="F2" s="756"/>
      <c r="G2" s="757"/>
    </row>
    <row r="3" spans="1:7" s="356" customFormat="1" ht="18" customHeight="1" thickBot="1" x14ac:dyDescent="0.35">
      <c r="A3" s="754" t="s">
        <v>656</v>
      </c>
      <c r="B3" s="755"/>
      <c r="C3" s="755"/>
      <c r="D3" s="756"/>
      <c r="E3" s="756"/>
      <c r="F3" s="756"/>
      <c r="G3" s="757"/>
    </row>
    <row r="4" spans="1:7" s="356" customFormat="1" ht="18" customHeight="1" thickBot="1" x14ac:dyDescent="0.35">
      <c r="A4" s="754" t="s">
        <v>653</v>
      </c>
      <c r="B4" s="755"/>
      <c r="C4" s="755"/>
      <c r="D4" s="756"/>
      <c r="E4" s="756"/>
      <c r="F4" s="756"/>
      <c r="G4" s="757"/>
    </row>
    <row r="5" spans="1:7" s="356" customFormat="1" ht="18" customHeight="1" thickBot="1" x14ac:dyDescent="0.35">
      <c r="A5" s="754" t="s">
        <v>657</v>
      </c>
      <c r="B5" s="755"/>
      <c r="C5" s="755"/>
      <c r="D5" s="756"/>
      <c r="E5" s="756"/>
      <c r="F5" s="756"/>
      <c r="G5" s="757"/>
    </row>
    <row r="6" spans="1:7" s="356" customFormat="1" ht="18" customHeight="1" thickBot="1" x14ac:dyDescent="0.35">
      <c r="A6" s="758" t="s">
        <v>667</v>
      </c>
      <c r="B6" s="759"/>
      <c r="C6" s="759"/>
      <c r="D6" s="760"/>
      <c r="E6" s="760"/>
      <c r="F6" s="760"/>
      <c r="G6" s="761"/>
    </row>
    <row r="7" spans="1:7" s="163" customFormat="1" ht="31" x14ac:dyDescent="0.3">
      <c r="A7" s="542" t="s">
        <v>5</v>
      </c>
      <c r="B7" s="542" t="s">
        <v>6</v>
      </c>
      <c r="C7" s="543" t="s">
        <v>639</v>
      </c>
      <c r="D7" s="543" t="s">
        <v>642</v>
      </c>
      <c r="E7" s="543" t="s">
        <v>643</v>
      </c>
      <c r="F7" s="543" t="s">
        <v>644</v>
      </c>
      <c r="G7" s="544" t="s">
        <v>636</v>
      </c>
    </row>
    <row r="8" spans="1:7" ht="15.75" customHeight="1" x14ac:dyDescent="0.35">
      <c r="A8" s="357">
        <v>1</v>
      </c>
      <c r="B8" s="358" t="s">
        <v>310</v>
      </c>
      <c r="C8" s="364">
        <f>'CIVIL WORK'!I118</f>
        <v>1901229</v>
      </c>
      <c r="D8" s="364">
        <f>'CIVIL WORK'!O118</f>
        <v>1600565</v>
      </c>
      <c r="E8" s="364">
        <f>'CIVIL WORK'!P118</f>
        <v>634130.66833980859</v>
      </c>
      <c r="F8" s="547">
        <f>'CIVIL WORK'!Q118</f>
        <v>2234695.6683398089</v>
      </c>
      <c r="G8" s="359" t="s">
        <v>311</v>
      </c>
    </row>
    <row r="9" spans="1:7" ht="15.75" customHeight="1" x14ac:dyDescent="0.35">
      <c r="A9" s="357">
        <v>2</v>
      </c>
      <c r="B9" s="358" t="s">
        <v>309</v>
      </c>
      <c r="C9" s="547">
        <f>'INTERIOR WORK'!I125</f>
        <v>2253467</v>
      </c>
      <c r="D9" s="364">
        <f>'INTERIOR WORK'!O125</f>
        <v>1663830.5</v>
      </c>
      <c r="E9" s="364">
        <f>'INTERIOR WORK'!P125</f>
        <v>341339.93340670021</v>
      </c>
      <c r="F9" s="547">
        <f>'INTERIOR WORK'!Q125</f>
        <v>2005170.4334066999</v>
      </c>
      <c r="G9" s="359"/>
    </row>
    <row r="10" spans="1:7" ht="15.75" customHeight="1" x14ac:dyDescent="0.35">
      <c r="A10" s="545">
        <v>3</v>
      </c>
      <c r="B10" s="546" t="s">
        <v>567</v>
      </c>
      <c r="C10" s="547">
        <f>'BOQ-Electrical '!F211</f>
        <v>1676413</v>
      </c>
      <c r="D10" s="547">
        <f>'BOQ-Electrical '!L211</f>
        <v>1493608.9</v>
      </c>
      <c r="E10" s="547">
        <f>'BOQ-Electrical '!M211</f>
        <v>333758.8</v>
      </c>
      <c r="F10" s="547">
        <f>'BOQ-Electrical '!N211</f>
        <v>1827367.7</v>
      </c>
      <c r="G10" s="359"/>
    </row>
    <row r="11" spans="1:7" ht="15.75" customHeight="1" x14ac:dyDescent="0.35">
      <c r="A11" s="545">
        <v>4</v>
      </c>
      <c r="B11" s="546" t="s">
        <v>568</v>
      </c>
      <c r="C11" s="547">
        <f>'BOQ-PHE'!F68</f>
        <v>311371</v>
      </c>
      <c r="D11" s="547">
        <f>'BOQ-PHE'!L68</f>
        <v>243982.9</v>
      </c>
      <c r="E11" s="547">
        <f>'BOQ-PHE'!M68</f>
        <v>53278.7</v>
      </c>
      <c r="F11" s="547">
        <f>'BOQ-PHE'!N68</f>
        <v>297261.59999999998</v>
      </c>
      <c r="G11" s="359"/>
    </row>
    <row r="12" spans="1:7" ht="31" x14ac:dyDescent="0.35">
      <c r="A12" s="545">
        <v>5</v>
      </c>
      <c r="B12" s="548" t="s">
        <v>570</v>
      </c>
      <c r="C12" s="547">
        <f>HVAC!F84</f>
        <v>1951350</v>
      </c>
      <c r="D12" s="547">
        <f>HVAC!L84</f>
        <v>1644442</v>
      </c>
      <c r="E12" s="547">
        <f>HVAC!M84</f>
        <v>586463.4</v>
      </c>
      <c r="F12" s="547">
        <f>HVAC!N84</f>
        <v>2230905.4000000004</v>
      </c>
      <c r="G12" s="359"/>
    </row>
    <row r="13" spans="1:7" ht="15.75" customHeight="1" x14ac:dyDescent="0.35">
      <c r="A13" s="545">
        <v>6</v>
      </c>
      <c r="B13" s="546" t="s">
        <v>569</v>
      </c>
      <c r="C13" s="547">
        <f>'Fire Fighting'!F54</f>
        <v>207250</v>
      </c>
      <c r="D13" s="547">
        <f>'Fire Fighting'!L54</f>
        <v>87883.950000000012</v>
      </c>
      <c r="E13" s="547">
        <f>'Fire Fighting'!M54</f>
        <v>64340.25</v>
      </c>
      <c r="F13" s="547">
        <f>'Fire Fighting'!N54</f>
        <v>152224.20000000001</v>
      </c>
      <c r="G13" s="359"/>
    </row>
    <row r="14" spans="1:7" ht="15.75" customHeight="1" x14ac:dyDescent="0.35">
      <c r="A14" s="357">
        <v>7</v>
      </c>
      <c r="B14" s="358" t="s">
        <v>174</v>
      </c>
      <c r="C14" s="547">
        <f>FACADE!I19</f>
        <v>306742</v>
      </c>
      <c r="D14" s="364">
        <f>FACADE!O19</f>
        <v>0</v>
      </c>
      <c r="E14" s="364">
        <f>FACADE!P19</f>
        <v>171974.52748672164</v>
      </c>
      <c r="F14" s="547">
        <f>FACADE!Q19</f>
        <v>171974.52748672164</v>
      </c>
      <c r="G14" s="359"/>
    </row>
    <row r="15" spans="1:7" ht="15.75" customHeight="1" x14ac:dyDescent="0.35">
      <c r="A15" s="357">
        <v>8</v>
      </c>
      <c r="B15" s="358" t="s">
        <v>175</v>
      </c>
      <c r="C15" s="364">
        <f>'FACADE SIGNAGE'!I17</f>
        <v>206130</v>
      </c>
      <c r="D15" s="364">
        <f>'FACADE SIGNAGE'!O17</f>
        <v>0</v>
      </c>
      <c r="E15" s="364">
        <f>'FACADE SIGNAGE'!P17</f>
        <v>206130</v>
      </c>
      <c r="F15" s="547">
        <f>'FACADE SIGNAGE'!Q17</f>
        <v>206130</v>
      </c>
      <c r="G15" s="359"/>
    </row>
    <row r="16" spans="1:7" ht="15.75" customHeight="1" x14ac:dyDescent="0.35">
      <c r="A16" s="357">
        <v>9</v>
      </c>
      <c r="B16" s="358" t="s">
        <v>182</v>
      </c>
      <c r="C16" s="364">
        <f>BELLS!I13</f>
        <v>201350</v>
      </c>
      <c r="D16" s="364">
        <f>BELLS!O13</f>
        <v>140945</v>
      </c>
      <c r="E16" s="364">
        <f>BELLS!P13</f>
        <v>60405</v>
      </c>
      <c r="F16" s="547">
        <f>BELLS!Q13</f>
        <v>201350</v>
      </c>
      <c r="G16" s="359"/>
    </row>
    <row r="17" spans="1:7" ht="15.75" customHeight="1" x14ac:dyDescent="0.35">
      <c r="A17" s="357">
        <v>10</v>
      </c>
      <c r="B17" s="358" t="s">
        <v>1022</v>
      </c>
      <c r="C17" s="364">
        <v>0</v>
      </c>
      <c r="D17" s="364">
        <f>'NON BOQ'!N57</f>
        <v>0</v>
      </c>
      <c r="E17" s="364">
        <f>'NON BOQ'!O57</f>
        <v>1285855.0256619328</v>
      </c>
      <c r="F17" s="547">
        <f>'NON BOQ'!P57</f>
        <v>1285855.0256619328</v>
      </c>
      <c r="G17" s="359"/>
    </row>
    <row r="18" spans="1:7" ht="15.75" customHeight="1" x14ac:dyDescent="0.35">
      <c r="A18" s="357">
        <v>11</v>
      </c>
      <c r="B18" s="358" t="s">
        <v>1068</v>
      </c>
      <c r="C18" s="364"/>
      <c r="D18" s="364"/>
      <c r="E18" s="364">
        <f>'NON BOQ (2)'!P32</f>
        <v>172475</v>
      </c>
      <c r="F18" s="547">
        <f>'NON BOQ (2)'!P32</f>
        <v>172475</v>
      </c>
      <c r="G18" s="359"/>
    </row>
    <row r="19" spans="1:7" s="164" customFormat="1" ht="31" x14ac:dyDescent="0.3">
      <c r="A19" s="360"/>
      <c r="B19" s="361" t="s">
        <v>7</v>
      </c>
      <c r="C19" s="365">
        <f>SUM(C8:C17)</f>
        <v>9015302</v>
      </c>
      <c r="D19" s="365">
        <f>SUM(D8:D17)</f>
        <v>6875258.2500000009</v>
      </c>
      <c r="E19" s="365">
        <f>SUM(E8:E17)</f>
        <v>3737676.304895163</v>
      </c>
      <c r="F19" s="365">
        <f>SUM(F8:F18)</f>
        <v>10785409.554895163</v>
      </c>
      <c r="G19" s="362"/>
    </row>
    <row r="20" spans="1:7" x14ac:dyDescent="0.35">
      <c r="A20" s="363"/>
      <c r="B20" s="363" t="s">
        <v>637</v>
      </c>
      <c r="C20" s="365">
        <f t="shared" ref="C20:E20" si="0">C19*0.18</f>
        <v>1622754.3599999999</v>
      </c>
      <c r="D20" s="365">
        <f t="shared" si="0"/>
        <v>1237546.4850000001</v>
      </c>
      <c r="E20" s="365">
        <f t="shared" si="0"/>
        <v>672781.73488112935</v>
      </c>
      <c r="F20" s="365">
        <f>F19*0.18</f>
        <v>1941373.7198811292</v>
      </c>
      <c r="G20" s="362"/>
    </row>
    <row r="21" spans="1:7" x14ac:dyDescent="0.35">
      <c r="A21" s="363"/>
      <c r="B21" s="363" t="s">
        <v>638</v>
      </c>
      <c r="C21" s="365">
        <f t="shared" ref="C21:D21" si="1">C20+C19</f>
        <v>10638056.359999999</v>
      </c>
      <c r="D21" s="365">
        <f t="shared" si="1"/>
        <v>8112804.7350000013</v>
      </c>
      <c r="E21" s="365">
        <f>E20+E19</f>
        <v>4410458.0397762926</v>
      </c>
      <c r="F21" s="365">
        <f>F20+F19</f>
        <v>12726783.274776291</v>
      </c>
      <c r="G21" s="362"/>
    </row>
    <row r="22" spans="1:7" x14ac:dyDescent="0.35">
      <c r="A22" s="363"/>
      <c r="B22" s="363"/>
      <c r="C22" s="365"/>
      <c r="D22" s="365"/>
      <c r="E22" s="365"/>
      <c r="F22" s="365"/>
      <c r="G22" s="362"/>
    </row>
    <row r="23" spans="1:7" x14ac:dyDescent="0.35">
      <c r="G23" s="366"/>
    </row>
    <row r="24" spans="1:7" x14ac:dyDescent="0.35">
      <c r="G24" s="366"/>
    </row>
  </sheetData>
  <protectedRanges>
    <protectedRange sqref="F1:F6" name="Range1"/>
    <protectedRange sqref="H3:K6 H1:L2" name="Range1_6"/>
  </protectedRanges>
  <mergeCells count="6">
    <mergeCell ref="A5:G5"/>
    <mergeCell ref="A6:G6"/>
    <mergeCell ref="A1:G1"/>
    <mergeCell ref="A2:G2"/>
    <mergeCell ref="A3:G3"/>
    <mergeCell ref="A4:G4"/>
  </mergeCells>
  <phoneticPr fontId="10" type="noConversion"/>
  <pageMargins left="0.5" right="0" top="0.74" bottom="1" header="0.5" footer="0.5"/>
  <pageSetup orientation="portrait" horizontalDpi="300" verticalDpi="300"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84"/>
  <sheetViews>
    <sheetView zoomScale="63" zoomScaleNormal="85" zoomScaleSheetLayoutView="100" workbookViewId="0">
      <pane xSplit="4" ySplit="8" topLeftCell="E75" activePane="bottomRight" state="frozen"/>
      <selection pane="topRight" activeCell="E1" sqref="E1"/>
      <selection pane="bottomLeft" activeCell="A5" sqref="A5"/>
      <selection pane="bottomRight" activeCell="F81" sqref="F81"/>
    </sheetView>
  </sheetViews>
  <sheetFormatPr defaultColWidth="14.453125" defaultRowHeight="12" x14ac:dyDescent="0.3"/>
  <cols>
    <col min="1" max="1" width="9.453125" style="76" customWidth="1"/>
    <col min="2" max="2" width="71.54296875" style="76" customWidth="1"/>
    <col min="3" max="3" width="9.1796875" style="76" customWidth="1"/>
    <col min="4" max="4" width="9.453125" style="303" customWidth="1"/>
    <col min="5" max="5" width="10" style="706" bestFit="1" customWidth="1"/>
    <col min="6" max="6" width="13.453125" style="706" customWidth="1"/>
    <col min="7" max="7" width="10.453125" style="706" customWidth="1"/>
    <col min="8" max="8" width="9.81640625" style="706" customWidth="1"/>
    <col min="9" max="10" width="14.453125" style="706"/>
    <col min="11" max="11" width="14.453125" style="712"/>
    <col min="12" max="12" width="14.54296875" style="706" bestFit="1" customWidth="1"/>
    <col min="13" max="13" width="12.453125" style="706" customWidth="1"/>
    <col min="14" max="14" width="14.54296875" style="706" bestFit="1" customWidth="1"/>
    <col min="15" max="16384" width="14.453125" style="76"/>
  </cols>
  <sheetData>
    <row r="1" spans="1:15" s="356" customFormat="1" ht="18" customHeight="1" x14ac:dyDescent="0.3">
      <c r="A1" s="766" t="s">
        <v>654</v>
      </c>
      <c r="B1" s="767"/>
      <c r="C1" s="767"/>
      <c r="D1" s="767"/>
      <c r="E1" s="767"/>
      <c r="F1" s="767"/>
      <c r="G1" s="767"/>
      <c r="H1" s="767"/>
      <c r="I1" s="767"/>
      <c r="J1" s="767"/>
      <c r="K1" s="767"/>
      <c r="L1" s="767"/>
      <c r="M1" s="767"/>
      <c r="N1" s="767"/>
      <c r="O1" s="767"/>
    </row>
    <row r="2" spans="1:15" s="356" customFormat="1" ht="18" customHeight="1" x14ac:dyDescent="0.3">
      <c r="A2" s="766" t="s">
        <v>666</v>
      </c>
      <c r="B2" s="767"/>
      <c r="C2" s="767"/>
      <c r="D2" s="767"/>
      <c r="E2" s="767"/>
      <c r="F2" s="767"/>
      <c r="G2" s="767"/>
      <c r="H2" s="767"/>
      <c r="I2" s="767"/>
      <c r="J2" s="767"/>
      <c r="K2" s="767"/>
      <c r="L2" s="767"/>
      <c r="M2" s="767"/>
      <c r="N2" s="767"/>
      <c r="O2" s="767"/>
    </row>
    <row r="3" spans="1:15" s="356" customFormat="1" ht="18" customHeight="1" x14ac:dyDescent="0.3">
      <c r="A3" s="766" t="s">
        <v>653</v>
      </c>
      <c r="B3" s="767"/>
      <c r="C3" s="767"/>
      <c r="D3" s="767"/>
      <c r="E3" s="767"/>
      <c r="F3" s="767"/>
      <c r="G3" s="767"/>
      <c r="H3" s="767"/>
      <c r="I3" s="767"/>
      <c r="J3" s="767"/>
      <c r="K3" s="767"/>
      <c r="L3" s="767"/>
      <c r="M3" s="767"/>
      <c r="N3" s="767"/>
      <c r="O3" s="767"/>
    </row>
    <row r="4" spans="1:15" s="356" customFormat="1" ht="18" customHeight="1" x14ac:dyDescent="0.3">
      <c r="A4" s="766" t="s">
        <v>657</v>
      </c>
      <c r="B4" s="767"/>
      <c r="C4" s="767"/>
      <c r="D4" s="767"/>
      <c r="E4" s="767"/>
      <c r="F4" s="767"/>
      <c r="G4" s="767"/>
      <c r="H4" s="767"/>
      <c r="I4" s="767"/>
      <c r="J4" s="767"/>
      <c r="K4" s="767"/>
      <c r="L4" s="767"/>
      <c r="M4" s="767"/>
      <c r="N4" s="767"/>
      <c r="O4" s="767"/>
    </row>
    <row r="5" spans="1:15" s="356" customFormat="1" ht="18" customHeight="1" x14ac:dyDescent="0.3">
      <c r="A5" s="764" t="s">
        <v>746</v>
      </c>
      <c r="B5" s="765"/>
      <c r="C5" s="765"/>
      <c r="D5" s="765"/>
      <c r="E5" s="765"/>
      <c r="F5" s="765"/>
      <c r="G5" s="765"/>
      <c r="H5" s="765"/>
      <c r="I5" s="765"/>
      <c r="J5" s="765"/>
      <c r="K5" s="765"/>
      <c r="L5" s="765"/>
      <c r="M5" s="765"/>
      <c r="N5" s="765"/>
      <c r="O5" s="765"/>
    </row>
    <row r="6" spans="1:15" s="56" customFormat="1" x14ac:dyDescent="0.3">
      <c r="A6" s="771" t="s">
        <v>8</v>
      </c>
      <c r="B6" s="771" t="s">
        <v>9</v>
      </c>
      <c r="C6" s="775" t="s">
        <v>10</v>
      </c>
      <c r="D6" s="768" t="s">
        <v>650</v>
      </c>
      <c r="E6" s="769"/>
      <c r="F6" s="770"/>
      <c r="G6" s="768" t="s">
        <v>651</v>
      </c>
      <c r="H6" s="769"/>
      <c r="I6" s="769"/>
      <c r="J6" s="769"/>
      <c r="K6" s="770"/>
      <c r="L6" s="768" t="s">
        <v>652</v>
      </c>
      <c r="M6" s="769"/>
      <c r="N6" s="770"/>
      <c r="O6" s="775" t="s">
        <v>661</v>
      </c>
    </row>
    <row r="7" spans="1:15" s="56" customFormat="1" x14ac:dyDescent="0.3">
      <c r="A7" s="772"/>
      <c r="B7" s="772"/>
      <c r="C7" s="776"/>
      <c r="D7" s="225" t="s">
        <v>16</v>
      </c>
      <c r="E7" s="225" t="s">
        <v>15</v>
      </c>
      <c r="F7" s="225" t="s">
        <v>11</v>
      </c>
      <c r="G7" s="225" t="s">
        <v>645</v>
      </c>
      <c r="H7" s="225" t="s">
        <v>648</v>
      </c>
      <c r="I7" s="225" t="s">
        <v>646</v>
      </c>
      <c r="J7" s="225" t="s">
        <v>647</v>
      </c>
      <c r="K7" s="692" t="s">
        <v>649</v>
      </c>
      <c r="L7" s="225" t="s">
        <v>645</v>
      </c>
      <c r="M7" s="225" t="s">
        <v>646</v>
      </c>
      <c r="N7" s="225" t="s">
        <v>647</v>
      </c>
      <c r="O7" s="776"/>
    </row>
    <row r="8" spans="1:15" x14ac:dyDescent="0.3">
      <c r="A8" s="271"/>
      <c r="B8" s="272" t="s">
        <v>441</v>
      </c>
      <c r="C8" s="273"/>
      <c r="D8" s="121"/>
      <c r="E8" s="244"/>
      <c r="F8" s="244"/>
      <c r="G8" s="244"/>
      <c r="H8" s="244"/>
      <c r="I8" s="705"/>
      <c r="J8" s="705"/>
      <c r="K8" s="710"/>
      <c r="L8" s="705"/>
      <c r="M8" s="705"/>
      <c r="N8" s="705"/>
    </row>
    <row r="9" spans="1:15" x14ac:dyDescent="0.3">
      <c r="A9" s="274">
        <v>1</v>
      </c>
      <c r="B9" s="275" t="s">
        <v>442</v>
      </c>
      <c r="C9" s="273"/>
      <c r="D9" s="121"/>
      <c r="E9" s="244"/>
      <c r="F9" s="244"/>
      <c r="G9" s="244"/>
      <c r="H9" s="244"/>
      <c r="I9" s="705"/>
      <c r="J9" s="705"/>
      <c r="K9" s="710"/>
      <c r="L9" s="705"/>
      <c r="M9" s="705"/>
      <c r="N9" s="705"/>
    </row>
    <row r="10" spans="1:15" ht="230.15" customHeight="1" x14ac:dyDescent="0.3">
      <c r="A10" s="274"/>
      <c r="B10" s="276" t="s">
        <v>617</v>
      </c>
      <c r="C10" s="273"/>
      <c r="D10" s="121"/>
      <c r="E10" s="244"/>
      <c r="F10" s="244"/>
      <c r="G10" s="244"/>
      <c r="H10" s="244"/>
      <c r="I10" s="705"/>
      <c r="J10" s="705"/>
      <c r="K10" s="710"/>
      <c r="L10" s="705"/>
      <c r="M10" s="705"/>
      <c r="N10" s="705"/>
      <c r="O10" s="76" t="s">
        <v>1021</v>
      </c>
    </row>
    <row r="11" spans="1:15" ht="24" x14ac:dyDescent="0.3">
      <c r="A11" s="274"/>
      <c r="B11" s="277" t="s">
        <v>618</v>
      </c>
      <c r="C11" s="273"/>
      <c r="D11" s="243"/>
      <c r="E11" s="244"/>
      <c r="F11" s="244"/>
      <c r="G11" s="244"/>
      <c r="H11" s="244"/>
      <c r="I11" s="705"/>
      <c r="J11" s="705"/>
      <c r="K11" s="710"/>
      <c r="L11" s="705"/>
      <c r="M11" s="705"/>
      <c r="N11" s="705"/>
    </row>
    <row r="12" spans="1:15" x14ac:dyDescent="0.3">
      <c r="A12" s="274">
        <v>1.1000000000000001</v>
      </c>
      <c r="B12" s="278" t="s">
        <v>443</v>
      </c>
      <c r="C12" s="279" t="s">
        <v>111</v>
      </c>
      <c r="D12" s="588">
        <v>2</v>
      </c>
      <c r="E12" s="588">
        <v>195600</v>
      </c>
      <c r="F12" s="588">
        <f>$D12*E12</f>
        <v>391200</v>
      </c>
      <c r="G12" s="140">
        <f>D12</f>
        <v>2</v>
      </c>
      <c r="H12" s="140">
        <v>1</v>
      </c>
      <c r="I12" s="705">
        <f>J12-G12</f>
        <v>0</v>
      </c>
      <c r="J12" s="140">
        <f>HvacMb!H6</f>
        <v>2</v>
      </c>
      <c r="K12" s="89">
        <v>1</v>
      </c>
      <c r="L12" s="140">
        <f>E12*G12*H12</f>
        <v>391200</v>
      </c>
      <c r="M12" s="705">
        <f>N12-L12</f>
        <v>0</v>
      </c>
      <c r="N12" s="705">
        <f>E12*J12*K12</f>
        <v>391200</v>
      </c>
      <c r="O12" s="378"/>
    </row>
    <row r="13" spans="1:15" x14ac:dyDescent="0.3">
      <c r="A13" s="274"/>
      <c r="B13" s="273"/>
      <c r="C13" s="280"/>
      <c r="D13" s="234"/>
      <c r="E13" s="140"/>
      <c r="F13" s="140"/>
      <c r="G13" s="140"/>
      <c r="H13" s="140"/>
      <c r="I13" s="705">
        <f t="shared" ref="I13:I76" si="0">J13-G13</f>
        <v>0</v>
      </c>
      <c r="J13" s="140"/>
      <c r="K13" s="89"/>
      <c r="L13" s="140">
        <f t="shared" ref="L13:L76" si="1">E13*G13*H13</f>
        <v>0</v>
      </c>
      <c r="M13" s="705">
        <f t="shared" ref="M13:M76" si="2">N13-L13</f>
        <v>0</v>
      </c>
      <c r="N13" s="705">
        <f t="shared" ref="N13:N76" si="3">E13*J13*K13</f>
        <v>0</v>
      </c>
      <c r="O13" s="378"/>
    </row>
    <row r="14" spans="1:15" x14ac:dyDescent="0.3">
      <c r="A14" s="274"/>
      <c r="B14" s="281" t="s">
        <v>444</v>
      </c>
      <c r="C14" s="280"/>
      <c r="D14" s="234"/>
      <c r="E14" s="140"/>
      <c r="F14" s="140"/>
      <c r="G14" s="140"/>
      <c r="H14" s="140"/>
      <c r="I14" s="705">
        <f t="shared" si="0"/>
        <v>0</v>
      </c>
      <c r="J14" s="140"/>
      <c r="K14" s="89"/>
      <c r="L14" s="140">
        <f t="shared" si="1"/>
        <v>0</v>
      </c>
      <c r="M14" s="705">
        <f t="shared" si="2"/>
        <v>0</v>
      </c>
      <c r="N14" s="705">
        <f t="shared" si="3"/>
        <v>0</v>
      </c>
      <c r="O14" s="378"/>
    </row>
    <row r="15" spans="1:15" x14ac:dyDescent="0.3">
      <c r="A15" s="274"/>
      <c r="B15" s="273"/>
      <c r="C15" s="280"/>
      <c r="D15" s="243"/>
      <c r="E15" s="121"/>
      <c r="F15" s="121"/>
      <c r="G15" s="140"/>
      <c r="H15" s="121"/>
      <c r="I15" s="705">
        <f t="shared" si="0"/>
        <v>0</v>
      </c>
      <c r="J15" s="140"/>
      <c r="K15" s="90"/>
      <c r="L15" s="140">
        <f t="shared" si="1"/>
        <v>0</v>
      </c>
      <c r="M15" s="705">
        <f t="shared" si="2"/>
        <v>0</v>
      </c>
      <c r="N15" s="705">
        <f t="shared" si="3"/>
        <v>0</v>
      </c>
      <c r="O15" s="378"/>
    </row>
    <row r="16" spans="1:15" x14ac:dyDescent="0.3">
      <c r="A16" s="274">
        <v>2</v>
      </c>
      <c r="B16" s="273" t="s">
        <v>445</v>
      </c>
      <c r="C16" s="280"/>
      <c r="D16" s="243"/>
      <c r="E16" s="121"/>
      <c r="F16" s="121"/>
      <c r="G16" s="140"/>
      <c r="H16" s="121"/>
      <c r="I16" s="705">
        <f t="shared" si="0"/>
        <v>0</v>
      </c>
      <c r="J16" s="140"/>
      <c r="K16" s="90"/>
      <c r="L16" s="140">
        <f t="shared" si="1"/>
        <v>0</v>
      </c>
      <c r="M16" s="705">
        <f t="shared" si="2"/>
        <v>0</v>
      </c>
      <c r="N16" s="705">
        <f t="shared" si="3"/>
        <v>0</v>
      </c>
      <c r="O16" s="378"/>
    </row>
    <row r="17" spans="1:15" ht="24" x14ac:dyDescent="0.3">
      <c r="A17" s="274"/>
      <c r="B17" s="276" t="s">
        <v>619</v>
      </c>
      <c r="C17" s="280"/>
      <c r="D17" s="243"/>
      <c r="E17" s="121"/>
      <c r="F17" s="121"/>
      <c r="G17" s="140"/>
      <c r="H17" s="121"/>
      <c r="I17" s="705">
        <f t="shared" si="0"/>
        <v>0</v>
      </c>
      <c r="J17" s="140"/>
      <c r="K17" s="90"/>
      <c r="L17" s="140">
        <f t="shared" si="1"/>
        <v>0</v>
      </c>
      <c r="M17" s="705">
        <f t="shared" si="2"/>
        <v>0</v>
      </c>
      <c r="N17" s="705">
        <f t="shared" si="3"/>
        <v>0</v>
      </c>
      <c r="O17" s="378"/>
    </row>
    <row r="18" spans="1:15" ht="156" x14ac:dyDescent="0.3">
      <c r="A18" s="274"/>
      <c r="B18" s="282" t="s">
        <v>620</v>
      </c>
      <c r="C18" s="280"/>
      <c r="D18" s="243"/>
      <c r="E18" s="121"/>
      <c r="F18" s="121"/>
      <c r="G18" s="140"/>
      <c r="H18" s="121"/>
      <c r="I18" s="705">
        <f t="shared" si="0"/>
        <v>0</v>
      </c>
      <c r="J18" s="140"/>
      <c r="K18" s="90"/>
      <c r="L18" s="140">
        <f t="shared" si="1"/>
        <v>0</v>
      </c>
      <c r="M18" s="705">
        <f t="shared" si="2"/>
        <v>0</v>
      </c>
      <c r="N18" s="705">
        <f t="shared" si="3"/>
        <v>0</v>
      </c>
      <c r="O18" s="378"/>
    </row>
    <row r="19" spans="1:15" x14ac:dyDescent="0.3">
      <c r="A19" s="274">
        <v>2.1</v>
      </c>
      <c r="B19" s="273" t="s">
        <v>446</v>
      </c>
      <c r="C19" s="280" t="s">
        <v>111</v>
      </c>
      <c r="D19" s="243">
        <v>1</v>
      </c>
      <c r="E19" s="140">
        <v>230000</v>
      </c>
      <c r="F19" s="140">
        <f>$D19*E19</f>
        <v>230000</v>
      </c>
      <c r="G19" s="140">
        <f t="shared" ref="G19" si="4">D19</f>
        <v>1</v>
      </c>
      <c r="H19" s="140">
        <v>1</v>
      </c>
      <c r="I19" s="705">
        <f>J19-G19</f>
        <v>0</v>
      </c>
      <c r="J19" s="140">
        <f>HvacMb!H9</f>
        <v>1</v>
      </c>
      <c r="K19" s="651">
        <v>1</v>
      </c>
      <c r="L19" s="140">
        <f>E19*G19*H19</f>
        <v>230000</v>
      </c>
      <c r="M19" s="705">
        <f>N19-L19</f>
        <v>0</v>
      </c>
      <c r="N19" s="705">
        <f t="shared" si="3"/>
        <v>230000</v>
      </c>
      <c r="O19" s="378"/>
    </row>
    <row r="20" spans="1:15" x14ac:dyDescent="0.3">
      <c r="A20" s="274"/>
      <c r="B20" s="273"/>
      <c r="C20" s="280"/>
      <c r="D20" s="243"/>
      <c r="E20" s="140"/>
      <c r="F20" s="140"/>
      <c r="G20" s="140"/>
      <c r="H20" s="140"/>
      <c r="I20" s="705">
        <f t="shared" si="0"/>
        <v>0</v>
      </c>
      <c r="J20" s="140"/>
      <c r="K20" s="89"/>
      <c r="L20" s="140">
        <f t="shared" si="1"/>
        <v>0</v>
      </c>
      <c r="M20" s="705">
        <f t="shared" si="2"/>
        <v>0</v>
      </c>
      <c r="N20" s="705">
        <f t="shared" si="3"/>
        <v>0</v>
      </c>
      <c r="O20" s="378"/>
    </row>
    <row r="21" spans="1:15" x14ac:dyDescent="0.3">
      <c r="A21" s="274"/>
      <c r="B21" s="281" t="s">
        <v>444</v>
      </c>
      <c r="C21" s="280"/>
      <c r="D21" s="243"/>
      <c r="E21" s="140"/>
      <c r="F21" s="140"/>
      <c r="G21" s="140"/>
      <c r="H21" s="140"/>
      <c r="I21" s="705">
        <f t="shared" si="0"/>
        <v>0</v>
      </c>
      <c r="J21" s="140"/>
      <c r="K21" s="89"/>
      <c r="L21" s="140">
        <f t="shared" si="1"/>
        <v>0</v>
      </c>
      <c r="M21" s="705">
        <f t="shared" si="2"/>
        <v>0</v>
      </c>
      <c r="N21" s="705">
        <f t="shared" si="3"/>
        <v>0</v>
      </c>
      <c r="O21" s="378"/>
    </row>
    <row r="22" spans="1:15" x14ac:dyDescent="0.3">
      <c r="A22" s="274"/>
      <c r="B22" s="273"/>
      <c r="C22" s="280"/>
      <c r="D22" s="243"/>
      <c r="E22" s="121"/>
      <c r="F22" s="121"/>
      <c r="G22" s="140"/>
      <c r="H22" s="121"/>
      <c r="I22" s="705">
        <f t="shared" si="0"/>
        <v>0</v>
      </c>
      <c r="J22" s="140"/>
      <c r="K22" s="90"/>
      <c r="L22" s="140">
        <f t="shared" si="1"/>
        <v>0</v>
      </c>
      <c r="M22" s="705">
        <f t="shared" si="2"/>
        <v>0</v>
      </c>
      <c r="N22" s="705">
        <f t="shared" si="3"/>
        <v>0</v>
      </c>
      <c r="O22" s="378"/>
    </row>
    <row r="23" spans="1:15" x14ac:dyDescent="0.3">
      <c r="A23" s="274">
        <v>3</v>
      </c>
      <c r="B23" s="283" t="s">
        <v>447</v>
      </c>
      <c r="C23" s="280"/>
      <c r="D23" s="243"/>
      <c r="E23" s="121"/>
      <c r="F23" s="121"/>
      <c r="G23" s="140"/>
      <c r="H23" s="121"/>
      <c r="I23" s="705">
        <f t="shared" si="0"/>
        <v>0</v>
      </c>
      <c r="J23" s="140"/>
      <c r="K23" s="90"/>
      <c r="L23" s="140">
        <f t="shared" si="1"/>
        <v>0</v>
      </c>
      <c r="M23" s="705">
        <f t="shared" si="2"/>
        <v>0</v>
      </c>
      <c r="N23" s="705">
        <f t="shared" si="3"/>
        <v>0</v>
      </c>
      <c r="O23" s="378"/>
    </row>
    <row r="24" spans="1:15" ht="60" x14ac:dyDescent="0.3">
      <c r="A24" s="274"/>
      <c r="B24" s="284" t="s">
        <v>448</v>
      </c>
      <c r="C24" s="285"/>
      <c r="D24" s="243"/>
      <c r="E24" s="121"/>
      <c r="F24" s="121"/>
      <c r="G24" s="140"/>
      <c r="H24" s="121"/>
      <c r="I24" s="705">
        <f t="shared" si="0"/>
        <v>0</v>
      </c>
      <c r="J24" s="140"/>
      <c r="K24" s="90"/>
      <c r="L24" s="140">
        <f t="shared" si="1"/>
        <v>0</v>
      </c>
      <c r="M24" s="705">
        <f t="shared" si="2"/>
        <v>0</v>
      </c>
      <c r="N24" s="705">
        <f t="shared" si="3"/>
        <v>0</v>
      </c>
      <c r="O24" s="378"/>
    </row>
    <row r="25" spans="1:15" x14ac:dyDescent="0.3">
      <c r="A25" s="274"/>
      <c r="B25" s="286" t="s">
        <v>449</v>
      </c>
      <c r="C25" s="285"/>
      <c r="D25" s="243"/>
      <c r="E25" s="121"/>
      <c r="F25" s="121"/>
      <c r="G25" s="140"/>
      <c r="H25" s="121"/>
      <c r="I25" s="705">
        <f t="shared" si="0"/>
        <v>0</v>
      </c>
      <c r="J25" s="140"/>
      <c r="K25" s="90"/>
      <c r="L25" s="140">
        <f t="shared" si="1"/>
        <v>0</v>
      </c>
      <c r="M25" s="705">
        <f t="shared" si="2"/>
        <v>0</v>
      </c>
      <c r="N25" s="705">
        <f t="shared" si="3"/>
        <v>0</v>
      </c>
      <c r="O25" s="378"/>
    </row>
    <row r="26" spans="1:15" x14ac:dyDescent="0.3">
      <c r="A26" s="274">
        <v>3.1</v>
      </c>
      <c r="B26" s="287" t="s">
        <v>450</v>
      </c>
      <c r="C26" s="285" t="s">
        <v>111</v>
      </c>
      <c r="D26" s="243">
        <v>1</v>
      </c>
      <c r="E26" s="121">
        <v>321345</v>
      </c>
      <c r="F26" s="140">
        <f>$D26*E26</f>
        <v>321345</v>
      </c>
      <c r="G26" s="140">
        <f t="shared" ref="G26:G32" si="5">D26</f>
        <v>1</v>
      </c>
      <c r="H26" s="140">
        <v>1</v>
      </c>
      <c r="I26" s="705">
        <f t="shared" si="0"/>
        <v>0</v>
      </c>
      <c r="J26" s="140">
        <f>HvacMb!H12</f>
        <v>1</v>
      </c>
      <c r="K26" s="651">
        <v>1</v>
      </c>
      <c r="L26" s="140">
        <f t="shared" si="1"/>
        <v>321345</v>
      </c>
      <c r="M26" s="705">
        <f t="shared" si="2"/>
        <v>0</v>
      </c>
      <c r="N26" s="705">
        <f t="shared" si="3"/>
        <v>321345</v>
      </c>
      <c r="O26" s="378"/>
    </row>
    <row r="27" spans="1:15" x14ac:dyDescent="0.3">
      <c r="A27" s="274"/>
      <c r="B27" s="287"/>
      <c r="C27" s="285"/>
      <c r="D27" s="243"/>
      <c r="E27" s="121"/>
      <c r="F27" s="121"/>
      <c r="G27" s="140">
        <f t="shared" si="5"/>
        <v>0</v>
      </c>
      <c r="H27" s="121"/>
      <c r="I27" s="705">
        <f t="shared" si="0"/>
        <v>0</v>
      </c>
      <c r="J27" s="140"/>
      <c r="K27" s="90"/>
      <c r="L27" s="140">
        <f t="shared" si="1"/>
        <v>0</v>
      </c>
      <c r="M27" s="705">
        <f t="shared" si="2"/>
        <v>0</v>
      </c>
      <c r="N27" s="705">
        <f t="shared" si="3"/>
        <v>0</v>
      </c>
      <c r="O27" s="378"/>
    </row>
    <row r="28" spans="1:15" x14ac:dyDescent="0.3">
      <c r="A28" s="274">
        <v>4</v>
      </c>
      <c r="B28" s="283" t="s">
        <v>451</v>
      </c>
      <c r="C28" s="280"/>
      <c r="D28" s="243"/>
      <c r="E28" s="121"/>
      <c r="F28" s="121"/>
      <c r="G28" s="140">
        <f t="shared" si="5"/>
        <v>0</v>
      </c>
      <c r="H28" s="121"/>
      <c r="I28" s="705">
        <f t="shared" si="0"/>
        <v>0</v>
      </c>
      <c r="J28" s="140"/>
      <c r="K28" s="90"/>
      <c r="L28" s="140">
        <f t="shared" si="1"/>
        <v>0</v>
      </c>
      <c r="M28" s="705">
        <f t="shared" si="2"/>
        <v>0</v>
      </c>
      <c r="N28" s="705">
        <f t="shared" si="3"/>
        <v>0</v>
      </c>
      <c r="O28" s="378"/>
    </row>
    <row r="29" spans="1:15" ht="48" x14ac:dyDescent="0.3">
      <c r="A29" s="274"/>
      <c r="B29" s="284" t="s">
        <v>621</v>
      </c>
      <c r="C29" s="285"/>
      <c r="D29" s="243"/>
      <c r="E29" s="121"/>
      <c r="F29" s="121"/>
      <c r="G29" s="140">
        <f t="shared" si="5"/>
        <v>0</v>
      </c>
      <c r="H29" s="121"/>
      <c r="I29" s="705">
        <f t="shared" si="0"/>
        <v>0</v>
      </c>
      <c r="J29" s="140"/>
      <c r="K29" s="90"/>
      <c r="L29" s="140">
        <f t="shared" si="1"/>
        <v>0</v>
      </c>
      <c r="M29" s="705">
        <f t="shared" si="2"/>
        <v>0</v>
      </c>
      <c r="N29" s="705">
        <f t="shared" si="3"/>
        <v>0</v>
      </c>
      <c r="O29" s="378"/>
    </row>
    <row r="30" spans="1:15" x14ac:dyDescent="0.3">
      <c r="A30" s="274">
        <v>4.0999999999999996</v>
      </c>
      <c r="B30" s="287" t="s">
        <v>452</v>
      </c>
      <c r="C30" s="285" t="s">
        <v>111</v>
      </c>
      <c r="D30" s="243">
        <v>1</v>
      </c>
      <c r="E30" s="121">
        <v>219400</v>
      </c>
      <c r="F30" s="140">
        <f>$D30*E30</f>
        <v>219400</v>
      </c>
      <c r="G30" s="140">
        <f t="shared" si="5"/>
        <v>1</v>
      </c>
      <c r="H30" s="140">
        <v>1</v>
      </c>
      <c r="I30" s="705">
        <f t="shared" si="0"/>
        <v>0</v>
      </c>
      <c r="J30" s="140">
        <f>HvacMb!H15</f>
        <v>1</v>
      </c>
      <c r="K30" s="651">
        <v>1</v>
      </c>
      <c r="L30" s="140">
        <f t="shared" si="1"/>
        <v>219400</v>
      </c>
      <c r="M30" s="705">
        <f t="shared" si="2"/>
        <v>0</v>
      </c>
      <c r="N30" s="705">
        <f t="shared" si="3"/>
        <v>219400</v>
      </c>
      <c r="O30" s="378"/>
    </row>
    <row r="31" spans="1:15" x14ac:dyDescent="0.3">
      <c r="A31" s="274"/>
      <c r="B31" s="273"/>
      <c r="C31" s="280"/>
      <c r="D31" s="243"/>
      <c r="E31" s="121"/>
      <c r="F31" s="121"/>
      <c r="G31" s="140">
        <f t="shared" si="5"/>
        <v>0</v>
      </c>
      <c r="H31" s="121"/>
      <c r="I31" s="705">
        <f t="shared" si="0"/>
        <v>0</v>
      </c>
      <c r="J31" s="140"/>
      <c r="K31" s="90"/>
      <c r="L31" s="140">
        <f t="shared" si="1"/>
        <v>0</v>
      </c>
      <c r="M31" s="705">
        <f t="shared" si="2"/>
        <v>0</v>
      </c>
      <c r="N31" s="705">
        <f t="shared" si="3"/>
        <v>0</v>
      </c>
      <c r="O31" s="378"/>
    </row>
    <row r="32" spans="1:15" x14ac:dyDescent="0.3">
      <c r="A32" s="274"/>
      <c r="B32" s="281" t="s">
        <v>444</v>
      </c>
      <c r="C32" s="280"/>
      <c r="D32" s="234"/>
      <c r="E32" s="140"/>
      <c r="F32" s="140"/>
      <c r="G32" s="140">
        <f t="shared" si="5"/>
        <v>0</v>
      </c>
      <c r="H32" s="140"/>
      <c r="I32" s="705">
        <f t="shared" si="0"/>
        <v>0</v>
      </c>
      <c r="J32" s="140"/>
      <c r="K32" s="89"/>
      <c r="L32" s="140">
        <f t="shared" si="1"/>
        <v>0</v>
      </c>
      <c r="M32" s="705">
        <f t="shared" si="2"/>
        <v>0</v>
      </c>
      <c r="N32" s="705">
        <f t="shared" si="3"/>
        <v>0</v>
      </c>
      <c r="O32" s="378"/>
    </row>
    <row r="33" spans="1:15" x14ac:dyDescent="0.3">
      <c r="A33" s="274"/>
      <c r="B33" s="273"/>
      <c r="C33" s="280"/>
      <c r="D33" s="243"/>
      <c r="E33" s="121"/>
      <c r="F33" s="121"/>
      <c r="G33" s="140"/>
      <c r="H33" s="121"/>
      <c r="I33" s="705">
        <f t="shared" si="0"/>
        <v>0</v>
      </c>
      <c r="J33" s="140"/>
      <c r="K33" s="90"/>
      <c r="L33" s="140">
        <f t="shared" si="1"/>
        <v>0</v>
      </c>
      <c r="M33" s="705">
        <f t="shared" si="2"/>
        <v>0</v>
      </c>
      <c r="N33" s="705">
        <f t="shared" si="3"/>
        <v>0</v>
      </c>
      <c r="O33" s="378"/>
    </row>
    <row r="34" spans="1:15" x14ac:dyDescent="0.3">
      <c r="A34" s="288"/>
      <c r="B34" s="272" t="s">
        <v>453</v>
      </c>
      <c r="C34" s="280"/>
      <c r="D34" s="243"/>
      <c r="E34" s="121"/>
      <c r="F34" s="121"/>
      <c r="G34" s="140"/>
      <c r="H34" s="121"/>
      <c r="I34" s="705">
        <f t="shared" si="0"/>
        <v>0</v>
      </c>
      <c r="J34" s="140"/>
      <c r="K34" s="90"/>
      <c r="L34" s="140">
        <f t="shared" si="1"/>
        <v>0</v>
      </c>
      <c r="M34" s="705">
        <f t="shared" si="2"/>
        <v>0</v>
      </c>
      <c r="N34" s="705">
        <f t="shared" si="3"/>
        <v>0</v>
      </c>
      <c r="O34" s="378"/>
    </row>
    <row r="35" spans="1:15" x14ac:dyDescent="0.3">
      <c r="A35" s="274"/>
      <c r="B35" s="273"/>
      <c r="C35" s="280"/>
      <c r="D35" s="243"/>
      <c r="E35" s="121"/>
      <c r="F35" s="121"/>
      <c r="G35" s="140"/>
      <c r="H35" s="121"/>
      <c r="I35" s="705">
        <f t="shared" si="0"/>
        <v>0</v>
      </c>
      <c r="J35" s="140"/>
      <c r="K35" s="90"/>
      <c r="L35" s="140">
        <f t="shared" si="1"/>
        <v>0</v>
      </c>
      <c r="M35" s="705">
        <f t="shared" si="2"/>
        <v>0</v>
      </c>
      <c r="N35" s="705">
        <f t="shared" si="3"/>
        <v>0</v>
      </c>
      <c r="O35" s="378"/>
    </row>
    <row r="36" spans="1:15" x14ac:dyDescent="0.3">
      <c r="A36" s="274">
        <v>1</v>
      </c>
      <c r="B36" s="283" t="s">
        <v>454</v>
      </c>
      <c r="C36" s="280"/>
      <c r="D36" s="243"/>
      <c r="E36" s="121"/>
      <c r="F36" s="121"/>
      <c r="G36" s="140"/>
      <c r="H36" s="121"/>
      <c r="I36" s="705">
        <f t="shared" si="0"/>
        <v>0</v>
      </c>
      <c r="J36" s="140"/>
      <c r="K36" s="90"/>
      <c r="L36" s="140">
        <f t="shared" si="1"/>
        <v>0</v>
      </c>
      <c r="M36" s="705">
        <f t="shared" si="2"/>
        <v>0</v>
      </c>
      <c r="N36" s="705">
        <f t="shared" si="3"/>
        <v>0</v>
      </c>
      <c r="O36" s="378"/>
    </row>
    <row r="37" spans="1:15" ht="36" x14ac:dyDescent="0.3">
      <c r="A37" s="274"/>
      <c r="B37" s="276" t="s">
        <v>455</v>
      </c>
      <c r="C37" s="280"/>
      <c r="D37" s="243"/>
      <c r="E37" s="121"/>
      <c r="F37" s="121"/>
      <c r="G37" s="140"/>
      <c r="H37" s="121"/>
      <c r="I37" s="705">
        <f t="shared" si="0"/>
        <v>0</v>
      </c>
      <c r="J37" s="140"/>
      <c r="K37" s="90"/>
      <c r="L37" s="140">
        <f t="shared" si="1"/>
        <v>0</v>
      </c>
      <c r="M37" s="705">
        <f t="shared" si="2"/>
        <v>0</v>
      </c>
      <c r="N37" s="705">
        <f t="shared" si="3"/>
        <v>0</v>
      </c>
      <c r="O37" s="378"/>
    </row>
    <row r="38" spans="1:15" x14ac:dyDescent="0.3">
      <c r="A38" s="274">
        <v>1.1000000000000001</v>
      </c>
      <c r="B38" s="273" t="s">
        <v>456</v>
      </c>
      <c r="C38" s="280" t="s">
        <v>457</v>
      </c>
      <c r="D38" s="707">
        <v>80</v>
      </c>
      <c r="E38" s="588">
        <v>1500</v>
      </c>
      <c r="F38" s="140">
        <f t="shared" ref="F38:F40" si="6">$D38*E38</f>
        <v>120000</v>
      </c>
      <c r="G38" s="140">
        <f t="shared" ref="G38:G40" si="7">D38</f>
        <v>80</v>
      </c>
      <c r="H38" s="140">
        <v>0.85</v>
      </c>
      <c r="I38" s="705">
        <f t="shared" si="0"/>
        <v>-28.479999999999997</v>
      </c>
      <c r="J38" s="140">
        <f>HvacMb!H47</f>
        <v>51.52</v>
      </c>
      <c r="K38" s="651">
        <v>1</v>
      </c>
      <c r="L38" s="140">
        <f t="shared" si="1"/>
        <v>102000</v>
      </c>
      <c r="M38" s="705">
        <f t="shared" si="2"/>
        <v>-24720</v>
      </c>
      <c r="N38" s="705">
        <f t="shared" si="3"/>
        <v>77280</v>
      </c>
      <c r="O38" s="378"/>
    </row>
    <row r="39" spans="1:15" x14ac:dyDescent="0.3">
      <c r="A39" s="274">
        <v>1.2</v>
      </c>
      <c r="B39" s="273" t="s">
        <v>458</v>
      </c>
      <c r="C39" s="280" t="s">
        <v>457</v>
      </c>
      <c r="D39" s="707">
        <v>80</v>
      </c>
      <c r="E39" s="588">
        <v>1587</v>
      </c>
      <c r="F39" s="140">
        <f t="shared" si="6"/>
        <v>126960</v>
      </c>
      <c r="G39" s="140">
        <f t="shared" si="7"/>
        <v>80</v>
      </c>
      <c r="H39" s="140">
        <v>0.85</v>
      </c>
      <c r="I39" s="705">
        <f t="shared" si="0"/>
        <v>0.23000000000000398</v>
      </c>
      <c r="J39" s="140">
        <f>HvacMb!H77</f>
        <v>80.23</v>
      </c>
      <c r="K39" s="651">
        <v>1</v>
      </c>
      <c r="L39" s="140">
        <f t="shared" si="1"/>
        <v>107916</v>
      </c>
      <c r="M39" s="705">
        <f t="shared" si="2"/>
        <v>19409.010000000009</v>
      </c>
      <c r="N39" s="705">
        <f t="shared" si="3"/>
        <v>127325.01000000001</v>
      </c>
      <c r="O39" s="378"/>
    </row>
    <row r="40" spans="1:15" x14ac:dyDescent="0.3">
      <c r="A40" s="274">
        <v>1.3</v>
      </c>
      <c r="B40" s="273" t="s">
        <v>459</v>
      </c>
      <c r="C40" s="280" t="s">
        <v>457</v>
      </c>
      <c r="D40" s="707">
        <v>20</v>
      </c>
      <c r="E40" s="588">
        <v>1685</v>
      </c>
      <c r="F40" s="140">
        <f t="shared" si="6"/>
        <v>33700</v>
      </c>
      <c r="G40" s="140">
        <f t="shared" si="7"/>
        <v>20</v>
      </c>
      <c r="H40" s="140">
        <v>0.85</v>
      </c>
      <c r="I40" s="705">
        <f t="shared" si="0"/>
        <v>-20</v>
      </c>
      <c r="J40" s="140">
        <f>HvacMb!H79</f>
        <v>0</v>
      </c>
      <c r="K40" s="651">
        <v>0</v>
      </c>
      <c r="L40" s="140">
        <f t="shared" si="1"/>
        <v>28645</v>
      </c>
      <c r="M40" s="705">
        <f t="shared" si="2"/>
        <v>-28645</v>
      </c>
      <c r="N40" s="705">
        <f t="shared" si="3"/>
        <v>0</v>
      </c>
      <c r="O40" s="378"/>
    </row>
    <row r="41" spans="1:15" x14ac:dyDescent="0.3">
      <c r="A41" s="274"/>
      <c r="B41" s="272" t="s">
        <v>460</v>
      </c>
      <c r="C41" s="280"/>
      <c r="D41" s="243"/>
      <c r="E41" s="121"/>
      <c r="F41" s="121"/>
      <c r="G41" s="140"/>
      <c r="H41" s="140"/>
      <c r="I41" s="705">
        <f t="shared" si="0"/>
        <v>0</v>
      </c>
      <c r="J41" s="140"/>
      <c r="K41" s="89"/>
      <c r="L41" s="140">
        <f t="shared" si="1"/>
        <v>0</v>
      </c>
      <c r="M41" s="705">
        <f t="shared" si="2"/>
        <v>0</v>
      </c>
      <c r="N41" s="705">
        <f t="shared" si="3"/>
        <v>0</v>
      </c>
      <c r="O41" s="378"/>
    </row>
    <row r="42" spans="1:15" x14ac:dyDescent="0.3">
      <c r="A42" s="274"/>
      <c r="B42" s="272"/>
      <c r="C42" s="280"/>
      <c r="D42" s="243"/>
      <c r="E42" s="121"/>
      <c r="F42" s="121"/>
      <c r="G42" s="140"/>
      <c r="H42" s="140"/>
      <c r="I42" s="705">
        <f t="shared" si="0"/>
        <v>0</v>
      </c>
      <c r="J42" s="140"/>
      <c r="K42" s="89"/>
      <c r="L42" s="140">
        <f t="shared" si="1"/>
        <v>0</v>
      </c>
      <c r="M42" s="705">
        <f t="shared" si="2"/>
        <v>0</v>
      </c>
      <c r="N42" s="705">
        <f t="shared" si="3"/>
        <v>0</v>
      </c>
      <c r="O42" s="378"/>
    </row>
    <row r="43" spans="1:15" x14ac:dyDescent="0.3">
      <c r="A43" s="274">
        <v>2</v>
      </c>
      <c r="B43" s="283" t="s">
        <v>461</v>
      </c>
      <c r="C43" s="280"/>
      <c r="D43" s="243"/>
      <c r="E43" s="121"/>
      <c r="F43" s="121"/>
      <c r="G43" s="140"/>
      <c r="H43" s="140"/>
      <c r="I43" s="705">
        <f t="shared" si="0"/>
        <v>0</v>
      </c>
      <c r="J43" s="140"/>
      <c r="K43" s="89"/>
      <c r="L43" s="140">
        <f t="shared" si="1"/>
        <v>0</v>
      </c>
      <c r="M43" s="705">
        <f t="shared" si="2"/>
        <v>0</v>
      </c>
      <c r="N43" s="705">
        <f t="shared" si="3"/>
        <v>0</v>
      </c>
      <c r="O43" s="378"/>
    </row>
    <row r="44" spans="1:15" ht="72" x14ac:dyDescent="0.3">
      <c r="A44" s="274"/>
      <c r="B44" s="276" t="s">
        <v>462</v>
      </c>
      <c r="C44" s="280"/>
      <c r="D44" s="243"/>
      <c r="E44" s="121"/>
      <c r="F44" s="121"/>
      <c r="G44" s="140"/>
      <c r="H44" s="140"/>
      <c r="I44" s="705">
        <f t="shared" si="0"/>
        <v>0</v>
      </c>
      <c r="J44" s="140"/>
      <c r="K44" s="89"/>
      <c r="L44" s="140">
        <f t="shared" si="1"/>
        <v>0</v>
      </c>
      <c r="M44" s="705">
        <f t="shared" si="2"/>
        <v>0</v>
      </c>
      <c r="N44" s="705">
        <f t="shared" si="3"/>
        <v>0</v>
      </c>
      <c r="O44" s="378"/>
    </row>
    <row r="45" spans="1:15" x14ac:dyDescent="0.3">
      <c r="A45" s="274">
        <v>2.1</v>
      </c>
      <c r="B45" s="273" t="s">
        <v>456</v>
      </c>
      <c r="C45" s="280" t="s">
        <v>457</v>
      </c>
      <c r="D45" s="707">
        <v>40</v>
      </c>
      <c r="E45" s="588">
        <v>1585</v>
      </c>
      <c r="F45" s="140">
        <f t="shared" ref="F45:F46" si="8">$D45*E45</f>
        <v>63400</v>
      </c>
      <c r="G45" s="140">
        <f t="shared" ref="G45:G46" si="9">D45</f>
        <v>40</v>
      </c>
      <c r="H45" s="140">
        <v>0.9</v>
      </c>
      <c r="I45" s="705">
        <f t="shared" si="0"/>
        <v>-21.8</v>
      </c>
      <c r="J45" s="140">
        <f>HvacMb!H83</f>
        <v>18.2</v>
      </c>
      <c r="K45" s="651">
        <v>1</v>
      </c>
      <c r="L45" s="140">
        <f t="shared" si="1"/>
        <v>57060</v>
      </c>
      <c r="M45" s="705">
        <f t="shared" si="2"/>
        <v>-28213</v>
      </c>
      <c r="N45" s="705">
        <f t="shared" si="3"/>
        <v>28847</v>
      </c>
      <c r="O45" s="378"/>
    </row>
    <row r="46" spans="1:15" x14ac:dyDescent="0.3">
      <c r="A46" s="274">
        <v>2.2000000000000002</v>
      </c>
      <c r="B46" s="273" t="s">
        <v>458</v>
      </c>
      <c r="C46" s="280" t="s">
        <v>457</v>
      </c>
      <c r="D46" s="707">
        <v>40</v>
      </c>
      <c r="E46" s="588">
        <v>1683</v>
      </c>
      <c r="F46" s="140">
        <f t="shared" si="8"/>
        <v>67320</v>
      </c>
      <c r="G46" s="140">
        <f t="shared" si="9"/>
        <v>40</v>
      </c>
      <c r="H46" s="140">
        <v>0.9</v>
      </c>
      <c r="I46" s="705">
        <f t="shared" si="0"/>
        <v>-11</v>
      </c>
      <c r="J46" s="140">
        <f>HvacMb!H86</f>
        <v>29</v>
      </c>
      <c r="K46" s="651">
        <v>1</v>
      </c>
      <c r="L46" s="140">
        <f t="shared" si="1"/>
        <v>60588</v>
      </c>
      <c r="M46" s="705">
        <f t="shared" si="2"/>
        <v>-11781</v>
      </c>
      <c r="N46" s="705">
        <f t="shared" si="3"/>
        <v>48807</v>
      </c>
      <c r="O46" s="378"/>
    </row>
    <row r="47" spans="1:15" x14ac:dyDescent="0.3">
      <c r="A47" s="274"/>
      <c r="B47" s="272" t="s">
        <v>460</v>
      </c>
      <c r="C47" s="280"/>
      <c r="D47" s="243"/>
      <c r="E47" s="121"/>
      <c r="F47" s="121"/>
      <c r="G47" s="140"/>
      <c r="H47" s="140"/>
      <c r="I47" s="705">
        <f t="shared" si="0"/>
        <v>0</v>
      </c>
      <c r="J47" s="140"/>
      <c r="K47" s="89"/>
      <c r="L47" s="140">
        <f t="shared" si="1"/>
        <v>0</v>
      </c>
      <c r="M47" s="705">
        <f t="shared" si="2"/>
        <v>0</v>
      </c>
      <c r="N47" s="705">
        <f t="shared" si="3"/>
        <v>0</v>
      </c>
      <c r="O47" s="378"/>
    </row>
    <row r="48" spans="1:15" x14ac:dyDescent="0.3">
      <c r="A48" s="274"/>
      <c r="B48" s="272"/>
      <c r="C48" s="280"/>
      <c r="D48" s="243"/>
      <c r="E48" s="121"/>
      <c r="F48" s="121"/>
      <c r="G48" s="140"/>
      <c r="H48" s="140"/>
      <c r="I48" s="705">
        <f t="shared" si="0"/>
        <v>0</v>
      </c>
      <c r="J48" s="140"/>
      <c r="K48" s="89"/>
      <c r="L48" s="140">
        <f t="shared" si="1"/>
        <v>0</v>
      </c>
      <c r="M48" s="705">
        <f t="shared" si="2"/>
        <v>0</v>
      </c>
      <c r="N48" s="705">
        <f t="shared" si="3"/>
        <v>0</v>
      </c>
      <c r="O48" s="378"/>
    </row>
    <row r="49" spans="1:15" x14ac:dyDescent="0.3">
      <c r="A49" s="274">
        <v>3</v>
      </c>
      <c r="B49" s="283" t="s">
        <v>463</v>
      </c>
      <c r="C49" s="280"/>
      <c r="D49" s="243"/>
      <c r="E49" s="121"/>
      <c r="F49" s="121"/>
      <c r="G49" s="140"/>
      <c r="H49" s="140"/>
      <c r="I49" s="705">
        <f t="shared" si="0"/>
        <v>0</v>
      </c>
      <c r="J49" s="140"/>
      <c r="K49" s="89"/>
      <c r="L49" s="140">
        <f t="shared" si="1"/>
        <v>0</v>
      </c>
      <c r="M49" s="705">
        <f t="shared" si="2"/>
        <v>0</v>
      </c>
      <c r="N49" s="705">
        <f t="shared" si="3"/>
        <v>0</v>
      </c>
      <c r="O49" s="378"/>
    </row>
    <row r="50" spans="1:15" ht="24" x14ac:dyDescent="0.3">
      <c r="A50" s="274">
        <v>3.1</v>
      </c>
      <c r="B50" s="276" t="s">
        <v>622</v>
      </c>
      <c r="C50" s="280" t="s">
        <v>464</v>
      </c>
      <c r="D50" s="707">
        <v>6</v>
      </c>
      <c r="E50" s="588">
        <v>6122</v>
      </c>
      <c r="F50" s="140">
        <f>$D50*E50</f>
        <v>36732</v>
      </c>
      <c r="G50" s="140">
        <f t="shared" ref="G50" si="10">D50</f>
        <v>6</v>
      </c>
      <c r="H50" s="140">
        <v>0</v>
      </c>
      <c r="I50" s="705">
        <f t="shared" si="0"/>
        <v>-4.08</v>
      </c>
      <c r="J50" s="140">
        <f>HvacMb!H97</f>
        <v>1.92</v>
      </c>
      <c r="K50" s="651">
        <v>1</v>
      </c>
      <c r="L50" s="140">
        <f t="shared" si="1"/>
        <v>0</v>
      </c>
      <c r="M50" s="705">
        <f t="shared" si="2"/>
        <v>11754.24</v>
      </c>
      <c r="N50" s="705">
        <f t="shared" si="3"/>
        <v>11754.24</v>
      </c>
      <c r="O50" s="378"/>
    </row>
    <row r="51" spans="1:15" x14ac:dyDescent="0.3">
      <c r="A51" s="274"/>
      <c r="B51" s="86"/>
      <c r="C51" s="280"/>
      <c r="D51" s="243"/>
      <c r="E51" s="121"/>
      <c r="F51" s="121"/>
      <c r="G51" s="140"/>
      <c r="H51" s="140"/>
      <c r="I51" s="705">
        <f t="shared" si="0"/>
        <v>0</v>
      </c>
      <c r="J51" s="140">
        <f>HvacMb!H96</f>
        <v>0</v>
      </c>
      <c r="K51" s="89"/>
      <c r="L51" s="140">
        <f t="shared" si="1"/>
        <v>0</v>
      </c>
      <c r="M51" s="705">
        <f t="shared" si="2"/>
        <v>0</v>
      </c>
      <c r="N51" s="705">
        <f t="shared" si="3"/>
        <v>0</v>
      </c>
      <c r="O51" s="378"/>
    </row>
    <row r="52" spans="1:15" x14ac:dyDescent="0.3">
      <c r="A52" s="274">
        <v>4</v>
      </c>
      <c r="B52" s="283" t="s">
        <v>465</v>
      </c>
      <c r="C52" s="289"/>
      <c r="D52" s="234"/>
      <c r="E52" s="121"/>
      <c r="F52" s="121"/>
      <c r="G52" s="140"/>
      <c r="H52" s="140"/>
      <c r="I52" s="705">
        <f t="shared" si="0"/>
        <v>0</v>
      </c>
      <c r="J52" s="140">
        <f>HvacMb!H99</f>
        <v>0</v>
      </c>
      <c r="K52" s="89"/>
      <c r="L52" s="140">
        <f t="shared" si="1"/>
        <v>0</v>
      </c>
      <c r="M52" s="705">
        <f t="shared" si="2"/>
        <v>0</v>
      </c>
      <c r="N52" s="705">
        <f t="shared" si="3"/>
        <v>0</v>
      </c>
      <c r="O52" s="378"/>
    </row>
    <row r="53" spans="1:15" ht="102" customHeight="1" x14ac:dyDescent="0.3">
      <c r="A53" s="274"/>
      <c r="B53" s="276" t="s">
        <v>466</v>
      </c>
      <c r="C53" s="290"/>
      <c r="D53" s="234"/>
      <c r="E53" s="121"/>
      <c r="F53" s="121"/>
      <c r="G53" s="140"/>
      <c r="H53" s="140"/>
      <c r="I53" s="705">
        <f t="shared" si="0"/>
        <v>0</v>
      </c>
      <c r="J53" s="140">
        <f>HvacMb!H100</f>
        <v>0</v>
      </c>
      <c r="K53" s="89"/>
      <c r="L53" s="140">
        <f t="shared" si="1"/>
        <v>0</v>
      </c>
      <c r="M53" s="705">
        <f t="shared" si="2"/>
        <v>0</v>
      </c>
      <c r="N53" s="705">
        <f t="shared" si="3"/>
        <v>0</v>
      </c>
      <c r="O53" s="378"/>
    </row>
    <row r="54" spans="1:15" x14ac:dyDescent="0.3">
      <c r="A54" s="274">
        <v>4.0999999999999996</v>
      </c>
      <c r="B54" s="273" t="s">
        <v>467</v>
      </c>
      <c r="C54" s="280" t="s">
        <v>468</v>
      </c>
      <c r="D54" s="707">
        <v>10</v>
      </c>
      <c r="E54" s="588">
        <v>7560</v>
      </c>
      <c r="F54" s="140">
        <f t="shared" ref="F54:F55" si="11">$D54*E54</f>
        <v>75600</v>
      </c>
      <c r="G54" s="140">
        <f t="shared" ref="G54:G55" si="12">D54</f>
        <v>10</v>
      </c>
      <c r="H54" s="140">
        <v>0</v>
      </c>
      <c r="I54" s="705">
        <f t="shared" si="0"/>
        <v>-8.995000000000001</v>
      </c>
      <c r="J54" s="140">
        <f>HvacMb!H101</f>
        <v>1.0049999999999999</v>
      </c>
      <c r="K54" s="651">
        <v>1</v>
      </c>
      <c r="L54" s="140">
        <f t="shared" si="1"/>
        <v>0</v>
      </c>
      <c r="M54" s="705">
        <f t="shared" si="2"/>
        <v>7597.7999999999993</v>
      </c>
      <c r="N54" s="705">
        <f t="shared" si="3"/>
        <v>7597.7999999999993</v>
      </c>
      <c r="O54" s="378"/>
    </row>
    <row r="55" spans="1:15" x14ac:dyDescent="0.3">
      <c r="A55" s="274">
        <v>4.2</v>
      </c>
      <c r="B55" s="273" t="s">
        <v>469</v>
      </c>
      <c r="C55" s="280" t="s">
        <v>470</v>
      </c>
      <c r="D55" s="707">
        <v>4</v>
      </c>
      <c r="E55" s="588">
        <v>8670</v>
      </c>
      <c r="F55" s="140">
        <f t="shared" si="11"/>
        <v>34680</v>
      </c>
      <c r="G55" s="140">
        <f t="shared" si="12"/>
        <v>4</v>
      </c>
      <c r="H55" s="140">
        <v>0</v>
      </c>
      <c r="I55" s="705">
        <f t="shared" si="0"/>
        <v>-2</v>
      </c>
      <c r="J55" s="140">
        <f>HvacMb!H102</f>
        <v>2</v>
      </c>
      <c r="K55" s="651">
        <v>1</v>
      </c>
      <c r="L55" s="140">
        <f t="shared" si="1"/>
        <v>0</v>
      </c>
      <c r="M55" s="705">
        <f t="shared" si="2"/>
        <v>17340</v>
      </c>
      <c r="N55" s="705">
        <f t="shared" si="3"/>
        <v>17340</v>
      </c>
      <c r="O55" s="378"/>
    </row>
    <row r="56" spans="1:15" x14ac:dyDescent="0.3">
      <c r="A56" s="274"/>
      <c r="B56" s="86"/>
      <c r="C56" s="280"/>
      <c r="D56" s="243"/>
      <c r="E56" s="121"/>
      <c r="F56" s="121"/>
      <c r="G56" s="140"/>
      <c r="H56" s="140"/>
      <c r="I56" s="705">
        <f t="shared" si="0"/>
        <v>0</v>
      </c>
      <c r="J56" s="140">
        <f>HvacMb!H103</f>
        <v>0</v>
      </c>
      <c r="K56" s="89"/>
      <c r="L56" s="140">
        <f t="shared" si="1"/>
        <v>0</v>
      </c>
      <c r="M56" s="705">
        <f t="shared" si="2"/>
        <v>0</v>
      </c>
      <c r="N56" s="705">
        <f t="shared" si="3"/>
        <v>0</v>
      </c>
      <c r="O56" s="378"/>
    </row>
    <row r="57" spans="1:15" x14ac:dyDescent="0.3">
      <c r="A57" s="274">
        <v>5</v>
      </c>
      <c r="B57" s="283" t="s">
        <v>471</v>
      </c>
      <c r="C57" s="280"/>
      <c r="D57" s="243"/>
      <c r="E57" s="121"/>
      <c r="F57" s="121"/>
      <c r="G57" s="140"/>
      <c r="H57" s="140"/>
      <c r="I57" s="705">
        <f t="shared" si="0"/>
        <v>0</v>
      </c>
      <c r="J57" s="140">
        <f>HvacMb!H104</f>
        <v>0</v>
      </c>
      <c r="K57" s="89"/>
      <c r="L57" s="140">
        <f t="shared" si="1"/>
        <v>0</v>
      </c>
      <c r="M57" s="705">
        <f t="shared" si="2"/>
        <v>0</v>
      </c>
      <c r="N57" s="705">
        <f t="shared" si="3"/>
        <v>0</v>
      </c>
      <c r="O57" s="378"/>
    </row>
    <row r="58" spans="1:15" ht="24" x14ac:dyDescent="0.3">
      <c r="A58" s="274"/>
      <c r="B58" s="276" t="s">
        <v>623</v>
      </c>
      <c r="C58" s="280" t="s">
        <v>457</v>
      </c>
      <c r="D58" s="707">
        <v>10</v>
      </c>
      <c r="E58" s="588">
        <v>5800</v>
      </c>
      <c r="F58" s="140">
        <f>$D58*E58</f>
        <v>58000</v>
      </c>
      <c r="G58" s="140">
        <f t="shared" ref="G58" si="13">D58</f>
        <v>10</v>
      </c>
      <c r="H58" s="140">
        <v>0</v>
      </c>
      <c r="I58" s="705">
        <f t="shared" si="0"/>
        <v>-5.8049999999999997</v>
      </c>
      <c r="J58" s="140">
        <f>HvacMb!H110</f>
        <v>4.1950000000000003</v>
      </c>
      <c r="K58" s="651">
        <v>1</v>
      </c>
      <c r="L58" s="140">
        <f t="shared" si="1"/>
        <v>0</v>
      </c>
      <c r="M58" s="705">
        <f t="shared" si="2"/>
        <v>24331</v>
      </c>
      <c r="N58" s="705">
        <f t="shared" si="3"/>
        <v>24331</v>
      </c>
      <c r="O58" s="378"/>
    </row>
    <row r="59" spans="1:15" x14ac:dyDescent="0.3">
      <c r="A59" s="274"/>
      <c r="B59" s="273"/>
      <c r="C59" s="280"/>
      <c r="D59" s="707"/>
      <c r="E59" s="707"/>
      <c r="F59" s="121"/>
      <c r="G59" s="140"/>
      <c r="H59" s="140"/>
      <c r="I59" s="705">
        <f t="shared" si="0"/>
        <v>0</v>
      </c>
      <c r="J59" s="140">
        <f>HvacMb!H111</f>
        <v>0</v>
      </c>
      <c r="K59" s="89"/>
      <c r="L59" s="140">
        <f t="shared" si="1"/>
        <v>0</v>
      </c>
      <c r="M59" s="705">
        <f t="shared" si="2"/>
        <v>0</v>
      </c>
      <c r="N59" s="705">
        <f t="shared" si="3"/>
        <v>0</v>
      </c>
      <c r="O59" s="378"/>
    </row>
    <row r="60" spans="1:15" x14ac:dyDescent="0.3">
      <c r="A60" s="274">
        <v>6</v>
      </c>
      <c r="B60" s="283" t="s">
        <v>472</v>
      </c>
      <c r="C60" s="280"/>
      <c r="D60" s="707"/>
      <c r="E60" s="707"/>
      <c r="F60" s="121"/>
      <c r="G60" s="140"/>
      <c r="H60" s="140"/>
      <c r="I60" s="705">
        <f t="shared" si="0"/>
        <v>0</v>
      </c>
      <c r="J60" s="140">
        <f>HvacMb!H112</f>
        <v>0</v>
      </c>
      <c r="K60" s="89"/>
      <c r="L60" s="140">
        <f t="shared" si="1"/>
        <v>0</v>
      </c>
      <c r="M60" s="705">
        <f t="shared" si="2"/>
        <v>0</v>
      </c>
      <c r="N60" s="705">
        <f t="shared" si="3"/>
        <v>0</v>
      </c>
      <c r="O60" s="378"/>
    </row>
    <row r="61" spans="1:15" ht="76.5" customHeight="1" x14ac:dyDescent="0.3">
      <c r="A61" s="274"/>
      <c r="B61" s="276" t="s">
        <v>473</v>
      </c>
      <c r="C61" s="280" t="s">
        <v>464</v>
      </c>
      <c r="D61" s="707">
        <v>4</v>
      </c>
      <c r="E61" s="588">
        <v>6122</v>
      </c>
      <c r="F61" s="140">
        <f>$D61*E61</f>
        <v>24488</v>
      </c>
      <c r="G61" s="140">
        <f t="shared" ref="G61" si="14">D61</f>
        <v>4</v>
      </c>
      <c r="H61" s="140">
        <v>1</v>
      </c>
      <c r="I61" s="705">
        <f t="shared" si="0"/>
        <v>-2.08</v>
      </c>
      <c r="J61" s="140">
        <f>HvacMb!H116</f>
        <v>1.92</v>
      </c>
      <c r="K61" s="651">
        <v>1</v>
      </c>
      <c r="L61" s="140">
        <f t="shared" si="1"/>
        <v>24488</v>
      </c>
      <c r="M61" s="705">
        <f t="shared" si="2"/>
        <v>-12733.76</v>
      </c>
      <c r="N61" s="705">
        <f t="shared" si="3"/>
        <v>11754.24</v>
      </c>
      <c r="O61" s="378"/>
    </row>
    <row r="62" spans="1:15" x14ac:dyDescent="0.3">
      <c r="A62" s="274"/>
      <c r="B62" s="273"/>
      <c r="C62" s="280"/>
      <c r="D62" s="707"/>
      <c r="E62" s="588"/>
      <c r="F62" s="140"/>
      <c r="G62" s="140"/>
      <c r="H62" s="140"/>
      <c r="I62" s="705">
        <f t="shared" si="0"/>
        <v>0</v>
      </c>
      <c r="J62" s="140"/>
      <c r="K62" s="89"/>
      <c r="L62" s="140">
        <f t="shared" si="1"/>
        <v>0</v>
      </c>
      <c r="M62" s="705">
        <f t="shared" si="2"/>
        <v>0</v>
      </c>
      <c r="N62" s="705">
        <f t="shared" si="3"/>
        <v>0</v>
      </c>
      <c r="O62" s="378"/>
    </row>
    <row r="63" spans="1:15" x14ac:dyDescent="0.3">
      <c r="A63" s="274">
        <v>7</v>
      </c>
      <c r="B63" s="291" t="s">
        <v>474</v>
      </c>
      <c r="C63" s="292"/>
      <c r="D63" s="588"/>
      <c r="E63" s="588"/>
      <c r="F63" s="140"/>
      <c r="G63" s="140"/>
      <c r="H63" s="140"/>
      <c r="I63" s="705">
        <f t="shared" si="0"/>
        <v>0</v>
      </c>
      <c r="J63" s="140"/>
      <c r="K63" s="89"/>
      <c r="L63" s="140">
        <f t="shared" si="1"/>
        <v>0</v>
      </c>
      <c r="M63" s="705">
        <f t="shared" si="2"/>
        <v>0</v>
      </c>
      <c r="N63" s="705">
        <f t="shared" si="3"/>
        <v>0</v>
      </c>
      <c r="O63" s="378"/>
    </row>
    <row r="64" spans="1:15" ht="48" x14ac:dyDescent="0.3">
      <c r="A64" s="274"/>
      <c r="B64" s="293" t="s">
        <v>475</v>
      </c>
      <c r="C64" s="280" t="s">
        <v>111</v>
      </c>
      <c r="D64" s="707">
        <v>5</v>
      </c>
      <c r="E64" s="588">
        <v>2344</v>
      </c>
      <c r="F64" s="140">
        <f>$D64*E64</f>
        <v>11720</v>
      </c>
      <c r="G64" s="140">
        <f t="shared" ref="G64" si="15">D64</f>
        <v>5</v>
      </c>
      <c r="H64" s="140">
        <v>0</v>
      </c>
      <c r="I64" s="705">
        <f t="shared" si="0"/>
        <v>-3</v>
      </c>
      <c r="J64" s="140">
        <f>HvacMb!H118</f>
        <v>2</v>
      </c>
      <c r="K64" s="651">
        <v>1</v>
      </c>
      <c r="L64" s="140">
        <f t="shared" si="1"/>
        <v>0</v>
      </c>
      <c r="M64" s="705">
        <f t="shared" si="2"/>
        <v>4688</v>
      </c>
      <c r="N64" s="705">
        <f t="shared" si="3"/>
        <v>4688</v>
      </c>
      <c r="O64" s="378"/>
    </row>
    <row r="65" spans="1:15" x14ac:dyDescent="0.3">
      <c r="A65" s="274"/>
      <c r="B65" s="294"/>
      <c r="C65" s="292"/>
      <c r="D65" s="588"/>
      <c r="E65" s="588"/>
      <c r="F65" s="140"/>
      <c r="G65" s="140"/>
      <c r="H65" s="140"/>
      <c r="I65" s="705">
        <f t="shared" si="0"/>
        <v>0</v>
      </c>
      <c r="J65" s="140"/>
      <c r="K65" s="89"/>
      <c r="L65" s="140">
        <f t="shared" si="1"/>
        <v>0</v>
      </c>
      <c r="M65" s="705">
        <f t="shared" si="2"/>
        <v>0</v>
      </c>
      <c r="N65" s="705">
        <f t="shared" si="3"/>
        <v>0</v>
      </c>
      <c r="O65" s="378"/>
    </row>
    <row r="66" spans="1:15" x14ac:dyDescent="0.3">
      <c r="A66" s="274">
        <v>8</v>
      </c>
      <c r="B66" s="283" t="s">
        <v>476</v>
      </c>
      <c r="C66" s="290"/>
      <c r="D66" s="588"/>
      <c r="E66" s="588"/>
      <c r="F66" s="140"/>
      <c r="G66" s="140"/>
      <c r="H66" s="140"/>
      <c r="I66" s="705">
        <f t="shared" si="0"/>
        <v>0</v>
      </c>
      <c r="J66" s="140"/>
      <c r="K66" s="89"/>
      <c r="L66" s="140">
        <f t="shared" si="1"/>
        <v>0</v>
      </c>
      <c r="M66" s="705">
        <f t="shared" si="2"/>
        <v>0</v>
      </c>
      <c r="N66" s="705">
        <f t="shared" si="3"/>
        <v>0</v>
      </c>
      <c r="O66" s="378"/>
    </row>
    <row r="67" spans="1:15" ht="48" x14ac:dyDescent="0.3">
      <c r="A67" s="274"/>
      <c r="B67" s="276" t="s">
        <v>477</v>
      </c>
      <c r="C67" s="290"/>
      <c r="D67" s="588"/>
      <c r="E67" s="588"/>
      <c r="F67" s="140"/>
      <c r="G67" s="140"/>
      <c r="H67" s="140"/>
      <c r="I67" s="705">
        <f t="shared" si="0"/>
        <v>0</v>
      </c>
      <c r="J67" s="140"/>
      <c r="K67" s="89"/>
      <c r="L67" s="140">
        <f t="shared" si="1"/>
        <v>0</v>
      </c>
      <c r="M67" s="705">
        <f t="shared" si="2"/>
        <v>0</v>
      </c>
      <c r="N67" s="705">
        <f t="shared" si="3"/>
        <v>0</v>
      </c>
      <c r="O67" s="378"/>
    </row>
    <row r="68" spans="1:15" x14ac:dyDescent="0.3">
      <c r="A68" s="274"/>
      <c r="B68" s="276" t="s">
        <v>478</v>
      </c>
      <c r="C68" s="280" t="s">
        <v>479</v>
      </c>
      <c r="D68" s="588">
        <v>20</v>
      </c>
      <c r="E68" s="588">
        <v>653</v>
      </c>
      <c r="F68" s="140">
        <f>$D68*E68</f>
        <v>13060</v>
      </c>
      <c r="G68" s="140">
        <f t="shared" ref="G68" si="16">D68</f>
        <v>20</v>
      </c>
      <c r="H68" s="140">
        <v>0.5</v>
      </c>
      <c r="I68" s="705">
        <f>J68-G68</f>
        <v>-20</v>
      </c>
      <c r="J68" s="140">
        <f>HvacMb!H122</f>
        <v>0</v>
      </c>
      <c r="K68" s="89">
        <v>0</v>
      </c>
      <c r="L68" s="140">
        <f t="shared" si="1"/>
        <v>6530</v>
      </c>
      <c r="M68" s="705">
        <f t="shared" si="2"/>
        <v>-6530</v>
      </c>
      <c r="N68" s="705">
        <f t="shared" si="3"/>
        <v>0</v>
      </c>
      <c r="O68" s="378"/>
    </row>
    <row r="69" spans="1:15" x14ac:dyDescent="0.3">
      <c r="A69" s="274"/>
      <c r="B69" s="273"/>
      <c r="C69" s="280"/>
      <c r="D69" s="707"/>
      <c r="E69" s="707"/>
      <c r="F69" s="121"/>
      <c r="G69" s="140"/>
      <c r="H69" s="140"/>
      <c r="I69" s="705">
        <f t="shared" si="0"/>
        <v>0</v>
      </c>
      <c r="J69" s="140">
        <f>HvacMb!H123</f>
        <v>0</v>
      </c>
      <c r="K69" s="89"/>
      <c r="L69" s="140">
        <f t="shared" si="1"/>
        <v>0</v>
      </c>
      <c r="M69" s="705">
        <f t="shared" si="2"/>
        <v>0</v>
      </c>
      <c r="N69" s="705">
        <f t="shared" si="3"/>
        <v>0</v>
      </c>
      <c r="O69" s="378"/>
    </row>
    <row r="70" spans="1:15" x14ac:dyDescent="0.3">
      <c r="A70" s="295">
        <v>9</v>
      </c>
      <c r="B70" s="283" t="s">
        <v>480</v>
      </c>
      <c r="C70" s="296"/>
      <c r="D70" s="708"/>
      <c r="E70" s="708"/>
      <c r="F70" s="231"/>
      <c r="G70" s="140"/>
      <c r="H70" s="140"/>
      <c r="I70" s="705">
        <f t="shared" si="0"/>
        <v>0</v>
      </c>
      <c r="J70" s="140">
        <f>HvacMb!H124</f>
        <v>0</v>
      </c>
      <c r="K70" s="89"/>
      <c r="L70" s="140">
        <f t="shared" si="1"/>
        <v>0</v>
      </c>
      <c r="M70" s="705">
        <f t="shared" si="2"/>
        <v>0</v>
      </c>
      <c r="N70" s="705">
        <f t="shared" si="3"/>
        <v>0</v>
      </c>
      <c r="O70" s="378"/>
    </row>
    <row r="71" spans="1:15" x14ac:dyDescent="0.3">
      <c r="A71" s="295"/>
      <c r="B71" s="272" t="s">
        <v>481</v>
      </c>
      <c r="C71" s="296"/>
      <c r="D71" s="708"/>
      <c r="E71" s="708"/>
      <c r="F71" s="231"/>
      <c r="G71" s="140"/>
      <c r="H71" s="140"/>
      <c r="I71" s="705">
        <f t="shared" si="0"/>
        <v>0</v>
      </c>
      <c r="J71" s="140">
        <f>HvacMb!H125</f>
        <v>0</v>
      </c>
      <c r="K71" s="89"/>
      <c r="L71" s="140">
        <f t="shared" si="1"/>
        <v>0</v>
      </c>
      <c r="M71" s="705">
        <f t="shared" si="2"/>
        <v>0</v>
      </c>
      <c r="N71" s="705">
        <f t="shared" si="3"/>
        <v>0</v>
      </c>
      <c r="O71" s="378"/>
    </row>
    <row r="72" spans="1:15" ht="48" x14ac:dyDescent="0.3">
      <c r="A72" s="295"/>
      <c r="B72" s="282" t="s">
        <v>482</v>
      </c>
      <c r="C72" s="296"/>
      <c r="D72" s="708"/>
      <c r="E72" s="708"/>
      <c r="F72" s="231"/>
      <c r="G72" s="140"/>
      <c r="H72" s="140"/>
      <c r="I72" s="705">
        <f t="shared" si="0"/>
        <v>0</v>
      </c>
      <c r="J72" s="140">
        <f>HvacMb!H126</f>
        <v>0</v>
      </c>
      <c r="K72" s="89"/>
      <c r="L72" s="140">
        <f t="shared" si="1"/>
        <v>0</v>
      </c>
      <c r="M72" s="705">
        <f t="shared" si="2"/>
        <v>0</v>
      </c>
      <c r="N72" s="705">
        <f t="shared" si="3"/>
        <v>0</v>
      </c>
      <c r="O72" s="378"/>
    </row>
    <row r="73" spans="1:15" x14ac:dyDescent="0.3">
      <c r="A73" s="295">
        <v>9.1999999999999993</v>
      </c>
      <c r="B73" s="297" t="s">
        <v>483</v>
      </c>
      <c r="C73" s="298" t="s">
        <v>464</v>
      </c>
      <c r="D73" s="709">
        <v>50</v>
      </c>
      <c r="E73" s="588">
        <v>655</v>
      </c>
      <c r="F73" s="140">
        <f>$D73*E73</f>
        <v>32750</v>
      </c>
      <c r="G73" s="140">
        <f t="shared" ref="G73" si="17">D73</f>
        <v>50</v>
      </c>
      <c r="H73" s="140">
        <v>0.7</v>
      </c>
      <c r="I73" s="705">
        <f t="shared" si="0"/>
        <v>33.186999999999998</v>
      </c>
      <c r="J73" s="140">
        <f>HvacMb!H127</f>
        <v>83.186999999999998</v>
      </c>
      <c r="K73" s="651">
        <v>1</v>
      </c>
      <c r="L73" s="140">
        <f t="shared" si="1"/>
        <v>22925</v>
      </c>
      <c r="M73" s="705">
        <f t="shared" si="2"/>
        <v>31562.485000000001</v>
      </c>
      <c r="N73" s="705">
        <f t="shared" si="3"/>
        <v>54487.485000000001</v>
      </c>
      <c r="O73" s="378"/>
    </row>
    <row r="74" spans="1:15" x14ac:dyDescent="0.3">
      <c r="A74" s="295"/>
      <c r="B74" s="282"/>
      <c r="C74" s="280"/>
      <c r="D74" s="708"/>
      <c r="E74" s="708"/>
      <c r="F74" s="231"/>
      <c r="G74" s="140"/>
      <c r="H74" s="140"/>
      <c r="I74" s="705">
        <f t="shared" si="0"/>
        <v>0</v>
      </c>
      <c r="J74" s="140"/>
      <c r="K74" s="89"/>
      <c r="L74" s="140">
        <f t="shared" si="1"/>
        <v>0</v>
      </c>
      <c r="M74" s="705">
        <f t="shared" si="2"/>
        <v>0</v>
      </c>
      <c r="N74" s="705">
        <f t="shared" si="3"/>
        <v>0</v>
      </c>
      <c r="O74" s="378"/>
    </row>
    <row r="75" spans="1:15" x14ac:dyDescent="0.3">
      <c r="A75" s="295">
        <v>10</v>
      </c>
      <c r="B75" s="272" t="s">
        <v>484</v>
      </c>
      <c r="C75" s="290"/>
      <c r="D75" s="588"/>
      <c r="E75" s="708"/>
      <c r="F75" s="231"/>
      <c r="G75" s="140"/>
      <c r="H75" s="140"/>
      <c r="I75" s="705">
        <f t="shared" si="0"/>
        <v>0</v>
      </c>
      <c r="J75" s="140"/>
      <c r="K75" s="89"/>
      <c r="L75" s="140">
        <f t="shared" si="1"/>
        <v>0</v>
      </c>
      <c r="M75" s="705">
        <f t="shared" si="2"/>
        <v>0</v>
      </c>
      <c r="N75" s="705">
        <f t="shared" si="3"/>
        <v>0</v>
      </c>
      <c r="O75" s="378"/>
    </row>
    <row r="76" spans="1:15" ht="36" x14ac:dyDescent="0.3">
      <c r="A76" s="295"/>
      <c r="B76" s="282" t="s">
        <v>485</v>
      </c>
      <c r="C76" s="280" t="s">
        <v>479</v>
      </c>
      <c r="D76" s="707">
        <v>10</v>
      </c>
      <c r="E76" s="588">
        <v>1865</v>
      </c>
      <c r="F76" s="140">
        <f>$D76*E76</f>
        <v>18650</v>
      </c>
      <c r="G76" s="140">
        <f t="shared" ref="G76" si="18">D76</f>
        <v>10</v>
      </c>
      <c r="H76" s="140">
        <v>0</v>
      </c>
      <c r="I76" s="705">
        <f t="shared" si="0"/>
        <v>-8.1750000000000007</v>
      </c>
      <c r="J76" s="140">
        <f>HvacMb!H133</f>
        <v>1.8250000000000002</v>
      </c>
      <c r="K76" s="651">
        <v>1</v>
      </c>
      <c r="L76" s="140">
        <f t="shared" si="1"/>
        <v>0</v>
      </c>
      <c r="M76" s="705">
        <f t="shared" si="2"/>
        <v>3403.6250000000005</v>
      </c>
      <c r="N76" s="705">
        <f t="shared" si="3"/>
        <v>3403.6250000000005</v>
      </c>
      <c r="O76" s="378"/>
    </row>
    <row r="77" spans="1:15" x14ac:dyDescent="0.3">
      <c r="A77" s="295"/>
      <c r="B77" s="282"/>
      <c r="C77" s="280"/>
      <c r="D77" s="708"/>
      <c r="E77" s="708"/>
      <c r="F77" s="231"/>
      <c r="G77" s="140"/>
      <c r="H77" s="140"/>
      <c r="I77" s="705">
        <f t="shared" ref="I77:I81" si="19">J77-G77</f>
        <v>0</v>
      </c>
      <c r="J77" s="140"/>
      <c r="K77" s="89"/>
      <c r="L77" s="140">
        <f t="shared" ref="L77:L82" si="20">E77*G77*H77</f>
        <v>0</v>
      </c>
      <c r="M77" s="705">
        <f t="shared" ref="M77:M82" si="21">N77-L77</f>
        <v>0</v>
      </c>
      <c r="N77" s="705">
        <f t="shared" ref="N77:N82" si="22">E77*J77*K77</f>
        <v>0</v>
      </c>
      <c r="O77" s="378"/>
    </row>
    <row r="78" spans="1:15" ht="24" x14ac:dyDescent="0.3">
      <c r="A78" s="274">
        <v>11</v>
      </c>
      <c r="B78" s="299" t="s">
        <v>486</v>
      </c>
      <c r="C78" s="280" t="s">
        <v>487</v>
      </c>
      <c r="D78" s="707">
        <v>1</v>
      </c>
      <c r="E78" s="588">
        <v>72345</v>
      </c>
      <c r="F78" s="140">
        <f>$D78*E78</f>
        <v>72345</v>
      </c>
      <c r="G78" s="140">
        <f t="shared" ref="G78" si="23">D78</f>
        <v>1</v>
      </c>
      <c r="H78" s="140">
        <v>1</v>
      </c>
      <c r="I78" s="705">
        <f t="shared" si="19"/>
        <v>0</v>
      </c>
      <c r="J78" s="140">
        <f>HvacMb!H135</f>
        <v>1</v>
      </c>
      <c r="K78" s="89">
        <v>1</v>
      </c>
      <c r="L78" s="140">
        <f t="shared" si="20"/>
        <v>72345</v>
      </c>
      <c r="M78" s="705">
        <f t="shared" si="21"/>
        <v>0</v>
      </c>
      <c r="N78" s="705">
        <f t="shared" si="22"/>
        <v>72345</v>
      </c>
      <c r="O78" s="378"/>
    </row>
    <row r="79" spans="1:15" x14ac:dyDescent="0.3">
      <c r="A79" s="274"/>
      <c r="B79" s="299"/>
      <c r="C79" s="280"/>
      <c r="D79" s="707"/>
      <c r="E79" s="588"/>
      <c r="F79" s="140"/>
      <c r="G79" s="140"/>
      <c r="H79" s="140"/>
      <c r="I79" s="705">
        <f t="shared" si="19"/>
        <v>0</v>
      </c>
      <c r="J79" s="140"/>
      <c r="K79" s="89"/>
      <c r="L79" s="140">
        <f t="shared" si="20"/>
        <v>0</v>
      </c>
      <c r="M79" s="705">
        <f t="shared" si="21"/>
        <v>0</v>
      </c>
      <c r="N79" s="705">
        <f t="shared" si="22"/>
        <v>0</v>
      </c>
      <c r="O79" s="378"/>
    </row>
    <row r="80" spans="1:15" x14ac:dyDescent="0.3">
      <c r="A80" s="274">
        <v>12</v>
      </c>
      <c r="B80" s="283" t="s">
        <v>488</v>
      </c>
      <c r="C80" s="280"/>
      <c r="D80" s="707"/>
      <c r="E80" s="707"/>
      <c r="F80" s="121"/>
      <c r="G80" s="140"/>
      <c r="H80" s="140"/>
      <c r="I80" s="705">
        <f t="shared" si="19"/>
        <v>0</v>
      </c>
      <c r="J80" s="140"/>
      <c r="K80" s="89"/>
      <c r="L80" s="140">
        <f t="shared" si="20"/>
        <v>0</v>
      </c>
      <c r="M80" s="705">
        <f t="shared" si="21"/>
        <v>0</v>
      </c>
      <c r="N80" s="705">
        <f t="shared" si="22"/>
        <v>0</v>
      </c>
      <c r="O80" s="378"/>
    </row>
    <row r="81" spans="1:15" ht="36" x14ac:dyDescent="0.3">
      <c r="A81" s="86"/>
      <c r="B81" s="273" t="s">
        <v>489</v>
      </c>
      <c r="C81" s="300" t="s">
        <v>635</v>
      </c>
      <c r="D81" s="707"/>
      <c r="E81" s="588">
        <v>150</v>
      </c>
      <c r="F81" s="140"/>
      <c r="G81" s="140">
        <f t="shared" ref="G81" si="24">D81</f>
        <v>0</v>
      </c>
      <c r="H81" s="140">
        <v>0</v>
      </c>
      <c r="I81" s="705">
        <f t="shared" si="19"/>
        <v>3860</v>
      </c>
      <c r="J81" s="140">
        <f>HvacMb!H138</f>
        <v>3860</v>
      </c>
      <c r="K81" s="651">
        <v>1</v>
      </c>
      <c r="L81" s="140">
        <f t="shared" si="20"/>
        <v>0</v>
      </c>
      <c r="M81" s="705">
        <f>N81-L81</f>
        <v>579000</v>
      </c>
      <c r="N81" s="705">
        <f t="shared" si="22"/>
        <v>579000</v>
      </c>
      <c r="O81" s="378"/>
    </row>
    <row r="82" spans="1:15" x14ac:dyDescent="0.3">
      <c r="A82" s="288"/>
      <c r="B82" s="273"/>
      <c r="C82" s="280"/>
      <c r="D82" s="121"/>
      <c r="E82" s="140"/>
      <c r="F82" s="140"/>
      <c r="G82" s="140"/>
      <c r="H82" s="140"/>
      <c r="I82" s="705"/>
      <c r="J82" s="705"/>
      <c r="K82" s="710"/>
      <c r="L82" s="140">
        <f t="shared" si="20"/>
        <v>0</v>
      </c>
      <c r="M82" s="705">
        <f t="shared" si="21"/>
        <v>0</v>
      </c>
      <c r="N82" s="705">
        <f t="shared" si="22"/>
        <v>0</v>
      </c>
    </row>
    <row r="83" spans="1:15" x14ac:dyDescent="0.3">
      <c r="A83" s="274"/>
      <c r="B83" s="273"/>
      <c r="C83" s="280"/>
      <c r="D83" s="121"/>
      <c r="E83" s="121"/>
      <c r="F83" s="121"/>
      <c r="G83" s="121"/>
      <c r="H83" s="121"/>
      <c r="I83" s="705"/>
      <c r="J83" s="705"/>
      <c r="K83" s="710"/>
      <c r="L83" s="705"/>
      <c r="M83" s="705"/>
      <c r="N83" s="705"/>
    </row>
    <row r="84" spans="1:15" x14ac:dyDescent="0.3">
      <c r="A84" s="330"/>
      <c r="B84" s="331" t="s">
        <v>490</v>
      </c>
      <c r="C84" s="330"/>
      <c r="D84" s="332"/>
      <c r="E84" s="333"/>
      <c r="F84" s="334">
        <f>SUM(F12:F83)</f>
        <v>1951350</v>
      </c>
      <c r="G84" s="333"/>
      <c r="H84" s="334"/>
      <c r="I84" s="334"/>
      <c r="J84" s="334"/>
      <c r="K84" s="711"/>
      <c r="L84" s="334">
        <f t="shared" ref="L84:N84" si="25">SUM(L12:L83)</f>
        <v>1644442</v>
      </c>
      <c r="M84" s="334">
        <f t="shared" si="25"/>
        <v>586463.4</v>
      </c>
      <c r="N84" s="334">
        <f t="shared" si="25"/>
        <v>2230905.4000000004</v>
      </c>
    </row>
  </sheetData>
  <protectedRanges>
    <protectedRange sqref="C1:C5" name="Range1_8_1_1"/>
    <protectedRange sqref="F1:O5" name="Range1_6_3_1_1"/>
    <protectedRange sqref="F6:N6" name="Range1_9_1_1"/>
  </protectedRanges>
  <mergeCells count="12">
    <mergeCell ref="A1:O1"/>
    <mergeCell ref="A2:O2"/>
    <mergeCell ref="A3:O3"/>
    <mergeCell ref="A4:O4"/>
    <mergeCell ref="A5:O5"/>
    <mergeCell ref="L6:N6"/>
    <mergeCell ref="O6:O7"/>
    <mergeCell ref="A6:A7"/>
    <mergeCell ref="B6:B7"/>
    <mergeCell ref="C6:C7"/>
    <mergeCell ref="D6:F6"/>
    <mergeCell ref="G6:K6"/>
  </mergeCells>
  <pageMargins left="0.70866141732283505" right="0.70866141732283505" top="0.74803149606299202" bottom="0.74803149606299202" header="0" footer="0"/>
  <pageSetup scale="61" orientation="portrait" r:id="rId1"/>
  <headerFooter>
    <oddFooter>&amp;LPunjab Grill, Ghatkopar, Mumbai&amp;R4Square</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0"/>
  <sheetViews>
    <sheetView topLeftCell="A68" workbookViewId="0">
      <selection activeCell="E128" sqref="E128"/>
    </sheetView>
  </sheetViews>
  <sheetFormatPr defaultColWidth="8.81640625" defaultRowHeight="12.5" x14ac:dyDescent="0.25"/>
  <cols>
    <col min="1" max="1" width="8.81640625" style="459"/>
    <col min="2" max="2" width="77.54296875" style="459" customWidth="1"/>
    <col min="3" max="3" width="8.81640625" style="492"/>
    <col min="4" max="4" width="10.453125" style="608" bestFit="1" customWidth="1"/>
    <col min="5" max="8" width="9.453125" style="608" bestFit="1" customWidth="1"/>
    <col min="9" max="16384" width="8.81640625" style="459"/>
  </cols>
  <sheetData>
    <row r="1" spans="1:9" ht="16" thickBot="1" x14ac:dyDescent="0.3">
      <c r="A1" s="815" t="s">
        <v>843</v>
      </c>
      <c r="B1" s="815"/>
      <c r="C1" s="815"/>
      <c r="D1" s="815"/>
      <c r="E1" s="815"/>
      <c r="F1" s="815"/>
      <c r="G1" s="815"/>
      <c r="H1" s="815"/>
    </row>
    <row r="2" spans="1:9" ht="16" thickBot="1" x14ac:dyDescent="0.3">
      <c r="A2" s="816" t="s">
        <v>669</v>
      </c>
      <c r="B2" s="817" t="s">
        <v>670</v>
      </c>
      <c r="C2" s="818" t="s">
        <v>672</v>
      </c>
      <c r="D2" s="819" t="s">
        <v>805</v>
      </c>
      <c r="E2" s="820"/>
      <c r="F2" s="820"/>
      <c r="G2" s="820"/>
      <c r="H2" s="821"/>
    </row>
    <row r="3" spans="1:9" ht="16" thickBot="1" x14ac:dyDescent="0.3">
      <c r="A3" s="816"/>
      <c r="B3" s="817"/>
      <c r="C3" s="818"/>
      <c r="D3" s="598" t="s">
        <v>675</v>
      </c>
      <c r="E3" s="598" t="s">
        <v>162</v>
      </c>
      <c r="F3" s="598" t="s">
        <v>676</v>
      </c>
      <c r="G3" s="598" t="s">
        <v>677</v>
      </c>
      <c r="H3" s="598" t="s">
        <v>678</v>
      </c>
      <c r="I3" s="459" t="s">
        <v>636</v>
      </c>
    </row>
    <row r="4" spans="1:9" ht="13" x14ac:dyDescent="0.25">
      <c r="A4" s="623"/>
      <c r="B4" s="624" t="s">
        <v>441</v>
      </c>
      <c r="C4" s="624"/>
      <c r="D4" s="612"/>
      <c r="E4" s="612"/>
      <c r="F4" s="612"/>
      <c r="G4" s="612"/>
      <c r="H4" s="613"/>
    </row>
    <row r="5" spans="1:9" ht="13" x14ac:dyDescent="0.3">
      <c r="A5" s="625">
        <v>1</v>
      </c>
      <c r="B5" s="275" t="s">
        <v>442</v>
      </c>
      <c r="C5" s="272"/>
      <c r="D5" s="479"/>
      <c r="E5" s="479"/>
      <c r="F5" s="479"/>
      <c r="G5" s="479"/>
      <c r="H5" s="516"/>
      <c r="I5" s="459" t="s">
        <v>1021</v>
      </c>
    </row>
    <row r="6" spans="1:9" ht="13" x14ac:dyDescent="0.3">
      <c r="A6" s="625">
        <v>1.1000000000000001</v>
      </c>
      <c r="B6" s="626" t="s">
        <v>443</v>
      </c>
      <c r="C6" s="627" t="s">
        <v>111</v>
      </c>
      <c r="D6" s="479"/>
      <c r="E6" s="479"/>
      <c r="F6" s="479"/>
      <c r="G6" s="479">
        <v>2</v>
      </c>
      <c r="H6" s="628">
        <f>PRODUCT(D6:G6)</f>
        <v>2</v>
      </c>
    </row>
    <row r="7" spans="1:9" ht="13" x14ac:dyDescent="0.3">
      <c r="A7" s="625"/>
      <c r="B7" s="273"/>
      <c r="C7" s="271"/>
      <c r="D7" s="479"/>
      <c r="E7" s="479"/>
      <c r="F7" s="479"/>
      <c r="G7" s="479"/>
      <c r="H7" s="516"/>
    </row>
    <row r="8" spans="1:9" ht="13" x14ac:dyDescent="0.3">
      <c r="A8" s="625">
        <v>2</v>
      </c>
      <c r="B8" s="273" t="s">
        <v>445</v>
      </c>
      <c r="C8" s="271"/>
      <c r="D8" s="479"/>
      <c r="E8" s="479"/>
      <c r="F8" s="479"/>
      <c r="G8" s="479"/>
      <c r="H8" s="516"/>
    </row>
    <row r="9" spans="1:9" ht="13" x14ac:dyDescent="0.3">
      <c r="A9" s="625">
        <v>2.1</v>
      </c>
      <c r="B9" s="273" t="s">
        <v>446</v>
      </c>
      <c r="C9" s="271" t="s">
        <v>111</v>
      </c>
      <c r="D9" s="479"/>
      <c r="E9" s="479"/>
      <c r="F9" s="479"/>
      <c r="G9" s="479">
        <v>1</v>
      </c>
      <c r="H9" s="628">
        <f>PRODUCT(D9:G9)</f>
        <v>1</v>
      </c>
    </row>
    <row r="10" spans="1:9" ht="13" x14ac:dyDescent="0.3">
      <c r="A10" s="625"/>
      <c r="B10" s="273"/>
      <c r="C10" s="271"/>
      <c r="D10" s="479"/>
      <c r="E10" s="479"/>
      <c r="F10" s="479"/>
      <c r="G10" s="479"/>
      <c r="H10" s="516"/>
    </row>
    <row r="11" spans="1:9" ht="13" x14ac:dyDescent="0.3">
      <c r="A11" s="625">
        <v>3</v>
      </c>
      <c r="B11" s="283" t="s">
        <v>447</v>
      </c>
      <c r="C11" s="271"/>
      <c r="D11" s="479"/>
      <c r="E11" s="479"/>
      <c r="F11" s="479"/>
      <c r="G11" s="479"/>
      <c r="H11" s="516"/>
    </row>
    <row r="12" spans="1:9" ht="13" x14ac:dyDescent="0.3">
      <c r="A12" s="625">
        <v>3.1</v>
      </c>
      <c r="B12" s="287" t="s">
        <v>450</v>
      </c>
      <c r="C12" s="629" t="s">
        <v>111</v>
      </c>
      <c r="D12" s="479"/>
      <c r="E12" s="479"/>
      <c r="F12" s="479"/>
      <c r="G12" s="479">
        <v>1</v>
      </c>
      <c r="H12" s="628">
        <f>PRODUCT(D12:G12)</f>
        <v>1</v>
      </c>
    </row>
    <row r="13" spans="1:9" ht="13" x14ac:dyDescent="0.3">
      <c r="A13" s="625"/>
      <c r="B13" s="287"/>
      <c r="C13" s="629"/>
      <c r="D13" s="479"/>
      <c r="E13" s="479"/>
      <c r="F13" s="479"/>
      <c r="G13" s="479"/>
      <c r="H13" s="516"/>
    </row>
    <row r="14" spans="1:9" ht="13" x14ac:dyDescent="0.3">
      <c r="A14" s="625">
        <v>4</v>
      </c>
      <c r="B14" s="283" t="s">
        <v>451</v>
      </c>
      <c r="C14" s="271"/>
      <c r="D14" s="479"/>
      <c r="E14" s="479"/>
      <c r="F14" s="479"/>
      <c r="G14" s="479"/>
      <c r="H14" s="516"/>
    </row>
    <row r="15" spans="1:9" ht="13" x14ac:dyDescent="0.3">
      <c r="A15" s="625">
        <v>4.0999999999999996</v>
      </c>
      <c r="B15" s="287" t="s">
        <v>452</v>
      </c>
      <c r="C15" s="629" t="s">
        <v>111</v>
      </c>
      <c r="D15" s="479"/>
      <c r="E15" s="479"/>
      <c r="F15" s="479"/>
      <c r="G15" s="479">
        <v>1</v>
      </c>
      <c r="H15" s="628">
        <f>PRODUCT(D15:G15)</f>
        <v>1</v>
      </c>
    </row>
    <row r="16" spans="1:9" ht="13" x14ac:dyDescent="0.3">
      <c r="A16" s="625"/>
      <c r="B16" s="273"/>
      <c r="C16" s="271"/>
      <c r="D16" s="479"/>
      <c r="E16" s="479"/>
      <c r="F16" s="479"/>
      <c r="G16" s="479"/>
      <c r="H16" s="516"/>
    </row>
    <row r="17" spans="1:8" ht="13" x14ac:dyDescent="0.3">
      <c r="A17" s="630"/>
      <c r="B17" s="272" t="s">
        <v>453</v>
      </c>
      <c r="C17" s="271"/>
      <c r="D17" s="479"/>
      <c r="E17" s="479"/>
      <c r="F17" s="479"/>
      <c r="G17" s="479"/>
      <c r="H17" s="516"/>
    </row>
    <row r="18" spans="1:8" ht="13" x14ac:dyDescent="0.3">
      <c r="A18" s="625">
        <v>1</v>
      </c>
      <c r="B18" s="283" t="s">
        <v>454</v>
      </c>
      <c r="C18" s="271"/>
      <c r="D18" s="479"/>
      <c r="E18" s="479"/>
      <c r="F18" s="479"/>
      <c r="G18" s="479"/>
      <c r="H18" s="516"/>
    </row>
    <row r="19" spans="1:8" ht="13" x14ac:dyDescent="0.3">
      <c r="A19" s="625">
        <v>1.1000000000000001</v>
      </c>
      <c r="B19" s="273" t="s">
        <v>456</v>
      </c>
      <c r="C19" s="271"/>
      <c r="D19" s="479"/>
      <c r="E19" s="479"/>
      <c r="F19" s="479"/>
      <c r="G19" s="479"/>
      <c r="H19" s="582"/>
    </row>
    <row r="20" spans="1:8" ht="13" x14ac:dyDescent="0.3">
      <c r="A20" s="625"/>
      <c r="B20" s="273" t="s">
        <v>893</v>
      </c>
      <c r="C20" s="271" t="s">
        <v>457</v>
      </c>
      <c r="D20" s="479">
        <v>0.7</v>
      </c>
      <c r="E20" s="479">
        <v>0.3</v>
      </c>
      <c r="F20" s="479"/>
      <c r="G20" s="479">
        <v>1</v>
      </c>
      <c r="H20" s="701">
        <f t="shared" ref="H20:H46" si="0">PRODUCT(D20:G20)</f>
        <v>0.21</v>
      </c>
    </row>
    <row r="21" spans="1:8" ht="13" x14ac:dyDescent="0.3">
      <c r="A21" s="625"/>
      <c r="B21" s="273" t="s">
        <v>894</v>
      </c>
      <c r="C21" s="271" t="s">
        <v>457</v>
      </c>
      <c r="D21" s="582">
        <f>2*(0.6+0.2)*2.5*2</f>
        <v>8</v>
      </c>
      <c r="E21" s="479"/>
      <c r="F21" s="479"/>
      <c r="G21" s="479">
        <v>1</v>
      </c>
      <c r="H21" s="701">
        <f t="shared" si="0"/>
        <v>8</v>
      </c>
    </row>
    <row r="22" spans="1:8" ht="13" x14ac:dyDescent="0.3">
      <c r="A22" s="625"/>
      <c r="B22" s="273" t="s">
        <v>886</v>
      </c>
      <c r="C22" s="271" t="s">
        <v>457</v>
      </c>
      <c r="D22" s="582">
        <f>2*(0.6+0.2)*0.99</f>
        <v>1.5840000000000001</v>
      </c>
      <c r="E22" s="479"/>
      <c r="F22" s="479"/>
      <c r="G22" s="479">
        <v>1</v>
      </c>
      <c r="H22" s="701">
        <f t="shared" si="0"/>
        <v>1.5840000000000001</v>
      </c>
    </row>
    <row r="23" spans="1:8" ht="13" x14ac:dyDescent="0.3">
      <c r="A23" s="625"/>
      <c r="B23" s="273" t="s">
        <v>879</v>
      </c>
      <c r="C23" s="271" t="s">
        <v>457</v>
      </c>
      <c r="D23" s="575">
        <f>2*(0.6+0.2)*0.1</f>
        <v>0.16000000000000003</v>
      </c>
      <c r="E23" s="479"/>
      <c r="F23" s="479"/>
      <c r="G23" s="479">
        <v>1</v>
      </c>
      <c r="H23" s="701">
        <f t="shared" si="0"/>
        <v>0.16000000000000003</v>
      </c>
    </row>
    <row r="24" spans="1:8" ht="13" x14ac:dyDescent="0.3">
      <c r="A24" s="625"/>
      <c r="B24" s="273" t="s">
        <v>895</v>
      </c>
      <c r="C24" s="271" t="s">
        <v>457</v>
      </c>
      <c r="D24" s="582">
        <f>2*(0.4+0.3)*0.4*6</f>
        <v>3.3599999999999994</v>
      </c>
      <c r="E24" s="479"/>
      <c r="F24" s="479"/>
      <c r="G24" s="479">
        <v>1</v>
      </c>
      <c r="H24" s="701">
        <f t="shared" si="0"/>
        <v>3.3599999999999994</v>
      </c>
    </row>
    <row r="25" spans="1:8" ht="13" x14ac:dyDescent="0.3">
      <c r="A25" s="625"/>
      <c r="B25" s="273" t="s">
        <v>896</v>
      </c>
      <c r="C25" s="271" t="s">
        <v>457</v>
      </c>
      <c r="D25" s="575">
        <f>0.8*0.5</f>
        <v>0.4</v>
      </c>
      <c r="E25" s="479"/>
      <c r="F25" s="479"/>
      <c r="G25" s="479">
        <v>1</v>
      </c>
      <c r="H25" s="701">
        <f t="shared" si="0"/>
        <v>0.4</v>
      </c>
    </row>
    <row r="26" spans="1:8" ht="13" x14ac:dyDescent="0.3">
      <c r="A26" s="625"/>
      <c r="B26" s="273" t="s">
        <v>894</v>
      </c>
      <c r="C26" s="271" t="s">
        <v>457</v>
      </c>
      <c r="D26" s="582">
        <f>2*(0.7+0.4)*2.65</f>
        <v>5.83</v>
      </c>
      <c r="E26" s="479"/>
      <c r="F26" s="479"/>
      <c r="G26" s="479">
        <v>1</v>
      </c>
      <c r="H26" s="701">
        <f t="shared" si="0"/>
        <v>5.83</v>
      </c>
    </row>
    <row r="27" spans="1:8" ht="13" x14ac:dyDescent="0.3">
      <c r="A27" s="625"/>
      <c r="B27" s="273" t="s">
        <v>894</v>
      </c>
      <c r="C27" s="271" t="s">
        <v>457</v>
      </c>
      <c r="D27" s="575">
        <f>2*(0.7+0.4)*0.65*2</f>
        <v>2.8600000000000003</v>
      </c>
      <c r="E27" s="479"/>
      <c r="F27" s="479"/>
      <c r="G27" s="479">
        <v>1</v>
      </c>
      <c r="H27" s="701">
        <f t="shared" si="0"/>
        <v>2.8600000000000003</v>
      </c>
    </row>
    <row r="28" spans="1:8" ht="13" x14ac:dyDescent="0.3">
      <c r="A28" s="625"/>
      <c r="B28" s="273" t="s">
        <v>886</v>
      </c>
      <c r="C28" s="271" t="s">
        <v>457</v>
      </c>
      <c r="D28" s="582">
        <f>2*(0.7+0.4)*1.25</f>
        <v>2.75</v>
      </c>
      <c r="E28" s="479"/>
      <c r="F28" s="479"/>
      <c r="G28" s="479">
        <v>1</v>
      </c>
      <c r="H28" s="701">
        <f t="shared" si="0"/>
        <v>2.75</v>
      </c>
    </row>
    <row r="29" spans="1:8" ht="13" x14ac:dyDescent="0.3">
      <c r="A29" s="625"/>
      <c r="B29" s="273" t="s">
        <v>887</v>
      </c>
      <c r="C29" s="271" t="s">
        <v>457</v>
      </c>
      <c r="D29" s="575">
        <f>2*(0.7+0.4)*0.96</f>
        <v>2.1120000000000001</v>
      </c>
      <c r="E29" s="479"/>
      <c r="F29" s="479"/>
      <c r="G29" s="479">
        <v>1</v>
      </c>
      <c r="H29" s="701">
        <f t="shared" si="0"/>
        <v>2.1120000000000001</v>
      </c>
    </row>
    <row r="30" spans="1:8" ht="13" x14ac:dyDescent="0.3">
      <c r="A30" s="625"/>
      <c r="B30" s="273" t="s">
        <v>897</v>
      </c>
      <c r="C30" s="271" t="s">
        <v>457</v>
      </c>
      <c r="D30" s="582">
        <f>0.8*0.5</f>
        <v>0.4</v>
      </c>
      <c r="E30" s="479"/>
      <c r="F30" s="479"/>
      <c r="G30" s="479">
        <v>1</v>
      </c>
      <c r="H30" s="701">
        <f t="shared" si="0"/>
        <v>0.4</v>
      </c>
    </row>
    <row r="31" spans="1:8" ht="13" x14ac:dyDescent="0.3">
      <c r="A31" s="625"/>
      <c r="B31" s="273" t="s">
        <v>894</v>
      </c>
      <c r="C31" s="271" t="s">
        <v>457</v>
      </c>
      <c r="D31" s="575">
        <f>2*(0.7+0.4)*2.65</f>
        <v>5.83</v>
      </c>
      <c r="E31" s="479"/>
      <c r="F31" s="479"/>
      <c r="G31" s="479">
        <v>1</v>
      </c>
      <c r="H31" s="701">
        <f t="shared" si="0"/>
        <v>5.83</v>
      </c>
    </row>
    <row r="32" spans="1:8" ht="13" x14ac:dyDescent="0.3">
      <c r="A32" s="625"/>
      <c r="B32" s="273" t="s">
        <v>881</v>
      </c>
      <c r="C32" s="271" t="s">
        <v>457</v>
      </c>
      <c r="D32" s="582">
        <f>2*(0.7+0.4)*1.3</f>
        <v>2.8600000000000003</v>
      </c>
      <c r="E32" s="479"/>
      <c r="F32" s="479"/>
      <c r="G32" s="479">
        <v>1</v>
      </c>
      <c r="H32" s="701">
        <f t="shared" si="0"/>
        <v>2.8600000000000003</v>
      </c>
    </row>
    <row r="33" spans="1:9" ht="13" x14ac:dyDescent="0.3">
      <c r="A33" s="625"/>
      <c r="B33" s="273" t="s">
        <v>898</v>
      </c>
      <c r="C33" s="271" t="s">
        <v>457</v>
      </c>
      <c r="D33" s="582">
        <f>2*(0.6+0.2)*0.45</f>
        <v>0.72000000000000008</v>
      </c>
      <c r="E33" s="479"/>
      <c r="F33" s="479"/>
      <c r="G33" s="479">
        <v>1</v>
      </c>
      <c r="H33" s="701">
        <f t="shared" si="0"/>
        <v>0.72000000000000008</v>
      </c>
    </row>
    <row r="34" spans="1:9" ht="13" x14ac:dyDescent="0.3">
      <c r="A34" s="625"/>
      <c r="B34" s="273" t="s">
        <v>881</v>
      </c>
      <c r="C34" s="271" t="s">
        <v>457</v>
      </c>
      <c r="D34" s="582">
        <f>2*(0.6+0.2)*0.55</f>
        <v>0.88000000000000012</v>
      </c>
      <c r="E34" s="479"/>
      <c r="F34" s="479"/>
      <c r="G34" s="479">
        <v>1</v>
      </c>
      <c r="H34" s="701">
        <f t="shared" si="0"/>
        <v>0.88000000000000012</v>
      </c>
    </row>
    <row r="35" spans="1:9" ht="13" x14ac:dyDescent="0.3">
      <c r="A35" s="625"/>
      <c r="B35" s="273" t="s">
        <v>889</v>
      </c>
      <c r="C35" s="271" t="s">
        <v>457</v>
      </c>
      <c r="D35" s="582">
        <f>2*(0.6+0.2)*1.025</f>
        <v>1.64</v>
      </c>
      <c r="E35" s="479"/>
      <c r="F35" s="479"/>
      <c r="G35" s="479">
        <v>1</v>
      </c>
      <c r="H35" s="701">
        <f t="shared" si="0"/>
        <v>1.64</v>
      </c>
    </row>
    <row r="36" spans="1:9" ht="13" x14ac:dyDescent="0.3">
      <c r="A36" s="625"/>
      <c r="B36" s="273" t="s">
        <v>894</v>
      </c>
      <c r="C36" s="271" t="s">
        <v>457</v>
      </c>
      <c r="D36" s="582">
        <f>2*(0.6+0.2)*1.55</f>
        <v>2.4800000000000004</v>
      </c>
      <c r="E36" s="479"/>
      <c r="F36" s="479"/>
      <c r="G36" s="479">
        <v>1</v>
      </c>
      <c r="H36" s="701">
        <f t="shared" si="0"/>
        <v>2.4800000000000004</v>
      </c>
    </row>
    <row r="37" spans="1:9" ht="13" x14ac:dyDescent="0.3">
      <c r="A37" s="625"/>
      <c r="B37" s="273" t="s">
        <v>894</v>
      </c>
      <c r="C37" s="271" t="s">
        <v>457</v>
      </c>
      <c r="D37" s="582">
        <f>2*(0.6+0.2)*0.8</f>
        <v>1.2800000000000002</v>
      </c>
      <c r="E37" s="479"/>
      <c r="F37" s="479"/>
      <c r="G37" s="479">
        <v>1</v>
      </c>
      <c r="H37" s="701">
        <f t="shared" si="0"/>
        <v>1.2800000000000002</v>
      </c>
    </row>
    <row r="38" spans="1:9" ht="13" x14ac:dyDescent="0.3">
      <c r="A38" s="625"/>
      <c r="B38" s="273" t="s">
        <v>894</v>
      </c>
      <c r="C38" s="271" t="s">
        <v>457</v>
      </c>
      <c r="D38" s="575">
        <f>2*(0.6+0.2)*0.7</f>
        <v>1.1199999999999999</v>
      </c>
      <c r="E38" s="479"/>
      <c r="F38" s="479"/>
      <c r="G38" s="479">
        <v>1</v>
      </c>
      <c r="H38" s="701">
        <f t="shared" si="0"/>
        <v>1.1199999999999999</v>
      </c>
    </row>
    <row r="39" spans="1:9" ht="13" x14ac:dyDescent="0.3">
      <c r="A39" s="625"/>
      <c r="B39" s="273" t="s">
        <v>886</v>
      </c>
      <c r="C39" s="271" t="s">
        <v>457</v>
      </c>
      <c r="D39" s="582">
        <f>2*(0.6+0.2)*0.99</f>
        <v>1.5840000000000001</v>
      </c>
      <c r="E39" s="479"/>
      <c r="F39" s="479"/>
      <c r="G39" s="479">
        <v>1</v>
      </c>
      <c r="H39" s="701">
        <f t="shared" si="0"/>
        <v>1.5840000000000001</v>
      </c>
    </row>
    <row r="40" spans="1:9" ht="13" x14ac:dyDescent="0.3">
      <c r="A40" s="625"/>
      <c r="B40" s="273" t="s">
        <v>897</v>
      </c>
      <c r="C40" s="271" t="s">
        <v>457</v>
      </c>
      <c r="D40" s="582">
        <f>0.7*0.3</f>
        <v>0.21</v>
      </c>
      <c r="E40" s="479"/>
      <c r="F40" s="479"/>
      <c r="G40" s="479">
        <v>1</v>
      </c>
      <c r="H40" s="701">
        <f t="shared" si="0"/>
        <v>0.21</v>
      </c>
    </row>
    <row r="41" spans="1:9" ht="13" x14ac:dyDescent="0.3">
      <c r="A41" s="625"/>
      <c r="B41" s="273" t="s">
        <v>897</v>
      </c>
      <c r="C41" s="271" t="s">
        <v>457</v>
      </c>
      <c r="D41" s="582">
        <f>0.7*0.2</f>
        <v>0.13999999999999999</v>
      </c>
      <c r="E41" s="479"/>
      <c r="F41" s="479"/>
      <c r="G41" s="479">
        <v>1</v>
      </c>
      <c r="H41" s="701">
        <f t="shared" si="0"/>
        <v>0.13999999999999999</v>
      </c>
    </row>
    <row r="42" spans="1:9" ht="13" x14ac:dyDescent="0.3">
      <c r="A42" s="625"/>
      <c r="B42" s="273" t="s">
        <v>897</v>
      </c>
      <c r="C42" s="271" t="s">
        <v>457</v>
      </c>
      <c r="D42" s="582">
        <f>1.6*0.2</f>
        <v>0.32000000000000006</v>
      </c>
      <c r="E42" s="479"/>
      <c r="F42" s="479"/>
      <c r="G42" s="479">
        <v>1</v>
      </c>
      <c r="H42" s="701">
        <f t="shared" si="0"/>
        <v>0.32000000000000006</v>
      </c>
    </row>
    <row r="43" spans="1:9" ht="13" x14ac:dyDescent="0.3">
      <c r="A43" s="625"/>
      <c r="B43" s="273" t="s">
        <v>886</v>
      </c>
      <c r="C43" s="271" t="s">
        <v>457</v>
      </c>
      <c r="D43" s="582">
        <f>2*(0.5+0.2)*0.6</f>
        <v>0.84</v>
      </c>
      <c r="E43" s="479"/>
      <c r="F43" s="479"/>
      <c r="G43" s="479">
        <v>1</v>
      </c>
      <c r="H43" s="701">
        <f t="shared" si="0"/>
        <v>0.84</v>
      </c>
    </row>
    <row r="44" spans="1:9" ht="13" x14ac:dyDescent="0.3">
      <c r="A44" s="625"/>
      <c r="B44" s="273" t="s">
        <v>899</v>
      </c>
      <c r="C44" s="271" t="s">
        <v>457</v>
      </c>
      <c r="D44" s="575">
        <f>2*(0.6+0.6)*0.4</f>
        <v>0.96</v>
      </c>
      <c r="E44" s="479"/>
      <c r="F44" s="479"/>
      <c r="G44" s="479">
        <v>1</v>
      </c>
      <c r="H44" s="701">
        <f t="shared" si="0"/>
        <v>0.96</v>
      </c>
    </row>
    <row r="45" spans="1:9" ht="13" x14ac:dyDescent="0.3">
      <c r="A45" s="625"/>
      <c r="B45" s="273"/>
      <c r="C45" s="271"/>
      <c r="D45" s="575">
        <f>2*(0.6+0.6)*0.225*6</f>
        <v>3.24</v>
      </c>
      <c r="E45" s="479"/>
      <c r="F45" s="479"/>
      <c r="G45" s="479">
        <v>1</v>
      </c>
      <c r="H45" s="701">
        <f t="shared" si="0"/>
        <v>3.24</v>
      </c>
    </row>
    <row r="46" spans="1:9" ht="13" x14ac:dyDescent="0.3">
      <c r="A46" s="625"/>
      <c r="B46" s="273"/>
      <c r="C46" s="271"/>
      <c r="D46" s="479"/>
      <c r="E46" s="479"/>
      <c r="F46" s="479"/>
      <c r="G46" s="479"/>
      <c r="H46" s="701">
        <f t="shared" si="0"/>
        <v>0</v>
      </c>
    </row>
    <row r="47" spans="1:9" ht="13" x14ac:dyDescent="0.3">
      <c r="A47" s="625"/>
      <c r="B47" s="702" t="s">
        <v>684</v>
      </c>
      <c r="C47" s="703" t="s">
        <v>468</v>
      </c>
      <c r="D47" s="520"/>
      <c r="E47" s="520"/>
      <c r="F47" s="520"/>
      <c r="G47" s="520"/>
      <c r="H47" s="704">
        <v>51.52</v>
      </c>
      <c r="I47" s="459">
        <v>51.52</v>
      </c>
    </row>
    <row r="48" spans="1:9" ht="13" x14ac:dyDescent="0.3">
      <c r="A48" s="625"/>
      <c r="B48" s="273"/>
      <c r="C48" s="271"/>
      <c r="D48" s="479"/>
      <c r="E48" s="479"/>
      <c r="F48" s="479"/>
      <c r="G48" s="479"/>
      <c r="H48" s="483"/>
    </row>
    <row r="49" spans="1:8" ht="13" x14ac:dyDescent="0.3">
      <c r="A49" s="625"/>
      <c r="B49" s="273" t="s">
        <v>970</v>
      </c>
      <c r="C49" s="271" t="s">
        <v>457</v>
      </c>
      <c r="D49" s="479"/>
      <c r="E49" s="479"/>
      <c r="F49" s="479"/>
      <c r="G49" s="479"/>
      <c r="H49" s="582"/>
    </row>
    <row r="50" spans="1:8" ht="13" x14ac:dyDescent="0.3">
      <c r="A50" s="625"/>
      <c r="B50" s="273" t="s">
        <v>971</v>
      </c>
      <c r="C50" s="271" t="s">
        <v>457</v>
      </c>
      <c r="D50" s="582">
        <v>3</v>
      </c>
      <c r="E50" s="479"/>
      <c r="F50" s="479"/>
      <c r="G50" s="479">
        <v>1</v>
      </c>
      <c r="H50" s="701">
        <f t="shared" ref="H50:H76" si="1">PRODUCT(D50:G50)</f>
        <v>3</v>
      </c>
    </row>
    <row r="51" spans="1:8" ht="13" x14ac:dyDescent="0.3">
      <c r="A51" s="625"/>
      <c r="B51" s="273" t="s">
        <v>878</v>
      </c>
      <c r="C51" s="271" t="s">
        <v>457</v>
      </c>
      <c r="D51" s="582">
        <f>0.9*1.2*4</f>
        <v>4.32</v>
      </c>
      <c r="E51" s="479"/>
      <c r="F51" s="479"/>
      <c r="G51" s="479">
        <v>1</v>
      </c>
      <c r="H51" s="701">
        <f t="shared" si="1"/>
        <v>4.32</v>
      </c>
    </row>
    <row r="52" spans="1:8" ht="13" x14ac:dyDescent="0.3">
      <c r="A52" s="625"/>
      <c r="B52" s="273" t="s">
        <v>879</v>
      </c>
      <c r="C52" s="271" t="s">
        <v>457</v>
      </c>
      <c r="D52" s="582">
        <f>2*(0.55+0.55)*0.35*2</f>
        <v>1.54</v>
      </c>
      <c r="E52" s="479"/>
      <c r="F52" s="479"/>
      <c r="G52" s="479">
        <v>1</v>
      </c>
      <c r="H52" s="701">
        <f t="shared" si="1"/>
        <v>1.54</v>
      </c>
    </row>
    <row r="53" spans="1:8" ht="13" x14ac:dyDescent="0.3">
      <c r="A53" s="625"/>
      <c r="B53" s="273" t="s">
        <v>880</v>
      </c>
      <c r="C53" s="271" t="s">
        <v>457</v>
      </c>
      <c r="D53" s="582">
        <f>2*(0.725+0.725)*0.98</f>
        <v>2.8420000000000001</v>
      </c>
      <c r="E53" s="479"/>
      <c r="F53" s="479"/>
      <c r="G53" s="479">
        <v>1</v>
      </c>
      <c r="H53" s="701">
        <f t="shared" si="1"/>
        <v>2.8420000000000001</v>
      </c>
    </row>
    <row r="54" spans="1:8" ht="13" x14ac:dyDescent="0.3">
      <c r="A54" s="625"/>
      <c r="B54" s="273" t="s">
        <v>881</v>
      </c>
      <c r="C54" s="271" t="s">
        <v>457</v>
      </c>
      <c r="D54" s="582">
        <f>2*(0.725+0.725)*0.8</f>
        <v>2.3199999999999998</v>
      </c>
      <c r="E54" s="479"/>
      <c r="F54" s="479"/>
      <c r="G54" s="479">
        <v>1</v>
      </c>
      <c r="H54" s="701">
        <f t="shared" si="1"/>
        <v>2.3199999999999998</v>
      </c>
    </row>
    <row r="55" spans="1:8" ht="13" x14ac:dyDescent="0.3">
      <c r="A55" s="625"/>
      <c r="B55" s="273" t="s">
        <v>882</v>
      </c>
      <c r="C55" s="271" t="s">
        <v>457</v>
      </c>
      <c r="D55" s="582">
        <f>2*(0.9+0.75)*1.25</f>
        <v>4.125</v>
      </c>
      <c r="E55" s="479"/>
      <c r="F55" s="479"/>
      <c r="G55" s="479">
        <v>1</v>
      </c>
      <c r="H55" s="701">
        <f t="shared" si="1"/>
        <v>4.125</v>
      </c>
    </row>
    <row r="56" spans="1:8" ht="13" x14ac:dyDescent="0.3">
      <c r="A56" s="625"/>
      <c r="B56" s="273" t="s">
        <v>883</v>
      </c>
      <c r="C56" s="271" t="s">
        <v>457</v>
      </c>
      <c r="D56" s="575">
        <f>2*(1*0.85)</f>
        <v>1.7</v>
      </c>
      <c r="E56" s="479"/>
      <c r="F56" s="479"/>
      <c r="G56" s="479">
        <v>1</v>
      </c>
      <c r="H56" s="701">
        <f t="shared" si="1"/>
        <v>1.7</v>
      </c>
    </row>
    <row r="57" spans="1:8" ht="13" x14ac:dyDescent="0.3">
      <c r="A57" s="625"/>
      <c r="B57" s="273" t="s">
        <v>884</v>
      </c>
      <c r="C57" s="271" t="s">
        <v>457</v>
      </c>
      <c r="D57" s="575">
        <f>(1*0.5)</f>
        <v>0.5</v>
      </c>
      <c r="E57" s="479"/>
      <c r="F57" s="479"/>
      <c r="G57" s="479">
        <v>1</v>
      </c>
      <c r="H57" s="701">
        <f t="shared" si="1"/>
        <v>0.5</v>
      </c>
    </row>
    <row r="58" spans="1:8" ht="13" x14ac:dyDescent="0.3">
      <c r="A58" s="625"/>
      <c r="B58" s="273" t="s">
        <v>885</v>
      </c>
      <c r="C58" s="271" t="s">
        <v>457</v>
      </c>
      <c r="D58" s="575">
        <f>2*(0.9+0.4)*2.65</f>
        <v>6.89</v>
      </c>
      <c r="E58" s="479"/>
      <c r="F58" s="479"/>
      <c r="G58" s="479">
        <v>1</v>
      </c>
      <c r="H58" s="701">
        <f t="shared" si="1"/>
        <v>6.89</v>
      </c>
    </row>
    <row r="59" spans="1:8" ht="13" x14ac:dyDescent="0.3">
      <c r="A59" s="625"/>
      <c r="B59" s="273" t="s">
        <v>886</v>
      </c>
      <c r="C59" s="271" t="s">
        <v>457</v>
      </c>
      <c r="D59" s="575">
        <f>2*(0.9+0.4)*1.46</f>
        <v>3.7959999999999998</v>
      </c>
      <c r="E59" s="479"/>
      <c r="F59" s="479"/>
      <c r="G59" s="479">
        <v>1</v>
      </c>
      <c r="H59" s="701">
        <f t="shared" si="1"/>
        <v>3.7959999999999998</v>
      </c>
    </row>
    <row r="60" spans="1:8" ht="13" x14ac:dyDescent="0.3">
      <c r="A60" s="625"/>
      <c r="B60" s="273" t="s">
        <v>887</v>
      </c>
      <c r="C60" s="271" t="s">
        <v>457</v>
      </c>
      <c r="D60" s="575">
        <f>2*(0.9+0.4)*2.65</f>
        <v>6.89</v>
      </c>
      <c r="E60" s="479"/>
      <c r="F60" s="479"/>
      <c r="G60" s="479">
        <v>1</v>
      </c>
      <c r="H60" s="701">
        <f t="shared" si="1"/>
        <v>6.89</v>
      </c>
    </row>
    <row r="61" spans="1:8" ht="13" x14ac:dyDescent="0.3">
      <c r="A61" s="625"/>
      <c r="B61" s="273" t="s">
        <v>888</v>
      </c>
      <c r="C61" s="271" t="s">
        <v>457</v>
      </c>
      <c r="D61" s="575">
        <f>2*(0.9+0.4)*2.07</f>
        <v>5.3819999999999997</v>
      </c>
      <c r="E61" s="479"/>
      <c r="F61" s="479"/>
      <c r="G61" s="479">
        <v>1</v>
      </c>
      <c r="H61" s="701">
        <f t="shared" si="1"/>
        <v>5.3819999999999997</v>
      </c>
    </row>
    <row r="62" spans="1:8" ht="13" x14ac:dyDescent="0.3">
      <c r="A62" s="625"/>
      <c r="B62" s="273" t="s">
        <v>887</v>
      </c>
      <c r="C62" s="271" t="s">
        <v>457</v>
      </c>
      <c r="D62" s="575">
        <f>2*(0.9+0.4)*0.4</f>
        <v>1.04</v>
      </c>
      <c r="E62" s="479"/>
      <c r="F62" s="479"/>
      <c r="G62" s="479">
        <v>1</v>
      </c>
      <c r="H62" s="701">
        <f t="shared" si="1"/>
        <v>1.04</v>
      </c>
    </row>
    <row r="63" spans="1:8" ht="13" x14ac:dyDescent="0.3">
      <c r="A63" s="625"/>
      <c r="B63" s="273" t="s">
        <v>887</v>
      </c>
      <c r="C63" s="271" t="s">
        <v>457</v>
      </c>
      <c r="D63" s="575">
        <f>2*(0.9+0.4)*0.55</f>
        <v>1.4300000000000002</v>
      </c>
      <c r="E63" s="479"/>
      <c r="F63" s="479"/>
      <c r="G63" s="479">
        <v>1</v>
      </c>
      <c r="H63" s="701">
        <f t="shared" si="1"/>
        <v>1.4300000000000002</v>
      </c>
    </row>
    <row r="64" spans="1:8" ht="13" x14ac:dyDescent="0.3">
      <c r="A64" s="625"/>
      <c r="B64" s="273" t="s">
        <v>889</v>
      </c>
      <c r="C64" s="271" t="s">
        <v>457</v>
      </c>
      <c r="D64" s="575">
        <f>2*(0.9+0.4)*1.285</f>
        <v>3.3409999999999997</v>
      </c>
      <c r="E64" s="479"/>
      <c r="F64" s="479"/>
      <c r="G64" s="479">
        <v>1</v>
      </c>
      <c r="H64" s="701">
        <f t="shared" si="1"/>
        <v>3.3409999999999997</v>
      </c>
    </row>
    <row r="65" spans="1:9" ht="13" x14ac:dyDescent="0.3">
      <c r="A65" s="625"/>
      <c r="B65" s="273" t="s">
        <v>889</v>
      </c>
      <c r="C65" s="271" t="s">
        <v>457</v>
      </c>
      <c r="D65" s="575">
        <f>2*(0.9+0.4)*0.85</f>
        <v>2.21</v>
      </c>
      <c r="E65" s="479"/>
      <c r="F65" s="479"/>
      <c r="G65" s="479">
        <v>1</v>
      </c>
      <c r="H65" s="701">
        <f t="shared" si="1"/>
        <v>2.21</v>
      </c>
    </row>
    <row r="66" spans="1:9" ht="13" x14ac:dyDescent="0.3">
      <c r="A66" s="625"/>
      <c r="B66" s="273" t="s">
        <v>890</v>
      </c>
      <c r="C66" s="271" t="s">
        <v>457</v>
      </c>
      <c r="D66" s="575">
        <f>2*(0.9+0.35)*0.4</f>
        <v>1</v>
      </c>
      <c r="E66" s="479"/>
      <c r="F66" s="479"/>
      <c r="G66" s="479">
        <v>1</v>
      </c>
      <c r="H66" s="701">
        <f t="shared" si="1"/>
        <v>1</v>
      </c>
    </row>
    <row r="67" spans="1:9" ht="13" x14ac:dyDescent="0.3">
      <c r="A67" s="625"/>
      <c r="B67" s="273" t="s">
        <v>887</v>
      </c>
      <c r="C67" s="271" t="s">
        <v>457</v>
      </c>
      <c r="D67" s="575">
        <f>2*(0.9+0.4)*0.6</f>
        <v>1.56</v>
      </c>
      <c r="E67" s="479"/>
      <c r="F67" s="479"/>
      <c r="G67" s="479">
        <v>1</v>
      </c>
      <c r="H67" s="701">
        <f t="shared" si="1"/>
        <v>1.56</v>
      </c>
    </row>
    <row r="68" spans="1:9" ht="13" x14ac:dyDescent="0.3">
      <c r="A68" s="625"/>
      <c r="B68" s="273" t="s">
        <v>887</v>
      </c>
      <c r="C68" s="271" t="s">
        <v>457</v>
      </c>
      <c r="D68" s="575">
        <f>2*(0.9+0.4)*2.65</f>
        <v>6.89</v>
      </c>
      <c r="E68" s="479"/>
      <c r="F68" s="479"/>
      <c r="G68" s="479">
        <v>1</v>
      </c>
      <c r="H68" s="701">
        <f t="shared" si="1"/>
        <v>6.89</v>
      </c>
    </row>
    <row r="69" spans="1:9" ht="13" x14ac:dyDescent="0.3">
      <c r="A69" s="625"/>
      <c r="B69" s="273" t="s">
        <v>891</v>
      </c>
      <c r="C69" s="271" t="s">
        <v>457</v>
      </c>
      <c r="D69" s="575">
        <f>1*0.5</f>
        <v>0.5</v>
      </c>
      <c r="E69" s="479"/>
      <c r="F69" s="479"/>
      <c r="G69" s="479">
        <v>1</v>
      </c>
      <c r="H69" s="701">
        <f t="shared" si="1"/>
        <v>0.5</v>
      </c>
    </row>
    <row r="70" spans="1:9" ht="13" x14ac:dyDescent="0.3">
      <c r="A70" s="625"/>
      <c r="B70" s="273" t="s">
        <v>892</v>
      </c>
      <c r="C70" s="271" t="s">
        <v>457</v>
      </c>
      <c r="D70" s="575">
        <f>2*(1.2+0.9)*1.8</f>
        <v>7.5600000000000005</v>
      </c>
      <c r="E70" s="479"/>
      <c r="F70" s="479"/>
      <c r="G70" s="479">
        <v>1</v>
      </c>
      <c r="H70" s="701">
        <f t="shared" si="1"/>
        <v>7.5600000000000005</v>
      </c>
    </row>
    <row r="71" spans="1:9" ht="13" x14ac:dyDescent="0.3">
      <c r="A71" s="625"/>
      <c r="B71" s="273" t="s">
        <v>891</v>
      </c>
      <c r="C71" s="271" t="s">
        <v>457</v>
      </c>
      <c r="D71" s="575">
        <f>1.3*1*2</f>
        <v>2.6</v>
      </c>
      <c r="E71" s="479"/>
      <c r="F71" s="479"/>
      <c r="G71" s="479">
        <v>1</v>
      </c>
      <c r="H71" s="701">
        <f t="shared" si="1"/>
        <v>2.6</v>
      </c>
    </row>
    <row r="72" spans="1:9" ht="13" x14ac:dyDescent="0.3">
      <c r="A72" s="625"/>
      <c r="B72" s="273" t="s">
        <v>900</v>
      </c>
      <c r="C72" s="271" t="s">
        <v>457</v>
      </c>
      <c r="D72" s="575">
        <f>2*(0.75+0.4)*2.65*2</f>
        <v>12.19</v>
      </c>
      <c r="E72" s="479"/>
      <c r="F72" s="479"/>
      <c r="G72" s="479">
        <v>1</v>
      </c>
      <c r="H72" s="701">
        <f t="shared" si="1"/>
        <v>12.19</v>
      </c>
    </row>
    <row r="73" spans="1:9" ht="13" x14ac:dyDescent="0.3">
      <c r="A73" s="625"/>
      <c r="B73" s="273" t="s">
        <v>887</v>
      </c>
      <c r="C73" s="271" t="s">
        <v>457</v>
      </c>
      <c r="D73" s="582">
        <f>2*(0.75+0.4)*1.3</f>
        <v>2.9899999999999998</v>
      </c>
      <c r="E73" s="479"/>
      <c r="F73" s="479"/>
      <c r="G73" s="479">
        <v>1</v>
      </c>
      <c r="H73" s="701">
        <f t="shared" si="1"/>
        <v>2.9899999999999998</v>
      </c>
    </row>
    <row r="74" spans="1:9" ht="13" x14ac:dyDescent="0.3">
      <c r="A74" s="625"/>
      <c r="B74" s="273" t="s">
        <v>879</v>
      </c>
      <c r="C74" s="271" t="s">
        <v>457</v>
      </c>
      <c r="D74" s="582">
        <f>2*(0.75+0.4)*0.5</f>
        <v>1.1499999999999999</v>
      </c>
      <c r="E74" s="479"/>
      <c r="F74" s="479"/>
      <c r="G74" s="479">
        <v>1</v>
      </c>
      <c r="H74" s="701">
        <f t="shared" si="1"/>
        <v>1.1499999999999999</v>
      </c>
    </row>
    <row r="75" spans="1:9" ht="13" x14ac:dyDescent="0.3">
      <c r="A75" s="625"/>
      <c r="B75" s="273"/>
      <c r="C75" s="271"/>
      <c r="D75" s="479"/>
      <c r="E75" s="479"/>
      <c r="F75" s="479"/>
      <c r="G75" s="479"/>
      <c r="H75" s="701">
        <f t="shared" si="1"/>
        <v>0</v>
      </c>
    </row>
    <row r="76" spans="1:9" ht="13" x14ac:dyDescent="0.3">
      <c r="A76" s="625"/>
      <c r="B76" s="273"/>
      <c r="C76" s="271"/>
      <c r="D76" s="479"/>
      <c r="E76" s="479"/>
      <c r="F76" s="479"/>
      <c r="G76" s="479"/>
      <c r="H76" s="701">
        <f t="shared" si="1"/>
        <v>0</v>
      </c>
    </row>
    <row r="77" spans="1:9" ht="13" x14ac:dyDescent="0.3">
      <c r="A77" s="625"/>
      <c r="B77" s="702" t="s">
        <v>684</v>
      </c>
      <c r="C77" s="703" t="s">
        <v>468</v>
      </c>
      <c r="D77" s="520"/>
      <c r="E77" s="520"/>
      <c r="F77" s="520"/>
      <c r="G77" s="520"/>
      <c r="H77" s="704">
        <v>80.23</v>
      </c>
      <c r="I77" s="459">
        <v>80.23</v>
      </c>
    </row>
    <row r="78" spans="1:9" ht="13" x14ac:dyDescent="0.3">
      <c r="A78" s="625"/>
      <c r="B78" s="273"/>
      <c r="C78" s="271"/>
      <c r="D78" s="479"/>
      <c r="E78" s="479"/>
      <c r="F78" s="479"/>
      <c r="G78" s="479"/>
      <c r="H78" s="631"/>
    </row>
    <row r="79" spans="1:9" ht="13" x14ac:dyDescent="0.3">
      <c r="A79" s="625">
        <v>1.3</v>
      </c>
      <c r="B79" s="273" t="s">
        <v>459</v>
      </c>
      <c r="C79" s="271" t="s">
        <v>457</v>
      </c>
      <c r="D79" s="479"/>
      <c r="E79" s="479"/>
      <c r="F79" s="479"/>
      <c r="G79" s="479"/>
      <c r="H79" s="516"/>
    </row>
    <row r="80" spans="1:9" ht="13" x14ac:dyDescent="0.3">
      <c r="A80" s="625"/>
      <c r="B80" s="272" t="s">
        <v>460</v>
      </c>
      <c r="C80" s="271"/>
      <c r="D80" s="479"/>
      <c r="E80" s="479"/>
      <c r="F80" s="479"/>
      <c r="G80" s="479"/>
      <c r="H80" s="516"/>
    </row>
    <row r="81" spans="1:8" ht="13" x14ac:dyDescent="0.3">
      <c r="A81" s="625"/>
      <c r="B81" s="272"/>
      <c r="C81" s="271"/>
      <c r="D81" s="479"/>
      <c r="E81" s="479"/>
      <c r="F81" s="479"/>
      <c r="G81" s="479"/>
      <c r="H81" s="516"/>
    </row>
    <row r="82" spans="1:8" ht="13" x14ac:dyDescent="0.3">
      <c r="A82" s="625">
        <v>2</v>
      </c>
      <c r="B82" s="283" t="s">
        <v>461</v>
      </c>
      <c r="C82" s="271"/>
      <c r="D82" s="479"/>
      <c r="E82" s="479"/>
      <c r="F82" s="479"/>
      <c r="G82" s="479"/>
      <c r="H82" s="516"/>
    </row>
    <row r="83" spans="1:8" ht="13" x14ac:dyDescent="0.3">
      <c r="A83" s="625">
        <v>2.1</v>
      </c>
      <c r="B83" s="273" t="s">
        <v>456</v>
      </c>
      <c r="C83" s="271" t="s">
        <v>457</v>
      </c>
      <c r="D83" s="516">
        <f>2*(0.75+0.35)*9.1</f>
        <v>20.02</v>
      </c>
      <c r="E83" s="479"/>
      <c r="F83" s="479"/>
      <c r="G83" s="479">
        <v>1</v>
      </c>
      <c r="H83" s="628">
        <v>18.2</v>
      </c>
    </row>
    <row r="84" spans="1:8" ht="13" x14ac:dyDescent="0.3">
      <c r="A84" s="625"/>
      <c r="B84" s="273"/>
      <c r="C84" s="271"/>
      <c r="D84" s="516"/>
      <c r="E84" s="479"/>
      <c r="F84" s="479"/>
      <c r="G84" s="479"/>
      <c r="H84" s="516"/>
    </row>
    <row r="85" spans="1:8" ht="13" x14ac:dyDescent="0.3">
      <c r="A85" s="625"/>
      <c r="B85" s="273"/>
      <c r="C85" s="271"/>
      <c r="D85" s="479"/>
      <c r="E85" s="479"/>
      <c r="F85" s="479"/>
      <c r="G85" s="479"/>
      <c r="H85" s="516"/>
    </row>
    <row r="86" spans="1:8" ht="13" x14ac:dyDescent="0.3">
      <c r="A86" s="625">
        <v>2.2000000000000002</v>
      </c>
      <c r="B86" s="273" t="s">
        <v>458</v>
      </c>
      <c r="C86" s="271" t="s">
        <v>457</v>
      </c>
      <c r="D86" s="516">
        <f>2*(0.75+0.35)*13.5</f>
        <v>29.700000000000003</v>
      </c>
      <c r="E86" s="479"/>
      <c r="F86" s="479"/>
      <c r="G86" s="479">
        <v>1</v>
      </c>
      <c r="H86" s="628">
        <v>29</v>
      </c>
    </row>
    <row r="87" spans="1:8" ht="13" x14ac:dyDescent="0.3">
      <c r="A87" s="625"/>
      <c r="B87" s="273"/>
      <c r="C87" s="271"/>
      <c r="D87" s="479"/>
      <c r="E87" s="479"/>
      <c r="F87" s="479"/>
      <c r="G87" s="479"/>
      <c r="H87" s="516"/>
    </row>
    <row r="88" spans="1:8" ht="13" x14ac:dyDescent="0.3">
      <c r="A88" s="625"/>
      <c r="B88" s="273"/>
      <c r="C88" s="271"/>
      <c r="D88" s="479"/>
      <c r="E88" s="479"/>
      <c r="F88" s="479"/>
      <c r="G88" s="479"/>
      <c r="H88" s="516"/>
    </row>
    <row r="89" spans="1:8" ht="13" x14ac:dyDescent="0.3">
      <c r="A89" s="625"/>
      <c r="B89" s="273"/>
      <c r="C89" s="271"/>
      <c r="D89" s="479"/>
      <c r="E89" s="479"/>
      <c r="F89" s="479"/>
      <c r="G89" s="479"/>
      <c r="H89" s="516"/>
    </row>
    <row r="90" spans="1:8" ht="13" x14ac:dyDescent="0.3">
      <c r="A90" s="625"/>
      <c r="B90" s="272" t="s">
        <v>460</v>
      </c>
      <c r="C90" s="271"/>
      <c r="D90" s="479"/>
      <c r="E90" s="479"/>
      <c r="F90" s="479"/>
      <c r="G90" s="479"/>
      <c r="H90" s="516"/>
    </row>
    <row r="91" spans="1:8" ht="13" x14ac:dyDescent="0.3">
      <c r="A91" s="625"/>
      <c r="B91" s="272"/>
      <c r="C91" s="271"/>
      <c r="D91" s="479"/>
      <c r="E91" s="479"/>
      <c r="F91" s="479"/>
      <c r="G91" s="479"/>
      <c r="H91" s="516"/>
    </row>
    <row r="92" spans="1:8" ht="13" x14ac:dyDescent="0.3">
      <c r="A92" s="274">
        <v>3</v>
      </c>
      <c r="B92" s="283" t="s">
        <v>463</v>
      </c>
      <c r="C92" s="280"/>
      <c r="D92" s="243"/>
      <c r="E92" s="479"/>
      <c r="F92" s="479"/>
      <c r="G92" s="479"/>
      <c r="H92" s="516"/>
    </row>
    <row r="93" spans="1:8" ht="24" x14ac:dyDescent="0.3">
      <c r="A93" s="274">
        <v>3.1</v>
      </c>
      <c r="B93" s="276" t="s">
        <v>622</v>
      </c>
      <c r="C93" s="280" t="s">
        <v>464</v>
      </c>
      <c r="D93" s="243">
        <f>2*(0.6+0.2)*0.15*2</f>
        <v>0.48</v>
      </c>
      <c r="E93" s="479"/>
      <c r="F93" s="479"/>
      <c r="G93" s="479">
        <v>1</v>
      </c>
      <c r="H93" s="701">
        <f>PRODUCT(D93:G93)</f>
        <v>0.48</v>
      </c>
    </row>
    <row r="94" spans="1:8" ht="13" x14ac:dyDescent="0.3">
      <c r="A94" s="274"/>
      <c r="B94" s="276"/>
      <c r="C94" s="280" t="s">
        <v>464</v>
      </c>
      <c r="D94" s="243">
        <f>2*(0.4+0.9)*0.15*2</f>
        <v>0.78</v>
      </c>
      <c r="E94" s="479"/>
      <c r="F94" s="479"/>
      <c r="G94" s="479">
        <v>1</v>
      </c>
      <c r="H94" s="701">
        <f t="shared" ref="H94:H96" si="2">PRODUCT(D94:G94)</f>
        <v>0.78</v>
      </c>
    </row>
    <row r="95" spans="1:8" ht="13" x14ac:dyDescent="0.3">
      <c r="A95" s="274"/>
      <c r="B95" s="276"/>
      <c r="C95" s="280" t="s">
        <v>464</v>
      </c>
      <c r="D95" s="243">
        <f>2*(0.7+0.4)*0.15*2</f>
        <v>0.66</v>
      </c>
      <c r="E95" s="479"/>
      <c r="F95" s="479"/>
      <c r="G95" s="479">
        <v>1</v>
      </c>
      <c r="H95" s="701">
        <f t="shared" si="2"/>
        <v>0.66</v>
      </c>
    </row>
    <row r="96" spans="1:8" ht="13" x14ac:dyDescent="0.3">
      <c r="A96" s="274"/>
      <c r="B96" s="86"/>
      <c r="C96" s="280"/>
      <c r="D96" s="243"/>
      <c r="E96" s="479"/>
      <c r="F96" s="479"/>
      <c r="G96" s="479"/>
      <c r="H96" s="701">
        <f t="shared" si="2"/>
        <v>0</v>
      </c>
    </row>
    <row r="97" spans="1:9" ht="13" x14ac:dyDescent="0.3">
      <c r="A97" s="274"/>
      <c r="B97" s="702" t="s">
        <v>684</v>
      </c>
      <c r="C97" s="703" t="s">
        <v>468</v>
      </c>
      <c r="D97" s="520"/>
      <c r="E97" s="520"/>
      <c r="F97" s="520"/>
      <c r="G97" s="520"/>
      <c r="H97" s="704">
        <f>SUM(H93:H96)</f>
        <v>1.92</v>
      </c>
    </row>
    <row r="98" spans="1:9" ht="13" x14ac:dyDescent="0.3">
      <c r="A98" s="274"/>
      <c r="B98" s="86"/>
      <c r="C98" s="280"/>
      <c r="D98" s="243"/>
      <c r="E98" s="479"/>
      <c r="F98" s="479"/>
      <c r="G98" s="479"/>
      <c r="H98" s="516"/>
    </row>
    <row r="99" spans="1:9" ht="13" x14ac:dyDescent="0.3">
      <c r="A99" s="274">
        <v>4</v>
      </c>
      <c r="B99" s="283" t="s">
        <v>465</v>
      </c>
      <c r="C99" s="289"/>
      <c r="D99" s="234"/>
      <c r="E99" s="479"/>
      <c r="F99" s="479"/>
      <c r="G99" s="479"/>
      <c r="H99" s="516"/>
    </row>
    <row r="100" spans="1:9" ht="60" x14ac:dyDescent="0.3">
      <c r="A100" s="274"/>
      <c r="B100" s="276" t="s">
        <v>466</v>
      </c>
      <c r="C100" s="290"/>
      <c r="D100" s="234"/>
      <c r="E100" s="479"/>
      <c r="F100" s="479"/>
      <c r="G100" s="479"/>
      <c r="H100" s="639"/>
    </row>
    <row r="101" spans="1:9" ht="13" x14ac:dyDescent="0.3">
      <c r="A101" s="274">
        <v>4.0999999999999996</v>
      </c>
      <c r="B101" s="273" t="s">
        <v>467</v>
      </c>
      <c r="C101" s="280" t="s">
        <v>468</v>
      </c>
      <c r="D101" s="243">
        <f>2*(1.075+0.6)*0.15*2</f>
        <v>1.0049999999999999</v>
      </c>
      <c r="E101" s="479"/>
      <c r="F101" s="479"/>
      <c r="G101" s="479"/>
      <c r="H101" s="628">
        <f t="shared" ref="H101:H102" si="3">PRODUCT(D101:G101)</f>
        <v>1.0049999999999999</v>
      </c>
    </row>
    <row r="102" spans="1:9" ht="13" x14ac:dyDescent="0.3">
      <c r="A102" s="274">
        <v>4.2</v>
      </c>
      <c r="B102" s="273" t="s">
        <v>469</v>
      </c>
      <c r="C102" s="280" t="s">
        <v>470</v>
      </c>
      <c r="D102" s="243">
        <v>2</v>
      </c>
      <c r="E102" s="479"/>
      <c r="F102" s="479"/>
      <c r="G102" s="479"/>
      <c r="H102" s="628">
        <f t="shared" si="3"/>
        <v>2</v>
      </c>
    </row>
    <row r="103" spans="1:9" ht="13" x14ac:dyDescent="0.3">
      <c r="A103" s="274"/>
      <c r="B103" s="86"/>
      <c r="C103" s="280"/>
      <c r="D103" s="243"/>
      <c r="E103" s="479"/>
      <c r="F103" s="479"/>
      <c r="G103" s="479"/>
      <c r="H103" s="516"/>
    </row>
    <row r="104" spans="1:9" ht="13" x14ac:dyDescent="0.3">
      <c r="A104" s="274">
        <v>5</v>
      </c>
      <c r="B104" s="283" t="s">
        <v>471</v>
      </c>
      <c r="C104" s="280"/>
      <c r="D104" s="243"/>
      <c r="E104" s="479"/>
      <c r="F104" s="479"/>
      <c r="G104" s="479"/>
      <c r="H104" s="639"/>
    </row>
    <row r="105" spans="1:9" ht="24" x14ac:dyDescent="0.3">
      <c r="A105" s="274"/>
      <c r="B105" s="276" t="s">
        <v>623</v>
      </c>
      <c r="C105" s="280" t="s">
        <v>457</v>
      </c>
      <c r="D105" s="243">
        <f>0.5*0.15*9</f>
        <v>0.67499999999999993</v>
      </c>
      <c r="E105" s="479"/>
      <c r="F105" s="479"/>
      <c r="G105" s="479">
        <v>1</v>
      </c>
      <c r="H105" s="701">
        <f>PRODUCT(D105:G105)</f>
        <v>0.67499999999999993</v>
      </c>
    </row>
    <row r="106" spans="1:9" ht="13" x14ac:dyDescent="0.3">
      <c r="A106" s="274"/>
      <c r="B106" s="276"/>
      <c r="C106" s="280" t="s">
        <v>457</v>
      </c>
      <c r="D106" s="243">
        <f>0.4*0.4*2</f>
        <v>0.32000000000000006</v>
      </c>
      <c r="E106" s="479"/>
      <c r="F106" s="479"/>
      <c r="G106" s="479">
        <v>1</v>
      </c>
      <c r="H106" s="701">
        <f>PRODUCT(D106:G106)</f>
        <v>0.32000000000000006</v>
      </c>
    </row>
    <row r="107" spans="1:9" ht="13" x14ac:dyDescent="0.3">
      <c r="A107" s="274"/>
      <c r="B107" s="276"/>
      <c r="C107" s="280" t="s">
        <v>457</v>
      </c>
      <c r="D107" s="243">
        <f>1.4*0.6*2</f>
        <v>1.68</v>
      </c>
      <c r="E107" s="479"/>
      <c r="F107" s="479"/>
      <c r="G107" s="479">
        <v>1</v>
      </c>
      <c r="H107" s="701">
        <f>PRODUCT(D107:G107)</f>
        <v>1.68</v>
      </c>
    </row>
    <row r="108" spans="1:9" ht="13" x14ac:dyDescent="0.3">
      <c r="A108" s="274"/>
      <c r="B108" s="276"/>
      <c r="C108" s="280" t="s">
        <v>457</v>
      </c>
      <c r="D108" s="243">
        <f>0.6*0.6*7</f>
        <v>2.52</v>
      </c>
      <c r="E108" s="479"/>
      <c r="F108" s="479"/>
      <c r="G108" s="479">
        <v>1</v>
      </c>
      <c r="H108" s="701">
        <f>PRODUCT(D108:G108)</f>
        <v>2.52</v>
      </c>
    </row>
    <row r="109" spans="1:9" ht="13" x14ac:dyDescent="0.3">
      <c r="A109" s="274"/>
      <c r="B109" s="276"/>
      <c r="C109" s="280"/>
      <c r="D109" s="243"/>
      <c r="E109" s="479"/>
      <c r="F109" s="479"/>
      <c r="G109" s="479"/>
      <c r="H109" s="701">
        <f>PRODUCT(D109:G109)</f>
        <v>0</v>
      </c>
    </row>
    <row r="110" spans="1:9" ht="13" x14ac:dyDescent="0.3">
      <c r="A110" s="274"/>
      <c r="B110" s="702" t="s">
        <v>684</v>
      </c>
      <c r="C110" s="703" t="s">
        <v>468</v>
      </c>
      <c r="D110" s="520"/>
      <c r="E110" s="520"/>
      <c r="F110" s="520"/>
      <c r="G110" s="520"/>
      <c r="H110" s="704">
        <v>4.1950000000000003</v>
      </c>
      <c r="I110" s="459">
        <v>4.1950000000000003</v>
      </c>
    </row>
    <row r="111" spans="1:9" ht="13" x14ac:dyDescent="0.3">
      <c r="A111" s="274"/>
      <c r="B111" s="273"/>
      <c r="C111" s="280"/>
      <c r="D111" s="243"/>
      <c r="E111" s="479"/>
      <c r="F111" s="479"/>
      <c r="G111" s="479"/>
      <c r="H111" s="516"/>
    </row>
    <row r="112" spans="1:9" ht="42.65" customHeight="1" x14ac:dyDescent="0.3">
      <c r="A112" s="274">
        <v>6</v>
      </c>
      <c r="B112" s="283" t="s">
        <v>472</v>
      </c>
      <c r="C112" s="280"/>
      <c r="D112" s="243"/>
      <c r="E112" s="479"/>
      <c r="F112" s="479"/>
      <c r="G112" s="479"/>
      <c r="H112" s="639"/>
    </row>
    <row r="113" spans="1:9" ht="43.75" customHeight="1" x14ac:dyDescent="0.3">
      <c r="A113" s="274"/>
      <c r="B113" s="276" t="s">
        <v>473</v>
      </c>
      <c r="C113" s="280" t="s">
        <v>464</v>
      </c>
      <c r="D113" s="243">
        <f>0.5*0.15*9</f>
        <v>0.67499999999999993</v>
      </c>
      <c r="E113" s="479"/>
      <c r="F113" s="479"/>
      <c r="G113" s="479">
        <v>1</v>
      </c>
      <c r="H113" s="701">
        <f t="shared" ref="H113:H115" si="4">PRODUCT(D113:G113)</f>
        <v>0.67499999999999993</v>
      </c>
    </row>
    <row r="114" spans="1:9" ht="13" x14ac:dyDescent="0.3">
      <c r="A114" s="274"/>
      <c r="B114" s="276"/>
      <c r="C114" s="280"/>
      <c r="D114" s="243">
        <f>0.6*0.6*7</f>
        <v>2.52</v>
      </c>
      <c r="E114" s="479"/>
      <c r="F114" s="479"/>
      <c r="G114" s="479">
        <v>1</v>
      </c>
      <c r="H114" s="701">
        <f t="shared" si="4"/>
        <v>2.52</v>
      </c>
    </row>
    <row r="115" spans="1:9" ht="13" x14ac:dyDescent="0.3">
      <c r="A115" s="274"/>
      <c r="B115" s="276"/>
      <c r="C115" s="280"/>
      <c r="D115" s="243">
        <v>0</v>
      </c>
      <c r="E115" s="479"/>
      <c r="F115" s="479"/>
      <c r="G115" s="479"/>
      <c r="H115" s="701">
        <f t="shared" si="4"/>
        <v>0</v>
      </c>
    </row>
    <row r="116" spans="1:9" ht="13" x14ac:dyDescent="0.3">
      <c r="A116" s="274"/>
      <c r="B116" s="702" t="s">
        <v>684</v>
      </c>
      <c r="C116" s="703" t="s">
        <v>468</v>
      </c>
      <c r="D116" s="520"/>
      <c r="E116" s="520"/>
      <c r="F116" s="520"/>
      <c r="G116" s="520"/>
      <c r="H116" s="704">
        <v>1.92</v>
      </c>
      <c r="I116" s="459">
        <v>1.92</v>
      </c>
    </row>
    <row r="117" spans="1:9" ht="41.5" customHeight="1" x14ac:dyDescent="0.3">
      <c r="A117" s="274">
        <v>7</v>
      </c>
      <c r="B117" s="291" t="s">
        <v>474</v>
      </c>
      <c r="C117" s="292"/>
      <c r="D117" s="234"/>
      <c r="E117" s="479"/>
      <c r="F117" s="479"/>
      <c r="G117" s="479"/>
      <c r="H117" s="639"/>
    </row>
    <row r="118" spans="1:9" ht="48" x14ac:dyDescent="0.3">
      <c r="A118" s="274"/>
      <c r="B118" s="293" t="s">
        <v>475</v>
      </c>
      <c r="C118" s="280" t="s">
        <v>111</v>
      </c>
      <c r="D118" s="243">
        <v>2</v>
      </c>
      <c r="E118" s="479"/>
      <c r="F118" s="479"/>
      <c r="G118" s="479"/>
      <c r="H118" s="628">
        <f>PRODUCT(D118:G118)</f>
        <v>2</v>
      </c>
    </row>
    <row r="119" spans="1:9" ht="13" x14ac:dyDescent="0.3">
      <c r="A119" s="274"/>
      <c r="B119" s="294"/>
      <c r="C119" s="292"/>
      <c r="D119" s="234"/>
      <c r="E119" s="479"/>
      <c r="F119" s="479"/>
      <c r="G119" s="479"/>
      <c r="H119" s="516"/>
    </row>
    <row r="120" spans="1:9" ht="13" x14ac:dyDescent="0.3">
      <c r="A120" s="274">
        <v>8</v>
      </c>
      <c r="B120" s="283" t="s">
        <v>476</v>
      </c>
      <c r="C120" s="290"/>
      <c r="D120" s="234"/>
      <c r="E120" s="479"/>
      <c r="F120" s="479"/>
      <c r="G120" s="479"/>
      <c r="H120" s="516"/>
    </row>
    <row r="121" spans="1:9" ht="48" x14ac:dyDescent="0.3">
      <c r="A121" s="274"/>
      <c r="B121" s="276" t="s">
        <v>477</v>
      </c>
      <c r="C121" s="290"/>
      <c r="D121" s="234"/>
      <c r="E121" s="479"/>
      <c r="F121" s="479"/>
      <c r="G121" s="479"/>
      <c r="H121" s="639"/>
    </row>
    <row r="122" spans="1:9" ht="13" x14ac:dyDescent="0.3">
      <c r="A122" s="274"/>
      <c r="B122" s="276" t="s">
        <v>478</v>
      </c>
      <c r="C122" s="280" t="s">
        <v>479</v>
      </c>
      <c r="D122" s="234">
        <v>0</v>
      </c>
      <c r="E122" s="479"/>
      <c r="F122" s="479"/>
      <c r="G122" s="479"/>
      <c r="H122" s="628">
        <f>PRODUCT(D122:G122)</f>
        <v>0</v>
      </c>
    </row>
    <row r="123" spans="1:9" ht="13" x14ac:dyDescent="0.3">
      <c r="A123" s="274"/>
      <c r="B123" s="273"/>
      <c r="C123" s="280"/>
      <c r="D123" s="243"/>
      <c r="E123" s="479"/>
      <c r="F123" s="479"/>
      <c r="G123" s="479"/>
      <c r="H123" s="516"/>
    </row>
    <row r="124" spans="1:9" ht="13" x14ac:dyDescent="0.3">
      <c r="A124" s="295">
        <v>9</v>
      </c>
      <c r="B124" s="283" t="s">
        <v>480</v>
      </c>
      <c r="C124" s="296"/>
      <c r="D124" s="301"/>
      <c r="E124" s="479"/>
      <c r="F124" s="479"/>
      <c r="G124" s="479"/>
      <c r="H124" s="516"/>
    </row>
    <row r="125" spans="1:9" ht="13" x14ac:dyDescent="0.3">
      <c r="A125" s="295"/>
      <c r="B125" s="272" t="s">
        <v>481</v>
      </c>
      <c r="C125" s="296"/>
      <c r="D125" s="301"/>
      <c r="E125" s="479"/>
      <c r="F125" s="479"/>
      <c r="G125" s="479"/>
      <c r="H125" s="516"/>
    </row>
    <row r="126" spans="1:9" ht="36" x14ac:dyDescent="0.3">
      <c r="A126" s="295"/>
      <c r="B126" s="282" t="s">
        <v>482</v>
      </c>
      <c r="C126" s="296"/>
      <c r="D126" s="301"/>
      <c r="E126" s="479"/>
      <c r="F126" s="479"/>
      <c r="G126" s="479"/>
      <c r="H126" s="639"/>
    </row>
    <row r="127" spans="1:9" ht="13" x14ac:dyDescent="0.3">
      <c r="A127" s="295">
        <v>9.1999999999999993</v>
      </c>
      <c r="B127" s="297" t="s">
        <v>483</v>
      </c>
      <c r="C127" s="298" t="s">
        <v>464</v>
      </c>
      <c r="D127" s="302">
        <v>78.900000000000006</v>
      </c>
      <c r="E127" s="479"/>
      <c r="F127" s="479"/>
      <c r="G127" s="479"/>
      <c r="H127" s="628">
        <v>83.186999999999998</v>
      </c>
    </row>
    <row r="128" spans="1:9" ht="13" x14ac:dyDescent="0.3">
      <c r="A128" s="295"/>
      <c r="B128" s="282"/>
      <c r="C128" s="280"/>
      <c r="D128" s="301"/>
      <c r="E128" s="479"/>
      <c r="F128" s="479"/>
      <c r="G128" s="479"/>
      <c r="H128" s="516"/>
    </row>
    <row r="129" spans="1:8" ht="13" x14ac:dyDescent="0.3">
      <c r="A129" s="295">
        <v>10</v>
      </c>
      <c r="B129" s="272" t="s">
        <v>484</v>
      </c>
      <c r="C129" s="290"/>
      <c r="D129" s="234"/>
      <c r="E129" s="479"/>
      <c r="F129" s="479"/>
      <c r="G129" s="479"/>
      <c r="H129" s="516"/>
    </row>
    <row r="130" spans="1:8" ht="36" x14ac:dyDescent="0.3">
      <c r="A130" s="295"/>
      <c r="B130" s="282" t="s">
        <v>485</v>
      </c>
      <c r="C130" s="280" t="s">
        <v>479</v>
      </c>
      <c r="D130" s="243">
        <f>2*(0.55+0.55)*0.25*2</f>
        <v>1.1000000000000001</v>
      </c>
      <c r="E130" s="479"/>
      <c r="F130" s="479"/>
      <c r="G130" s="479">
        <v>1</v>
      </c>
      <c r="H130" s="701">
        <f t="shared" ref="H130:H132" si="5">PRODUCT(D130:G130)</f>
        <v>1.1000000000000001</v>
      </c>
    </row>
    <row r="131" spans="1:8" ht="13" x14ac:dyDescent="0.3">
      <c r="A131" s="295"/>
      <c r="B131" s="282"/>
      <c r="C131" s="280" t="s">
        <v>479</v>
      </c>
      <c r="D131" s="243">
        <f>2*(0.725+0.725)*0.25</f>
        <v>0.72499999999999998</v>
      </c>
      <c r="E131" s="479"/>
      <c r="F131" s="479"/>
      <c r="G131" s="479">
        <v>1</v>
      </c>
      <c r="H131" s="701">
        <f t="shared" si="5"/>
        <v>0.72499999999999998</v>
      </c>
    </row>
    <row r="132" spans="1:8" ht="13" x14ac:dyDescent="0.3">
      <c r="A132" s="295"/>
      <c r="B132" s="282"/>
      <c r="C132" s="280"/>
      <c r="D132" s="243"/>
      <c r="E132" s="479"/>
      <c r="F132" s="479"/>
      <c r="G132" s="479"/>
      <c r="H132" s="701">
        <f t="shared" si="5"/>
        <v>0</v>
      </c>
    </row>
    <row r="133" spans="1:8" ht="13" x14ac:dyDescent="0.3">
      <c r="A133" s="295"/>
      <c r="B133" s="702" t="s">
        <v>684</v>
      </c>
      <c r="C133" s="703" t="s">
        <v>468</v>
      </c>
      <c r="D133" s="520"/>
      <c r="E133" s="520"/>
      <c r="F133" s="520"/>
      <c r="G133" s="520"/>
      <c r="H133" s="704">
        <f>SUM(H130:H132)</f>
        <v>1.8250000000000002</v>
      </c>
    </row>
    <row r="134" spans="1:8" ht="13" x14ac:dyDescent="0.3">
      <c r="A134" s="295"/>
      <c r="B134" s="282"/>
      <c r="C134" s="280"/>
      <c r="D134" s="301"/>
      <c r="E134" s="479"/>
      <c r="F134" s="479"/>
      <c r="G134" s="640"/>
      <c r="H134" s="639"/>
    </row>
    <row r="135" spans="1:8" ht="24" x14ac:dyDescent="0.3">
      <c r="A135" s="274">
        <v>11</v>
      </c>
      <c r="B135" s="299" t="s">
        <v>486</v>
      </c>
      <c r="C135" s="280" t="s">
        <v>487</v>
      </c>
      <c r="D135" s="243">
        <v>1</v>
      </c>
      <c r="E135" s="479"/>
      <c r="F135" s="479"/>
      <c r="G135" s="479"/>
      <c r="H135" s="628">
        <f>PRODUCT(D135:G135)</f>
        <v>1</v>
      </c>
    </row>
    <row r="136" spans="1:8" ht="13" x14ac:dyDescent="0.3">
      <c r="A136" s="625">
        <v>12</v>
      </c>
      <c r="B136" s="283" t="s">
        <v>488</v>
      </c>
      <c r="C136" s="271"/>
      <c r="D136" s="479"/>
      <c r="E136" s="479"/>
      <c r="F136" s="479"/>
      <c r="G136" s="479"/>
      <c r="H136" s="516"/>
    </row>
    <row r="137" spans="1:8" ht="36" x14ac:dyDescent="0.3">
      <c r="A137" s="633"/>
      <c r="B137" s="273" t="s">
        <v>489</v>
      </c>
      <c r="C137" s="634" t="s">
        <v>635</v>
      </c>
      <c r="D137" s="479"/>
      <c r="E137" s="479"/>
      <c r="F137" s="479"/>
      <c r="G137" s="479"/>
      <c r="H137" s="516"/>
    </row>
    <row r="138" spans="1:8" ht="13" x14ac:dyDescent="0.3">
      <c r="A138" s="630"/>
      <c r="B138" s="282" t="s">
        <v>844</v>
      </c>
      <c r="C138" s="271" t="s">
        <v>845</v>
      </c>
      <c r="D138" s="479"/>
      <c r="E138" s="479"/>
      <c r="F138" s="479"/>
      <c r="G138" s="632">
        <v>3860</v>
      </c>
      <c r="H138" s="628">
        <f>PRODUCT(D138:G138)</f>
        <v>3860</v>
      </c>
    </row>
    <row r="139" spans="1:8" ht="13" x14ac:dyDescent="0.3">
      <c r="A139" s="630"/>
      <c r="B139" s="282"/>
      <c r="C139" s="271"/>
      <c r="D139" s="479"/>
      <c r="E139" s="479"/>
      <c r="F139" s="479"/>
      <c r="G139" s="632"/>
      <c r="H139" s="639"/>
    </row>
    <row r="140" spans="1:8" ht="13" thickBot="1" x14ac:dyDescent="0.3">
      <c r="A140" s="636"/>
      <c r="B140" s="637"/>
      <c r="C140" s="638"/>
      <c r="D140" s="621"/>
      <c r="E140" s="621"/>
      <c r="F140" s="621"/>
      <c r="G140" s="621"/>
      <c r="H140" s="524"/>
    </row>
  </sheetData>
  <protectedRanges>
    <protectedRange sqref="F1" name="Range1"/>
  </protectedRanges>
  <mergeCells count="5">
    <mergeCell ref="A1:H1"/>
    <mergeCell ref="A2:A3"/>
    <mergeCell ref="B2:B3"/>
    <mergeCell ref="C2:C3"/>
    <mergeCell ref="D2:H2"/>
  </mergeCells>
  <pageMargins left="0.7" right="0.7" top="0.75" bottom="0.75" header="0.3" footer="0.3"/>
  <pageSetup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6"/>
  <sheetViews>
    <sheetView zoomScale="91" zoomScaleNormal="91" workbookViewId="0">
      <selection activeCell="B6" sqref="B6:B7"/>
    </sheetView>
  </sheetViews>
  <sheetFormatPr defaultColWidth="24.54296875" defaultRowHeight="12" x14ac:dyDescent="0.3"/>
  <cols>
    <col min="1" max="1" width="4" style="78" bestFit="1" customWidth="1"/>
    <col min="2" max="2" width="47.453125" style="78" customWidth="1"/>
    <col min="3" max="3" width="6.54296875" style="68" bestFit="1" customWidth="1"/>
    <col min="4" max="4" width="9" style="235" bestFit="1" customWidth="1"/>
    <col min="5" max="5" width="9.453125" style="235" bestFit="1" customWidth="1"/>
    <col min="6" max="6" width="12.453125" style="235" bestFit="1" customWidth="1"/>
    <col min="7" max="7" width="11.54296875" style="235" customWidth="1"/>
    <col min="8" max="8" width="11.54296875" style="377" customWidth="1"/>
    <col min="9" max="10" width="11.54296875" style="235" customWidth="1"/>
    <col min="11" max="11" width="11.54296875" style="377" customWidth="1"/>
    <col min="12" max="12" width="15.453125" style="235" bestFit="1" customWidth="1"/>
    <col min="13" max="13" width="12" style="235" bestFit="1" customWidth="1"/>
    <col min="14" max="14" width="22" style="235" customWidth="1"/>
    <col min="15" max="15" width="12" style="78" bestFit="1" customWidth="1"/>
    <col min="16" max="16384" width="24.54296875" style="78"/>
  </cols>
  <sheetData>
    <row r="1" spans="1:15" s="356" customFormat="1" ht="18" customHeight="1" x14ac:dyDescent="0.3">
      <c r="A1" s="766" t="s">
        <v>654</v>
      </c>
      <c r="B1" s="767"/>
      <c r="C1" s="767"/>
      <c r="D1" s="767"/>
      <c r="E1" s="767"/>
      <c r="F1" s="767"/>
      <c r="G1" s="767"/>
      <c r="H1" s="767"/>
      <c r="I1" s="767"/>
      <c r="J1" s="767"/>
      <c r="K1" s="767"/>
      <c r="L1" s="767"/>
      <c r="M1" s="767"/>
      <c r="N1" s="767"/>
      <c r="O1" s="767"/>
    </row>
    <row r="2" spans="1:15" s="356" customFormat="1" ht="18" customHeight="1" x14ac:dyDescent="0.3">
      <c r="A2" s="766" t="s">
        <v>664</v>
      </c>
      <c r="B2" s="767"/>
      <c r="C2" s="767"/>
      <c r="D2" s="767"/>
      <c r="E2" s="767"/>
      <c r="F2" s="767"/>
      <c r="G2" s="767"/>
      <c r="H2" s="767"/>
      <c r="I2" s="767"/>
      <c r="J2" s="767"/>
      <c r="K2" s="767"/>
      <c r="L2" s="767"/>
      <c r="M2" s="767"/>
      <c r="N2" s="767"/>
      <c r="O2" s="767"/>
    </row>
    <row r="3" spans="1:15" s="356" customFormat="1" ht="18" customHeight="1" x14ac:dyDescent="0.3">
      <c r="A3" s="766" t="s">
        <v>653</v>
      </c>
      <c r="B3" s="767"/>
      <c r="C3" s="767"/>
      <c r="D3" s="767"/>
      <c r="E3" s="767"/>
      <c r="F3" s="767"/>
      <c r="G3" s="767"/>
      <c r="H3" s="767"/>
      <c r="I3" s="767"/>
      <c r="J3" s="767"/>
      <c r="K3" s="767"/>
      <c r="L3" s="767"/>
      <c r="M3" s="767"/>
      <c r="N3" s="767"/>
      <c r="O3" s="767"/>
    </row>
    <row r="4" spans="1:15" s="356" customFormat="1" ht="18" customHeight="1" x14ac:dyDescent="0.3">
      <c r="A4" s="766" t="s">
        <v>657</v>
      </c>
      <c r="B4" s="767"/>
      <c r="C4" s="767"/>
      <c r="D4" s="767"/>
      <c r="E4" s="767"/>
      <c r="F4" s="767"/>
      <c r="G4" s="767"/>
      <c r="H4" s="767"/>
      <c r="I4" s="767"/>
      <c r="J4" s="767"/>
      <c r="K4" s="767"/>
      <c r="L4" s="767"/>
      <c r="M4" s="767"/>
      <c r="N4" s="767"/>
      <c r="O4" s="767"/>
    </row>
    <row r="5" spans="1:15" s="356" customFormat="1" ht="18" customHeight="1" x14ac:dyDescent="0.3">
      <c r="A5" s="764" t="s">
        <v>746</v>
      </c>
      <c r="B5" s="765"/>
      <c r="C5" s="765"/>
      <c r="D5" s="765"/>
      <c r="E5" s="765"/>
      <c r="F5" s="765"/>
      <c r="G5" s="765"/>
      <c r="H5" s="765"/>
      <c r="I5" s="765"/>
      <c r="J5" s="765"/>
      <c r="K5" s="765"/>
      <c r="L5" s="765"/>
      <c r="M5" s="765"/>
      <c r="N5" s="765"/>
      <c r="O5" s="765"/>
    </row>
    <row r="6" spans="1:15" s="56" customFormat="1" x14ac:dyDescent="0.3">
      <c r="A6" s="771" t="s">
        <v>8</v>
      </c>
      <c r="B6" s="771" t="s">
        <v>9</v>
      </c>
      <c r="C6" s="775" t="s">
        <v>10</v>
      </c>
      <c r="D6" s="768" t="s">
        <v>650</v>
      </c>
      <c r="E6" s="769"/>
      <c r="F6" s="770"/>
      <c r="G6" s="768" t="s">
        <v>651</v>
      </c>
      <c r="H6" s="769"/>
      <c r="I6" s="769"/>
      <c r="J6" s="769"/>
      <c r="K6" s="770"/>
      <c r="L6" s="768" t="s">
        <v>652</v>
      </c>
      <c r="M6" s="769"/>
      <c r="N6" s="770"/>
      <c r="O6" s="775" t="s">
        <v>661</v>
      </c>
    </row>
    <row r="7" spans="1:15" s="56" customFormat="1" x14ac:dyDescent="0.3">
      <c r="A7" s="772"/>
      <c r="B7" s="772"/>
      <c r="C7" s="776"/>
      <c r="D7" s="225" t="s">
        <v>16</v>
      </c>
      <c r="E7" s="225" t="s">
        <v>15</v>
      </c>
      <c r="F7" s="225" t="s">
        <v>11</v>
      </c>
      <c r="G7" s="225" t="s">
        <v>645</v>
      </c>
      <c r="H7" s="348" t="s">
        <v>648</v>
      </c>
      <c r="I7" s="225" t="s">
        <v>646</v>
      </c>
      <c r="J7" s="225" t="s">
        <v>647</v>
      </c>
      <c r="K7" s="348" t="s">
        <v>649</v>
      </c>
      <c r="L7" s="225" t="s">
        <v>645</v>
      </c>
      <c r="M7" s="225" t="s">
        <v>646</v>
      </c>
      <c r="N7" s="225" t="s">
        <v>647</v>
      </c>
      <c r="O7" s="776"/>
    </row>
    <row r="8" spans="1:15" s="77" customFormat="1" x14ac:dyDescent="0.3">
      <c r="A8" s="304" t="s">
        <v>162</v>
      </c>
      <c r="B8" s="178" t="s">
        <v>531</v>
      </c>
      <c r="C8" s="305"/>
      <c r="D8" s="257"/>
      <c r="E8" s="257"/>
      <c r="F8" s="372"/>
      <c r="G8" s="257"/>
      <c r="H8" s="92"/>
      <c r="I8" s="372"/>
      <c r="J8" s="372"/>
      <c r="K8" s="305"/>
      <c r="L8" s="372"/>
      <c r="M8" s="372"/>
      <c r="N8" s="372"/>
      <c r="O8" s="93"/>
    </row>
    <row r="9" spans="1:15" s="77" customFormat="1" ht="120" customHeight="1" x14ac:dyDescent="0.3">
      <c r="A9" s="215">
        <v>1</v>
      </c>
      <c r="B9" s="179" t="s">
        <v>624</v>
      </c>
      <c r="C9" s="177"/>
      <c r="D9" s="257"/>
      <c r="E9" s="257"/>
      <c r="F9" s="257"/>
      <c r="G9" s="257"/>
      <c r="H9" s="91"/>
      <c r="I9" s="372"/>
      <c r="J9" s="257"/>
      <c r="K9" s="305"/>
      <c r="L9" s="257"/>
      <c r="M9" s="372"/>
      <c r="N9" s="372"/>
      <c r="O9" s="93"/>
    </row>
    <row r="10" spans="1:15" s="77" customFormat="1" x14ac:dyDescent="0.3">
      <c r="A10" s="215" t="s">
        <v>493</v>
      </c>
      <c r="B10" s="179" t="s">
        <v>532</v>
      </c>
      <c r="C10" s="209" t="s">
        <v>347</v>
      </c>
      <c r="D10" s="661">
        <v>85</v>
      </c>
      <c r="E10" s="661">
        <v>614</v>
      </c>
      <c r="F10" s="266">
        <f>$D10*E10</f>
        <v>52190</v>
      </c>
      <c r="G10" s="257">
        <v>85</v>
      </c>
      <c r="H10" s="95">
        <v>0.85</v>
      </c>
      <c r="I10" s="372">
        <f>J10-G10</f>
        <v>0.59999999999999432</v>
      </c>
      <c r="J10" s="257">
        <f>Firemb!H22</f>
        <v>85.6</v>
      </c>
      <c r="K10" s="95">
        <v>1</v>
      </c>
      <c r="L10" s="266">
        <f>E10*G10*H10</f>
        <v>44361.5</v>
      </c>
      <c r="M10" s="372">
        <f>N10-L10</f>
        <v>8196.8999999999942</v>
      </c>
      <c r="N10" s="372">
        <f>E10*J10*K10</f>
        <v>52558.399999999994</v>
      </c>
      <c r="O10" s="94"/>
    </row>
    <row r="11" spans="1:15" s="77" customFormat="1" x14ac:dyDescent="0.3">
      <c r="A11" s="215" t="s">
        <v>495</v>
      </c>
      <c r="B11" s="179" t="s">
        <v>533</v>
      </c>
      <c r="C11" s="209" t="s">
        <v>347</v>
      </c>
      <c r="D11" s="661">
        <v>0</v>
      </c>
      <c r="E11" s="661">
        <v>712</v>
      </c>
      <c r="F11" s="266"/>
      <c r="G11" s="257">
        <v>0</v>
      </c>
      <c r="H11" s="95">
        <v>0</v>
      </c>
      <c r="I11" s="372">
        <f t="shared" ref="I11:I52" si="0">J11-G11</f>
        <v>9.1999999999999993</v>
      </c>
      <c r="J11" s="257">
        <f>Firemb!H30</f>
        <v>9.1999999999999993</v>
      </c>
      <c r="K11" s="95">
        <v>1</v>
      </c>
      <c r="L11" s="266">
        <f t="shared" ref="L11:L52" si="1">E11*G11*H11</f>
        <v>0</v>
      </c>
      <c r="M11" s="372">
        <f t="shared" ref="M11:M52" si="2">N11-L11</f>
        <v>6550.4</v>
      </c>
      <c r="N11" s="372">
        <f t="shared" ref="N11:N52" si="3">E11*J11*K11</f>
        <v>6550.4</v>
      </c>
      <c r="O11" s="94"/>
    </row>
    <row r="12" spans="1:15" s="77" customFormat="1" x14ac:dyDescent="0.3">
      <c r="A12" s="215" t="s">
        <v>499</v>
      </c>
      <c r="B12" s="179" t="s">
        <v>534</v>
      </c>
      <c r="C12" s="209" t="s">
        <v>347</v>
      </c>
      <c r="D12" s="661">
        <v>25</v>
      </c>
      <c r="E12" s="661">
        <v>723</v>
      </c>
      <c r="F12" s="266">
        <f t="shared" ref="F12:F15" si="4">$D12*E12</f>
        <v>18075</v>
      </c>
      <c r="G12" s="257">
        <v>25</v>
      </c>
      <c r="H12" s="95">
        <v>0.85</v>
      </c>
      <c r="I12" s="372">
        <f t="shared" si="0"/>
        <v>-5.1999999999999993</v>
      </c>
      <c r="J12" s="257">
        <f>Firemb!H38</f>
        <v>19.8</v>
      </c>
      <c r="K12" s="95">
        <v>1</v>
      </c>
      <c r="L12" s="266">
        <f t="shared" si="1"/>
        <v>15363.75</v>
      </c>
      <c r="M12" s="372">
        <f t="shared" si="2"/>
        <v>-1048.3500000000004</v>
      </c>
      <c r="N12" s="372">
        <f t="shared" si="3"/>
        <v>14315.4</v>
      </c>
      <c r="O12" s="94"/>
    </row>
    <row r="13" spans="1:15" s="77" customFormat="1" x14ac:dyDescent="0.3">
      <c r="A13" s="215" t="s">
        <v>520</v>
      </c>
      <c r="B13" s="179" t="s">
        <v>535</v>
      </c>
      <c r="C13" s="209" t="s">
        <v>347</v>
      </c>
      <c r="D13" s="661">
        <v>10</v>
      </c>
      <c r="E13" s="661">
        <v>985</v>
      </c>
      <c r="F13" s="266">
        <f t="shared" si="4"/>
        <v>9850</v>
      </c>
      <c r="G13" s="257">
        <v>10</v>
      </c>
      <c r="H13" s="95">
        <v>0.85</v>
      </c>
      <c r="I13" s="372">
        <f t="shared" si="0"/>
        <v>2.5999999999999996</v>
      </c>
      <c r="J13" s="257">
        <f>Firemb!H45</f>
        <v>12.6</v>
      </c>
      <c r="K13" s="95">
        <v>1</v>
      </c>
      <c r="L13" s="266">
        <f t="shared" si="1"/>
        <v>8372.5</v>
      </c>
      <c r="M13" s="372">
        <f t="shared" si="2"/>
        <v>4038.5</v>
      </c>
      <c r="N13" s="372">
        <f t="shared" si="3"/>
        <v>12411</v>
      </c>
      <c r="O13" s="94"/>
    </row>
    <row r="14" spans="1:15" s="77" customFormat="1" x14ac:dyDescent="0.3">
      <c r="A14" s="215" t="s">
        <v>536</v>
      </c>
      <c r="B14" s="179" t="s">
        <v>537</v>
      </c>
      <c r="C14" s="209" t="s">
        <v>347</v>
      </c>
      <c r="D14" s="661">
        <v>10</v>
      </c>
      <c r="E14" s="661">
        <v>1030</v>
      </c>
      <c r="F14" s="266">
        <f t="shared" si="4"/>
        <v>10300</v>
      </c>
      <c r="G14" s="257">
        <v>10</v>
      </c>
      <c r="H14" s="95">
        <v>0</v>
      </c>
      <c r="I14" s="372">
        <f t="shared" si="0"/>
        <v>6</v>
      </c>
      <c r="J14" s="257">
        <f>Firemb!H51</f>
        <v>16</v>
      </c>
      <c r="K14" s="95">
        <v>1</v>
      </c>
      <c r="L14" s="266">
        <f t="shared" si="1"/>
        <v>0</v>
      </c>
      <c r="M14" s="372">
        <f t="shared" si="2"/>
        <v>16480</v>
      </c>
      <c r="N14" s="372">
        <f t="shared" si="3"/>
        <v>16480</v>
      </c>
      <c r="O14" s="94"/>
    </row>
    <row r="15" spans="1:15" s="77" customFormat="1" x14ac:dyDescent="0.3">
      <c r="A15" s="215" t="s">
        <v>538</v>
      </c>
      <c r="B15" s="179" t="s">
        <v>539</v>
      </c>
      <c r="C15" s="209" t="s">
        <v>347</v>
      </c>
      <c r="D15" s="661">
        <v>20</v>
      </c>
      <c r="E15" s="661">
        <v>1189</v>
      </c>
      <c r="F15" s="266">
        <f t="shared" si="4"/>
        <v>23780</v>
      </c>
      <c r="G15" s="257">
        <v>20</v>
      </c>
      <c r="H15" s="95">
        <v>0</v>
      </c>
      <c r="I15" s="372">
        <f t="shared" si="0"/>
        <v>-20</v>
      </c>
      <c r="J15" s="257">
        <v>0</v>
      </c>
      <c r="K15" s="95">
        <v>0</v>
      </c>
      <c r="L15" s="266">
        <f t="shared" si="1"/>
        <v>0</v>
      </c>
      <c r="M15" s="372">
        <f t="shared" si="2"/>
        <v>0</v>
      </c>
      <c r="N15" s="372">
        <f t="shared" si="3"/>
        <v>0</v>
      </c>
      <c r="O15" s="94"/>
    </row>
    <row r="16" spans="1:15" s="77" customFormat="1" x14ac:dyDescent="0.3">
      <c r="A16" s="215" t="s">
        <v>540</v>
      </c>
      <c r="B16" s="179" t="s">
        <v>541</v>
      </c>
      <c r="C16" s="209" t="s">
        <v>347</v>
      </c>
      <c r="D16" s="663">
        <v>0</v>
      </c>
      <c r="E16" s="661">
        <v>1456</v>
      </c>
      <c r="F16" s="266"/>
      <c r="G16" s="266"/>
      <c r="H16" s="95">
        <v>0</v>
      </c>
      <c r="I16" s="372">
        <f t="shared" si="0"/>
        <v>0</v>
      </c>
      <c r="J16" s="266">
        <v>0</v>
      </c>
      <c r="K16" s="95">
        <v>0</v>
      </c>
      <c r="L16" s="266">
        <f t="shared" si="1"/>
        <v>0</v>
      </c>
      <c r="M16" s="372">
        <f t="shared" si="2"/>
        <v>0</v>
      </c>
      <c r="N16" s="372">
        <f t="shared" si="3"/>
        <v>0</v>
      </c>
      <c r="O16" s="94"/>
    </row>
    <row r="17" spans="1:15" s="77" customFormat="1" x14ac:dyDescent="0.3">
      <c r="A17" s="215"/>
      <c r="B17" s="179"/>
      <c r="C17" s="177"/>
      <c r="D17" s="257"/>
      <c r="E17" s="257"/>
      <c r="F17" s="257"/>
      <c r="G17" s="257"/>
      <c r="H17" s="96"/>
      <c r="I17" s="372">
        <f t="shared" si="0"/>
        <v>0</v>
      </c>
      <c r="J17" s="257"/>
      <c r="K17" s="96"/>
      <c r="L17" s="266">
        <f t="shared" si="1"/>
        <v>0</v>
      </c>
      <c r="M17" s="372">
        <f t="shared" si="2"/>
        <v>0</v>
      </c>
      <c r="N17" s="372">
        <f t="shared" si="3"/>
        <v>0</v>
      </c>
      <c r="O17" s="94"/>
    </row>
    <row r="18" spans="1:15" s="77" customFormat="1" ht="90" customHeight="1" x14ac:dyDescent="0.3">
      <c r="A18" s="215">
        <v>2</v>
      </c>
      <c r="B18" s="179" t="s">
        <v>625</v>
      </c>
      <c r="C18" s="177"/>
      <c r="D18" s="257"/>
      <c r="E18" s="257"/>
      <c r="F18" s="257"/>
      <c r="G18" s="257"/>
      <c r="H18" s="96"/>
      <c r="I18" s="372">
        <f t="shared" si="0"/>
        <v>0</v>
      </c>
      <c r="J18" s="257"/>
      <c r="K18" s="96"/>
      <c r="L18" s="266">
        <f t="shared" si="1"/>
        <v>0</v>
      </c>
      <c r="M18" s="372">
        <f t="shared" si="2"/>
        <v>0</v>
      </c>
      <c r="N18" s="372">
        <f t="shared" si="3"/>
        <v>0</v>
      </c>
      <c r="O18" s="94"/>
    </row>
    <row r="19" spans="1:15" s="77" customFormat="1" x14ac:dyDescent="0.3">
      <c r="A19" s="215" t="s">
        <v>493</v>
      </c>
      <c r="B19" s="179" t="s">
        <v>542</v>
      </c>
      <c r="C19" s="177" t="s">
        <v>398</v>
      </c>
      <c r="D19" s="661">
        <v>19</v>
      </c>
      <c r="E19" s="661">
        <v>455</v>
      </c>
      <c r="F19" s="266">
        <f t="shared" ref="F19:F22" si="5">$D19*E19</f>
        <v>8645</v>
      </c>
      <c r="G19" s="257">
        <v>19</v>
      </c>
      <c r="H19" s="95">
        <v>0.7</v>
      </c>
      <c r="I19" s="372">
        <f t="shared" si="0"/>
        <v>-2</v>
      </c>
      <c r="J19" s="257">
        <f>Firemb!H57</f>
        <v>17</v>
      </c>
      <c r="K19" s="95">
        <v>1</v>
      </c>
      <c r="L19" s="266">
        <f t="shared" si="1"/>
        <v>6051.5</v>
      </c>
      <c r="M19" s="372">
        <f t="shared" si="2"/>
        <v>1683.5</v>
      </c>
      <c r="N19" s="372">
        <f t="shared" si="3"/>
        <v>7735</v>
      </c>
      <c r="O19" s="94"/>
    </row>
    <row r="20" spans="1:15" s="77" customFormat="1" x14ac:dyDescent="0.3">
      <c r="A20" s="215" t="s">
        <v>495</v>
      </c>
      <c r="B20" s="179" t="s">
        <v>543</v>
      </c>
      <c r="C20" s="177" t="s">
        <v>398</v>
      </c>
      <c r="D20" s="661">
        <v>10</v>
      </c>
      <c r="E20" s="661">
        <v>495</v>
      </c>
      <c r="F20" s="266">
        <f t="shared" si="5"/>
        <v>4950</v>
      </c>
      <c r="G20" s="257">
        <v>10</v>
      </c>
      <c r="H20" s="95">
        <v>0.7</v>
      </c>
      <c r="I20" s="372">
        <f t="shared" si="0"/>
        <v>-3</v>
      </c>
      <c r="J20" s="257">
        <f>Firemb!H58</f>
        <v>7</v>
      </c>
      <c r="K20" s="95">
        <v>1</v>
      </c>
      <c r="L20" s="266">
        <f t="shared" si="1"/>
        <v>3465</v>
      </c>
      <c r="M20" s="372">
        <f t="shared" si="2"/>
        <v>0</v>
      </c>
      <c r="N20" s="372">
        <f t="shared" si="3"/>
        <v>3465</v>
      </c>
      <c r="O20" s="94"/>
    </row>
    <row r="21" spans="1:15" s="77" customFormat="1" x14ac:dyDescent="0.3">
      <c r="A21" s="215" t="s">
        <v>499</v>
      </c>
      <c r="B21" s="179" t="s">
        <v>544</v>
      </c>
      <c r="C21" s="177" t="s">
        <v>398</v>
      </c>
      <c r="D21" s="663">
        <v>19</v>
      </c>
      <c r="E21" s="661">
        <v>432</v>
      </c>
      <c r="F21" s="266">
        <f t="shared" si="5"/>
        <v>8208</v>
      </c>
      <c r="G21" s="266">
        <v>19</v>
      </c>
      <c r="H21" s="95">
        <v>0.7</v>
      </c>
      <c r="I21" s="372">
        <f t="shared" si="0"/>
        <v>-18</v>
      </c>
      <c r="J21" s="257">
        <f>Firemb!H59</f>
        <v>1</v>
      </c>
      <c r="K21" s="95">
        <v>1</v>
      </c>
      <c r="L21" s="266">
        <f t="shared" si="1"/>
        <v>5745.5999999999995</v>
      </c>
      <c r="M21" s="372">
        <f t="shared" si="2"/>
        <v>-5313.5999999999995</v>
      </c>
      <c r="N21" s="372">
        <f t="shared" si="3"/>
        <v>432</v>
      </c>
      <c r="O21" s="94"/>
    </row>
    <row r="22" spans="1:15" s="77" customFormat="1" x14ac:dyDescent="0.3">
      <c r="A22" s="215" t="s">
        <v>520</v>
      </c>
      <c r="B22" s="179" t="s">
        <v>545</v>
      </c>
      <c r="C22" s="177" t="s">
        <v>398</v>
      </c>
      <c r="D22" s="663">
        <v>10</v>
      </c>
      <c r="E22" s="661">
        <v>448</v>
      </c>
      <c r="F22" s="266">
        <f t="shared" si="5"/>
        <v>4480</v>
      </c>
      <c r="G22" s="266">
        <v>10</v>
      </c>
      <c r="H22" s="95">
        <v>0.7</v>
      </c>
      <c r="I22" s="372">
        <f t="shared" si="0"/>
        <v>-9</v>
      </c>
      <c r="J22" s="257">
        <f>Firemb!H60</f>
        <v>1</v>
      </c>
      <c r="K22" s="95">
        <v>1</v>
      </c>
      <c r="L22" s="266">
        <f t="shared" si="1"/>
        <v>3136</v>
      </c>
      <c r="M22" s="372">
        <f t="shared" si="2"/>
        <v>-2688</v>
      </c>
      <c r="N22" s="372">
        <f t="shared" si="3"/>
        <v>448</v>
      </c>
      <c r="O22" s="94"/>
    </row>
    <row r="23" spans="1:15" s="77" customFormat="1" x14ac:dyDescent="0.3">
      <c r="A23" s="215"/>
      <c r="B23" s="179"/>
      <c r="C23" s="177"/>
      <c r="D23" s="257"/>
      <c r="E23" s="257"/>
      <c r="F23" s="257"/>
      <c r="G23" s="257"/>
      <c r="H23" s="96"/>
      <c r="I23" s="372">
        <f t="shared" si="0"/>
        <v>0</v>
      </c>
      <c r="J23" s="257"/>
      <c r="K23" s="96"/>
      <c r="L23" s="266">
        <f t="shared" si="1"/>
        <v>0</v>
      </c>
      <c r="M23" s="372">
        <f t="shared" si="2"/>
        <v>0</v>
      </c>
      <c r="N23" s="372">
        <f t="shared" si="3"/>
        <v>0</v>
      </c>
      <c r="O23" s="94"/>
    </row>
    <row r="24" spans="1:15" s="77" customFormat="1" ht="118.5" customHeight="1" x14ac:dyDescent="0.3">
      <c r="A24" s="215">
        <v>3</v>
      </c>
      <c r="B24" s="179" t="s">
        <v>626</v>
      </c>
      <c r="C24" s="177"/>
      <c r="D24" s="257"/>
      <c r="E24" s="257"/>
      <c r="F24" s="257"/>
      <c r="G24" s="257"/>
      <c r="H24" s="96"/>
      <c r="I24" s="372">
        <f t="shared" si="0"/>
        <v>0</v>
      </c>
      <c r="J24" s="257"/>
      <c r="K24" s="96"/>
      <c r="L24" s="266">
        <f t="shared" si="1"/>
        <v>0</v>
      </c>
      <c r="M24" s="372">
        <f t="shared" si="2"/>
        <v>0</v>
      </c>
      <c r="N24" s="372">
        <f t="shared" si="3"/>
        <v>0</v>
      </c>
      <c r="O24" s="94"/>
    </row>
    <row r="25" spans="1:15" s="77" customFormat="1" x14ac:dyDescent="0.3">
      <c r="A25" s="215" t="s">
        <v>493</v>
      </c>
      <c r="B25" s="179" t="s">
        <v>546</v>
      </c>
      <c r="C25" s="177" t="s">
        <v>398</v>
      </c>
      <c r="D25" s="661">
        <v>29</v>
      </c>
      <c r="E25" s="661">
        <v>1820</v>
      </c>
      <c r="F25" s="266">
        <f>$D25*E25</f>
        <v>52780</v>
      </c>
      <c r="G25" s="257">
        <v>29</v>
      </c>
      <c r="H25" s="95">
        <v>0</v>
      </c>
      <c r="I25" s="372">
        <f t="shared" si="0"/>
        <v>-16</v>
      </c>
      <c r="J25" s="257">
        <f>Firemb!H63</f>
        <v>13</v>
      </c>
      <c r="K25" s="95">
        <v>1</v>
      </c>
      <c r="L25" s="266">
        <f t="shared" si="1"/>
        <v>0</v>
      </c>
      <c r="M25" s="372">
        <f t="shared" si="2"/>
        <v>23660</v>
      </c>
      <c r="N25" s="372">
        <f t="shared" si="3"/>
        <v>23660</v>
      </c>
      <c r="O25" s="94"/>
    </row>
    <row r="26" spans="1:15" s="77" customFormat="1" x14ac:dyDescent="0.3">
      <c r="A26" s="215" t="s">
        <v>495</v>
      </c>
      <c r="B26" s="179" t="s">
        <v>547</v>
      </c>
      <c r="C26" s="177" t="s">
        <v>398</v>
      </c>
      <c r="D26" s="663"/>
      <c r="E26" s="661">
        <v>2350</v>
      </c>
      <c r="F26" s="266"/>
      <c r="G26" s="266"/>
      <c r="H26" s="95">
        <v>0</v>
      </c>
      <c r="I26" s="372">
        <f t="shared" si="0"/>
        <v>0</v>
      </c>
      <c r="J26" s="257">
        <f>Firemb!H64</f>
        <v>0</v>
      </c>
      <c r="K26" s="95">
        <v>0</v>
      </c>
      <c r="L26" s="266">
        <f t="shared" si="1"/>
        <v>0</v>
      </c>
      <c r="M26" s="372">
        <f t="shared" si="2"/>
        <v>0</v>
      </c>
      <c r="N26" s="372">
        <f t="shared" si="3"/>
        <v>0</v>
      </c>
      <c r="O26" s="94"/>
    </row>
    <row r="27" spans="1:15" s="77" customFormat="1" x14ac:dyDescent="0.3">
      <c r="A27" s="215"/>
      <c r="B27" s="179"/>
      <c r="C27" s="177"/>
      <c r="D27" s="257"/>
      <c r="E27" s="257"/>
      <c r="F27" s="257"/>
      <c r="G27" s="257"/>
      <c r="H27" s="96"/>
      <c r="I27" s="372">
        <f t="shared" si="0"/>
        <v>0</v>
      </c>
      <c r="J27" s="257"/>
      <c r="K27" s="96"/>
      <c r="L27" s="266">
        <f t="shared" si="1"/>
        <v>0</v>
      </c>
      <c r="M27" s="372">
        <f t="shared" si="2"/>
        <v>0</v>
      </c>
      <c r="N27" s="372">
        <f t="shared" si="3"/>
        <v>0</v>
      </c>
      <c r="O27" s="94"/>
    </row>
    <row r="28" spans="1:15" s="77" customFormat="1" ht="24" x14ac:dyDescent="0.3">
      <c r="A28" s="215">
        <v>4</v>
      </c>
      <c r="B28" s="179" t="s">
        <v>548</v>
      </c>
      <c r="C28" s="177" t="s">
        <v>398</v>
      </c>
      <c r="D28" s="663"/>
      <c r="E28" s="661">
        <v>155</v>
      </c>
      <c r="F28" s="266">
        <f>$D28*E28</f>
        <v>0</v>
      </c>
      <c r="G28" s="266"/>
      <c r="H28" s="95">
        <v>0</v>
      </c>
      <c r="I28" s="372">
        <f t="shared" si="0"/>
        <v>22</v>
      </c>
      <c r="J28" s="266">
        <f>Firemb!H66</f>
        <v>22</v>
      </c>
      <c r="K28" s="95">
        <v>1</v>
      </c>
      <c r="L28" s="266">
        <f t="shared" si="1"/>
        <v>0</v>
      </c>
      <c r="M28" s="372">
        <f t="shared" si="2"/>
        <v>3410</v>
      </c>
      <c r="N28" s="372">
        <f t="shared" si="3"/>
        <v>3410</v>
      </c>
      <c r="O28" s="94"/>
    </row>
    <row r="29" spans="1:15" s="77" customFormat="1" x14ac:dyDescent="0.3">
      <c r="A29" s="215"/>
      <c r="B29" s="179"/>
      <c r="C29" s="177"/>
      <c r="D29" s="266"/>
      <c r="E29" s="257"/>
      <c r="F29" s="266"/>
      <c r="G29" s="266"/>
      <c r="H29" s="95"/>
      <c r="I29" s="372">
        <f t="shared" si="0"/>
        <v>0</v>
      </c>
      <c r="J29" s="266"/>
      <c r="K29" s="95"/>
      <c r="L29" s="266">
        <f t="shared" si="1"/>
        <v>0</v>
      </c>
      <c r="M29" s="372">
        <f t="shared" si="2"/>
        <v>0</v>
      </c>
      <c r="N29" s="372">
        <f t="shared" si="3"/>
        <v>0</v>
      </c>
      <c r="O29" s="94"/>
    </row>
    <row r="30" spans="1:15" s="77" customFormat="1" ht="48" x14ac:dyDescent="0.3">
      <c r="A30" s="215">
        <v>5</v>
      </c>
      <c r="B30" s="179" t="s">
        <v>627</v>
      </c>
      <c r="C30" s="177" t="s">
        <v>398</v>
      </c>
      <c r="D30" s="661">
        <v>1</v>
      </c>
      <c r="E30" s="661">
        <v>1983</v>
      </c>
      <c r="F30" s="266">
        <f>$D30*E30</f>
        <v>1983</v>
      </c>
      <c r="G30" s="257">
        <v>1</v>
      </c>
      <c r="H30" s="95">
        <v>0.7</v>
      </c>
      <c r="I30" s="372">
        <f t="shared" si="0"/>
        <v>0</v>
      </c>
      <c r="J30" s="257">
        <f>Firemb!H68</f>
        <v>1</v>
      </c>
      <c r="K30" s="95">
        <v>1</v>
      </c>
      <c r="L30" s="266">
        <f t="shared" si="1"/>
        <v>1388.1</v>
      </c>
      <c r="M30" s="372">
        <f t="shared" si="2"/>
        <v>594.90000000000009</v>
      </c>
      <c r="N30" s="372">
        <f t="shared" si="3"/>
        <v>1983</v>
      </c>
      <c r="O30" s="94"/>
    </row>
    <row r="31" spans="1:15" s="77" customFormat="1" x14ac:dyDescent="0.3">
      <c r="A31" s="215"/>
      <c r="B31" s="179"/>
      <c r="C31" s="177"/>
      <c r="D31" s="663"/>
      <c r="E31" s="661"/>
      <c r="F31" s="266"/>
      <c r="G31" s="266"/>
      <c r="H31" s="95"/>
      <c r="I31" s="372">
        <f t="shared" si="0"/>
        <v>0</v>
      </c>
      <c r="J31" s="257">
        <f>Firemb!H69</f>
        <v>0</v>
      </c>
      <c r="K31" s="95"/>
      <c r="L31" s="266">
        <f t="shared" si="1"/>
        <v>0</v>
      </c>
      <c r="M31" s="372">
        <f t="shared" si="2"/>
        <v>0</v>
      </c>
      <c r="N31" s="372">
        <f t="shared" si="3"/>
        <v>0</v>
      </c>
      <c r="O31" s="94"/>
    </row>
    <row r="32" spans="1:15" s="77" customFormat="1" ht="43.5" customHeight="1" x14ac:dyDescent="0.3">
      <c r="A32" s="215">
        <v>6</v>
      </c>
      <c r="B32" s="306" t="s">
        <v>628</v>
      </c>
      <c r="C32" s="177" t="s">
        <v>398</v>
      </c>
      <c r="D32" s="661">
        <v>1</v>
      </c>
      <c r="E32" s="661">
        <v>5230</v>
      </c>
      <c r="F32" s="266">
        <f>$D32*E32</f>
        <v>5230</v>
      </c>
      <c r="G32" s="257">
        <v>1</v>
      </c>
      <c r="H32" s="95">
        <v>0</v>
      </c>
      <c r="I32" s="372">
        <f t="shared" si="0"/>
        <v>0</v>
      </c>
      <c r="J32" s="257">
        <f>Firemb!H70</f>
        <v>1</v>
      </c>
      <c r="K32" s="95">
        <v>1</v>
      </c>
      <c r="L32" s="266">
        <f t="shared" si="1"/>
        <v>0</v>
      </c>
      <c r="M32" s="372">
        <f t="shared" si="2"/>
        <v>5230</v>
      </c>
      <c r="N32" s="372">
        <f t="shared" si="3"/>
        <v>5230</v>
      </c>
      <c r="O32" s="94"/>
    </row>
    <row r="33" spans="1:15" s="77" customFormat="1" x14ac:dyDescent="0.3">
      <c r="A33" s="215"/>
      <c r="B33" s="179"/>
      <c r="C33" s="177"/>
      <c r="D33" s="663"/>
      <c r="E33" s="661"/>
      <c r="F33" s="266"/>
      <c r="G33" s="266"/>
      <c r="H33" s="95"/>
      <c r="I33" s="372">
        <f t="shared" si="0"/>
        <v>0</v>
      </c>
      <c r="J33" s="257">
        <f>Firemb!H71</f>
        <v>0</v>
      </c>
      <c r="K33" s="95"/>
      <c r="L33" s="266">
        <f t="shared" si="1"/>
        <v>0</v>
      </c>
      <c r="M33" s="372">
        <f t="shared" si="2"/>
        <v>0</v>
      </c>
      <c r="N33" s="372">
        <f t="shared" si="3"/>
        <v>0</v>
      </c>
      <c r="O33" s="94"/>
    </row>
    <row r="34" spans="1:15" s="77" customFormat="1" ht="48" x14ac:dyDescent="0.3">
      <c r="A34" s="215">
        <v>7</v>
      </c>
      <c r="B34" s="307" t="s">
        <v>629</v>
      </c>
      <c r="C34" s="177"/>
      <c r="D34" s="661"/>
      <c r="E34" s="661"/>
      <c r="F34" s="266"/>
      <c r="G34" s="257"/>
      <c r="H34" s="95"/>
      <c r="I34" s="372">
        <f t="shared" si="0"/>
        <v>0</v>
      </c>
      <c r="J34" s="257">
        <f>Firemb!H72</f>
        <v>0</v>
      </c>
      <c r="K34" s="95"/>
      <c r="L34" s="266">
        <f t="shared" si="1"/>
        <v>0</v>
      </c>
      <c r="M34" s="372">
        <f t="shared" si="2"/>
        <v>0</v>
      </c>
      <c r="N34" s="372">
        <f t="shared" si="3"/>
        <v>0</v>
      </c>
      <c r="O34" s="94"/>
    </row>
    <row r="35" spans="1:15" s="77" customFormat="1" x14ac:dyDescent="0.3">
      <c r="A35" s="215" t="s">
        <v>493</v>
      </c>
      <c r="B35" s="307" t="s">
        <v>549</v>
      </c>
      <c r="C35" s="177" t="s">
        <v>398</v>
      </c>
      <c r="D35" s="661">
        <v>1</v>
      </c>
      <c r="E35" s="661">
        <v>3233</v>
      </c>
      <c r="F35" s="266">
        <f t="shared" ref="F35:F36" si="6">$D35*E35</f>
        <v>3233</v>
      </c>
      <c r="G35" s="257">
        <v>1</v>
      </c>
      <c r="H35" s="95">
        <v>0</v>
      </c>
      <c r="I35" s="372">
        <f t="shared" si="0"/>
        <v>-1</v>
      </c>
      <c r="J35" s="257">
        <f>Firemb!H73</f>
        <v>0</v>
      </c>
      <c r="K35" s="95">
        <v>0</v>
      </c>
      <c r="L35" s="266">
        <f t="shared" si="1"/>
        <v>0</v>
      </c>
      <c r="M35" s="372">
        <f t="shared" si="2"/>
        <v>0</v>
      </c>
      <c r="N35" s="372">
        <f t="shared" si="3"/>
        <v>0</v>
      </c>
      <c r="O35" s="94"/>
    </row>
    <row r="36" spans="1:15" s="77" customFormat="1" x14ac:dyDescent="0.3">
      <c r="A36" s="215" t="s">
        <v>495</v>
      </c>
      <c r="B36" s="307" t="s">
        <v>875</v>
      </c>
      <c r="C36" s="177" t="s">
        <v>398</v>
      </c>
      <c r="D36" s="661">
        <v>1</v>
      </c>
      <c r="E36" s="661">
        <v>3546</v>
      </c>
      <c r="F36" s="266">
        <f t="shared" si="6"/>
        <v>3546</v>
      </c>
      <c r="G36" s="257">
        <v>1</v>
      </c>
      <c r="H36" s="95">
        <v>0</v>
      </c>
      <c r="I36" s="372">
        <f t="shared" si="0"/>
        <v>0</v>
      </c>
      <c r="J36" s="257">
        <f>Firemb!H74</f>
        <v>1</v>
      </c>
      <c r="K36" s="95">
        <v>1</v>
      </c>
      <c r="L36" s="266">
        <f t="shared" si="1"/>
        <v>0</v>
      </c>
      <c r="M36" s="372">
        <f t="shared" si="2"/>
        <v>3546</v>
      </c>
      <c r="N36" s="372">
        <f t="shared" si="3"/>
        <v>3546</v>
      </c>
      <c r="O36" s="94"/>
    </row>
    <row r="37" spans="1:15" s="77" customFormat="1" x14ac:dyDescent="0.3">
      <c r="A37" s="215"/>
      <c r="B37" s="179"/>
      <c r="C37" s="177"/>
      <c r="D37" s="266"/>
      <c r="E37" s="257"/>
      <c r="F37" s="266"/>
      <c r="G37" s="266"/>
      <c r="H37" s="95"/>
      <c r="I37" s="372">
        <f t="shared" si="0"/>
        <v>0</v>
      </c>
      <c r="J37" s="266"/>
      <c r="K37" s="95"/>
      <c r="L37" s="266">
        <f t="shared" si="1"/>
        <v>0</v>
      </c>
      <c r="M37" s="372">
        <f t="shared" si="2"/>
        <v>0</v>
      </c>
      <c r="N37" s="372">
        <f t="shared" si="3"/>
        <v>0</v>
      </c>
      <c r="O37" s="94"/>
    </row>
    <row r="38" spans="1:15" s="77" customFormat="1" x14ac:dyDescent="0.3">
      <c r="A38" s="215">
        <v>8</v>
      </c>
      <c r="B38" s="179" t="s">
        <v>550</v>
      </c>
      <c r="C38" s="177"/>
      <c r="D38" s="257"/>
      <c r="E38" s="257"/>
      <c r="F38" s="257"/>
      <c r="G38" s="257"/>
      <c r="H38" s="96"/>
      <c r="I38" s="372">
        <f t="shared" si="0"/>
        <v>0</v>
      </c>
      <c r="J38" s="257"/>
      <c r="K38" s="96"/>
      <c r="L38" s="266">
        <f t="shared" si="1"/>
        <v>0</v>
      </c>
      <c r="M38" s="372">
        <f t="shared" si="2"/>
        <v>0</v>
      </c>
      <c r="N38" s="372">
        <f t="shared" si="3"/>
        <v>0</v>
      </c>
      <c r="O38" s="94"/>
    </row>
    <row r="39" spans="1:15" s="77" customFormat="1" ht="72" x14ac:dyDescent="0.3">
      <c r="A39" s="215" t="s">
        <v>493</v>
      </c>
      <c r="B39" s="179" t="s">
        <v>630</v>
      </c>
      <c r="C39" s="177" t="s">
        <v>398</v>
      </c>
      <c r="D39" s="661">
        <v>0</v>
      </c>
      <c r="E39" s="661">
        <v>6843</v>
      </c>
      <c r="F39" s="266">
        <f t="shared" ref="F39:F40" si="7">$D39*E39</f>
        <v>0</v>
      </c>
      <c r="G39" s="257">
        <v>3</v>
      </c>
      <c r="H39" s="95">
        <v>0</v>
      </c>
      <c r="I39" s="372">
        <f t="shared" si="0"/>
        <v>0</v>
      </c>
      <c r="J39" s="257">
        <f>Firemb!H77</f>
        <v>3</v>
      </c>
      <c r="K39" s="95">
        <v>1</v>
      </c>
      <c r="L39" s="266">
        <f t="shared" si="1"/>
        <v>0</v>
      </c>
      <c r="M39" s="372" t="s">
        <v>1025</v>
      </c>
      <c r="N39" s="372" t="s">
        <v>1025</v>
      </c>
      <c r="O39" s="94"/>
    </row>
    <row r="40" spans="1:15" s="77" customFormat="1" ht="101.25" customHeight="1" x14ac:dyDescent="0.3">
      <c r="A40" s="215" t="s">
        <v>495</v>
      </c>
      <c r="B40" s="179" t="s">
        <v>631</v>
      </c>
      <c r="C40" s="177" t="s">
        <v>398</v>
      </c>
      <c r="D40" s="661">
        <v>0</v>
      </c>
      <c r="E40" s="661">
        <v>2344</v>
      </c>
      <c r="F40" s="266">
        <f t="shared" si="7"/>
        <v>0</v>
      </c>
      <c r="G40" s="257">
        <v>3</v>
      </c>
      <c r="H40" s="95">
        <v>0</v>
      </c>
      <c r="I40" s="372">
        <f t="shared" si="0"/>
        <v>0</v>
      </c>
      <c r="J40" s="257">
        <f>Firemb!H78</f>
        <v>3</v>
      </c>
      <c r="K40" s="95">
        <v>1</v>
      </c>
      <c r="L40" s="266">
        <f t="shared" si="1"/>
        <v>0</v>
      </c>
      <c r="M40" s="372" t="s">
        <v>1025</v>
      </c>
      <c r="N40" s="372" t="s">
        <v>1025</v>
      </c>
      <c r="O40" s="94"/>
    </row>
    <row r="41" spans="1:15" s="77" customFormat="1" x14ac:dyDescent="0.3">
      <c r="A41" s="308" t="s">
        <v>163</v>
      </c>
      <c r="B41" s="309" t="s">
        <v>551</v>
      </c>
      <c r="C41" s="310"/>
      <c r="D41" s="232"/>
      <c r="E41" s="232"/>
      <c r="F41" s="232"/>
      <c r="G41" s="232"/>
      <c r="H41" s="95"/>
      <c r="I41" s="372">
        <f t="shared" si="0"/>
        <v>0</v>
      </c>
      <c r="J41" s="232"/>
      <c r="K41" s="95"/>
      <c r="L41" s="266">
        <f t="shared" si="1"/>
        <v>0</v>
      </c>
      <c r="M41" s="372">
        <f t="shared" si="2"/>
        <v>0</v>
      </c>
      <c r="N41" s="372">
        <f t="shared" si="3"/>
        <v>0</v>
      </c>
      <c r="O41" s="94"/>
    </row>
    <row r="42" spans="1:15" s="77" customFormat="1" x14ac:dyDescent="0.3">
      <c r="A42" s="308"/>
      <c r="B42" s="309" t="s">
        <v>552</v>
      </c>
      <c r="C42" s="310"/>
      <c r="D42" s="232"/>
      <c r="E42" s="232"/>
      <c r="F42" s="232"/>
      <c r="G42" s="232"/>
      <c r="H42" s="95"/>
      <c r="I42" s="372">
        <f t="shared" si="0"/>
        <v>0</v>
      </c>
      <c r="J42" s="232"/>
      <c r="K42" s="95"/>
      <c r="L42" s="266">
        <f t="shared" si="1"/>
        <v>0</v>
      </c>
      <c r="M42" s="372">
        <f t="shared" si="2"/>
        <v>0</v>
      </c>
      <c r="N42" s="372">
        <f t="shared" si="3"/>
        <v>0</v>
      </c>
      <c r="O42" s="94"/>
    </row>
    <row r="43" spans="1:15" s="77" customFormat="1" ht="36" x14ac:dyDescent="0.3">
      <c r="A43" s="311"/>
      <c r="B43" s="311" t="s">
        <v>553</v>
      </c>
      <c r="C43" s="312"/>
      <c r="D43" s="121"/>
      <c r="E43" s="121"/>
      <c r="F43" s="121"/>
      <c r="G43" s="121"/>
      <c r="H43" s="95"/>
      <c r="I43" s="372">
        <f t="shared" si="0"/>
        <v>0</v>
      </c>
      <c r="J43" s="121"/>
      <c r="K43" s="95"/>
      <c r="L43" s="266">
        <f t="shared" si="1"/>
        <v>0</v>
      </c>
      <c r="M43" s="372">
        <f t="shared" si="2"/>
        <v>0</v>
      </c>
      <c r="N43" s="372">
        <f t="shared" si="3"/>
        <v>0</v>
      </c>
      <c r="O43" s="94"/>
    </row>
    <row r="44" spans="1:15" s="77" customFormat="1" ht="60" x14ac:dyDescent="0.3">
      <c r="A44" s="311"/>
      <c r="B44" s="311" t="s">
        <v>554</v>
      </c>
      <c r="C44" s="312"/>
      <c r="D44" s="121"/>
      <c r="E44" s="121"/>
      <c r="F44" s="121"/>
      <c r="G44" s="121"/>
      <c r="H44" s="97"/>
      <c r="I44" s="372">
        <f t="shared" si="0"/>
        <v>0</v>
      </c>
      <c r="J44" s="121"/>
      <c r="K44" s="97"/>
      <c r="L44" s="266">
        <f t="shared" si="1"/>
        <v>0</v>
      </c>
      <c r="M44" s="372">
        <f t="shared" si="2"/>
        <v>0</v>
      </c>
      <c r="N44" s="372">
        <f t="shared" si="3"/>
        <v>0</v>
      </c>
      <c r="O44" s="94"/>
    </row>
    <row r="45" spans="1:15" s="77" customFormat="1" ht="48" x14ac:dyDescent="0.3">
      <c r="A45" s="311"/>
      <c r="B45" s="311" t="s">
        <v>555</v>
      </c>
      <c r="C45" s="312"/>
      <c r="D45" s="121"/>
      <c r="E45" s="121"/>
      <c r="F45" s="121"/>
      <c r="G45" s="121"/>
      <c r="H45" s="97"/>
      <c r="I45" s="372">
        <f t="shared" si="0"/>
        <v>0</v>
      </c>
      <c r="J45" s="121"/>
      <c r="K45" s="97"/>
      <c r="L45" s="266">
        <f t="shared" si="1"/>
        <v>0</v>
      </c>
      <c r="M45" s="372">
        <f t="shared" si="2"/>
        <v>0</v>
      </c>
      <c r="N45" s="372">
        <f t="shared" si="3"/>
        <v>0</v>
      </c>
      <c r="O45" s="94"/>
    </row>
    <row r="46" spans="1:15" s="77" customFormat="1" ht="72" x14ac:dyDescent="0.3">
      <c r="A46" s="311"/>
      <c r="B46" s="311" t="s">
        <v>556</v>
      </c>
      <c r="C46" s="312"/>
      <c r="D46" s="121"/>
      <c r="E46" s="121"/>
      <c r="F46" s="121"/>
      <c r="G46" s="121"/>
      <c r="H46" s="97"/>
      <c r="I46" s="372">
        <f t="shared" si="0"/>
        <v>0</v>
      </c>
      <c r="J46" s="121"/>
      <c r="K46" s="97"/>
      <c r="L46" s="266">
        <f t="shared" si="1"/>
        <v>0</v>
      </c>
      <c r="M46" s="372">
        <f t="shared" si="2"/>
        <v>0</v>
      </c>
      <c r="N46" s="372">
        <f t="shared" si="3"/>
        <v>0</v>
      </c>
      <c r="O46" s="94"/>
    </row>
    <row r="47" spans="1:15" s="77" customFormat="1" ht="96" x14ac:dyDescent="0.3">
      <c r="A47" s="311"/>
      <c r="B47" s="311" t="s">
        <v>557</v>
      </c>
      <c r="C47" s="312"/>
      <c r="D47" s="121"/>
      <c r="E47" s="121"/>
      <c r="F47" s="121"/>
      <c r="G47" s="121"/>
      <c r="H47" s="97"/>
      <c r="I47" s="372">
        <f t="shared" si="0"/>
        <v>0</v>
      </c>
      <c r="J47" s="121"/>
      <c r="K47" s="97"/>
      <c r="L47" s="266">
        <f t="shared" si="1"/>
        <v>0</v>
      </c>
      <c r="M47" s="372">
        <f t="shared" si="2"/>
        <v>0</v>
      </c>
      <c r="N47" s="372">
        <f t="shared" si="3"/>
        <v>0</v>
      </c>
      <c r="O47" s="94"/>
    </row>
    <row r="48" spans="1:15" s="77" customFormat="1" ht="84" x14ac:dyDescent="0.3">
      <c r="A48" s="311"/>
      <c r="B48" s="311" t="s">
        <v>558</v>
      </c>
      <c r="C48" s="312"/>
      <c r="D48" s="121"/>
      <c r="E48" s="121"/>
      <c r="F48" s="121"/>
      <c r="G48" s="121"/>
      <c r="H48" s="97"/>
      <c r="I48" s="372">
        <f t="shared" si="0"/>
        <v>0</v>
      </c>
      <c r="J48" s="121"/>
      <c r="K48" s="97"/>
      <c r="L48" s="266">
        <f t="shared" si="1"/>
        <v>0</v>
      </c>
      <c r="M48" s="372">
        <f t="shared" si="2"/>
        <v>0</v>
      </c>
      <c r="N48" s="372">
        <f t="shared" si="3"/>
        <v>0</v>
      </c>
      <c r="O48" s="94"/>
    </row>
    <row r="49" spans="1:15" s="77" customFormat="1" x14ac:dyDescent="0.3">
      <c r="A49" s="311" t="s">
        <v>559</v>
      </c>
      <c r="B49" s="311" t="s">
        <v>560</v>
      </c>
      <c r="C49" s="312" t="s">
        <v>334</v>
      </c>
      <c r="D49" s="121">
        <v>1</v>
      </c>
      <c r="E49" s="121"/>
      <c r="F49" s="121">
        <f t="shared" ref="F49:F52" si="8">$D49*E49</f>
        <v>0</v>
      </c>
      <c r="G49" s="121">
        <v>1</v>
      </c>
      <c r="H49" s="97">
        <v>0</v>
      </c>
      <c r="I49" s="372">
        <f t="shared" si="0"/>
        <v>-1</v>
      </c>
      <c r="J49" s="121"/>
      <c r="K49" s="97"/>
      <c r="L49" s="266">
        <f t="shared" si="1"/>
        <v>0</v>
      </c>
      <c r="M49" s="372">
        <f t="shared" si="2"/>
        <v>0</v>
      </c>
      <c r="N49" s="372">
        <f t="shared" si="3"/>
        <v>0</v>
      </c>
      <c r="O49" s="94"/>
    </row>
    <row r="50" spans="1:15" s="77" customFormat="1" x14ac:dyDescent="0.3">
      <c r="A50" s="311" t="s">
        <v>561</v>
      </c>
      <c r="B50" s="311" t="s">
        <v>562</v>
      </c>
      <c r="C50" s="312" t="s">
        <v>334</v>
      </c>
      <c r="D50" s="121">
        <v>1</v>
      </c>
      <c r="E50" s="121"/>
      <c r="F50" s="121">
        <f t="shared" si="8"/>
        <v>0</v>
      </c>
      <c r="G50" s="121">
        <v>1</v>
      </c>
      <c r="H50" s="97">
        <v>0</v>
      </c>
      <c r="I50" s="372">
        <f t="shared" si="0"/>
        <v>-1</v>
      </c>
      <c r="J50" s="121"/>
      <c r="K50" s="97"/>
      <c r="L50" s="266">
        <f t="shared" si="1"/>
        <v>0</v>
      </c>
      <c r="M50" s="372">
        <f t="shared" si="2"/>
        <v>0</v>
      </c>
      <c r="N50" s="372">
        <f t="shared" si="3"/>
        <v>0</v>
      </c>
      <c r="O50" s="94"/>
    </row>
    <row r="51" spans="1:15" s="77" customFormat="1" x14ac:dyDescent="0.3">
      <c r="A51" s="311" t="s">
        <v>563</v>
      </c>
      <c r="B51" s="311" t="s">
        <v>564</v>
      </c>
      <c r="C51" s="312" t="s">
        <v>334</v>
      </c>
      <c r="D51" s="121">
        <v>1</v>
      </c>
      <c r="E51" s="121"/>
      <c r="F51" s="121">
        <f t="shared" si="8"/>
        <v>0</v>
      </c>
      <c r="G51" s="121">
        <v>1</v>
      </c>
      <c r="H51" s="97">
        <v>0</v>
      </c>
      <c r="I51" s="372">
        <f t="shared" si="0"/>
        <v>-1</v>
      </c>
      <c r="J51" s="121"/>
      <c r="K51" s="97"/>
      <c r="L51" s="266">
        <f t="shared" si="1"/>
        <v>0</v>
      </c>
      <c r="M51" s="372">
        <f t="shared" si="2"/>
        <v>0</v>
      </c>
      <c r="N51" s="372">
        <f t="shared" si="3"/>
        <v>0</v>
      </c>
      <c r="O51" s="94"/>
    </row>
    <row r="52" spans="1:15" s="77" customFormat="1" x14ac:dyDescent="0.3">
      <c r="A52" s="311" t="s">
        <v>565</v>
      </c>
      <c r="B52" s="311" t="s">
        <v>566</v>
      </c>
      <c r="C52" s="312" t="s">
        <v>334</v>
      </c>
      <c r="D52" s="121">
        <v>1</v>
      </c>
      <c r="E52" s="121"/>
      <c r="F52" s="121">
        <f t="shared" si="8"/>
        <v>0</v>
      </c>
      <c r="G52" s="121">
        <v>1</v>
      </c>
      <c r="H52" s="97">
        <v>0</v>
      </c>
      <c r="I52" s="372">
        <f t="shared" si="0"/>
        <v>-1</v>
      </c>
      <c r="J52" s="121"/>
      <c r="K52" s="97"/>
      <c r="L52" s="266">
        <f t="shared" si="1"/>
        <v>0</v>
      </c>
      <c r="M52" s="372">
        <f t="shared" si="2"/>
        <v>0</v>
      </c>
      <c r="N52" s="372">
        <f t="shared" si="3"/>
        <v>0</v>
      </c>
      <c r="O52" s="94"/>
    </row>
    <row r="53" spans="1:15" s="77" customFormat="1" x14ac:dyDescent="0.3">
      <c r="A53" s="311"/>
      <c r="B53" s="311"/>
      <c r="C53" s="312"/>
      <c r="D53" s="121"/>
      <c r="E53" s="121"/>
      <c r="F53" s="121"/>
      <c r="G53" s="121"/>
      <c r="H53" s="97"/>
      <c r="I53" s="372"/>
      <c r="J53" s="121"/>
      <c r="K53" s="373"/>
      <c r="L53" s="121"/>
      <c r="M53" s="372"/>
      <c r="N53" s="372"/>
      <c r="O53" s="94"/>
    </row>
    <row r="54" spans="1:15" s="77" customFormat="1" x14ac:dyDescent="0.3">
      <c r="A54" s="335"/>
      <c r="B54" s="336" t="s">
        <v>632</v>
      </c>
      <c r="C54" s="374"/>
      <c r="D54" s="375"/>
      <c r="E54" s="375"/>
      <c r="F54" s="376">
        <f>SUM(F9:F52)</f>
        <v>207250</v>
      </c>
      <c r="G54" s="375"/>
      <c r="H54" s="376"/>
      <c r="I54" s="376">
        <f>SUM(I9:I52)</f>
        <v>-37.800000000000004</v>
      </c>
      <c r="J54" s="376"/>
      <c r="K54" s="376"/>
      <c r="L54" s="376">
        <f>SUM(L9:L52)</f>
        <v>87883.950000000012</v>
      </c>
      <c r="M54" s="376">
        <f>SUM(M9:M52)</f>
        <v>64340.25</v>
      </c>
      <c r="N54" s="376">
        <f>SUM(N9:N52)</f>
        <v>152224.20000000001</v>
      </c>
      <c r="O54" s="337"/>
    </row>
    <row r="55" spans="1:15" x14ac:dyDescent="0.3">
      <c r="A55" s="147"/>
      <c r="B55" s="147"/>
      <c r="C55" s="117"/>
      <c r="D55" s="121"/>
      <c r="E55" s="121"/>
      <c r="F55" s="121"/>
      <c r="G55" s="121"/>
      <c r="H55" s="88"/>
      <c r="I55" s="121"/>
      <c r="J55" s="121"/>
      <c r="K55" s="88"/>
      <c r="L55" s="121"/>
      <c r="M55" s="121"/>
      <c r="N55" s="121"/>
      <c r="O55" s="147"/>
    </row>
    <row r="56" spans="1:15" x14ac:dyDescent="0.3">
      <c r="A56" s="147"/>
      <c r="B56" s="147"/>
      <c r="C56" s="117"/>
      <c r="D56" s="121"/>
      <c r="E56" s="121"/>
      <c r="F56" s="121"/>
      <c r="G56" s="121"/>
      <c r="H56" s="88"/>
      <c r="I56" s="121"/>
      <c r="J56" s="121"/>
      <c r="K56" s="88"/>
      <c r="L56" s="121"/>
      <c r="M56" s="121"/>
      <c r="N56" s="121"/>
      <c r="O56" s="147"/>
    </row>
  </sheetData>
  <protectedRanges>
    <protectedRange sqref="C1:C5" name="Range1_8_1_1"/>
    <protectedRange sqref="F1:O5" name="Range1_6_3_1_1"/>
    <protectedRange sqref="F6:N6" name="Range1_9_1_1"/>
  </protectedRanges>
  <mergeCells count="12">
    <mergeCell ref="A6:A7"/>
    <mergeCell ref="B6:B7"/>
    <mergeCell ref="A1:O1"/>
    <mergeCell ref="A2:O2"/>
    <mergeCell ref="A3:O3"/>
    <mergeCell ref="A4:O4"/>
    <mergeCell ref="A5:O5"/>
    <mergeCell ref="C6:C7"/>
    <mergeCell ref="D6:F6"/>
    <mergeCell ref="G6:K6"/>
    <mergeCell ref="L6:N6"/>
    <mergeCell ref="O6:O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6"/>
  <sheetViews>
    <sheetView topLeftCell="A14" workbookViewId="0">
      <selection activeCell="D67" sqref="D67"/>
    </sheetView>
  </sheetViews>
  <sheetFormatPr defaultColWidth="8.81640625" defaultRowHeight="12.5" x14ac:dyDescent="0.25"/>
  <cols>
    <col min="1" max="1" width="8.81640625" style="459"/>
    <col min="2" max="2" width="77.54296875" style="459" customWidth="1"/>
    <col min="3" max="3" width="8.81640625" style="492"/>
    <col min="4" max="8" width="9.453125" style="608" bestFit="1" customWidth="1"/>
    <col min="9" max="16384" width="8.81640625" style="459"/>
  </cols>
  <sheetData>
    <row r="1" spans="1:8" ht="16" thickBot="1" x14ac:dyDescent="0.3">
      <c r="A1" s="815" t="s">
        <v>846</v>
      </c>
      <c r="B1" s="815"/>
      <c r="C1" s="815"/>
      <c r="D1" s="815"/>
      <c r="E1" s="815"/>
      <c r="F1" s="815"/>
      <c r="G1" s="815"/>
      <c r="H1" s="815"/>
    </row>
    <row r="2" spans="1:8" ht="16" thickBot="1" x14ac:dyDescent="0.3">
      <c r="A2" s="816" t="s">
        <v>669</v>
      </c>
      <c r="B2" s="817" t="s">
        <v>670</v>
      </c>
      <c r="C2" s="818" t="s">
        <v>672</v>
      </c>
      <c r="D2" s="819" t="s">
        <v>805</v>
      </c>
      <c r="E2" s="820"/>
      <c r="F2" s="820"/>
      <c r="G2" s="820"/>
      <c r="H2" s="821"/>
    </row>
    <row r="3" spans="1:8" ht="16" thickBot="1" x14ac:dyDescent="0.3">
      <c r="A3" s="816"/>
      <c r="B3" s="817"/>
      <c r="C3" s="818"/>
      <c r="D3" s="598" t="s">
        <v>675</v>
      </c>
      <c r="E3" s="598" t="s">
        <v>162</v>
      </c>
      <c r="F3" s="598" t="s">
        <v>676</v>
      </c>
      <c r="G3" s="598" t="s">
        <v>677</v>
      </c>
      <c r="H3" s="598" t="s">
        <v>678</v>
      </c>
    </row>
    <row r="4" spans="1:8" ht="13" x14ac:dyDescent="0.25">
      <c r="A4" s="304" t="s">
        <v>162</v>
      </c>
      <c r="B4" s="178" t="s">
        <v>531</v>
      </c>
      <c r="C4" s="305"/>
      <c r="D4" s="612"/>
      <c r="E4" s="612"/>
      <c r="F4" s="612"/>
      <c r="G4" s="612"/>
      <c r="H4" s="613"/>
    </row>
    <row r="5" spans="1:8" ht="60" x14ac:dyDescent="0.25">
      <c r="A5" s="215">
        <v>1</v>
      </c>
      <c r="B5" s="179" t="s">
        <v>624</v>
      </c>
      <c r="C5" s="177"/>
      <c r="D5" s="479"/>
      <c r="E5" s="479"/>
      <c r="F5" s="479"/>
      <c r="G5" s="479"/>
      <c r="H5" s="473"/>
    </row>
    <row r="6" spans="1:8" x14ac:dyDescent="0.25">
      <c r="A6" s="641" t="s">
        <v>493</v>
      </c>
      <c r="B6" s="178" t="s">
        <v>532</v>
      </c>
      <c r="C6" s="209" t="s">
        <v>347</v>
      </c>
      <c r="D6" s="479"/>
      <c r="E6" s="479"/>
      <c r="F6" s="479"/>
      <c r="G6" s="479"/>
      <c r="H6" s="473"/>
    </row>
    <row r="7" spans="1:8" x14ac:dyDescent="0.25">
      <c r="A7" s="215"/>
      <c r="B7" s="179" t="s">
        <v>682</v>
      </c>
      <c r="C7" s="209" t="s">
        <v>347</v>
      </c>
      <c r="D7" s="479"/>
      <c r="E7" s="479"/>
      <c r="F7" s="479"/>
      <c r="G7" s="479"/>
      <c r="H7" s="473"/>
    </row>
    <row r="8" spans="1:8" x14ac:dyDescent="0.25">
      <c r="A8" s="215"/>
      <c r="B8" s="179" t="s">
        <v>847</v>
      </c>
      <c r="C8" s="209" t="s">
        <v>347</v>
      </c>
      <c r="D8" s="479">
        <v>1.3</v>
      </c>
      <c r="E8" s="479"/>
      <c r="F8" s="479"/>
      <c r="G8" s="479">
        <v>1</v>
      </c>
      <c r="H8" s="473">
        <f>PRODUCT(D8:G8)</f>
        <v>1.3</v>
      </c>
    </row>
    <row r="9" spans="1:8" x14ac:dyDescent="0.25">
      <c r="A9" s="215"/>
      <c r="B9" s="179" t="s">
        <v>848</v>
      </c>
      <c r="C9" s="209" t="s">
        <v>347</v>
      </c>
      <c r="D9" s="479">
        <v>4.5</v>
      </c>
      <c r="E9" s="479"/>
      <c r="F9" s="479"/>
      <c r="G9" s="479">
        <v>1</v>
      </c>
      <c r="H9" s="473">
        <f t="shared" ref="H9:H21" si="0">PRODUCT(D9:G9)</f>
        <v>4.5</v>
      </c>
    </row>
    <row r="10" spans="1:8" x14ac:dyDescent="0.25">
      <c r="A10" s="215"/>
      <c r="B10" s="179" t="s">
        <v>849</v>
      </c>
      <c r="C10" s="209" t="s">
        <v>347</v>
      </c>
      <c r="D10" s="479">
        <v>4.5</v>
      </c>
      <c r="E10" s="479"/>
      <c r="F10" s="479"/>
      <c r="G10" s="479">
        <v>1</v>
      </c>
      <c r="H10" s="473">
        <f t="shared" si="0"/>
        <v>4.5</v>
      </c>
    </row>
    <row r="11" spans="1:8" x14ac:dyDescent="0.25">
      <c r="A11" s="215"/>
      <c r="B11" s="179" t="s">
        <v>850</v>
      </c>
      <c r="C11" s="209" t="s">
        <v>347</v>
      </c>
      <c r="D11" s="479">
        <v>4.5</v>
      </c>
      <c r="E11" s="479"/>
      <c r="F11" s="479"/>
      <c r="G11" s="479">
        <v>1</v>
      </c>
      <c r="H11" s="473">
        <f t="shared" si="0"/>
        <v>4.5</v>
      </c>
    </row>
    <row r="12" spans="1:8" x14ac:dyDescent="0.25">
      <c r="A12" s="215"/>
      <c r="B12" s="179" t="s">
        <v>851</v>
      </c>
      <c r="C12" s="209" t="s">
        <v>347</v>
      </c>
      <c r="D12" s="479">
        <v>4.5</v>
      </c>
      <c r="E12" s="479"/>
      <c r="F12" s="479"/>
      <c r="G12" s="479">
        <v>1</v>
      </c>
      <c r="H12" s="473">
        <f t="shared" si="0"/>
        <v>4.5</v>
      </c>
    </row>
    <row r="13" spans="1:8" x14ac:dyDescent="0.25">
      <c r="A13" s="215"/>
      <c r="B13" s="179" t="s">
        <v>852</v>
      </c>
      <c r="C13" s="209" t="s">
        <v>347</v>
      </c>
      <c r="D13" s="479"/>
      <c r="E13" s="479"/>
      <c r="F13" s="479"/>
      <c r="G13" s="479"/>
      <c r="H13" s="473">
        <f t="shared" si="0"/>
        <v>0</v>
      </c>
    </row>
    <row r="14" spans="1:8" x14ac:dyDescent="0.25">
      <c r="A14" s="215"/>
      <c r="B14" s="179" t="s">
        <v>853</v>
      </c>
      <c r="C14" s="209" t="s">
        <v>347</v>
      </c>
      <c r="D14" s="479">
        <v>0.5</v>
      </c>
      <c r="E14" s="479"/>
      <c r="F14" s="479"/>
      <c r="G14" s="479">
        <v>1</v>
      </c>
      <c r="H14" s="473">
        <f t="shared" si="0"/>
        <v>0.5</v>
      </c>
    </row>
    <row r="15" spans="1:8" x14ac:dyDescent="0.25">
      <c r="A15" s="215"/>
      <c r="B15" s="179" t="s">
        <v>848</v>
      </c>
      <c r="C15" s="209" t="s">
        <v>347</v>
      </c>
      <c r="D15" s="479">
        <v>5.2</v>
      </c>
      <c r="E15" s="479"/>
      <c r="F15" s="479"/>
      <c r="G15" s="479">
        <v>1</v>
      </c>
      <c r="H15" s="473">
        <f t="shared" si="0"/>
        <v>5.2</v>
      </c>
    </row>
    <row r="16" spans="1:8" x14ac:dyDescent="0.25">
      <c r="A16" s="215"/>
      <c r="B16" s="179" t="s">
        <v>849</v>
      </c>
      <c r="C16" s="209" t="s">
        <v>347</v>
      </c>
      <c r="D16" s="479">
        <v>1</v>
      </c>
      <c r="E16" s="479"/>
      <c r="F16" s="479"/>
      <c r="G16" s="479">
        <v>1</v>
      </c>
      <c r="H16" s="473">
        <f t="shared" si="0"/>
        <v>1</v>
      </c>
    </row>
    <row r="17" spans="1:8" x14ac:dyDescent="0.25">
      <c r="A17" s="215"/>
      <c r="B17" s="179" t="s">
        <v>850</v>
      </c>
      <c r="C17" s="209" t="s">
        <v>347</v>
      </c>
      <c r="D17" s="479">
        <v>3</v>
      </c>
      <c r="E17" s="479"/>
      <c r="F17" s="479"/>
      <c r="G17" s="479">
        <v>1</v>
      </c>
      <c r="H17" s="473">
        <f t="shared" si="0"/>
        <v>3</v>
      </c>
    </row>
    <row r="18" spans="1:8" x14ac:dyDescent="0.25">
      <c r="A18" s="215"/>
      <c r="B18" s="179" t="s">
        <v>851</v>
      </c>
      <c r="C18" s="209" t="s">
        <v>347</v>
      </c>
      <c r="D18" s="479">
        <v>2.1</v>
      </c>
      <c r="E18" s="479"/>
      <c r="F18" s="479"/>
      <c r="G18" s="479">
        <v>1</v>
      </c>
      <c r="H18" s="473">
        <f t="shared" si="0"/>
        <v>2.1</v>
      </c>
    </row>
    <row r="19" spans="1:8" x14ac:dyDescent="0.25">
      <c r="A19" s="215"/>
      <c r="B19" s="179" t="s">
        <v>854</v>
      </c>
      <c r="C19" s="209" t="s">
        <v>347</v>
      </c>
      <c r="D19" s="479">
        <v>0.5</v>
      </c>
      <c r="E19" s="479"/>
      <c r="F19" s="479"/>
      <c r="G19" s="479">
        <v>1</v>
      </c>
      <c r="H19" s="473">
        <f t="shared" si="0"/>
        <v>0.5</v>
      </c>
    </row>
    <row r="20" spans="1:8" x14ac:dyDescent="0.25">
      <c r="A20" s="215"/>
      <c r="B20" s="179" t="s">
        <v>855</v>
      </c>
      <c r="C20" s="209" t="s">
        <v>347</v>
      </c>
      <c r="D20" s="479">
        <v>54</v>
      </c>
      <c r="E20" s="479"/>
      <c r="F20" s="479"/>
      <c r="G20" s="479">
        <v>1</v>
      </c>
      <c r="H20" s="473">
        <f t="shared" si="0"/>
        <v>54</v>
      </c>
    </row>
    <row r="21" spans="1:8" x14ac:dyDescent="0.25">
      <c r="A21" s="215"/>
      <c r="B21" s="179"/>
      <c r="C21" s="209"/>
      <c r="D21" s="479"/>
      <c r="E21" s="479"/>
      <c r="F21" s="479"/>
      <c r="G21" s="479"/>
      <c r="H21" s="473">
        <f t="shared" si="0"/>
        <v>0</v>
      </c>
    </row>
    <row r="22" spans="1:8" ht="13" x14ac:dyDescent="0.25">
      <c r="A22" s="215"/>
      <c r="B22" s="642" t="s">
        <v>800</v>
      </c>
      <c r="C22" s="643" t="s">
        <v>355</v>
      </c>
      <c r="D22" s="520"/>
      <c r="E22" s="520"/>
      <c r="F22" s="520"/>
      <c r="G22" s="520"/>
      <c r="H22" s="494">
        <f>SUM(H8:H21)</f>
        <v>85.6</v>
      </c>
    </row>
    <row r="23" spans="1:8" x14ac:dyDescent="0.25">
      <c r="A23" s="215"/>
      <c r="B23" s="179"/>
      <c r="C23" s="209"/>
      <c r="D23" s="479"/>
      <c r="E23" s="479"/>
      <c r="F23" s="479"/>
      <c r="G23" s="479"/>
      <c r="H23" s="473"/>
    </row>
    <row r="24" spans="1:8" x14ac:dyDescent="0.25">
      <c r="A24" s="215" t="s">
        <v>495</v>
      </c>
      <c r="B24" s="179" t="s">
        <v>533</v>
      </c>
      <c r="C24" s="209" t="s">
        <v>347</v>
      </c>
      <c r="D24" s="479"/>
      <c r="E24" s="479"/>
      <c r="F24" s="479"/>
      <c r="G24" s="479"/>
      <c r="H24" s="473"/>
    </row>
    <row r="25" spans="1:8" x14ac:dyDescent="0.25">
      <c r="A25" s="215"/>
      <c r="B25" s="179" t="s">
        <v>682</v>
      </c>
      <c r="C25" s="209" t="s">
        <v>347</v>
      </c>
      <c r="D25" s="479"/>
      <c r="E25" s="479"/>
      <c r="F25" s="479"/>
      <c r="G25" s="479"/>
      <c r="H25" s="473"/>
    </row>
    <row r="26" spans="1:8" x14ac:dyDescent="0.25">
      <c r="A26" s="215"/>
      <c r="B26" s="179" t="s">
        <v>847</v>
      </c>
      <c r="C26" s="209" t="s">
        <v>347</v>
      </c>
      <c r="D26" s="479">
        <v>4.5</v>
      </c>
      <c r="E26" s="479"/>
      <c r="F26" s="479"/>
      <c r="G26" s="479">
        <v>1</v>
      </c>
      <c r="H26" s="473">
        <f>PRODUCT(D26:G26)</f>
        <v>4.5</v>
      </c>
    </row>
    <row r="27" spans="1:8" x14ac:dyDescent="0.25">
      <c r="A27" s="215"/>
      <c r="B27" s="179" t="s">
        <v>852</v>
      </c>
      <c r="C27" s="209" t="s">
        <v>347</v>
      </c>
      <c r="D27" s="479"/>
      <c r="E27" s="479"/>
      <c r="F27" s="479"/>
      <c r="G27" s="479"/>
      <c r="H27" s="473">
        <f t="shared" ref="H27:H29" si="1">PRODUCT(D27:G27)</f>
        <v>0</v>
      </c>
    </row>
    <row r="28" spans="1:8" x14ac:dyDescent="0.25">
      <c r="A28" s="215"/>
      <c r="B28" s="179" t="s">
        <v>853</v>
      </c>
      <c r="C28" s="209" t="s">
        <v>347</v>
      </c>
      <c r="D28" s="479">
        <v>4.7</v>
      </c>
      <c r="E28" s="479"/>
      <c r="F28" s="479"/>
      <c r="G28" s="479">
        <v>1</v>
      </c>
      <c r="H28" s="473">
        <f t="shared" si="1"/>
        <v>4.7</v>
      </c>
    </row>
    <row r="29" spans="1:8" x14ac:dyDescent="0.25">
      <c r="A29" s="215"/>
      <c r="B29" s="179"/>
      <c r="C29" s="209"/>
      <c r="D29" s="479"/>
      <c r="E29" s="479"/>
      <c r="F29" s="479"/>
      <c r="G29" s="479"/>
      <c r="H29" s="473">
        <f t="shared" si="1"/>
        <v>0</v>
      </c>
    </row>
    <row r="30" spans="1:8" ht="13" x14ac:dyDescent="0.25">
      <c r="A30" s="215"/>
      <c r="B30" s="642" t="s">
        <v>800</v>
      </c>
      <c r="C30" s="643" t="s">
        <v>355</v>
      </c>
      <c r="D30" s="520"/>
      <c r="E30" s="520"/>
      <c r="F30" s="520"/>
      <c r="G30" s="520"/>
      <c r="H30" s="494">
        <f>SUM(H26:H29)</f>
        <v>9.1999999999999993</v>
      </c>
    </row>
    <row r="31" spans="1:8" x14ac:dyDescent="0.25">
      <c r="A31" s="215"/>
      <c r="B31" s="179"/>
      <c r="C31" s="209"/>
      <c r="D31" s="479"/>
      <c r="E31" s="479"/>
      <c r="F31" s="479"/>
      <c r="G31" s="479"/>
      <c r="H31" s="473"/>
    </row>
    <row r="32" spans="1:8" x14ac:dyDescent="0.25">
      <c r="A32" s="215" t="s">
        <v>499</v>
      </c>
      <c r="B32" s="179" t="s">
        <v>534</v>
      </c>
      <c r="C32" s="209" t="s">
        <v>347</v>
      </c>
      <c r="D32" s="479"/>
      <c r="E32" s="479"/>
      <c r="F32" s="479"/>
      <c r="G32" s="479"/>
      <c r="H32" s="473"/>
    </row>
    <row r="33" spans="1:8" x14ac:dyDescent="0.25">
      <c r="A33" s="215"/>
      <c r="B33" s="179" t="s">
        <v>682</v>
      </c>
      <c r="C33" s="209" t="s">
        <v>347</v>
      </c>
      <c r="D33" s="479"/>
      <c r="E33" s="479"/>
      <c r="F33" s="479"/>
      <c r="G33" s="479"/>
      <c r="H33" s="473"/>
    </row>
    <row r="34" spans="1:8" x14ac:dyDescent="0.25">
      <c r="A34" s="215"/>
      <c r="B34" s="179" t="s">
        <v>856</v>
      </c>
      <c r="C34" s="209" t="s">
        <v>347</v>
      </c>
      <c r="D34" s="479">
        <v>6</v>
      </c>
      <c r="E34" s="479"/>
      <c r="F34" s="479"/>
      <c r="G34" s="479">
        <v>1</v>
      </c>
      <c r="H34" s="473">
        <f>PRODUCT(D34:G34)</f>
        <v>6</v>
      </c>
    </row>
    <row r="35" spans="1:8" x14ac:dyDescent="0.25">
      <c r="A35" s="215"/>
      <c r="B35" s="179" t="s">
        <v>857</v>
      </c>
      <c r="C35" s="209" t="s">
        <v>347</v>
      </c>
      <c r="D35" s="479">
        <v>2.2000000000000002</v>
      </c>
      <c r="E35" s="479"/>
      <c r="F35" s="479"/>
      <c r="G35" s="479">
        <v>4</v>
      </c>
      <c r="H35" s="473">
        <f>PRODUCT(D35:G35)</f>
        <v>8.8000000000000007</v>
      </c>
    </row>
    <row r="36" spans="1:8" x14ac:dyDescent="0.25">
      <c r="A36" s="215"/>
      <c r="B36" s="179" t="s">
        <v>855</v>
      </c>
      <c r="C36" s="209" t="s">
        <v>347</v>
      </c>
      <c r="D36" s="479">
        <v>5</v>
      </c>
      <c r="E36" s="479"/>
      <c r="F36" s="479"/>
      <c r="G36" s="479">
        <v>1</v>
      </c>
      <c r="H36" s="473">
        <f t="shared" ref="H36:H37" si="2">PRODUCT(D36:G36)</f>
        <v>5</v>
      </c>
    </row>
    <row r="37" spans="1:8" x14ac:dyDescent="0.25">
      <c r="A37" s="215"/>
      <c r="B37" s="179"/>
      <c r="C37" s="209"/>
      <c r="D37" s="479"/>
      <c r="E37" s="479"/>
      <c r="F37" s="479"/>
      <c r="G37" s="479"/>
      <c r="H37" s="473">
        <f t="shared" si="2"/>
        <v>0</v>
      </c>
    </row>
    <row r="38" spans="1:8" ht="13" x14ac:dyDescent="0.25">
      <c r="A38" s="215"/>
      <c r="B38" s="642" t="s">
        <v>800</v>
      </c>
      <c r="C38" s="643" t="s">
        <v>355</v>
      </c>
      <c r="D38" s="520"/>
      <c r="E38" s="520"/>
      <c r="F38" s="520"/>
      <c r="G38" s="520"/>
      <c r="H38" s="494">
        <f>SUM(H34:H37)</f>
        <v>19.8</v>
      </c>
    </row>
    <row r="39" spans="1:8" x14ac:dyDescent="0.25">
      <c r="A39" s="215"/>
      <c r="B39" s="179"/>
      <c r="C39" s="209"/>
      <c r="D39" s="479"/>
      <c r="E39" s="479"/>
      <c r="F39" s="479"/>
      <c r="G39" s="479"/>
      <c r="H39" s="473"/>
    </row>
    <row r="40" spans="1:8" x14ac:dyDescent="0.25">
      <c r="A40" s="215" t="s">
        <v>520</v>
      </c>
      <c r="B40" s="179" t="s">
        <v>535</v>
      </c>
      <c r="C40" s="209" t="s">
        <v>347</v>
      </c>
      <c r="D40" s="479"/>
      <c r="E40" s="479"/>
      <c r="F40" s="479"/>
      <c r="G40" s="479"/>
      <c r="H40" s="473"/>
    </row>
    <row r="41" spans="1:8" x14ac:dyDescent="0.25">
      <c r="A41" s="215"/>
      <c r="B41" s="179" t="s">
        <v>682</v>
      </c>
      <c r="C41" s="209" t="s">
        <v>347</v>
      </c>
      <c r="D41" s="479"/>
      <c r="E41" s="479"/>
      <c r="F41" s="479"/>
      <c r="G41" s="479"/>
      <c r="H41" s="473"/>
    </row>
    <row r="42" spans="1:8" x14ac:dyDescent="0.25">
      <c r="A42" s="215"/>
      <c r="B42" s="179" t="s">
        <v>856</v>
      </c>
      <c r="C42" s="209" t="s">
        <v>347</v>
      </c>
      <c r="D42" s="479">
        <f>6+1.6</f>
        <v>7.6</v>
      </c>
      <c r="E42" s="479"/>
      <c r="F42" s="479"/>
      <c r="G42" s="479">
        <v>1</v>
      </c>
      <c r="H42" s="473">
        <f>PRODUCT(D42:G42)</f>
        <v>7.6</v>
      </c>
    </row>
    <row r="43" spans="1:8" x14ac:dyDescent="0.25">
      <c r="A43" s="215"/>
      <c r="B43" s="179" t="s">
        <v>855</v>
      </c>
      <c r="C43" s="209" t="s">
        <v>347</v>
      </c>
      <c r="D43" s="479">
        <v>5</v>
      </c>
      <c r="E43" s="479"/>
      <c r="F43" s="479"/>
      <c r="G43" s="479">
        <v>1</v>
      </c>
      <c r="H43" s="473">
        <f t="shared" ref="H43:H44" si="3">PRODUCT(D43:G43)</f>
        <v>5</v>
      </c>
    </row>
    <row r="44" spans="1:8" x14ac:dyDescent="0.25">
      <c r="A44" s="215"/>
      <c r="B44" s="179"/>
      <c r="C44" s="209"/>
      <c r="D44" s="479"/>
      <c r="E44" s="479"/>
      <c r="F44" s="479"/>
      <c r="G44" s="479"/>
      <c r="H44" s="473">
        <f t="shared" si="3"/>
        <v>0</v>
      </c>
    </row>
    <row r="45" spans="1:8" ht="13" x14ac:dyDescent="0.25">
      <c r="A45" s="215"/>
      <c r="B45" s="642" t="s">
        <v>800</v>
      </c>
      <c r="C45" s="643" t="s">
        <v>355</v>
      </c>
      <c r="D45" s="520"/>
      <c r="E45" s="520"/>
      <c r="F45" s="520"/>
      <c r="G45" s="520"/>
      <c r="H45" s="494">
        <f>SUM(H42:H44)</f>
        <v>12.6</v>
      </c>
    </row>
    <row r="46" spans="1:8" x14ac:dyDescent="0.25">
      <c r="A46" s="215"/>
      <c r="B46" s="179"/>
      <c r="C46" s="209"/>
      <c r="D46" s="479"/>
      <c r="E46" s="479"/>
      <c r="F46" s="479"/>
      <c r="G46" s="479"/>
      <c r="H46" s="473"/>
    </row>
    <row r="47" spans="1:8" x14ac:dyDescent="0.25">
      <c r="A47" s="215" t="s">
        <v>536</v>
      </c>
      <c r="B47" s="179" t="s">
        <v>537</v>
      </c>
      <c r="C47" s="209" t="s">
        <v>347</v>
      </c>
      <c r="D47" s="479"/>
      <c r="E47" s="479"/>
      <c r="F47" s="479"/>
      <c r="G47" s="479"/>
      <c r="H47" s="473"/>
    </row>
    <row r="48" spans="1:8" x14ac:dyDescent="0.25">
      <c r="A48" s="215"/>
      <c r="B48" s="179" t="s">
        <v>856</v>
      </c>
      <c r="C48" s="209" t="s">
        <v>347</v>
      </c>
      <c r="D48" s="479">
        <v>4</v>
      </c>
      <c r="E48" s="479"/>
      <c r="F48" s="479"/>
      <c r="G48" s="479">
        <v>1</v>
      </c>
      <c r="H48" s="473">
        <f>PRODUCT(D48:G48)</f>
        <v>4</v>
      </c>
    </row>
    <row r="49" spans="1:8" x14ac:dyDescent="0.25">
      <c r="A49" s="215"/>
      <c r="B49" s="179" t="s">
        <v>855</v>
      </c>
      <c r="C49" s="209" t="s">
        <v>347</v>
      </c>
      <c r="D49" s="479">
        <v>12</v>
      </c>
      <c r="E49" s="479"/>
      <c r="F49" s="479"/>
      <c r="G49" s="479">
        <v>1</v>
      </c>
      <c r="H49" s="473">
        <f t="shared" ref="H49:H50" si="4">PRODUCT(D49:G49)</f>
        <v>12</v>
      </c>
    </row>
    <row r="50" spans="1:8" x14ac:dyDescent="0.25">
      <c r="A50" s="215"/>
      <c r="B50" s="179"/>
      <c r="C50" s="209"/>
      <c r="D50" s="479"/>
      <c r="E50" s="479"/>
      <c r="F50" s="479"/>
      <c r="G50" s="479"/>
      <c r="H50" s="473">
        <f t="shared" si="4"/>
        <v>0</v>
      </c>
    </row>
    <row r="51" spans="1:8" ht="13" x14ac:dyDescent="0.25">
      <c r="A51" s="215"/>
      <c r="B51" s="642" t="s">
        <v>800</v>
      </c>
      <c r="C51" s="643" t="s">
        <v>355</v>
      </c>
      <c r="D51" s="520"/>
      <c r="E51" s="520"/>
      <c r="F51" s="520"/>
      <c r="G51" s="520"/>
      <c r="H51" s="494">
        <f>SUM(H48:H50)</f>
        <v>16</v>
      </c>
    </row>
    <row r="52" spans="1:8" x14ac:dyDescent="0.25">
      <c r="A52" s="215"/>
      <c r="B52" s="179"/>
      <c r="C52" s="209"/>
      <c r="D52" s="479"/>
      <c r="E52" s="479"/>
      <c r="F52" s="479"/>
      <c r="G52" s="479"/>
      <c r="H52" s="473"/>
    </row>
    <row r="53" spans="1:8" x14ac:dyDescent="0.25">
      <c r="A53" s="215" t="s">
        <v>538</v>
      </c>
      <c r="B53" s="179" t="s">
        <v>539</v>
      </c>
      <c r="C53" s="209" t="s">
        <v>347</v>
      </c>
      <c r="D53" s="479"/>
      <c r="E53" s="479"/>
      <c r="F53" s="479"/>
      <c r="G53" s="479"/>
      <c r="H53" s="473"/>
    </row>
    <row r="54" spans="1:8" x14ac:dyDescent="0.25">
      <c r="A54" s="215" t="s">
        <v>540</v>
      </c>
      <c r="B54" s="179" t="s">
        <v>541</v>
      </c>
      <c r="C54" s="209" t="s">
        <v>347</v>
      </c>
      <c r="D54" s="479"/>
      <c r="E54" s="479"/>
      <c r="F54" s="479"/>
      <c r="G54" s="479"/>
      <c r="H54" s="473"/>
    </row>
    <row r="55" spans="1:8" x14ac:dyDescent="0.25">
      <c r="A55" s="215"/>
      <c r="B55" s="179"/>
      <c r="C55" s="177"/>
      <c r="D55" s="479"/>
      <c r="E55" s="479"/>
      <c r="F55" s="479"/>
      <c r="G55" s="479"/>
      <c r="H55" s="473"/>
    </row>
    <row r="56" spans="1:8" ht="48" x14ac:dyDescent="0.25">
      <c r="A56" s="215">
        <v>2</v>
      </c>
      <c r="B56" s="179" t="s">
        <v>625</v>
      </c>
      <c r="C56" s="177"/>
      <c r="D56" s="479"/>
      <c r="E56" s="479"/>
      <c r="F56" s="479"/>
      <c r="G56" s="479"/>
      <c r="H56" s="473"/>
    </row>
    <row r="57" spans="1:8" ht="13" x14ac:dyDescent="0.25">
      <c r="A57" s="215" t="s">
        <v>493</v>
      </c>
      <c r="B57" s="179" t="s">
        <v>542</v>
      </c>
      <c r="C57" s="177" t="s">
        <v>398</v>
      </c>
      <c r="D57" s="479"/>
      <c r="E57" s="479"/>
      <c r="F57" s="479"/>
      <c r="G57" s="479">
        <v>17</v>
      </c>
      <c r="H57" s="494">
        <f>PRODUCT(D57:G57)</f>
        <v>17</v>
      </c>
    </row>
    <row r="58" spans="1:8" ht="13" x14ac:dyDescent="0.25">
      <c r="A58" s="215" t="s">
        <v>495</v>
      </c>
      <c r="B58" s="179" t="s">
        <v>543</v>
      </c>
      <c r="C58" s="177" t="s">
        <v>398</v>
      </c>
      <c r="D58" s="479"/>
      <c r="E58" s="479"/>
      <c r="F58" s="479"/>
      <c r="G58" s="479">
        <v>7</v>
      </c>
      <c r="H58" s="494">
        <f t="shared" ref="H58:H60" si="5">PRODUCT(D58:G58)</f>
        <v>7</v>
      </c>
    </row>
    <row r="59" spans="1:8" ht="13" x14ac:dyDescent="0.25">
      <c r="A59" s="215" t="s">
        <v>499</v>
      </c>
      <c r="B59" s="179" t="s">
        <v>544</v>
      </c>
      <c r="C59" s="177" t="s">
        <v>398</v>
      </c>
      <c r="D59" s="479"/>
      <c r="E59" s="479"/>
      <c r="F59" s="479"/>
      <c r="G59" s="479">
        <v>1</v>
      </c>
      <c r="H59" s="494">
        <f t="shared" si="5"/>
        <v>1</v>
      </c>
    </row>
    <row r="60" spans="1:8" ht="13" x14ac:dyDescent="0.25">
      <c r="A60" s="215" t="s">
        <v>520</v>
      </c>
      <c r="B60" s="179" t="s">
        <v>545</v>
      </c>
      <c r="C60" s="177" t="s">
        <v>398</v>
      </c>
      <c r="D60" s="479"/>
      <c r="E60" s="479"/>
      <c r="F60" s="479"/>
      <c r="G60" s="479">
        <v>1</v>
      </c>
      <c r="H60" s="494">
        <f t="shared" si="5"/>
        <v>1</v>
      </c>
    </row>
    <row r="61" spans="1:8" x14ac:dyDescent="0.25">
      <c r="A61" s="215"/>
      <c r="B61" s="179"/>
      <c r="C61" s="177"/>
      <c r="D61" s="479"/>
      <c r="E61" s="479"/>
      <c r="F61" s="479"/>
      <c r="G61" s="479"/>
      <c r="H61" s="473"/>
    </row>
    <row r="62" spans="1:8" ht="60" x14ac:dyDescent="0.25">
      <c r="A62" s="215">
        <v>3</v>
      </c>
      <c r="B62" s="179" t="s">
        <v>626</v>
      </c>
      <c r="C62" s="177"/>
      <c r="D62" s="479"/>
      <c r="E62" s="479"/>
      <c r="F62" s="479"/>
      <c r="G62" s="479"/>
      <c r="H62" s="473"/>
    </row>
    <row r="63" spans="1:8" ht="13" x14ac:dyDescent="0.25">
      <c r="A63" s="215" t="s">
        <v>493</v>
      </c>
      <c r="B63" s="179" t="s">
        <v>546</v>
      </c>
      <c r="C63" s="177" t="s">
        <v>398</v>
      </c>
      <c r="D63" s="479"/>
      <c r="E63" s="479"/>
      <c r="F63" s="479"/>
      <c r="G63" s="479">
        <v>13</v>
      </c>
      <c r="H63" s="494">
        <f>PRODUCT(D63:G63)</f>
        <v>13</v>
      </c>
    </row>
    <row r="64" spans="1:8" x14ac:dyDescent="0.25">
      <c r="A64" s="215" t="s">
        <v>495</v>
      </c>
      <c r="B64" s="179" t="s">
        <v>547</v>
      </c>
      <c r="C64" s="177" t="s">
        <v>398</v>
      </c>
      <c r="D64" s="479"/>
      <c r="E64" s="479"/>
      <c r="F64" s="479"/>
      <c r="G64" s="479"/>
      <c r="H64" s="473"/>
    </row>
    <row r="65" spans="1:8" x14ac:dyDescent="0.25">
      <c r="A65" s="215"/>
      <c r="B65" s="179"/>
      <c r="C65" s="177"/>
      <c r="D65" s="479"/>
      <c r="E65" s="479"/>
      <c r="F65" s="479"/>
      <c r="G65" s="479"/>
      <c r="H65" s="473"/>
    </row>
    <row r="66" spans="1:8" ht="13" x14ac:dyDescent="0.25">
      <c r="A66" s="215">
        <v>4</v>
      </c>
      <c r="B66" s="179" t="s">
        <v>548</v>
      </c>
      <c r="C66" s="177" t="s">
        <v>398</v>
      </c>
      <c r="D66" s="479"/>
      <c r="E66" s="479"/>
      <c r="F66" s="479"/>
      <c r="G66" s="479">
        <v>22</v>
      </c>
      <c r="H66" s="494">
        <f>PRODUCT(D66:G66)</f>
        <v>22</v>
      </c>
    </row>
    <row r="67" spans="1:8" x14ac:dyDescent="0.25">
      <c r="A67" s="215"/>
      <c r="B67" s="179"/>
      <c r="C67" s="177"/>
      <c r="D67" s="479"/>
      <c r="E67" s="479"/>
      <c r="F67" s="479"/>
      <c r="G67" s="479"/>
      <c r="H67" s="473"/>
    </row>
    <row r="68" spans="1:8" ht="36" x14ac:dyDescent="0.25">
      <c r="A68" s="215">
        <v>5</v>
      </c>
      <c r="B68" s="179" t="s">
        <v>627</v>
      </c>
      <c r="C68" s="177" t="s">
        <v>398</v>
      </c>
      <c r="D68" s="479"/>
      <c r="E68" s="479"/>
      <c r="F68" s="479"/>
      <c r="G68" s="479">
        <v>1</v>
      </c>
      <c r="H68" s="494">
        <f>PRODUCT(D68:G68)</f>
        <v>1</v>
      </c>
    </row>
    <row r="69" spans="1:8" x14ac:dyDescent="0.25">
      <c r="A69" s="215"/>
      <c r="B69" s="179"/>
      <c r="C69" s="177"/>
      <c r="D69" s="479"/>
      <c r="E69" s="479"/>
      <c r="F69" s="479"/>
      <c r="G69" s="479"/>
      <c r="H69" s="473"/>
    </row>
    <row r="70" spans="1:8" ht="24" x14ac:dyDescent="0.25">
      <c r="A70" s="215">
        <v>6</v>
      </c>
      <c r="B70" s="306" t="s">
        <v>628</v>
      </c>
      <c r="C70" s="177" t="s">
        <v>398</v>
      </c>
      <c r="D70" s="479"/>
      <c r="E70" s="479"/>
      <c r="F70" s="479"/>
      <c r="G70" s="479">
        <v>1</v>
      </c>
      <c r="H70" s="494">
        <f>PRODUCT(D70:G70)</f>
        <v>1</v>
      </c>
    </row>
    <row r="71" spans="1:8" x14ac:dyDescent="0.25">
      <c r="A71" s="215"/>
      <c r="B71" s="179"/>
      <c r="C71" s="177"/>
      <c r="D71" s="479"/>
      <c r="E71" s="479"/>
      <c r="F71" s="479"/>
      <c r="G71" s="479"/>
      <c r="H71" s="473"/>
    </row>
    <row r="72" spans="1:8" ht="24" x14ac:dyDescent="0.25">
      <c r="A72" s="215">
        <v>7</v>
      </c>
      <c r="B72" s="644" t="s">
        <v>629</v>
      </c>
      <c r="C72" s="177"/>
      <c r="D72" s="479"/>
      <c r="E72" s="479"/>
      <c r="F72" s="479"/>
      <c r="G72" s="479"/>
      <c r="H72" s="473"/>
    </row>
    <row r="73" spans="1:8" x14ac:dyDescent="0.25">
      <c r="A73" s="215" t="s">
        <v>493</v>
      </c>
      <c r="B73" s="644" t="s">
        <v>549</v>
      </c>
      <c r="C73" s="177" t="s">
        <v>398</v>
      </c>
      <c r="D73" s="479"/>
      <c r="E73" s="479"/>
      <c r="F73" s="479"/>
      <c r="G73" s="479"/>
      <c r="H73" s="473"/>
    </row>
    <row r="74" spans="1:8" ht="13" x14ac:dyDescent="0.25">
      <c r="A74" s="215" t="s">
        <v>495</v>
      </c>
      <c r="B74" s="644" t="s">
        <v>858</v>
      </c>
      <c r="C74" s="177" t="s">
        <v>398</v>
      </c>
      <c r="D74" s="479"/>
      <c r="E74" s="479"/>
      <c r="F74" s="479"/>
      <c r="G74" s="479">
        <v>1</v>
      </c>
      <c r="H74" s="494">
        <f t="shared" ref="H74" si="6">PRODUCT(D74:G74)</f>
        <v>1</v>
      </c>
    </row>
    <row r="75" spans="1:8" x14ac:dyDescent="0.25">
      <c r="A75" s="215"/>
      <c r="B75" s="179"/>
      <c r="C75" s="177"/>
      <c r="D75" s="479"/>
      <c r="E75" s="479"/>
      <c r="F75" s="479"/>
      <c r="G75" s="479"/>
      <c r="H75" s="473"/>
    </row>
    <row r="76" spans="1:8" x14ac:dyDescent="0.25">
      <c r="A76" s="215">
        <v>8</v>
      </c>
      <c r="B76" s="179" t="s">
        <v>550</v>
      </c>
      <c r="C76" s="177"/>
      <c r="D76" s="479"/>
      <c r="E76" s="479"/>
      <c r="F76" s="479"/>
      <c r="G76" s="479"/>
      <c r="H76" s="473"/>
    </row>
    <row r="77" spans="1:8" ht="48" x14ac:dyDescent="0.25">
      <c r="A77" s="215" t="s">
        <v>493</v>
      </c>
      <c r="B77" s="179" t="s">
        <v>630</v>
      </c>
      <c r="C77" s="177" t="s">
        <v>398</v>
      </c>
      <c r="D77" s="479"/>
      <c r="E77" s="479"/>
      <c r="F77" s="479"/>
      <c r="G77" s="479">
        <v>3</v>
      </c>
      <c r="H77" s="494">
        <f t="shared" ref="H77:H78" si="7">PRODUCT(D77:G77)</f>
        <v>3</v>
      </c>
    </row>
    <row r="78" spans="1:8" ht="60" x14ac:dyDescent="0.25">
      <c r="A78" s="215" t="s">
        <v>495</v>
      </c>
      <c r="B78" s="179" t="s">
        <v>631</v>
      </c>
      <c r="C78" s="177" t="s">
        <v>398</v>
      </c>
      <c r="D78" s="479"/>
      <c r="E78" s="479"/>
      <c r="F78" s="479"/>
      <c r="G78" s="479">
        <v>3</v>
      </c>
      <c r="H78" s="494">
        <f t="shared" si="7"/>
        <v>3</v>
      </c>
    </row>
    <row r="79" spans="1:8" ht="13" x14ac:dyDescent="0.3">
      <c r="A79" s="645" t="s">
        <v>163</v>
      </c>
      <c r="B79" s="646" t="s">
        <v>551</v>
      </c>
      <c r="C79" s="647"/>
      <c r="D79" s="479"/>
      <c r="E79" s="479"/>
      <c r="F79" s="479"/>
      <c r="G79" s="479"/>
      <c r="H79" s="473"/>
    </row>
    <row r="80" spans="1:8" ht="13" x14ac:dyDescent="0.3">
      <c r="A80" s="645"/>
      <c r="B80" s="646" t="s">
        <v>552</v>
      </c>
      <c r="C80" s="647"/>
      <c r="D80" s="479"/>
      <c r="E80" s="479"/>
      <c r="F80" s="479"/>
      <c r="G80" s="479"/>
      <c r="H80" s="473"/>
    </row>
    <row r="81" spans="1:8" ht="24" x14ac:dyDescent="0.25">
      <c r="A81" s="648"/>
      <c r="B81" s="648" t="s">
        <v>553</v>
      </c>
      <c r="C81" s="649"/>
      <c r="D81" s="479"/>
      <c r="E81" s="479"/>
      <c r="F81" s="479"/>
      <c r="G81" s="479"/>
      <c r="H81" s="473"/>
    </row>
    <row r="82" spans="1:8" ht="42.65" customHeight="1" x14ac:dyDescent="0.25">
      <c r="A82" s="648"/>
      <c r="B82" s="648" t="s">
        <v>554</v>
      </c>
      <c r="C82" s="649"/>
      <c r="D82" s="479"/>
      <c r="E82" s="479"/>
      <c r="F82" s="479"/>
      <c r="G82" s="479"/>
      <c r="H82" s="473"/>
    </row>
    <row r="83" spans="1:8" ht="36" x14ac:dyDescent="0.25">
      <c r="A83" s="648"/>
      <c r="B83" s="648" t="s">
        <v>555</v>
      </c>
      <c r="C83" s="649"/>
      <c r="D83" s="479"/>
      <c r="E83" s="479"/>
      <c r="F83" s="479"/>
      <c r="G83" s="479"/>
      <c r="H83" s="473"/>
    </row>
    <row r="84" spans="1:8" ht="48" x14ac:dyDescent="0.25">
      <c r="A84" s="648"/>
      <c r="B84" s="648" t="s">
        <v>556</v>
      </c>
      <c r="C84" s="649"/>
      <c r="D84" s="479"/>
      <c r="E84" s="479"/>
      <c r="F84" s="479"/>
      <c r="G84" s="479"/>
      <c r="H84" s="473"/>
    </row>
    <row r="85" spans="1:8" ht="41.5" customHeight="1" x14ac:dyDescent="0.25">
      <c r="A85" s="648"/>
      <c r="B85" s="648" t="s">
        <v>557</v>
      </c>
      <c r="C85" s="649"/>
      <c r="D85" s="479"/>
      <c r="E85" s="479"/>
      <c r="F85" s="479"/>
      <c r="G85" s="479"/>
      <c r="H85" s="473"/>
    </row>
    <row r="86" spans="1:8" ht="48" x14ac:dyDescent="0.25">
      <c r="A86" s="648"/>
      <c r="B86" s="648" t="s">
        <v>558</v>
      </c>
      <c r="C86" s="649"/>
      <c r="D86" s="479"/>
      <c r="E86" s="479"/>
      <c r="F86" s="479"/>
      <c r="G86" s="479"/>
      <c r="H86" s="473"/>
    </row>
    <row r="87" spans="1:8" ht="13" x14ac:dyDescent="0.25">
      <c r="A87" s="648" t="s">
        <v>559</v>
      </c>
      <c r="B87" s="648" t="s">
        <v>560</v>
      </c>
      <c r="C87" s="649" t="s">
        <v>334</v>
      </c>
      <c r="D87" s="479"/>
      <c r="E87" s="479"/>
      <c r="F87" s="479"/>
      <c r="G87" s="121"/>
      <c r="H87" s="494">
        <f t="shared" ref="H87:H90" si="8">PRODUCT(D87:G87)</f>
        <v>0</v>
      </c>
    </row>
    <row r="88" spans="1:8" ht="13" x14ac:dyDescent="0.25">
      <c r="A88" s="648" t="s">
        <v>561</v>
      </c>
      <c r="B88" s="648" t="s">
        <v>562</v>
      </c>
      <c r="C88" s="649" t="s">
        <v>334</v>
      </c>
      <c r="D88" s="479"/>
      <c r="E88" s="479"/>
      <c r="F88" s="479"/>
      <c r="G88" s="121"/>
      <c r="H88" s="494">
        <f t="shared" si="8"/>
        <v>0</v>
      </c>
    </row>
    <row r="89" spans="1:8" ht="13" x14ac:dyDescent="0.25">
      <c r="A89" s="648" t="s">
        <v>563</v>
      </c>
      <c r="B89" s="648" t="s">
        <v>564</v>
      </c>
      <c r="C89" s="649" t="s">
        <v>334</v>
      </c>
      <c r="D89" s="479"/>
      <c r="E89" s="479"/>
      <c r="F89" s="479"/>
      <c r="G89" s="121"/>
      <c r="H89" s="494">
        <f t="shared" si="8"/>
        <v>0</v>
      </c>
    </row>
    <row r="90" spans="1:8" ht="13" x14ac:dyDescent="0.25">
      <c r="A90" s="648" t="s">
        <v>565</v>
      </c>
      <c r="B90" s="648" t="s">
        <v>566</v>
      </c>
      <c r="C90" s="649" t="s">
        <v>334</v>
      </c>
      <c r="D90" s="479"/>
      <c r="E90" s="479"/>
      <c r="F90" s="479"/>
      <c r="G90" s="121"/>
      <c r="H90" s="494">
        <f t="shared" si="8"/>
        <v>0</v>
      </c>
    </row>
    <row r="91" spans="1:8" x14ac:dyDescent="0.25">
      <c r="A91" s="635"/>
      <c r="B91" s="179"/>
      <c r="C91" s="177"/>
      <c r="D91" s="479"/>
      <c r="E91" s="479"/>
      <c r="F91" s="479"/>
      <c r="G91" s="479"/>
      <c r="H91" s="473"/>
    </row>
    <row r="92" spans="1:8" ht="13" x14ac:dyDescent="0.3">
      <c r="A92" s="650"/>
      <c r="B92" s="198"/>
      <c r="C92" s="197"/>
      <c r="D92" s="479"/>
      <c r="E92" s="479"/>
      <c r="F92" s="479"/>
      <c r="G92" s="479"/>
      <c r="H92" s="473"/>
    </row>
    <row r="93" spans="1:8" x14ac:dyDescent="0.25">
      <c r="A93" s="635"/>
      <c r="B93" s="178"/>
      <c r="C93" s="177"/>
      <c r="D93" s="479"/>
      <c r="E93" s="479"/>
      <c r="F93" s="479"/>
      <c r="G93" s="479"/>
      <c r="H93" s="473"/>
    </row>
    <row r="94" spans="1:8" x14ac:dyDescent="0.25">
      <c r="A94" s="635"/>
      <c r="B94" s="179"/>
      <c r="C94" s="177"/>
      <c r="D94" s="479"/>
      <c r="E94" s="479"/>
      <c r="F94" s="479"/>
      <c r="G94" s="479"/>
      <c r="H94" s="473"/>
    </row>
    <row r="95" spans="1:8" x14ac:dyDescent="0.25">
      <c r="A95" s="635"/>
      <c r="B95" s="179"/>
      <c r="C95" s="177"/>
      <c r="D95" s="479"/>
      <c r="E95" s="479"/>
      <c r="F95" s="479"/>
      <c r="G95" s="479"/>
      <c r="H95" s="473"/>
    </row>
    <row r="96" spans="1:8" ht="13" thickBot="1" x14ac:dyDescent="0.3">
      <c r="A96" s="636"/>
      <c r="B96" s="637"/>
      <c r="C96" s="638"/>
      <c r="D96" s="621"/>
      <c r="E96" s="621"/>
      <c r="F96" s="621"/>
      <c r="G96" s="621"/>
      <c r="H96" s="491"/>
    </row>
  </sheetData>
  <protectedRanges>
    <protectedRange sqref="F1" name="Range1"/>
  </protectedRanges>
  <mergeCells count="5">
    <mergeCell ref="A1:H1"/>
    <mergeCell ref="A2:A3"/>
    <mergeCell ref="B2:B3"/>
    <mergeCell ref="C2:C3"/>
    <mergeCell ref="D2:H2"/>
  </mergeCells>
  <pageMargins left="0.7" right="0.7" top="0.75" bottom="0.75" header="0.3" footer="0.3"/>
  <pageSetup orientation="portrait" verticalDpi="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0"/>
  <sheetViews>
    <sheetView topLeftCell="A14" zoomScale="85" zoomScaleNormal="85" workbookViewId="0">
      <selection activeCell="M17" sqref="M17"/>
    </sheetView>
  </sheetViews>
  <sheetFormatPr defaultColWidth="8.81640625" defaultRowHeight="12" x14ac:dyDescent="0.3"/>
  <cols>
    <col min="1" max="1" width="6.453125" style="55" customWidth="1"/>
    <col min="2" max="2" width="13.453125" style="68" customWidth="1"/>
    <col min="3" max="3" width="50.1796875" style="63" customWidth="1"/>
    <col min="4" max="4" width="11.1796875" style="63" bestFit="1" customWidth="1"/>
    <col min="5" max="5" width="12.453125" style="63" bestFit="1" customWidth="1"/>
    <col min="6" max="6" width="5.54296875" style="64" bestFit="1" customWidth="1"/>
    <col min="7" max="7" width="6.81640625" style="236" bestFit="1" customWidth="1"/>
    <col min="8" max="8" width="9.1796875" style="236" bestFit="1" customWidth="1"/>
    <col min="9" max="9" width="11.54296875" style="64" customWidth="1"/>
    <col min="10" max="10" width="11.54296875" style="66" customWidth="1"/>
    <col min="11" max="11" width="11.54296875" style="64" customWidth="1"/>
    <col min="12" max="12" width="11.54296875" style="66" customWidth="1"/>
    <col min="13" max="13" width="11.54296875" style="64" customWidth="1"/>
    <col min="14" max="14" width="8.81640625" style="238"/>
    <col min="15" max="15" width="11.453125" style="237" bestFit="1" customWidth="1"/>
    <col min="16" max="16" width="11.1796875" style="56" bestFit="1" customWidth="1"/>
    <col min="17" max="17" width="12.453125" style="56" bestFit="1" customWidth="1"/>
    <col min="18" max="235" width="8.81640625" style="56"/>
    <col min="236" max="236" width="7.81640625" style="56" customWidth="1"/>
    <col min="237" max="237" width="65.54296875" style="56" customWidth="1"/>
    <col min="238" max="239" width="7.54296875" style="56" bestFit="1" customWidth="1"/>
    <col min="240" max="240" width="15.453125" style="56" bestFit="1" customWidth="1"/>
    <col min="241" max="241" width="16.54296875" style="56" customWidth="1"/>
    <col min="242" max="242" width="18.453125" style="56" customWidth="1"/>
    <col min="243" max="243" width="16" style="56" bestFit="1" customWidth="1"/>
    <col min="244" max="491" width="8.81640625" style="56"/>
    <col min="492" max="492" width="7.81640625" style="56" customWidth="1"/>
    <col min="493" max="493" width="65.54296875" style="56" customWidth="1"/>
    <col min="494" max="495" width="7.54296875" style="56" bestFit="1" customWidth="1"/>
    <col min="496" max="496" width="15.453125" style="56" bestFit="1" customWidth="1"/>
    <col min="497" max="497" width="16.54296875" style="56" customWidth="1"/>
    <col min="498" max="498" width="18.453125" style="56" customWidth="1"/>
    <col min="499" max="499" width="16" style="56" bestFit="1" customWidth="1"/>
    <col min="500" max="747" width="8.81640625" style="56"/>
    <col min="748" max="748" width="7.81640625" style="56" customWidth="1"/>
    <col min="749" max="749" width="65.54296875" style="56" customWidth="1"/>
    <col min="750" max="751" width="7.54296875" style="56" bestFit="1" customWidth="1"/>
    <col min="752" max="752" width="15.453125" style="56" bestFit="1" customWidth="1"/>
    <col min="753" max="753" width="16.54296875" style="56" customWidth="1"/>
    <col min="754" max="754" width="18.453125" style="56" customWidth="1"/>
    <col min="755" max="755" width="16" style="56" bestFit="1" customWidth="1"/>
    <col min="756" max="1003" width="8.81640625" style="56"/>
    <col min="1004" max="1004" width="7.81640625" style="56" customWidth="1"/>
    <col min="1005" max="1005" width="65.54296875" style="56" customWidth="1"/>
    <col min="1006" max="1007" width="7.54296875" style="56" bestFit="1" customWidth="1"/>
    <col min="1008" max="1008" width="15.453125" style="56" bestFit="1" customWidth="1"/>
    <col min="1009" max="1009" width="16.54296875" style="56" customWidth="1"/>
    <col min="1010" max="1010" width="18.453125" style="56" customWidth="1"/>
    <col min="1011" max="1011" width="16" style="56" bestFit="1" customWidth="1"/>
    <col min="1012" max="1259" width="8.81640625" style="56"/>
    <col min="1260" max="1260" width="7.81640625" style="56" customWidth="1"/>
    <col min="1261" max="1261" width="65.54296875" style="56" customWidth="1"/>
    <col min="1262" max="1263" width="7.54296875" style="56" bestFit="1" customWidth="1"/>
    <col min="1264" max="1264" width="15.453125" style="56" bestFit="1" customWidth="1"/>
    <col min="1265" max="1265" width="16.54296875" style="56" customWidth="1"/>
    <col min="1266" max="1266" width="18.453125" style="56" customWidth="1"/>
    <col min="1267" max="1267" width="16" style="56" bestFit="1" customWidth="1"/>
    <col min="1268" max="1515" width="8.81640625" style="56"/>
    <col min="1516" max="1516" width="7.81640625" style="56" customWidth="1"/>
    <col min="1517" max="1517" width="65.54296875" style="56" customWidth="1"/>
    <col min="1518" max="1519" width="7.54296875" style="56" bestFit="1" customWidth="1"/>
    <col min="1520" max="1520" width="15.453125" style="56" bestFit="1" customWidth="1"/>
    <col min="1521" max="1521" width="16.54296875" style="56" customWidth="1"/>
    <col min="1522" max="1522" width="18.453125" style="56" customWidth="1"/>
    <col min="1523" max="1523" width="16" style="56" bestFit="1" customWidth="1"/>
    <col min="1524" max="1771" width="8.81640625" style="56"/>
    <col min="1772" max="1772" width="7.81640625" style="56" customWidth="1"/>
    <col min="1773" max="1773" width="65.54296875" style="56" customWidth="1"/>
    <col min="1774" max="1775" width="7.54296875" style="56" bestFit="1" customWidth="1"/>
    <col min="1776" max="1776" width="15.453125" style="56" bestFit="1" customWidth="1"/>
    <col min="1777" max="1777" width="16.54296875" style="56" customWidth="1"/>
    <col min="1778" max="1778" width="18.453125" style="56" customWidth="1"/>
    <col min="1779" max="1779" width="16" style="56" bestFit="1" customWidth="1"/>
    <col min="1780" max="2027" width="8.81640625" style="56"/>
    <col min="2028" max="2028" width="7.81640625" style="56" customWidth="1"/>
    <col min="2029" max="2029" width="65.54296875" style="56" customWidth="1"/>
    <col min="2030" max="2031" width="7.54296875" style="56" bestFit="1" customWidth="1"/>
    <col min="2032" max="2032" width="15.453125" style="56" bestFit="1" customWidth="1"/>
    <col min="2033" max="2033" width="16.54296875" style="56" customWidth="1"/>
    <col min="2034" max="2034" width="18.453125" style="56" customWidth="1"/>
    <col min="2035" max="2035" width="16" style="56" bestFit="1" customWidth="1"/>
    <col min="2036" max="2283" width="8.81640625" style="56"/>
    <col min="2284" max="2284" width="7.81640625" style="56" customWidth="1"/>
    <col min="2285" max="2285" width="65.54296875" style="56" customWidth="1"/>
    <col min="2286" max="2287" width="7.54296875" style="56" bestFit="1" customWidth="1"/>
    <col min="2288" max="2288" width="15.453125" style="56" bestFit="1" customWidth="1"/>
    <col min="2289" max="2289" width="16.54296875" style="56" customWidth="1"/>
    <col min="2290" max="2290" width="18.453125" style="56" customWidth="1"/>
    <col min="2291" max="2291" width="16" style="56" bestFit="1" customWidth="1"/>
    <col min="2292" max="2539" width="8.81640625" style="56"/>
    <col min="2540" max="2540" width="7.81640625" style="56" customWidth="1"/>
    <col min="2541" max="2541" width="65.54296875" style="56" customWidth="1"/>
    <col min="2542" max="2543" width="7.54296875" style="56" bestFit="1" customWidth="1"/>
    <col min="2544" max="2544" width="15.453125" style="56" bestFit="1" customWidth="1"/>
    <col min="2545" max="2545" width="16.54296875" style="56" customWidth="1"/>
    <col min="2546" max="2546" width="18.453125" style="56" customWidth="1"/>
    <col min="2547" max="2547" width="16" style="56" bestFit="1" customWidth="1"/>
    <col min="2548" max="2795" width="8.81640625" style="56"/>
    <col min="2796" max="2796" width="7.81640625" style="56" customWidth="1"/>
    <col min="2797" max="2797" width="65.54296875" style="56" customWidth="1"/>
    <col min="2798" max="2799" width="7.54296875" style="56" bestFit="1" customWidth="1"/>
    <col min="2800" max="2800" width="15.453125" style="56" bestFit="1" customWidth="1"/>
    <col min="2801" max="2801" width="16.54296875" style="56" customWidth="1"/>
    <col min="2802" max="2802" width="18.453125" style="56" customWidth="1"/>
    <col min="2803" max="2803" width="16" style="56" bestFit="1" customWidth="1"/>
    <col min="2804" max="3051" width="8.81640625" style="56"/>
    <col min="3052" max="3052" width="7.81640625" style="56" customWidth="1"/>
    <col min="3053" max="3053" width="65.54296875" style="56" customWidth="1"/>
    <col min="3054" max="3055" width="7.54296875" style="56" bestFit="1" customWidth="1"/>
    <col min="3056" max="3056" width="15.453125" style="56" bestFit="1" customWidth="1"/>
    <col min="3057" max="3057" width="16.54296875" style="56" customWidth="1"/>
    <col min="3058" max="3058" width="18.453125" style="56" customWidth="1"/>
    <col min="3059" max="3059" width="16" style="56" bestFit="1" customWidth="1"/>
    <col min="3060" max="3307" width="8.81640625" style="56"/>
    <col min="3308" max="3308" width="7.81640625" style="56" customWidth="1"/>
    <col min="3309" max="3309" width="65.54296875" style="56" customWidth="1"/>
    <col min="3310" max="3311" width="7.54296875" style="56" bestFit="1" customWidth="1"/>
    <col min="3312" max="3312" width="15.453125" style="56" bestFit="1" customWidth="1"/>
    <col min="3313" max="3313" width="16.54296875" style="56" customWidth="1"/>
    <col min="3314" max="3314" width="18.453125" style="56" customWidth="1"/>
    <col min="3315" max="3315" width="16" style="56" bestFit="1" customWidth="1"/>
    <col min="3316" max="3563" width="8.81640625" style="56"/>
    <col min="3564" max="3564" width="7.81640625" style="56" customWidth="1"/>
    <col min="3565" max="3565" width="65.54296875" style="56" customWidth="1"/>
    <col min="3566" max="3567" width="7.54296875" style="56" bestFit="1" customWidth="1"/>
    <col min="3568" max="3568" width="15.453125" style="56" bestFit="1" customWidth="1"/>
    <col min="3569" max="3569" width="16.54296875" style="56" customWidth="1"/>
    <col min="3570" max="3570" width="18.453125" style="56" customWidth="1"/>
    <col min="3571" max="3571" width="16" style="56" bestFit="1" customWidth="1"/>
    <col min="3572" max="3819" width="8.81640625" style="56"/>
    <col min="3820" max="3820" width="7.81640625" style="56" customWidth="1"/>
    <col min="3821" max="3821" width="65.54296875" style="56" customWidth="1"/>
    <col min="3822" max="3823" width="7.54296875" style="56" bestFit="1" customWidth="1"/>
    <col min="3824" max="3824" width="15.453125" style="56" bestFit="1" customWidth="1"/>
    <col min="3825" max="3825" width="16.54296875" style="56" customWidth="1"/>
    <col min="3826" max="3826" width="18.453125" style="56" customWidth="1"/>
    <col min="3827" max="3827" width="16" style="56" bestFit="1" customWidth="1"/>
    <col min="3828" max="4075" width="8.81640625" style="56"/>
    <col min="4076" max="4076" width="7.81640625" style="56" customWidth="1"/>
    <col min="4077" max="4077" width="65.54296875" style="56" customWidth="1"/>
    <col min="4078" max="4079" width="7.54296875" style="56" bestFit="1" customWidth="1"/>
    <col min="4080" max="4080" width="15.453125" style="56" bestFit="1" customWidth="1"/>
    <col min="4081" max="4081" width="16.54296875" style="56" customWidth="1"/>
    <col min="4082" max="4082" width="18.453125" style="56" customWidth="1"/>
    <col min="4083" max="4083" width="16" style="56" bestFit="1" customWidth="1"/>
    <col min="4084" max="4331" width="8.81640625" style="56"/>
    <col min="4332" max="4332" width="7.81640625" style="56" customWidth="1"/>
    <col min="4333" max="4333" width="65.54296875" style="56" customWidth="1"/>
    <col min="4334" max="4335" width="7.54296875" style="56" bestFit="1" customWidth="1"/>
    <col min="4336" max="4336" width="15.453125" style="56" bestFit="1" customWidth="1"/>
    <col min="4337" max="4337" width="16.54296875" style="56" customWidth="1"/>
    <col min="4338" max="4338" width="18.453125" style="56" customWidth="1"/>
    <col min="4339" max="4339" width="16" style="56" bestFit="1" customWidth="1"/>
    <col min="4340" max="4587" width="8.81640625" style="56"/>
    <col min="4588" max="4588" width="7.81640625" style="56" customWidth="1"/>
    <col min="4589" max="4589" width="65.54296875" style="56" customWidth="1"/>
    <col min="4590" max="4591" width="7.54296875" style="56" bestFit="1" customWidth="1"/>
    <col min="4592" max="4592" width="15.453125" style="56" bestFit="1" customWidth="1"/>
    <col min="4593" max="4593" width="16.54296875" style="56" customWidth="1"/>
    <col min="4594" max="4594" width="18.453125" style="56" customWidth="1"/>
    <col min="4595" max="4595" width="16" style="56" bestFit="1" customWidth="1"/>
    <col min="4596" max="4843" width="8.81640625" style="56"/>
    <col min="4844" max="4844" width="7.81640625" style="56" customWidth="1"/>
    <col min="4845" max="4845" width="65.54296875" style="56" customWidth="1"/>
    <col min="4846" max="4847" width="7.54296875" style="56" bestFit="1" customWidth="1"/>
    <col min="4848" max="4848" width="15.453125" style="56" bestFit="1" customWidth="1"/>
    <col min="4849" max="4849" width="16.54296875" style="56" customWidth="1"/>
    <col min="4850" max="4850" width="18.453125" style="56" customWidth="1"/>
    <col min="4851" max="4851" width="16" style="56" bestFit="1" customWidth="1"/>
    <col min="4852" max="5099" width="8.81640625" style="56"/>
    <col min="5100" max="5100" width="7.81640625" style="56" customWidth="1"/>
    <col min="5101" max="5101" width="65.54296875" style="56" customWidth="1"/>
    <col min="5102" max="5103" width="7.54296875" style="56" bestFit="1" customWidth="1"/>
    <col min="5104" max="5104" width="15.453125" style="56" bestFit="1" customWidth="1"/>
    <col min="5105" max="5105" width="16.54296875" style="56" customWidth="1"/>
    <col min="5106" max="5106" width="18.453125" style="56" customWidth="1"/>
    <col min="5107" max="5107" width="16" style="56" bestFit="1" customWidth="1"/>
    <col min="5108" max="5355" width="8.81640625" style="56"/>
    <col min="5356" max="5356" width="7.81640625" style="56" customWidth="1"/>
    <col min="5357" max="5357" width="65.54296875" style="56" customWidth="1"/>
    <col min="5358" max="5359" width="7.54296875" style="56" bestFit="1" customWidth="1"/>
    <col min="5360" max="5360" width="15.453125" style="56" bestFit="1" customWidth="1"/>
    <col min="5361" max="5361" width="16.54296875" style="56" customWidth="1"/>
    <col min="5362" max="5362" width="18.453125" style="56" customWidth="1"/>
    <col min="5363" max="5363" width="16" style="56" bestFit="1" customWidth="1"/>
    <col min="5364" max="5611" width="8.81640625" style="56"/>
    <col min="5612" max="5612" width="7.81640625" style="56" customWidth="1"/>
    <col min="5613" max="5613" width="65.54296875" style="56" customWidth="1"/>
    <col min="5614" max="5615" width="7.54296875" style="56" bestFit="1" customWidth="1"/>
    <col min="5616" max="5616" width="15.453125" style="56" bestFit="1" customWidth="1"/>
    <col min="5617" max="5617" width="16.54296875" style="56" customWidth="1"/>
    <col min="5618" max="5618" width="18.453125" style="56" customWidth="1"/>
    <col min="5619" max="5619" width="16" style="56" bestFit="1" customWidth="1"/>
    <col min="5620" max="5867" width="8.81640625" style="56"/>
    <col min="5868" max="5868" width="7.81640625" style="56" customWidth="1"/>
    <col min="5869" max="5869" width="65.54296875" style="56" customWidth="1"/>
    <col min="5870" max="5871" width="7.54296875" style="56" bestFit="1" customWidth="1"/>
    <col min="5872" max="5872" width="15.453125" style="56" bestFit="1" customWidth="1"/>
    <col min="5873" max="5873" width="16.54296875" style="56" customWidth="1"/>
    <col min="5874" max="5874" width="18.453125" style="56" customWidth="1"/>
    <col min="5875" max="5875" width="16" style="56" bestFit="1" customWidth="1"/>
    <col min="5876" max="6123" width="8.81640625" style="56"/>
    <col min="6124" max="6124" width="7.81640625" style="56" customWidth="1"/>
    <col min="6125" max="6125" width="65.54296875" style="56" customWidth="1"/>
    <col min="6126" max="6127" width="7.54296875" style="56" bestFit="1" customWidth="1"/>
    <col min="6128" max="6128" width="15.453125" style="56" bestFit="1" customWidth="1"/>
    <col min="6129" max="6129" width="16.54296875" style="56" customWidth="1"/>
    <col min="6130" max="6130" width="18.453125" style="56" customWidth="1"/>
    <col min="6131" max="6131" width="16" style="56" bestFit="1" customWidth="1"/>
    <col min="6132" max="6379" width="8.81640625" style="56"/>
    <col min="6380" max="6380" width="7.81640625" style="56" customWidth="1"/>
    <col min="6381" max="6381" width="65.54296875" style="56" customWidth="1"/>
    <col min="6382" max="6383" width="7.54296875" style="56" bestFit="1" customWidth="1"/>
    <col min="6384" max="6384" width="15.453125" style="56" bestFit="1" customWidth="1"/>
    <col min="6385" max="6385" width="16.54296875" style="56" customWidth="1"/>
    <col min="6386" max="6386" width="18.453125" style="56" customWidth="1"/>
    <col min="6387" max="6387" width="16" style="56" bestFit="1" customWidth="1"/>
    <col min="6388" max="6635" width="8.81640625" style="56"/>
    <col min="6636" max="6636" width="7.81640625" style="56" customWidth="1"/>
    <col min="6637" max="6637" width="65.54296875" style="56" customWidth="1"/>
    <col min="6638" max="6639" width="7.54296875" style="56" bestFit="1" customWidth="1"/>
    <col min="6640" max="6640" width="15.453125" style="56" bestFit="1" customWidth="1"/>
    <col min="6641" max="6641" width="16.54296875" style="56" customWidth="1"/>
    <col min="6642" max="6642" width="18.453125" style="56" customWidth="1"/>
    <col min="6643" max="6643" width="16" style="56" bestFit="1" customWidth="1"/>
    <col min="6644" max="6891" width="8.81640625" style="56"/>
    <col min="6892" max="6892" width="7.81640625" style="56" customWidth="1"/>
    <col min="6893" max="6893" width="65.54296875" style="56" customWidth="1"/>
    <col min="6894" max="6895" width="7.54296875" style="56" bestFit="1" customWidth="1"/>
    <col min="6896" max="6896" width="15.453125" style="56" bestFit="1" customWidth="1"/>
    <col min="6897" max="6897" width="16.54296875" style="56" customWidth="1"/>
    <col min="6898" max="6898" width="18.453125" style="56" customWidth="1"/>
    <col min="6899" max="6899" width="16" style="56" bestFit="1" customWidth="1"/>
    <col min="6900" max="7147" width="8.81640625" style="56"/>
    <col min="7148" max="7148" width="7.81640625" style="56" customWidth="1"/>
    <col min="7149" max="7149" width="65.54296875" style="56" customWidth="1"/>
    <col min="7150" max="7151" width="7.54296875" style="56" bestFit="1" customWidth="1"/>
    <col min="7152" max="7152" width="15.453125" style="56" bestFit="1" customWidth="1"/>
    <col min="7153" max="7153" width="16.54296875" style="56" customWidth="1"/>
    <col min="7154" max="7154" width="18.453125" style="56" customWidth="1"/>
    <col min="7155" max="7155" width="16" style="56" bestFit="1" customWidth="1"/>
    <col min="7156" max="7403" width="8.81640625" style="56"/>
    <col min="7404" max="7404" width="7.81640625" style="56" customWidth="1"/>
    <col min="7405" max="7405" width="65.54296875" style="56" customWidth="1"/>
    <col min="7406" max="7407" width="7.54296875" style="56" bestFit="1" customWidth="1"/>
    <col min="7408" max="7408" width="15.453125" style="56" bestFit="1" customWidth="1"/>
    <col min="7409" max="7409" width="16.54296875" style="56" customWidth="1"/>
    <col min="7410" max="7410" width="18.453125" style="56" customWidth="1"/>
    <col min="7411" max="7411" width="16" style="56" bestFit="1" customWidth="1"/>
    <col min="7412" max="7659" width="8.81640625" style="56"/>
    <col min="7660" max="7660" width="7.81640625" style="56" customWidth="1"/>
    <col min="7661" max="7661" width="65.54296875" style="56" customWidth="1"/>
    <col min="7662" max="7663" width="7.54296875" style="56" bestFit="1" customWidth="1"/>
    <col min="7664" max="7664" width="15.453125" style="56" bestFit="1" customWidth="1"/>
    <col min="7665" max="7665" width="16.54296875" style="56" customWidth="1"/>
    <col min="7666" max="7666" width="18.453125" style="56" customWidth="1"/>
    <col min="7667" max="7667" width="16" style="56" bestFit="1" customWidth="1"/>
    <col min="7668" max="7915" width="8.81640625" style="56"/>
    <col min="7916" max="7916" width="7.81640625" style="56" customWidth="1"/>
    <col min="7917" max="7917" width="65.54296875" style="56" customWidth="1"/>
    <col min="7918" max="7919" width="7.54296875" style="56" bestFit="1" customWidth="1"/>
    <col min="7920" max="7920" width="15.453125" style="56" bestFit="1" customWidth="1"/>
    <col min="7921" max="7921" width="16.54296875" style="56" customWidth="1"/>
    <col min="7922" max="7922" width="18.453125" style="56" customWidth="1"/>
    <col min="7923" max="7923" width="16" style="56" bestFit="1" customWidth="1"/>
    <col min="7924" max="8171" width="8.81640625" style="56"/>
    <col min="8172" max="8172" width="7.81640625" style="56" customWidth="1"/>
    <col min="8173" max="8173" width="65.54296875" style="56" customWidth="1"/>
    <col min="8174" max="8175" width="7.54296875" style="56" bestFit="1" customWidth="1"/>
    <col min="8176" max="8176" width="15.453125" style="56" bestFit="1" customWidth="1"/>
    <col min="8177" max="8177" width="16.54296875" style="56" customWidth="1"/>
    <col min="8178" max="8178" width="18.453125" style="56" customWidth="1"/>
    <col min="8179" max="8179" width="16" style="56" bestFit="1" customWidth="1"/>
    <col min="8180" max="8427" width="8.81640625" style="56"/>
    <col min="8428" max="8428" width="7.81640625" style="56" customWidth="1"/>
    <col min="8429" max="8429" width="65.54296875" style="56" customWidth="1"/>
    <col min="8430" max="8431" width="7.54296875" style="56" bestFit="1" customWidth="1"/>
    <col min="8432" max="8432" width="15.453125" style="56" bestFit="1" customWidth="1"/>
    <col min="8433" max="8433" width="16.54296875" style="56" customWidth="1"/>
    <col min="8434" max="8434" width="18.453125" style="56" customWidth="1"/>
    <col min="8435" max="8435" width="16" style="56" bestFit="1" customWidth="1"/>
    <col min="8436" max="8683" width="8.81640625" style="56"/>
    <col min="8684" max="8684" width="7.81640625" style="56" customWidth="1"/>
    <col min="8685" max="8685" width="65.54296875" style="56" customWidth="1"/>
    <col min="8686" max="8687" width="7.54296875" style="56" bestFit="1" customWidth="1"/>
    <col min="8688" max="8688" width="15.453125" style="56" bestFit="1" customWidth="1"/>
    <col min="8689" max="8689" width="16.54296875" style="56" customWidth="1"/>
    <col min="8690" max="8690" width="18.453125" style="56" customWidth="1"/>
    <col min="8691" max="8691" width="16" style="56" bestFit="1" customWidth="1"/>
    <col min="8692" max="8939" width="8.81640625" style="56"/>
    <col min="8940" max="8940" width="7.81640625" style="56" customWidth="1"/>
    <col min="8941" max="8941" width="65.54296875" style="56" customWidth="1"/>
    <col min="8942" max="8943" width="7.54296875" style="56" bestFit="1" customWidth="1"/>
    <col min="8944" max="8944" width="15.453125" style="56" bestFit="1" customWidth="1"/>
    <col min="8945" max="8945" width="16.54296875" style="56" customWidth="1"/>
    <col min="8946" max="8946" width="18.453125" style="56" customWidth="1"/>
    <col min="8947" max="8947" width="16" style="56" bestFit="1" customWidth="1"/>
    <col min="8948" max="9195" width="8.81640625" style="56"/>
    <col min="9196" max="9196" width="7.81640625" style="56" customWidth="1"/>
    <col min="9197" max="9197" width="65.54296875" style="56" customWidth="1"/>
    <col min="9198" max="9199" width="7.54296875" style="56" bestFit="1" customWidth="1"/>
    <col min="9200" max="9200" width="15.453125" style="56" bestFit="1" customWidth="1"/>
    <col min="9201" max="9201" width="16.54296875" style="56" customWidth="1"/>
    <col min="9202" max="9202" width="18.453125" style="56" customWidth="1"/>
    <col min="9203" max="9203" width="16" style="56" bestFit="1" customWidth="1"/>
    <col min="9204" max="9451" width="8.81640625" style="56"/>
    <col min="9452" max="9452" width="7.81640625" style="56" customWidth="1"/>
    <col min="9453" max="9453" width="65.54296875" style="56" customWidth="1"/>
    <col min="9454" max="9455" width="7.54296875" style="56" bestFit="1" customWidth="1"/>
    <col min="9456" max="9456" width="15.453125" style="56" bestFit="1" customWidth="1"/>
    <col min="9457" max="9457" width="16.54296875" style="56" customWidth="1"/>
    <col min="9458" max="9458" width="18.453125" style="56" customWidth="1"/>
    <col min="9459" max="9459" width="16" style="56" bestFit="1" customWidth="1"/>
    <col min="9460" max="9707" width="8.81640625" style="56"/>
    <col min="9708" max="9708" width="7.81640625" style="56" customWidth="1"/>
    <col min="9709" max="9709" width="65.54296875" style="56" customWidth="1"/>
    <col min="9710" max="9711" width="7.54296875" style="56" bestFit="1" customWidth="1"/>
    <col min="9712" max="9712" width="15.453125" style="56" bestFit="1" customWidth="1"/>
    <col min="9713" max="9713" width="16.54296875" style="56" customWidth="1"/>
    <col min="9714" max="9714" width="18.453125" style="56" customWidth="1"/>
    <col min="9715" max="9715" width="16" style="56" bestFit="1" customWidth="1"/>
    <col min="9716" max="9963" width="8.81640625" style="56"/>
    <col min="9964" max="9964" width="7.81640625" style="56" customWidth="1"/>
    <col min="9965" max="9965" width="65.54296875" style="56" customWidth="1"/>
    <col min="9966" max="9967" width="7.54296875" style="56" bestFit="1" customWidth="1"/>
    <col min="9968" max="9968" width="15.453125" style="56" bestFit="1" customWidth="1"/>
    <col min="9969" max="9969" width="16.54296875" style="56" customWidth="1"/>
    <col min="9970" max="9970" width="18.453125" style="56" customWidth="1"/>
    <col min="9971" max="9971" width="16" style="56" bestFit="1" customWidth="1"/>
    <col min="9972" max="10219" width="8.81640625" style="56"/>
    <col min="10220" max="10220" width="7.81640625" style="56" customWidth="1"/>
    <col min="10221" max="10221" width="65.54296875" style="56" customWidth="1"/>
    <col min="10222" max="10223" width="7.54296875" style="56" bestFit="1" customWidth="1"/>
    <col min="10224" max="10224" width="15.453125" style="56" bestFit="1" customWidth="1"/>
    <col min="10225" max="10225" width="16.54296875" style="56" customWidth="1"/>
    <col min="10226" max="10226" width="18.453125" style="56" customWidth="1"/>
    <col min="10227" max="10227" width="16" style="56" bestFit="1" customWidth="1"/>
    <col min="10228" max="10475" width="8.81640625" style="56"/>
    <col min="10476" max="10476" width="7.81640625" style="56" customWidth="1"/>
    <col min="10477" max="10477" width="65.54296875" style="56" customWidth="1"/>
    <col min="10478" max="10479" width="7.54296875" style="56" bestFit="1" customWidth="1"/>
    <col min="10480" max="10480" width="15.453125" style="56" bestFit="1" customWidth="1"/>
    <col min="10481" max="10481" width="16.54296875" style="56" customWidth="1"/>
    <col min="10482" max="10482" width="18.453125" style="56" customWidth="1"/>
    <col min="10483" max="10483" width="16" style="56" bestFit="1" customWidth="1"/>
    <col min="10484" max="10731" width="8.81640625" style="56"/>
    <col min="10732" max="10732" width="7.81640625" style="56" customWidth="1"/>
    <col min="10733" max="10733" width="65.54296875" style="56" customWidth="1"/>
    <col min="10734" max="10735" width="7.54296875" style="56" bestFit="1" customWidth="1"/>
    <col min="10736" max="10736" width="15.453125" style="56" bestFit="1" customWidth="1"/>
    <col min="10737" max="10737" width="16.54296875" style="56" customWidth="1"/>
    <col min="10738" max="10738" width="18.453125" style="56" customWidth="1"/>
    <col min="10739" max="10739" width="16" style="56" bestFit="1" customWidth="1"/>
    <col min="10740" max="10987" width="8.81640625" style="56"/>
    <col min="10988" max="10988" width="7.81640625" style="56" customWidth="1"/>
    <col min="10989" max="10989" width="65.54296875" style="56" customWidth="1"/>
    <col min="10990" max="10991" width="7.54296875" style="56" bestFit="1" customWidth="1"/>
    <col min="10992" max="10992" width="15.453125" style="56" bestFit="1" customWidth="1"/>
    <col min="10993" max="10993" width="16.54296875" style="56" customWidth="1"/>
    <col min="10994" max="10994" width="18.453125" style="56" customWidth="1"/>
    <col min="10995" max="10995" width="16" style="56" bestFit="1" customWidth="1"/>
    <col min="10996" max="11243" width="8.81640625" style="56"/>
    <col min="11244" max="11244" width="7.81640625" style="56" customWidth="1"/>
    <col min="11245" max="11245" width="65.54296875" style="56" customWidth="1"/>
    <col min="11246" max="11247" width="7.54296875" style="56" bestFit="1" customWidth="1"/>
    <col min="11248" max="11248" width="15.453125" style="56" bestFit="1" customWidth="1"/>
    <col min="11249" max="11249" width="16.54296875" style="56" customWidth="1"/>
    <col min="11250" max="11250" width="18.453125" style="56" customWidth="1"/>
    <col min="11251" max="11251" width="16" style="56" bestFit="1" customWidth="1"/>
    <col min="11252" max="11499" width="8.81640625" style="56"/>
    <col min="11500" max="11500" width="7.81640625" style="56" customWidth="1"/>
    <col min="11501" max="11501" width="65.54296875" style="56" customWidth="1"/>
    <col min="11502" max="11503" width="7.54296875" style="56" bestFit="1" customWidth="1"/>
    <col min="11504" max="11504" width="15.453125" style="56" bestFit="1" customWidth="1"/>
    <col min="11505" max="11505" width="16.54296875" style="56" customWidth="1"/>
    <col min="11506" max="11506" width="18.453125" style="56" customWidth="1"/>
    <col min="11507" max="11507" width="16" style="56" bestFit="1" customWidth="1"/>
    <col min="11508" max="11755" width="8.81640625" style="56"/>
    <col min="11756" max="11756" width="7.81640625" style="56" customWidth="1"/>
    <col min="11757" max="11757" width="65.54296875" style="56" customWidth="1"/>
    <col min="11758" max="11759" width="7.54296875" style="56" bestFit="1" customWidth="1"/>
    <col min="11760" max="11760" width="15.453125" style="56" bestFit="1" customWidth="1"/>
    <col min="11761" max="11761" width="16.54296875" style="56" customWidth="1"/>
    <col min="11762" max="11762" width="18.453125" style="56" customWidth="1"/>
    <col min="11763" max="11763" width="16" style="56" bestFit="1" customWidth="1"/>
    <col min="11764" max="12011" width="8.81640625" style="56"/>
    <col min="12012" max="12012" width="7.81640625" style="56" customWidth="1"/>
    <col min="12013" max="12013" width="65.54296875" style="56" customWidth="1"/>
    <col min="12014" max="12015" width="7.54296875" style="56" bestFit="1" customWidth="1"/>
    <col min="12016" max="12016" width="15.453125" style="56" bestFit="1" customWidth="1"/>
    <col min="12017" max="12017" width="16.54296875" style="56" customWidth="1"/>
    <col min="12018" max="12018" width="18.453125" style="56" customWidth="1"/>
    <col min="12019" max="12019" width="16" style="56" bestFit="1" customWidth="1"/>
    <col min="12020" max="12267" width="8.81640625" style="56"/>
    <col min="12268" max="12268" width="7.81640625" style="56" customWidth="1"/>
    <col min="12269" max="12269" width="65.54296875" style="56" customWidth="1"/>
    <col min="12270" max="12271" width="7.54296875" style="56" bestFit="1" customWidth="1"/>
    <col min="12272" max="12272" width="15.453125" style="56" bestFit="1" customWidth="1"/>
    <col min="12273" max="12273" width="16.54296875" style="56" customWidth="1"/>
    <col min="12274" max="12274" width="18.453125" style="56" customWidth="1"/>
    <col min="12275" max="12275" width="16" style="56" bestFit="1" customWidth="1"/>
    <col min="12276" max="12523" width="8.81640625" style="56"/>
    <col min="12524" max="12524" width="7.81640625" style="56" customWidth="1"/>
    <col min="12525" max="12525" width="65.54296875" style="56" customWidth="1"/>
    <col min="12526" max="12527" width="7.54296875" style="56" bestFit="1" customWidth="1"/>
    <col min="12528" max="12528" width="15.453125" style="56" bestFit="1" customWidth="1"/>
    <col min="12529" max="12529" width="16.54296875" style="56" customWidth="1"/>
    <col min="12530" max="12530" width="18.453125" style="56" customWidth="1"/>
    <col min="12531" max="12531" width="16" style="56" bestFit="1" customWidth="1"/>
    <col min="12532" max="12779" width="8.81640625" style="56"/>
    <col min="12780" max="12780" width="7.81640625" style="56" customWidth="1"/>
    <col min="12781" max="12781" width="65.54296875" style="56" customWidth="1"/>
    <col min="12782" max="12783" width="7.54296875" style="56" bestFit="1" customWidth="1"/>
    <col min="12784" max="12784" width="15.453125" style="56" bestFit="1" customWidth="1"/>
    <col min="12785" max="12785" width="16.54296875" style="56" customWidth="1"/>
    <col min="12786" max="12786" width="18.453125" style="56" customWidth="1"/>
    <col min="12787" max="12787" width="16" style="56" bestFit="1" customWidth="1"/>
    <col min="12788" max="13035" width="8.81640625" style="56"/>
    <col min="13036" max="13036" width="7.81640625" style="56" customWidth="1"/>
    <col min="13037" max="13037" width="65.54296875" style="56" customWidth="1"/>
    <col min="13038" max="13039" width="7.54296875" style="56" bestFit="1" customWidth="1"/>
    <col min="13040" max="13040" width="15.453125" style="56" bestFit="1" customWidth="1"/>
    <col min="13041" max="13041" width="16.54296875" style="56" customWidth="1"/>
    <col min="13042" max="13042" width="18.453125" style="56" customWidth="1"/>
    <col min="13043" max="13043" width="16" style="56" bestFit="1" customWidth="1"/>
    <col min="13044" max="13291" width="8.81640625" style="56"/>
    <col min="13292" max="13292" width="7.81640625" style="56" customWidth="1"/>
    <col min="13293" max="13293" width="65.54296875" style="56" customWidth="1"/>
    <col min="13294" max="13295" width="7.54296875" style="56" bestFit="1" customWidth="1"/>
    <col min="13296" max="13296" width="15.453125" style="56" bestFit="1" customWidth="1"/>
    <col min="13297" max="13297" width="16.54296875" style="56" customWidth="1"/>
    <col min="13298" max="13298" width="18.453125" style="56" customWidth="1"/>
    <col min="13299" max="13299" width="16" style="56" bestFit="1" customWidth="1"/>
    <col min="13300" max="13547" width="8.81640625" style="56"/>
    <col min="13548" max="13548" width="7.81640625" style="56" customWidth="1"/>
    <col min="13549" max="13549" width="65.54296875" style="56" customWidth="1"/>
    <col min="13550" max="13551" width="7.54296875" style="56" bestFit="1" customWidth="1"/>
    <col min="13552" max="13552" width="15.453125" style="56" bestFit="1" customWidth="1"/>
    <col min="13553" max="13553" width="16.54296875" style="56" customWidth="1"/>
    <col min="13554" max="13554" width="18.453125" style="56" customWidth="1"/>
    <col min="13555" max="13555" width="16" style="56" bestFit="1" customWidth="1"/>
    <col min="13556" max="13803" width="8.81640625" style="56"/>
    <col min="13804" max="13804" width="7.81640625" style="56" customWidth="1"/>
    <col min="13805" max="13805" width="65.54296875" style="56" customWidth="1"/>
    <col min="13806" max="13807" width="7.54296875" style="56" bestFit="1" customWidth="1"/>
    <col min="13808" max="13808" width="15.453125" style="56" bestFit="1" customWidth="1"/>
    <col min="13809" max="13809" width="16.54296875" style="56" customWidth="1"/>
    <col min="13810" max="13810" width="18.453125" style="56" customWidth="1"/>
    <col min="13811" max="13811" width="16" style="56" bestFit="1" customWidth="1"/>
    <col min="13812" max="14059" width="8.81640625" style="56"/>
    <col min="14060" max="14060" width="7.81640625" style="56" customWidth="1"/>
    <col min="14061" max="14061" width="65.54296875" style="56" customWidth="1"/>
    <col min="14062" max="14063" width="7.54296875" style="56" bestFit="1" customWidth="1"/>
    <col min="14064" max="14064" width="15.453125" style="56" bestFit="1" customWidth="1"/>
    <col min="14065" max="14065" width="16.54296875" style="56" customWidth="1"/>
    <col min="14066" max="14066" width="18.453125" style="56" customWidth="1"/>
    <col min="14067" max="14067" width="16" style="56" bestFit="1" customWidth="1"/>
    <col min="14068" max="14315" width="8.81640625" style="56"/>
    <col min="14316" max="14316" width="7.81640625" style="56" customWidth="1"/>
    <col min="14317" max="14317" width="65.54296875" style="56" customWidth="1"/>
    <col min="14318" max="14319" width="7.54296875" style="56" bestFit="1" customWidth="1"/>
    <col min="14320" max="14320" width="15.453125" style="56" bestFit="1" customWidth="1"/>
    <col min="14321" max="14321" width="16.54296875" style="56" customWidth="1"/>
    <col min="14322" max="14322" width="18.453125" style="56" customWidth="1"/>
    <col min="14323" max="14323" width="16" style="56" bestFit="1" customWidth="1"/>
    <col min="14324" max="14571" width="8.81640625" style="56"/>
    <col min="14572" max="14572" width="7.81640625" style="56" customWidth="1"/>
    <col min="14573" max="14573" width="65.54296875" style="56" customWidth="1"/>
    <col min="14574" max="14575" width="7.54296875" style="56" bestFit="1" customWidth="1"/>
    <col min="14576" max="14576" width="15.453125" style="56" bestFit="1" customWidth="1"/>
    <col min="14577" max="14577" width="16.54296875" style="56" customWidth="1"/>
    <col min="14578" max="14578" width="18.453125" style="56" customWidth="1"/>
    <col min="14579" max="14579" width="16" style="56" bestFit="1" customWidth="1"/>
    <col min="14580" max="14827" width="8.81640625" style="56"/>
    <col min="14828" max="14828" width="7.81640625" style="56" customWidth="1"/>
    <col min="14829" max="14829" width="65.54296875" style="56" customWidth="1"/>
    <col min="14830" max="14831" width="7.54296875" style="56" bestFit="1" customWidth="1"/>
    <col min="14832" max="14832" width="15.453125" style="56" bestFit="1" customWidth="1"/>
    <col min="14833" max="14833" width="16.54296875" style="56" customWidth="1"/>
    <col min="14834" max="14834" width="18.453125" style="56" customWidth="1"/>
    <col min="14835" max="14835" width="16" style="56" bestFit="1" customWidth="1"/>
    <col min="14836" max="15083" width="8.81640625" style="56"/>
    <col min="15084" max="15084" width="7.81640625" style="56" customWidth="1"/>
    <col min="15085" max="15085" width="65.54296875" style="56" customWidth="1"/>
    <col min="15086" max="15087" width="7.54296875" style="56" bestFit="1" customWidth="1"/>
    <col min="15088" max="15088" width="15.453125" style="56" bestFit="1" customWidth="1"/>
    <col min="15089" max="15089" width="16.54296875" style="56" customWidth="1"/>
    <col min="15090" max="15090" width="18.453125" style="56" customWidth="1"/>
    <col min="15091" max="15091" width="16" style="56" bestFit="1" customWidth="1"/>
    <col min="15092" max="15339" width="8.81640625" style="56"/>
    <col min="15340" max="15340" width="7.81640625" style="56" customWidth="1"/>
    <col min="15341" max="15341" width="65.54296875" style="56" customWidth="1"/>
    <col min="15342" max="15343" width="7.54296875" style="56" bestFit="1" customWidth="1"/>
    <col min="15344" max="15344" width="15.453125" style="56" bestFit="1" customWidth="1"/>
    <col min="15345" max="15345" width="16.54296875" style="56" customWidth="1"/>
    <col min="15346" max="15346" width="18.453125" style="56" customWidth="1"/>
    <col min="15347" max="15347" width="16" style="56" bestFit="1" customWidth="1"/>
    <col min="15348" max="15595" width="8.81640625" style="56"/>
    <col min="15596" max="15596" width="7.81640625" style="56" customWidth="1"/>
    <col min="15597" max="15597" width="65.54296875" style="56" customWidth="1"/>
    <col min="15598" max="15599" width="7.54296875" style="56" bestFit="1" customWidth="1"/>
    <col min="15600" max="15600" width="15.453125" style="56" bestFit="1" customWidth="1"/>
    <col min="15601" max="15601" width="16.54296875" style="56" customWidth="1"/>
    <col min="15602" max="15602" width="18.453125" style="56" customWidth="1"/>
    <col min="15603" max="15603" width="16" style="56" bestFit="1" customWidth="1"/>
    <col min="15604" max="15851" width="8.81640625" style="56"/>
    <col min="15852" max="15852" width="7.81640625" style="56" customWidth="1"/>
    <col min="15853" max="15853" width="65.54296875" style="56" customWidth="1"/>
    <col min="15854" max="15855" width="7.54296875" style="56" bestFit="1" customWidth="1"/>
    <col min="15856" max="15856" width="15.453125" style="56" bestFit="1" customWidth="1"/>
    <col min="15857" max="15857" width="16.54296875" style="56" customWidth="1"/>
    <col min="15858" max="15858" width="18.453125" style="56" customWidth="1"/>
    <col min="15859" max="15859" width="16" style="56" bestFit="1" customWidth="1"/>
    <col min="15860" max="16107" width="8.81640625" style="56"/>
    <col min="16108" max="16108" width="7.81640625" style="56" customWidth="1"/>
    <col min="16109" max="16109" width="65.54296875" style="56" customWidth="1"/>
    <col min="16110" max="16111" width="7.54296875" style="56" bestFit="1" customWidth="1"/>
    <col min="16112" max="16112" width="15.453125" style="56" bestFit="1" customWidth="1"/>
    <col min="16113" max="16113" width="16.54296875" style="56" customWidth="1"/>
    <col min="16114" max="16114" width="18.453125" style="56" customWidth="1"/>
    <col min="16115" max="16115" width="16" style="56" bestFit="1" customWidth="1"/>
    <col min="16116" max="16384" width="8.81640625" style="56"/>
  </cols>
  <sheetData>
    <row r="1" spans="1:18" s="356" customFormat="1" ht="18" customHeight="1" x14ac:dyDescent="0.3">
      <c r="A1" s="766" t="s">
        <v>654</v>
      </c>
      <c r="B1" s="767"/>
      <c r="C1" s="767"/>
      <c r="D1" s="767"/>
      <c r="E1" s="767"/>
      <c r="F1" s="767"/>
      <c r="G1" s="767"/>
      <c r="H1" s="767"/>
      <c r="I1" s="767"/>
      <c r="J1" s="767"/>
      <c r="K1" s="767"/>
      <c r="L1" s="767"/>
      <c r="M1" s="767"/>
      <c r="N1" s="767"/>
      <c r="O1" s="767"/>
      <c r="P1" s="767"/>
      <c r="Q1" s="767"/>
      <c r="R1" s="767"/>
    </row>
    <row r="2" spans="1:18" s="356" customFormat="1" ht="18" customHeight="1" x14ac:dyDescent="0.3">
      <c r="A2" s="766" t="s">
        <v>663</v>
      </c>
      <c r="B2" s="767"/>
      <c r="C2" s="767"/>
      <c r="D2" s="767"/>
      <c r="E2" s="767"/>
      <c r="F2" s="767"/>
      <c r="G2" s="767"/>
      <c r="H2" s="767"/>
      <c r="I2" s="767"/>
      <c r="J2" s="767"/>
      <c r="K2" s="767"/>
      <c r="L2" s="767"/>
      <c r="M2" s="767"/>
      <c r="N2" s="767"/>
      <c r="O2" s="767"/>
      <c r="P2" s="767"/>
      <c r="Q2" s="767"/>
      <c r="R2" s="767"/>
    </row>
    <row r="3" spans="1:18" s="356" customFormat="1" ht="18" customHeight="1" x14ac:dyDescent="0.3">
      <c r="A3" s="766" t="s">
        <v>653</v>
      </c>
      <c r="B3" s="767"/>
      <c r="C3" s="767"/>
      <c r="D3" s="767"/>
      <c r="E3" s="767"/>
      <c r="F3" s="767"/>
      <c r="G3" s="767"/>
      <c r="H3" s="767"/>
      <c r="I3" s="767"/>
      <c r="J3" s="767"/>
      <c r="K3" s="767"/>
      <c r="L3" s="767"/>
      <c r="M3" s="767"/>
      <c r="N3" s="767"/>
      <c r="O3" s="767"/>
      <c r="P3" s="767"/>
      <c r="Q3" s="767"/>
      <c r="R3" s="767"/>
    </row>
    <row r="4" spans="1:18" s="356" customFormat="1" ht="18" customHeight="1" x14ac:dyDescent="0.3">
      <c r="A4" s="766" t="s">
        <v>657</v>
      </c>
      <c r="B4" s="767"/>
      <c r="C4" s="767"/>
      <c r="D4" s="767"/>
      <c r="E4" s="767"/>
      <c r="F4" s="767"/>
      <c r="G4" s="767"/>
      <c r="H4" s="767"/>
      <c r="I4" s="767"/>
      <c r="J4" s="767"/>
      <c r="K4" s="767"/>
      <c r="L4" s="767"/>
      <c r="M4" s="767"/>
      <c r="N4" s="767"/>
      <c r="O4" s="767"/>
      <c r="P4" s="767"/>
      <c r="Q4" s="767"/>
      <c r="R4" s="767"/>
    </row>
    <row r="5" spans="1:18" s="356" customFormat="1" ht="18" customHeight="1" x14ac:dyDescent="0.3">
      <c r="A5" s="764" t="s">
        <v>746</v>
      </c>
      <c r="B5" s="765"/>
      <c r="C5" s="765"/>
      <c r="D5" s="765"/>
      <c r="E5" s="765"/>
      <c r="F5" s="765"/>
      <c r="G5" s="765"/>
      <c r="H5" s="765"/>
      <c r="I5" s="765"/>
      <c r="J5" s="765"/>
      <c r="K5" s="765"/>
      <c r="L5" s="765"/>
      <c r="M5" s="765"/>
      <c r="N5" s="765"/>
      <c r="O5" s="765"/>
      <c r="P5" s="765"/>
      <c r="Q5" s="765"/>
      <c r="R5" s="765"/>
    </row>
    <row r="6" spans="1:18" x14ac:dyDescent="0.3">
      <c r="A6" s="771" t="s">
        <v>8</v>
      </c>
      <c r="B6" s="771" t="s">
        <v>19</v>
      </c>
      <c r="C6" s="771" t="s">
        <v>9</v>
      </c>
      <c r="D6" s="771" t="s">
        <v>39</v>
      </c>
      <c r="E6" s="771" t="s">
        <v>17</v>
      </c>
      <c r="F6" s="775" t="s">
        <v>10</v>
      </c>
      <c r="G6" s="768" t="s">
        <v>650</v>
      </c>
      <c r="H6" s="769"/>
      <c r="I6" s="770"/>
      <c r="J6" s="768" t="s">
        <v>651</v>
      </c>
      <c r="K6" s="769"/>
      <c r="L6" s="769"/>
      <c r="M6" s="769"/>
      <c r="N6" s="770"/>
      <c r="O6" s="768" t="s">
        <v>652</v>
      </c>
      <c r="P6" s="769"/>
      <c r="Q6" s="770"/>
      <c r="R6" s="775" t="s">
        <v>661</v>
      </c>
    </row>
    <row r="7" spans="1:18" x14ac:dyDescent="0.3">
      <c r="A7" s="772"/>
      <c r="B7" s="772"/>
      <c r="C7" s="772"/>
      <c r="D7" s="772"/>
      <c r="E7" s="772"/>
      <c r="F7" s="776"/>
      <c r="G7" s="225" t="s">
        <v>16</v>
      </c>
      <c r="H7" s="225" t="s">
        <v>15</v>
      </c>
      <c r="I7" s="225" t="s">
        <v>11</v>
      </c>
      <c r="J7" s="225" t="s">
        <v>645</v>
      </c>
      <c r="K7" s="348" t="s">
        <v>648</v>
      </c>
      <c r="L7" s="225" t="s">
        <v>646</v>
      </c>
      <c r="M7" s="225" t="s">
        <v>647</v>
      </c>
      <c r="N7" s="348" t="s">
        <v>649</v>
      </c>
      <c r="O7" s="225" t="s">
        <v>645</v>
      </c>
      <c r="P7" s="225" t="s">
        <v>646</v>
      </c>
      <c r="Q7" s="225" t="s">
        <v>647</v>
      </c>
      <c r="R7" s="776"/>
    </row>
    <row r="8" spans="1:18" x14ac:dyDescent="0.3">
      <c r="A8" s="103" t="s">
        <v>153</v>
      </c>
      <c r="B8" s="103"/>
      <c r="C8" s="103" t="s">
        <v>93</v>
      </c>
      <c r="D8" s="103"/>
      <c r="E8" s="103"/>
      <c r="F8" s="103"/>
      <c r="G8" s="226"/>
      <c r="H8" s="226"/>
      <c r="I8" s="226"/>
      <c r="J8" s="103"/>
      <c r="K8" s="226"/>
      <c r="L8" s="103"/>
      <c r="M8" s="226"/>
      <c r="N8" s="165"/>
      <c r="O8" s="234"/>
      <c r="P8" s="234"/>
      <c r="Q8" s="234"/>
      <c r="R8" s="234"/>
    </row>
    <row r="9" spans="1:18" s="59" customFormat="1" x14ac:dyDescent="0.3">
      <c r="A9" s="134"/>
      <c r="B9" s="148"/>
      <c r="C9" s="126"/>
      <c r="D9" s="126"/>
      <c r="E9" s="143"/>
      <c r="F9" s="159"/>
      <c r="G9" s="140"/>
      <c r="H9" s="140"/>
      <c r="I9" s="228"/>
      <c r="J9" s="109"/>
      <c r="K9" s="228"/>
      <c r="L9" s="109"/>
      <c r="M9" s="228"/>
      <c r="N9" s="166"/>
      <c r="O9" s="234"/>
      <c r="P9" s="234"/>
      <c r="Q9" s="234"/>
      <c r="R9" s="234"/>
    </row>
    <row r="10" spans="1:18" s="67" customFormat="1" ht="72" x14ac:dyDescent="0.3">
      <c r="A10" s="134">
        <v>1</v>
      </c>
      <c r="B10" s="127" t="s">
        <v>203</v>
      </c>
      <c r="C10" s="126" t="s">
        <v>225</v>
      </c>
      <c r="D10" s="126"/>
      <c r="E10" s="143" t="s">
        <v>40</v>
      </c>
      <c r="F10" s="140" t="s">
        <v>55</v>
      </c>
      <c r="G10" s="670">
        <v>140</v>
      </c>
      <c r="H10" s="670">
        <v>890</v>
      </c>
      <c r="I10" s="228">
        <f t="shared" ref="I10:I11" si="0">$G10*H10</f>
        <v>124600</v>
      </c>
      <c r="J10" s="140"/>
      <c r="K10" s="166">
        <v>0</v>
      </c>
      <c r="L10" s="371">
        <f>M10-J10</f>
        <v>64.74492115650898</v>
      </c>
      <c r="M10" s="140">
        <f>facademb!M8</f>
        <v>64.74492115650898</v>
      </c>
      <c r="N10" s="166">
        <v>1</v>
      </c>
      <c r="O10" s="234">
        <f>H10*J10*K10</f>
        <v>0</v>
      </c>
      <c r="P10" s="234">
        <f>Q10-O10</f>
        <v>57622.979829292992</v>
      </c>
      <c r="Q10" s="234">
        <f>H10*M10*N10</f>
        <v>57622.979829292992</v>
      </c>
      <c r="R10" s="234"/>
    </row>
    <row r="11" spans="1:18" s="67" customFormat="1" ht="84" x14ac:dyDescent="0.3">
      <c r="A11" s="134">
        <v>2</v>
      </c>
      <c r="B11" s="127" t="s">
        <v>285</v>
      </c>
      <c r="C11" s="155" t="s">
        <v>217</v>
      </c>
      <c r="D11" s="126"/>
      <c r="E11" s="132" t="s">
        <v>251</v>
      </c>
      <c r="F11" s="132" t="s">
        <v>55</v>
      </c>
      <c r="G11" s="243">
        <v>55</v>
      </c>
      <c r="H11" s="140">
        <v>723</v>
      </c>
      <c r="I11" s="228">
        <f t="shared" si="0"/>
        <v>39765</v>
      </c>
      <c r="J11" s="243"/>
      <c r="K11" s="166">
        <v>0</v>
      </c>
      <c r="L11" s="371">
        <f t="shared" ref="L11:L17" si="1">M11-J11</f>
        <v>48.599055531444392</v>
      </c>
      <c r="M11" s="243">
        <f>facademb!M15</f>
        <v>48.599055531444392</v>
      </c>
      <c r="N11" s="166">
        <v>1</v>
      </c>
      <c r="O11" s="234">
        <f t="shared" ref="O11:O17" si="2">H11*J11*K11</f>
        <v>0</v>
      </c>
      <c r="P11" s="234">
        <f t="shared" ref="P11:P17" si="3">Q11-O11</f>
        <v>35137.117149234298</v>
      </c>
      <c r="Q11" s="234">
        <f t="shared" ref="Q11:Q17" si="4">H11*M11*N11</f>
        <v>35137.117149234298</v>
      </c>
      <c r="R11" s="234"/>
    </row>
    <row r="12" spans="1:18" s="59" customFormat="1" x14ac:dyDescent="0.3">
      <c r="A12" s="134"/>
      <c r="B12" s="148"/>
      <c r="C12" s="156"/>
      <c r="D12" s="156"/>
      <c r="E12" s="132"/>
      <c r="F12" s="132"/>
      <c r="G12" s="243"/>
      <c r="H12" s="140"/>
      <c r="I12" s="228"/>
      <c r="J12" s="243"/>
      <c r="K12" s="166"/>
      <c r="L12" s="371">
        <f t="shared" si="1"/>
        <v>0</v>
      </c>
      <c r="M12" s="243"/>
      <c r="N12" s="166"/>
      <c r="O12" s="234">
        <f t="shared" si="2"/>
        <v>0</v>
      </c>
      <c r="P12" s="234">
        <f t="shared" si="3"/>
        <v>0</v>
      </c>
      <c r="Q12" s="234">
        <f t="shared" si="4"/>
        <v>0</v>
      </c>
      <c r="R12" s="234"/>
    </row>
    <row r="13" spans="1:18" s="59" customFormat="1" ht="48" x14ac:dyDescent="0.3">
      <c r="A13" s="135">
        <v>3</v>
      </c>
      <c r="B13" s="126" t="s">
        <v>208</v>
      </c>
      <c r="C13" s="119" t="s">
        <v>176</v>
      </c>
      <c r="D13" s="156"/>
      <c r="E13" s="143" t="s">
        <v>40</v>
      </c>
      <c r="F13" s="140" t="s">
        <v>55</v>
      </c>
      <c r="G13" s="140">
        <v>100</v>
      </c>
      <c r="H13" s="140">
        <v>392</v>
      </c>
      <c r="I13" s="228">
        <f>$G13*H13</f>
        <v>39200</v>
      </c>
      <c r="J13" s="140"/>
      <c r="K13" s="166">
        <v>0</v>
      </c>
      <c r="L13" s="371">
        <f t="shared" si="1"/>
        <v>0</v>
      </c>
      <c r="M13" s="140"/>
      <c r="N13" s="166">
        <v>0</v>
      </c>
      <c r="O13" s="234">
        <f t="shared" si="2"/>
        <v>0</v>
      </c>
      <c r="P13" s="234">
        <f t="shared" si="3"/>
        <v>0</v>
      </c>
      <c r="Q13" s="234">
        <f t="shared" si="4"/>
        <v>0</v>
      </c>
      <c r="R13" s="234"/>
    </row>
    <row r="14" spans="1:18" s="59" customFormat="1" x14ac:dyDescent="0.3">
      <c r="A14" s="135"/>
      <c r="B14" s="126" t="s">
        <v>289</v>
      </c>
      <c r="C14" s="119"/>
      <c r="D14" s="156"/>
      <c r="E14" s="143"/>
      <c r="F14" s="143"/>
      <c r="G14" s="140"/>
      <c r="H14" s="140"/>
      <c r="I14" s="228"/>
      <c r="J14" s="140"/>
      <c r="K14" s="166">
        <v>0</v>
      </c>
      <c r="L14" s="371">
        <f t="shared" si="1"/>
        <v>0</v>
      </c>
      <c r="M14" s="140"/>
      <c r="N14" s="166">
        <v>0</v>
      </c>
      <c r="O14" s="234">
        <f t="shared" si="2"/>
        <v>0</v>
      </c>
      <c r="P14" s="234">
        <f t="shared" si="3"/>
        <v>0</v>
      </c>
      <c r="Q14" s="234">
        <f t="shared" si="4"/>
        <v>0</v>
      </c>
      <c r="R14" s="234"/>
    </row>
    <row r="15" spans="1:18" s="59" customFormat="1" ht="96" x14ac:dyDescent="0.3">
      <c r="A15" s="135"/>
      <c r="B15" s="127" t="s">
        <v>287</v>
      </c>
      <c r="C15" s="119" t="s">
        <v>633</v>
      </c>
      <c r="D15" s="156"/>
      <c r="E15" s="143"/>
      <c r="F15" s="140" t="s">
        <v>55</v>
      </c>
      <c r="G15" s="140">
        <v>100</v>
      </c>
      <c r="H15" s="140">
        <v>413</v>
      </c>
      <c r="I15" s="228">
        <f t="shared" ref="I15:I17" si="5">$G15*H15</f>
        <v>41300</v>
      </c>
      <c r="J15" s="140"/>
      <c r="K15" s="166">
        <v>0</v>
      </c>
      <c r="L15" s="371">
        <f t="shared" si="1"/>
        <v>41.979250625167921</v>
      </c>
      <c r="M15" s="140">
        <f>facademb!M23</f>
        <v>41.979250625167921</v>
      </c>
      <c r="N15" s="166">
        <v>1</v>
      </c>
      <c r="O15" s="234">
        <f t="shared" si="2"/>
        <v>0</v>
      </c>
      <c r="P15" s="234">
        <f t="shared" si="3"/>
        <v>17337.430508194353</v>
      </c>
      <c r="Q15" s="234">
        <f t="shared" si="4"/>
        <v>17337.430508194353</v>
      </c>
      <c r="R15" s="234"/>
    </row>
    <row r="16" spans="1:18" s="67" customFormat="1" ht="72" x14ac:dyDescent="0.3">
      <c r="A16" s="134">
        <v>4</v>
      </c>
      <c r="B16" s="127" t="s">
        <v>204</v>
      </c>
      <c r="C16" s="126" t="s">
        <v>154</v>
      </c>
      <c r="D16" s="126"/>
      <c r="E16" s="143" t="s">
        <v>288</v>
      </c>
      <c r="F16" s="140" t="s">
        <v>111</v>
      </c>
      <c r="G16" s="140">
        <f>facademb!M25</f>
        <v>1</v>
      </c>
      <c r="H16" s="140">
        <v>56345</v>
      </c>
      <c r="I16" s="228">
        <f t="shared" si="5"/>
        <v>56345</v>
      </c>
      <c r="J16" s="140"/>
      <c r="K16" s="166">
        <v>0</v>
      </c>
      <c r="L16" s="371">
        <f t="shared" si="1"/>
        <v>1</v>
      </c>
      <c r="M16" s="140">
        <f>facademb!M25</f>
        <v>1</v>
      </c>
      <c r="N16" s="166">
        <v>1</v>
      </c>
      <c r="O16" s="234">
        <f t="shared" si="2"/>
        <v>0</v>
      </c>
      <c r="P16" s="234">
        <f t="shared" si="3"/>
        <v>56345</v>
      </c>
      <c r="Q16" s="234">
        <f t="shared" si="4"/>
        <v>56345</v>
      </c>
      <c r="R16" s="234"/>
    </row>
    <row r="17" spans="1:18" s="67" customFormat="1" ht="24" x14ac:dyDescent="0.3">
      <c r="A17" s="134">
        <v>5</v>
      </c>
      <c r="B17" s="127" t="s">
        <v>296</v>
      </c>
      <c r="C17" s="106" t="s">
        <v>297</v>
      </c>
      <c r="D17" s="126"/>
      <c r="E17" s="143"/>
      <c r="F17" s="140" t="s">
        <v>111</v>
      </c>
      <c r="G17" s="140">
        <v>1</v>
      </c>
      <c r="H17" s="140">
        <v>5532</v>
      </c>
      <c r="I17" s="228">
        <f t="shared" si="5"/>
        <v>5532</v>
      </c>
      <c r="J17" s="140"/>
      <c r="K17" s="166">
        <v>0</v>
      </c>
      <c r="L17" s="371">
        <f t="shared" si="1"/>
        <v>1</v>
      </c>
      <c r="M17" s="140">
        <f>facademb!M26</f>
        <v>1</v>
      </c>
      <c r="N17" s="166">
        <v>1</v>
      </c>
      <c r="O17" s="234">
        <f t="shared" si="2"/>
        <v>0</v>
      </c>
      <c r="P17" s="234">
        <f t="shared" si="3"/>
        <v>5532</v>
      </c>
      <c r="Q17" s="234">
        <f t="shared" si="4"/>
        <v>5532</v>
      </c>
      <c r="R17" s="234"/>
    </row>
    <row r="18" spans="1:18" s="59" customFormat="1" x14ac:dyDescent="0.3">
      <c r="A18" s="130"/>
      <c r="B18" s="126"/>
      <c r="C18" s="126"/>
      <c r="D18" s="156"/>
      <c r="E18" s="134"/>
      <c r="F18" s="143"/>
      <c r="G18" s="140"/>
      <c r="H18" s="140"/>
      <c r="I18" s="228"/>
      <c r="J18" s="109"/>
      <c r="K18" s="228"/>
      <c r="L18" s="109"/>
      <c r="M18" s="228"/>
      <c r="N18" s="166"/>
      <c r="O18" s="234"/>
      <c r="P18" s="234"/>
      <c r="Q18" s="234"/>
      <c r="R18" s="234"/>
    </row>
    <row r="19" spans="1:18" x14ac:dyDescent="0.3">
      <c r="A19" s="338"/>
      <c r="B19" s="339"/>
      <c r="C19" s="338" t="s">
        <v>641</v>
      </c>
      <c r="D19" s="323"/>
      <c r="E19" s="323"/>
      <c r="F19" s="323"/>
      <c r="G19" s="321"/>
      <c r="H19" s="340"/>
      <c r="I19" s="341">
        <f>SUM(I10:I17)</f>
        <v>306742</v>
      </c>
      <c r="J19" s="342"/>
      <c r="K19" s="341"/>
      <c r="L19" s="342"/>
      <c r="M19" s="341"/>
      <c r="N19" s="343"/>
      <c r="O19" s="341">
        <f>SUM(O10:O17)</f>
        <v>0</v>
      </c>
      <c r="P19" s="341">
        <f t="shared" ref="P19" si="6">SUM(P10:P17)</f>
        <v>171974.52748672164</v>
      </c>
      <c r="Q19" s="341">
        <f>SUM(Q10:Q17)</f>
        <v>171974.52748672164</v>
      </c>
      <c r="R19" s="341"/>
    </row>
    <row r="20" spans="1:18" x14ac:dyDescent="0.3">
      <c r="A20" s="160"/>
      <c r="B20" s="161"/>
      <c r="C20" s="160"/>
      <c r="D20" s="160"/>
      <c r="E20" s="160"/>
      <c r="F20" s="160"/>
      <c r="G20" s="225"/>
      <c r="H20" s="233"/>
      <c r="I20" s="233"/>
      <c r="J20" s="138"/>
      <c r="K20" s="233"/>
      <c r="L20" s="138"/>
      <c r="M20" s="233"/>
      <c r="N20" s="165"/>
      <c r="O20" s="234"/>
      <c r="P20" s="234"/>
      <c r="Q20" s="234"/>
      <c r="R20" s="234"/>
    </row>
  </sheetData>
  <protectedRanges>
    <protectedRange sqref="I18:M18 F20:F65297 I8:M9 I20:M65297 I12:I15" name="Range1"/>
    <protectedRange sqref="F8:F9 F14 F18 H8:M9 H12:I15 H18:M18" name="Range1_1"/>
    <protectedRange sqref="I16:I17 I10:I11" name="Range1_6"/>
    <protectedRange sqref="F10 F15:F17 F13 H16:I17 H11:I11 I10" name="Range1_1_2"/>
    <protectedRange sqref="F19 I19:M19 O19:R19" name="Range1_3"/>
    <protectedRange sqref="F11:F12" name="Range1_1_1"/>
    <protectedRange sqref="F1:F5" name="Range1_8_1"/>
    <protectedRange sqref="I1:R5" name="Range1_6_3_1"/>
    <protectedRange sqref="I6:Q6" name="Range1_9_1"/>
    <protectedRange sqref="H10" name="Range1_1_2_1"/>
  </protectedRanges>
  <mergeCells count="15">
    <mergeCell ref="F6:F7"/>
    <mergeCell ref="G6:I6"/>
    <mergeCell ref="J6:N6"/>
    <mergeCell ref="O6:Q6"/>
    <mergeCell ref="R6:R7"/>
    <mergeCell ref="A6:A7"/>
    <mergeCell ref="B6:B7"/>
    <mergeCell ref="C6:C7"/>
    <mergeCell ref="D6:D7"/>
    <mergeCell ref="E6:E7"/>
    <mergeCell ref="A1:R1"/>
    <mergeCell ref="A2:R2"/>
    <mergeCell ref="A3:R3"/>
    <mergeCell ref="A4:R4"/>
    <mergeCell ref="A5:R5"/>
  </mergeCells>
  <pageMargins left="0.7" right="0.7" top="0.75" bottom="0.75" header="0.3" footer="0.3"/>
  <pageSetup orientation="portrait" horizontalDpi="0"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
  <sheetViews>
    <sheetView topLeftCell="A5" workbookViewId="0">
      <selection activeCell="M23" sqref="M23"/>
    </sheetView>
  </sheetViews>
  <sheetFormatPr defaultColWidth="8.81640625" defaultRowHeight="12.5" x14ac:dyDescent="0.25"/>
  <cols>
    <col min="1" max="1" width="8.81640625" style="459"/>
    <col min="2" max="2" width="16" style="459" customWidth="1"/>
    <col min="3" max="3" width="64.453125" style="459" customWidth="1"/>
    <col min="4" max="4" width="8.81640625" style="492"/>
    <col min="5" max="7" width="9.453125" style="493" bestFit="1" customWidth="1"/>
    <col min="8" max="13" width="8.81640625" style="493"/>
    <col min="14" max="16384" width="8.81640625" style="459"/>
  </cols>
  <sheetData>
    <row r="1" spans="1:13" ht="16" thickBot="1" x14ac:dyDescent="0.3">
      <c r="A1" s="784" t="s">
        <v>759</v>
      </c>
      <c r="B1" s="784"/>
      <c r="C1" s="784"/>
      <c r="D1" s="784"/>
      <c r="E1" s="784"/>
      <c r="F1" s="784"/>
      <c r="G1" s="784"/>
      <c r="H1" s="784"/>
      <c r="I1" s="784"/>
      <c r="J1" s="784"/>
      <c r="K1" s="784"/>
      <c r="L1" s="784"/>
      <c r="M1" s="784"/>
    </row>
    <row r="2" spans="1:13" ht="16" thickBot="1" x14ac:dyDescent="0.3">
      <c r="A2" s="822" t="s">
        <v>669</v>
      </c>
      <c r="B2" s="786" t="s">
        <v>670</v>
      </c>
      <c r="C2" s="786" t="s">
        <v>671</v>
      </c>
      <c r="D2" s="787" t="s">
        <v>672</v>
      </c>
      <c r="E2" s="785" t="s">
        <v>673</v>
      </c>
      <c r="F2" s="785"/>
      <c r="G2" s="785"/>
      <c r="H2" s="785"/>
      <c r="I2" s="785" t="s">
        <v>674</v>
      </c>
      <c r="J2" s="785"/>
      <c r="K2" s="785"/>
      <c r="L2" s="785"/>
      <c r="M2" s="785"/>
    </row>
    <row r="3" spans="1:13" ht="16" thickBot="1" x14ac:dyDescent="0.3">
      <c r="A3" s="823"/>
      <c r="B3" s="824"/>
      <c r="C3" s="824"/>
      <c r="D3" s="825"/>
      <c r="E3" s="460" t="s">
        <v>675</v>
      </c>
      <c r="F3" s="460" t="s">
        <v>162</v>
      </c>
      <c r="G3" s="460" t="s">
        <v>676</v>
      </c>
      <c r="H3" s="461"/>
      <c r="I3" s="460" t="s">
        <v>675</v>
      </c>
      <c r="J3" s="460" t="s">
        <v>162</v>
      </c>
      <c r="K3" s="460" t="s">
        <v>676</v>
      </c>
      <c r="L3" s="460" t="s">
        <v>677</v>
      </c>
      <c r="M3" s="460" t="s">
        <v>678</v>
      </c>
    </row>
    <row r="4" spans="1:13" ht="60" x14ac:dyDescent="0.25">
      <c r="A4" s="462">
        <v>1</v>
      </c>
      <c r="B4" s="463" t="s">
        <v>203</v>
      </c>
      <c r="C4" s="464" t="s">
        <v>225</v>
      </c>
      <c r="D4" s="465"/>
      <c r="E4" s="466"/>
      <c r="F4" s="466"/>
      <c r="G4" s="466"/>
      <c r="H4" s="466"/>
      <c r="I4" s="466"/>
      <c r="J4" s="466"/>
      <c r="K4" s="466"/>
      <c r="L4" s="466"/>
      <c r="M4" s="467"/>
    </row>
    <row r="5" spans="1:13" x14ac:dyDescent="0.25">
      <c r="A5" s="386"/>
      <c r="B5" s="127"/>
      <c r="C5" s="126"/>
      <c r="D5" s="468" t="s">
        <v>679</v>
      </c>
      <c r="E5" s="469">
        <v>2550</v>
      </c>
      <c r="F5" s="469"/>
      <c r="G5" s="469">
        <f>2400-900</f>
        <v>1500</v>
      </c>
      <c r="H5" s="469"/>
      <c r="I5" s="469">
        <f>E5/304.8</f>
        <v>8.3661417322834648</v>
      </c>
      <c r="J5" s="469"/>
      <c r="K5" s="469">
        <f>G5/304.8</f>
        <v>4.9212598425196852</v>
      </c>
      <c r="L5" s="469">
        <v>1</v>
      </c>
      <c r="M5" s="470">
        <f>L5*K5*I5</f>
        <v>41.171957343914691</v>
      </c>
    </row>
    <row r="6" spans="1:13" x14ac:dyDescent="0.25">
      <c r="A6" s="386"/>
      <c r="B6" s="127"/>
      <c r="C6" s="126"/>
      <c r="D6" s="468" t="s">
        <v>679</v>
      </c>
      <c r="E6" s="469">
        <v>1460</v>
      </c>
      <c r="F6" s="469"/>
      <c r="G6" s="469">
        <f>2400-900</f>
        <v>1500</v>
      </c>
      <c r="H6" s="469"/>
      <c r="I6" s="469">
        <f>E6/304.8</f>
        <v>4.7900262467191599</v>
      </c>
      <c r="J6" s="469"/>
      <c r="K6" s="469">
        <f>G6/304.8</f>
        <v>4.9212598425196852</v>
      </c>
      <c r="L6" s="469">
        <v>1</v>
      </c>
      <c r="M6" s="470">
        <f>L6*K6*I6</f>
        <v>23.572963812594292</v>
      </c>
    </row>
    <row r="7" spans="1:13" x14ac:dyDescent="0.25">
      <c r="A7" s="386"/>
      <c r="B7" s="127"/>
      <c r="C7" s="126"/>
      <c r="D7" s="471"/>
      <c r="E7" s="472"/>
      <c r="F7" s="472"/>
      <c r="G7" s="472"/>
      <c r="H7" s="472"/>
      <c r="I7" s="472"/>
      <c r="J7" s="472"/>
      <c r="K7" s="472"/>
      <c r="L7" s="472"/>
      <c r="M7" s="473"/>
    </row>
    <row r="8" spans="1:13" ht="13" x14ac:dyDescent="0.3">
      <c r="A8" s="474"/>
      <c r="B8" s="475"/>
      <c r="C8" s="476" t="s">
        <v>684</v>
      </c>
      <c r="D8" s="468" t="s">
        <v>679</v>
      </c>
      <c r="E8" s="477"/>
      <c r="F8" s="477"/>
      <c r="G8" s="477"/>
      <c r="H8" s="477"/>
      <c r="I8" s="477"/>
      <c r="J8" s="477"/>
      <c r="K8" s="477"/>
      <c r="L8" s="477"/>
      <c r="M8" s="494">
        <f>SUM(M5:M6)</f>
        <v>64.74492115650898</v>
      </c>
    </row>
    <row r="9" spans="1:13" x14ac:dyDescent="0.25">
      <c r="A9" s="386"/>
      <c r="B9" s="127"/>
      <c r="C9" s="126"/>
      <c r="D9" s="471"/>
      <c r="E9" s="472"/>
      <c r="F9" s="472"/>
      <c r="G9" s="472"/>
      <c r="H9" s="472"/>
      <c r="I9" s="472"/>
      <c r="J9" s="472"/>
      <c r="K9" s="472"/>
      <c r="L9" s="472"/>
      <c r="M9" s="473"/>
    </row>
    <row r="10" spans="1:13" s="481" customFormat="1" ht="60" x14ac:dyDescent="0.3">
      <c r="A10" s="386">
        <v>2</v>
      </c>
      <c r="B10" s="127" t="s">
        <v>285</v>
      </c>
      <c r="C10" s="155" t="s">
        <v>217</v>
      </c>
      <c r="D10" s="478" t="s">
        <v>111</v>
      </c>
      <c r="E10" s="472"/>
      <c r="F10" s="472"/>
      <c r="G10" s="472"/>
      <c r="H10" s="472"/>
      <c r="I10" s="472"/>
      <c r="J10" s="472"/>
      <c r="K10" s="472"/>
      <c r="L10" s="479"/>
      <c r="M10" s="480"/>
    </row>
    <row r="11" spans="1:13" x14ac:dyDescent="0.25">
      <c r="A11" s="482"/>
      <c r="B11" s="483"/>
      <c r="C11" s="483" t="s">
        <v>174</v>
      </c>
      <c r="D11" s="484" t="s">
        <v>679</v>
      </c>
      <c r="E11" s="469">
        <v>1150</v>
      </c>
      <c r="F11" s="469">
        <v>900</v>
      </c>
      <c r="G11" s="469"/>
      <c r="H11" s="469"/>
      <c r="I11" s="469">
        <f t="shared" ref="I11:J13" si="0">E11/304.8</f>
        <v>3.7729658792650915</v>
      </c>
      <c r="J11" s="469">
        <f t="shared" si="0"/>
        <v>2.9527559055118111</v>
      </c>
      <c r="K11" s="469"/>
      <c r="L11" s="469">
        <v>1</v>
      </c>
      <c r="M11" s="470">
        <f>L11*J11*I11</f>
        <v>11.140647281294562</v>
      </c>
    </row>
    <row r="12" spans="1:13" x14ac:dyDescent="0.25">
      <c r="A12" s="482"/>
      <c r="B12" s="483"/>
      <c r="C12" s="483" t="s">
        <v>174</v>
      </c>
      <c r="D12" s="484" t="s">
        <v>679</v>
      </c>
      <c r="E12" s="469">
        <v>2500</v>
      </c>
      <c r="F12" s="469">
        <v>900</v>
      </c>
      <c r="G12" s="469"/>
      <c r="H12" s="469"/>
      <c r="I12" s="469">
        <f t="shared" si="0"/>
        <v>8.2020997375328086</v>
      </c>
      <c r="J12" s="469">
        <f t="shared" si="0"/>
        <v>2.9527559055118111</v>
      </c>
      <c r="K12" s="469"/>
      <c r="L12" s="469">
        <v>1</v>
      </c>
      <c r="M12" s="470">
        <f>L12*J12*I12</f>
        <v>24.218798437596877</v>
      </c>
    </row>
    <row r="13" spans="1:13" x14ac:dyDescent="0.25">
      <c r="A13" s="482"/>
      <c r="B13" s="483"/>
      <c r="C13" s="483" t="s">
        <v>760</v>
      </c>
      <c r="D13" s="484" t="s">
        <v>679</v>
      </c>
      <c r="E13" s="469">
        <v>820</v>
      </c>
      <c r="F13" s="469">
        <v>1500</v>
      </c>
      <c r="G13" s="469"/>
      <c r="H13" s="469"/>
      <c r="I13" s="469">
        <f t="shared" si="0"/>
        <v>2.690288713910761</v>
      </c>
      <c r="J13" s="469">
        <f t="shared" si="0"/>
        <v>4.9212598425196852</v>
      </c>
      <c r="K13" s="469"/>
      <c r="L13" s="469">
        <v>1</v>
      </c>
      <c r="M13" s="470">
        <f>L13*J13*I13</f>
        <v>13.239609812552958</v>
      </c>
    </row>
    <row r="14" spans="1:13" x14ac:dyDescent="0.25">
      <c r="A14" s="482"/>
      <c r="B14" s="483"/>
      <c r="C14" s="483"/>
      <c r="D14" s="483"/>
      <c r="E14" s="472"/>
      <c r="F14" s="472"/>
      <c r="G14" s="472"/>
      <c r="H14" s="472"/>
      <c r="I14" s="472"/>
      <c r="J14" s="472"/>
      <c r="K14" s="472"/>
      <c r="L14" s="472"/>
      <c r="M14" s="473"/>
    </row>
    <row r="15" spans="1:13" ht="13" x14ac:dyDescent="0.3">
      <c r="A15" s="482"/>
      <c r="B15" s="483"/>
      <c r="C15" s="476" t="s">
        <v>684</v>
      </c>
      <c r="D15" s="468" t="s">
        <v>679</v>
      </c>
      <c r="E15" s="477"/>
      <c r="F15" s="477"/>
      <c r="G15" s="477"/>
      <c r="H15" s="477"/>
      <c r="I15" s="477"/>
      <c r="J15" s="477"/>
      <c r="K15" s="477"/>
      <c r="L15" s="477"/>
      <c r="M15" s="494">
        <f>SUM(M11:M13)</f>
        <v>48.599055531444392</v>
      </c>
    </row>
    <row r="16" spans="1:13" s="481" customFormat="1" x14ac:dyDescent="0.25">
      <c r="A16" s="386"/>
      <c r="B16" s="148"/>
      <c r="C16" s="156"/>
      <c r="D16" s="478"/>
      <c r="E16" s="472"/>
      <c r="F16" s="472"/>
      <c r="G16" s="472"/>
      <c r="H16" s="472"/>
      <c r="I16" s="472"/>
      <c r="J16" s="472"/>
      <c r="K16" s="472"/>
      <c r="L16" s="479"/>
      <c r="M16" s="480"/>
    </row>
    <row r="17" spans="1:13" s="481" customFormat="1" x14ac:dyDescent="0.25">
      <c r="A17" s="386"/>
      <c r="B17" s="148"/>
      <c r="C17" s="156"/>
      <c r="D17" s="478"/>
      <c r="E17" s="472"/>
      <c r="F17" s="472"/>
      <c r="G17" s="472"/>
      <c r="H17" s="472"/>
      <c r="I17" s="472"/>
      <c r="J17" s="472"/>
      <c r="K17" s="472"/>
      <c r="L17" s="479"/>
      <c r="M17" s="480"/>
    </row>
    <row r="18" spans="1:13" s="481" customFormat="1" ht="36" x14ac:dyDescent="0.25">
      <c r="A18" s="485">
        <v>3</v>
      </c>
      <c r="B18" s="126" t="s">
        <v>208</v>
      </c>
      <c r="C18" s="151" t="s">
        <v>176</v>
      </c>
      <c r="D18" s="478" t="s">
        <v>111</v>
      </c>
      <c r="E18" s="472"/>
      <c r="F18" s="472"/>
      <c r="G18" s="472"/>
      <c r="H18" s="472"/>
      <c r="I18" s="472"/>
      <c r="J18" s="472"/>
      <c r="K18" s="472"/>
      <c r="L18" s="479"/>
      <c r="M18" s="480"/>
    </row>
    <row r="19" spans="1:13" s="481" customFormat="1" x14ac:dyDescent="0.25">
      <c r="A19" s="485"/>
      <c r="B19" s="126" t="s">
        <v>289</v>
      </c>
      <c r="C19" s="151"/>
      <c r="D19" s="478" t="s">
        <v>111</v>
      </c>
      <c r="E19" s="472"/>
      <c r="F19" s="472"/>
      <c r="G19" s="472"/>
      <c r="H19" s="472"/>
      <c r="I19" s="472"/>
      <c r="J19" s="472"/>
      <c r="K19" s="472"/>
      <c r="L19" s="479"/>
      <c r="M19" s="480"/>
    </row>
    <row r="20" spans="1:13" ht="84" x14ac:dyDescent="0.25">
      <c r="A20" s="485"/>
      <c r="B20" s="127" t="s">
        <v>287</v>
      </c>
      <c r="C20" s="151" t="s">
        <v>633</v>
      </c>
      <c r="D20" s="471"/>
      <c r="E20" s="472"/>
      <c r="F20" s="472"/>
      <c r="G20" s="472"/>
      <c r="H20" s="472"/>
      <c r="I20" s="472"/>
      <c r="J20" s="472"/>
      <c r="K20" s="472"/>
      <c r="L20" s="472"/>
      <c r="M20" s="473"/>
    </row>
    <row r="21" spans="1:13" x14ac:dyDescent="0.25">
      <c r="A21" s="482"/>
      <c r="B21" s="483"/>
      <c r="C21" s="483"/>
      <c r="D21" s="484" t="s">
        <v>679</v>
      </c>
      <c r="E21" s="469">
        <v>6000</v>
      </c>
      <c r="F21" s="469">
        <v>650</v>
      </c>
      <c r="G21" s="469"/>
      <c r="H21" s="469"/>
      <c r="I21" s="469">
        <f t="shared" ref="I21:J21" si="1">E21/304.8</f>
        <v>19.685039370078741</v>
      </c>
      <c r="J21" s="469">
        <f t="shared" si="1"/>
        <v>2.1325459317585302</v>
      </c>
      <c r="K21" s="469"/>
      <c r="L21" s="469">
        <v>1</v>
      </c>
      <c r="M21" s="470">
        <f>L21*J21*I21</f>
        <v>41.979250625167921</v>
      </c>
    </row>
    <row r="22" spans="1:13" x14ac:dyDescent="0.25">
      <c r="A22" s="482"/>
      <c r="B22" s="483"/>
      <c r="C22" s="483"/>
      <c r="D22" s="483"/>
      <c r="E22" s="472"/>
      <c r="F22" s="472"/>
      <c r="G22" s="472"/>
      <c r="H22" s="472"/>
      <c r="I22" s="472"/>
      <c r="J22" s="472"/>
      <c r="K22" s="472"/>
      <c r="L22" s="472"/>
      <c r="M22" s="472"/>
    </row>
    <row r="23" spans="1:13" ht="13" x14ac:dyDescent="0.3">
      <c r="A23" s="482"/>
      <c r="B23" s="483"/>
      <c r="C23" s="476" t="s">
        <v>684</v>
      </c>
      <c r="D23" s="468" t="s">
        <v>679</v>
      </c>
      <c r="E23" s="477"/>
      <c r="F23" s="477"/>
      <c r="G23" s="477"/>
      <c r="H23" s="477"/>
      <c r="I23" s="477"/>
      <c r="J23" s="477"/>
      <c r="K23" s="477"/>
      <c r="L23" s="477"/>
      <c r="M23" s="494">
        <f>SUM(M21:M22)</f>
        <v>41.979250625167921</v>
      </c>
    </row>
    <row r="24" spans="1:13" s="481" customFormat="1" x14ac:dyDescent="0.25">
      <c r="A24" s="386"/>
      <c r="B24" s="148"/>
      <c r="C24" s="156"/>
      <c r="D24" s="478"/>
      <c r="E24" s="472"/>
      <c r="F24" s="472"/>
      <c r="G24" s="472"/>
      <c r="H24" s="472"/>
      <c r="I24" s="472"/>
      <c r="J24" s="472"/>
      <c r="K24" s="472"/>
      <c r="L24" s="479"/>
      <c r="M24" s="480"/>
    </row>
    <row r="25" spans="1:13" ht="60" x14ac:dyDescent="0.25">
      <c r="A25" s="386">
        <v>4</v>
      </c>
      <c r="B25" s="127" t="s">
        <v>204</v>
      </c>
      <c r="C25" s="126" t="s">
        <v>154</v>
      </c>
      <c r="D25" s="471"/>
      <c r="E25" s="472"/>
      <c r="F25" s="472"/>
      <c r="G25" s="472"/>
      <c r="H25" s="472"/>
      <c r="I25" s="472"/>
      <c r="J25" s="472"/>
      <c r="K25" s="472"/>
      <c r="L25" s="469">
        <v>1</v>
      </c>
      <c r="M25" s="486">
        <f t="shared" ref="M25:M26" si="2">PRODUCT(I25:L25)</f>
        <v>1</v>
      </c>
    </row>
    <row r="26" spans="1:13" x14ac:dyDescent="0.25">
      <c r="A26" s="386">
        <v>5</v>
      </c>
      <c r="B26" s="127" t="s">
        <v>296</v>
      </c>
      <c r="C26" s="388" t="s">
        <v>297</v>
      </c>
      <c r="D26" s="471"/>
      <c r="E26" s="472"/>
      <c r="F26" s="472"/>
      <c r="G26" s="472"/>
      <c r="H26" s="472"/>
      <c r="I26" s="472"/>
      <c r="J26" s="472"/>
      <c r="K26" s="472"/>
      <c r="L26" s="469">
        <v>1</v>
      </c>
      <c r="M26" s="486">
        <f t="shared" si="2"/>
        <v>1</v>
      </c>
    </row>
    <row r="27" spans="1:13" x14ac:dyDescent="0.25">
      <c r="A27" s="482"/>
      <c r="B27" s="483"/>
      <c r="C27" s="483"/>
      <c r="D27" s="471"/>
      <c r="E27" s="472"/>
      <c r="F27" s="472"/>
      <c r="G27" s="472"/>
      <c r="H27" s="472"/>
      <c r="I27" s="472"/>
      <c r="J27" s="472"/>
      <c r="K27" s="472"/>
      <c r="L27" s="472"/>
      <c r="M27" s="473"/>
    </row>
    <row r="28" spans="1:13" ht="13" thickBot="1" x14ac:dyDescent="0.3">
      <c r="A28" s="487"/>
      <c r="B28" s="488"/>
      <c r="C28" s="488"/>
      <c r="D28" s="489"/>
      <c r="E28" s="490"/>
      <c r="F28" s="490"/>
      <c r="G28" s="490"/>
      <c r="H28" s="490"/>
      <c r="I28" s="490"/>
      <c r="J28" s="490"/>
      <c r="K28" s="490"/>
      <c r="L28" s="490"/>
      <c r="M28" s="491"/>
    </row>
  </sheetData>
  <protectedRanges>
    <protectedRange sqref="G1" name="Range1"/>
    <protectedRange sqref="J1" name="Range1_6"/>
  </protectedRanges>
  <mergeCells count="7">
    <mergeCell ref="A1:M1"/>
    <mergeCell ref="A2:A3"/>
    <mergeCell ref="B2:B3"/>
    <mergeCell ref="C2:C3"/>
    <mergeCell ref="D2:D3"/>
    <mergeCell ref="E2:H2"/>
    <mergeCell ref="I2:M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26"/>
  <sheetViews>
    <sheetView zoomScale="70" zoomScaleNormal="70" workbookViewId="0">
      <selection activeCell="L14" sqref="L14"/>
    </sheetView>
  </sheetViews>
  <sheetFormatPr defaultColWidth="8.81640625" defaultRowHeight="12" x14ac:dyDescent="0.3"/>
  <cols>
    <col min="1" max="1" width="7.81640625" style="55" customWidth="1"/>
    <col min="2" max="2" width="18.81640625" style="55" bestFit="1" customWidth="1"/>
    <col min="3" max="3" width="53.453125" style="63" customWidth="1"/>
    <col min="4" max="4" width="28.453125" style="63" customWidth="1"/>
    <col min="5" max="5" width="13.453125" style="63" customWidth="1"/>
    <col min="6" max="6" width="8.1796875" style="64" bestFit="1" customWidth="1"/>
    <col min="7" max="7" width="8.453125" style="65" bestFit="1" customWidth="1"/>
    <col min="8" max="8" width="10.453125" style="65" bestFit="1" customWidth="1"/>
    <col min="9" max="9" width="13.54296875" style="66" bestFit="1" customWidth="1"/>
    <col min="10" max="10" width="13.54296875" style="64" customWidth="1"/>
    <col min="11" max="11" width="13.54296875" style="355" customWidth="1"/>
    <col min="12" max="12" width="13.54296875" style="66" customWidth="1"/>
    <col min="13" max="13" width="13.54296875" style="64" customWidth="1"/>
    <col min="14" max="14" width="13.54296875" style="355" customWidth="1"/>
    <col min="15" max="17" width="13.54296875" style="66" customWidth="1"/>
    <col min="18" max="18" width="11.1796875" style="66" customWidth="1"/>
    <col min="19" max="230" width="8.81640625" style="56"/>
    <col min="231" max="231" width="7.81640625" style="56" customWidth="1"/>
    <col min="232" max="232" width="65.54296875" style="56" customWidth="1"/>
    <col min="233" max="234" width="7.54296875" style="56" bestFit="1" customWidth="1"/>
    <col min="235" max="235" width="15.453125" style="56" bestFit="1" customWidth="1"/>
    <col min="236" max="236" width="16.54296875" style="56" customWidth="1"/>
    <col min="237" max="237" width="18.453125" style="56" customWidth="1"/>
    <col min="238" max="238" width="16" style="56" bestFit="1" customWidth="1"/>
    <col min="239" max="486" width="8.81640625" style="56"/>
    <col min="487" max="487" width="7.81640625" style="56" customWidth="1"/>
    <col min="488" max="488" width="65.54296875" style="56" customWidth="1"/>
    <col min="489" max="490" width="7.54296875" style="56" bestFit="1" customWidth="1"/>
    <col min="491" max="491" width="15.453125" style="56" bestFit="1" customWidth="1"/>
    <col min="492" max="492" width="16.54296875" style="56" customWidth="1"/>
    <col min="493" max="493" width="18.453125" style="56" customWidth="1"/>
    <col min="494" max="494" width="16" style="56" bestFit="1" customWidth="1"/>
    <col min="495" max="742" width="8.81640625" style="56"/>
    <col min="743" max="743" width="7.81640625" style="56" customWidth="1"/>
    <col min="744" max="744" width="65.54296875" style="56" customWidth="1"/>
    <col min="745" max="746" width="7.54296875" style="56" bestFit="1" customWidth="1"/>
    <col min="747" max="747" width="15.453125" style="56" bestFit="1" customWidth="1"/>
    <col min="748" max="748" width="16.54296875" style="56" customWidth="1"/>
    <col min="749" max="749" width="18.453125" style="56" customWidth="1"/>
    <col min="750" max="750" width="16" style="56" bestFit="1" customWidth="1"/>
    <col min="751" max="998" width="8.81640625" style="56"/>
    <col min="999" max="999" width="7.81640625" style="56" customWidth="1"/>
    <col min="1000" max="1000" width="65.54296875" style="56" customWidth="1"/>
    <col min="1001" max="1002" width="7.54296875" style="56" bestFit="1" customWidth="1"/>
    <col min="1003" max="1003" width="15.453125" style="56" bestFit="1" customWidth="1"/>
    <col min="1004" max="1004" width="16.54296875" style="56" customWidth="1"/>
    <col min="1005" max="1005" width="18.453125" style="56" customWidth="1"/>
    <col min="1006" max="1006" width="16" style="56" bestFit="1" customWidth="1"/>
    <col min="1007" max="1254" width="8.81640625" style="56"/>
    <col min="1255" max="1255" width="7.81640625" style="56" customWidth="1"/>
    <col min="1256" max="1256" width="65.54296875" style="56" customWidth="1"/>
    <col min="1257" max="1258" width="7.54296875" style="56" bestFit="1" customWidth="1"/>
    <col min="1259" max="1259" width="15.453125" style="56" bestFit="1" customWidth="1"/>
    <col min="1260" max="1260" width="16.54296875" style="56" customWidth="1"/>
    <col min="1261" max="1261" width="18.453125" style="56" customWidth="1"/>
    <col min="1262" max="1262" width="16" style="56" bestFit="1" customWidth="1"/>
    <col min="1263" max="1510" width="8.81640625" style="56"/>
    <col min="1511" max="1511" width="7.81640625" style="56" customWidth="1"/>
    <col min="1512" max="1512" width="65.54296875" style="56" customWidth="1"/>
    <col min="1513" max="1514" width="7.54296875" style="56" bestFit="1" customWidth="1"/>
    <col min="1515" max="1515" width="15.453125" style="56" bestFit="1" customWidth="1"/>
    <col min="1516" max="1516" width="16.54296875" style="56" customWidth="1"/>
    <col min="1517" max="1517" width="18.453125" style="56" customWidth="1"/>
    <col min="1518" max="1518" width="16" style="56" bestFit="1" customWidth="1"/>
    <col min="1519" max="1766" width="8.81640625" style="56"/>
    <col min="1767" max="1767" width="7.81640625" style="56" customWidth="1"/>
    <col min="1768" max="1768" width="65.54296875" style="56" customWidth="1"/>
    <col min="1769" max="1770" width="7.54296875" style="56" bestFit="1" customWidth="1"/>
    <col min="1771" max="1771" width="15.453125" style="56" bestFit="1" customWidth="1"/>
    <col min="1772" max="1772" width="16.54296875" style="56" customWidth="1"/>
    <col min="1773" max="1773" width="18.453125" style="56" customWidth="1"/>
    <col min="1774" max="1774" width="16" style="56" bestFit="1" customWidth="1"/>
    <col min="1775" max="2022" width="8.81640625" style="56"/>
    <col min="2023" max="2023" width="7.81640625" style="56" customWidth="1"/>
    <col min="2024" max="2024" width="65.54296875" style="56" customWidth="1"/>
    <col min="2025" max="2026" width="7.54296875" style="56" bestFit="1" customWidth="1"/>
    <col min="2027" max="2027" width="15.453125" style="56" bestFit="1" customWidth="1"/>
    <col min="2028" max="2028" width="16.54296875" style="56" customWidth="1"/>
    <col min="2029" max="2029" width="18.453125" style="56" customWidth="1"/>
    <col min="2030" max="2030" width="16" style="56" bestFit="1" customWidth="1"/>
    <col min="2031" max="2278" width="8.81640625" style="56"/>
    <col min="2279" max="2279" width="7.81640625" style="56" customWidth="1"/>
    <col min="2280" max="2280" width="65.54296875" style="56" customWidth="1"/>
    <col min="2281" max="2282" width="7.54296875" style="56" bestFit="1" customWidth="1"/>
    <col min="2283" max="2283" width="15.453125" style="56" bestFit="1" customWidth="1"/>
    <col min="2284" max="2284" width="16.54296875" style="56" customWidth="1"/>
    <col min="2285" max="2285" width="18.453125" style="56" customWidth="1"/>
    <col min="2286" max="2286" width="16" style="56" bestFit="1" customWidth="1"/>
    <col min="2287" max="2534" width="8.81640625" style="56"/>
    <col min="2535" max="2535" width="7.81640625" style="56" customWidth="1"/>
    <col min="2536" max="2536" width="65.54296875" style="56" customWidth="1"/>
    <col min="2537" max="2538" width="7.54296875" style="56" bestFit="1" customWidth="1"/>
    <col min="2539" max="2539" width="15.453125" style="56" bestFit="1" customWidth="1"/>
    <col min="2540" max="2540" width="16.54296875" style="56" customWidth="1"/>
    <col min="2541" max="2541" width="18.453125" style="56" customWidth="1"/>
    <col min="2542" max="2542" width="16" style="56" bestFit="1" customWidth="1"/>
    <col min="2543" max="2790" width="8.81640625" style="56"/>
    <col min="2791" max="2791" width="7.81640625" style="56" customWidth="1"/>
    <col min="2792" max="2792" width="65.54296875" style="56" customWidth="1"/>
    <col min="2793" max="2794" width="7.54296875" style="56" bestFit="1" customWidth="1"/>
    <col min="2795" max="2795" width="15.453125" style="56" bestFit="1" customWidth="1"/>
    <col min="2796" max="2796" width="16.54296875" style="56" customWidth="1"/>
    <col min="2797" max="2797" width="18.453125" style="56" customWidth="1"/>
    <col min="2798" max="2798" width="16" style="56" bestFit="1" customWidth="1"/>
    <col min="2799" max="3046" width="8.81640625" style="56"/>
    <col min="3047" max="3047" width="7.81640625" style="56" customWidth="1"/>
    <col min="3048" max="3048" width="65.54296875" style="56" customWidth="1"/>
    <col min="3049" max="3050" width="7.54296875" style="56" bestFit="1" customWidth="1"/>
    <col min="3051" max="3051" width="15.453125" style="56" bestFit="1" customWidth="1"/>
    <col min="3052" max="3052" width="16.54296875" style="56" customWidth="1"/>
    <col min="3053" max="3053" width="18.453125" style="56" customWidth="1"/>
    <col min="3054" max="3054" width="16" style="56" bestFit="1" customWidth="1"/>
    <col min="3055" max="3302" width="8.81640625" style="56"/>
    <col min="3303" max="3303" width="7.81640625" style="56" customWidth="1"/>
    <col min="3304" max="3304" width="65.54296875" style="56" customWidth="1"/>
    <col min="3305" max="3306" width="7.54296875" style="56" bestFit="1" customWidth="1"/>
    <col min="3307" max="3307" width="15.453125" style="56" bestFit="1" customWidth="1"/>
    <col min="3308" max="3308" width="16.54296875" style="56" customWidth="1"/>
    <col min="3309" max="3309" width="18.453125" style="56" customWidth="1"/>
    <col min="3310" max="3310" width="16" style="56" bestFit="1" customWidth="1"/>
    <col min="3311" max="3558" width="8.81640625" style="56"/>
    <col min="3559" max="3559" width="7.81640625" style="56" customWidth="1"/>
    <col min="3560" max="3560" width="65.54296875" style="56" customWidth="1"/>
    <col min="3561" max="3562" width="7.54296875" style="56" bestFit="1" customWidth="1"/>
    <col min="3563" max="3563" width="15.453125" style="56" bestFit="1" customWidth="1"/>
    <col min="3564" max="3564" width="16.54296875" style="56" customWidth="1"/>
    <col min="3565" max="3565" width="18.453125" style="56" customWidth="1"/>
    <col min="3566" max="3566" width="16" style="56" bestFit="1" customWidth="1"/>
    <col min="3567" max="3814" width="8.81640625" style="56"/>
    <col min="3815" max="3815" width="7.81640625" style="56" customWidth="1"/>
    <col min="3816" max="3816" width="65.54296875" style="56" customWidth="1"/>
    <col min="3817" max="3818" width="7.54296875" style="56" bestFit="1" customWidth="1"/>
    <col min="3819" max="3819" width="15.453125" style="56" bestFit="1" customWidth="1"/>
    <col min="3820" max="3820" width="16.54296875" style="56" customWidth="1"/>
    <col min="3821" max="3821" width="18.453125" style="56" customWidth="1"/>
    <col min="3822" max="3822" width="16" style="56" bestFit="1" customWidth="1"/>
    <col min="3823" max="4070" width="8.81640625" style="56"/>
    <col min="4071" max="4071" width="7.81640625" style="56" customWidth="1"/>
    <col min="4072" max="4072" width="65.54296875" style="56" customWidth="1"/>
    <col min="4073" max="4074" width="7.54296875" style="56" bestFit="1" customWidth="1"/>
    <col min="4075" max="4075" width="15.453125" style="56" bestFit="1" customWidth="1"/>
    <col min="4076" max="4076" width="16.54296875" style="56" customWidth="1"/>
    <col min="4077" max="4077" width="18.453125" style="56" customWidth="1"/>
    <col min="4078" max="4078" width="16" style="56" bestFit="1" customWidth="1"/>
    <col min="4079" max="4326" width="8.81640625" style="56"/>
    <col min="4327" max="4327" width="7.81640625" style="56" customWidth="1"/>
    <col min="4328" max="4328" width="65.54296875" style="56" customWidth="1"/>
    <col min="4329" max="4330" width="7.54296875" style="56" bestFit="1" customWidth="1"/>
    <col min="4331" max="4331" width="15.453125" style="56" bestFit="1" customWidth="1"/>
    <col min="4332" max="4332" width="16.54296875" style="56" customWidth="1"/>
    <col min="4333" max="4333" width="18.453125" style="56" customWidth="1"/>
    <col min="4334" max="4334" width="16" style="56" bestFit="1" customWidth="1"/>
    <col min="4335" max="4582" width="8.81640625" style="56"/>
    <col min="4583" max="4583" width="7.81640625" style="56" customWidth="1"/>
    <col min="4584" max="4584" width="65.54296875" style="56" customWidth="1"/>
    <col min="4585" max="4586" width="7.54296875" style="56" bestFit="1" customWidth="1"/>
    <col min="4587" max="4587" width="15.453125" style="56" bestFit="1" customWidth="1"/>
    <col min="4588" max="4588" width="16.54296875" style="56" customWidth="1"/>
    <col min="4589" max="4589" width="18.453125" style="56" customWidth="1"/>
    <col min="4590" max="4590" width="16" style="56" bestFit="1" customWidth="1"/>
    <col min="4591" max="4838" width="8.81640625" style="56"/>
    <col min="4839" max="4839" width="7.81640625" style="56" customWidth="1"/>
    <col min="4840" max="4840" width="65.54296875" style="56" customWidth="1"/>
    <col min="4841" max="4842" width="7.54296875" style="56" bestFit="1" customWidth="1"/>
    <col min="4843" max="4843" width="15.453125" style="56" bestFit="1" customWidth="1"/>
    <col min="4844" max="4844" width="16.54296875" style="56" customWidth="1"/>
    <col min="4845" max="4845" width="18.453125" style="56" customWidth="1"/>
    <col min="4846" max="4846" width="16" style="56" bestFit="1" customWidth="1"/>
    <col min="4847" max="5094" width="8.81640625" style="56"/>
    <col min="5095" max="5095" width="7.81640625" style="56" customWidth="1"/>
    <col min="5096" max="5096" width="65.54296875" style="56" customWidth="1"/>
    <col min="5097" max="5098" width="7.54296875" style="56" bestFit="1" customWidth="1"/>
    <col min="5099" max="5099" width="15.453125" style="56" bestFit="1" customWidth="1"/>
    <col min="5100" max="5100" width="16.54296875" style="56" customWidth="1"/>
    <col min="5101" max="5101" width="18.453125" style="56" customWidth="1"/>
    <col min="5102" max="5102" width="16" style="56" bestFit="1" customWidth="1"/>
    <col min="5103" max="5350" width="8.81640625" style="56"/>
    <col min="5351" max="5351" width="7.81640625" style="56" customWidth="1"/>
    <col min="5352" max="5352" width="65.54296875" style="56" customWidth="1"/>
    <col min="5353" max="5354" width="7.54296875" style="56" bestFit="1" customWidth="1"/>
    <col min="5355" max="5355" width="15.453125" style="56" bestFit="1" customWidth="1"/>
    <col min="5356" max="5356" width="16.54296875" style="56" customWidth="1"/>
    <col min="5357" max="5357" width="18.453125" style="56" customWidth="1"/>
    <col min="5358" max="5358" width="16" style="56" bestFit="1" customWidth="1"/>
    <col min="5359" max="5606" width="8.81640625" style="56"/>
    <col min="5607" max="5607" width="7.81640625" style="56" customWidth="1"/>
    <col min="5608" max="5608" width="65.54296875" style="56" customWidth="1"/>
    <col min="5609" max="5610" width="7.54296875" style="56" bestFit="1" customWidth="1"/>
    <col min="5611" max="5611" width="15.453125" style="56" bestFit="1" customWidth="1"/>
    <col min="5612" max="5612" width="16.54296875" style="56" customWidth="1"/>
    <col min="5613" max="5613" width="18.453125" style="56" customWidth="1"/>
    <col min="5614" max="5614" width="16" style="56" bestFit="1" customWidth="1"/>
    <col min="5615" max="5862" width="8.81640625" style="56"/>
    <col min="5863" max="5863" width="7.81640625" style="56" customWidth="1"/>
    <col min="5864" max="5864" width="65.54296875" style="56" customWidth="1"/>
    <col min="5865" max="5866" width="7.54296875" style="56" bestFit="1" customWidth="1"/>
    <col min="5867" max="5867" width="15.453125" style="56" bestFit="1" customWidth="1"/>
    <col min="5868" max="5868" width="16.54296875" style="56" customWidth="1"/>
    <col min="5869" max="5869" width="18.453125" style="56" customWidth="1"/>
    <col min="5870" max="5870" width="16" style="56" bestFit="1" customWidth="1"/>
    <col min="5871" max="6118" width="8.81640625" style="56"/>
    <col min="6119" max="6119" width="7.81640625" style="56" customWidth="1"/>
    <col min="6120" max="6120" width="65.54296875" style="56" customWidth="1"/>
    <col min="6121" max="6122" width="7.54296875" style="56" bestFit="1" customWidth="1"/>
    <col min="6123" max="6123" width="15.453125" style="56" bestFit="1" customWidth="1"/>
    <col min="6124" max="6124" width="16.54296875" style="56" customWidth="1"/>
    <col min="6125" max="6125" width="18.453125" style="56" customWidth="1"/>
    <col min="6126" max="6126" width="16" style="56" bestFit="1" customWidth="1"/>
    <col min="6127" max="6374" width="8.81640625" style="56"/>
    <col min="6375" max="6375" width="7.81640625" style="56" customWidth="1"/>
    <col min="6376" max="6376" width="65.54296875" style="56" customWidth="1"/>
    <col min="6377" max="6378" width="7.54296875" style="56" bestFit="1" customWidth="1"/>
    <col min="6379" max="6379" width="15.453125" style="56" bestFit="1" customWidth="1"/>
    <col min="6380" max="6380" width="16.54296875" style="56" customWidth="1"/>
    <col min="6381" max="6381" width="18.453125" style="56" customWidth="1"/>
    <col min="6382" max="6382" width="16" style="56" bestFit="1" customWidth="1"/>
    <col min="6383" max="6630" width="8.81640625" style="56"/>
    <col min="6631" max="6631" width="7.81640625" style="56" customWidth="1"/>
    <col min="6632" max="6632" width="65.54296875" style="56" customWidth="1"/>
    <col min="6633" max="6634" width="7.54296875" style="56" bestFit="1" customWidth="1"/>
    <col min="6635" max="6635" width="15.453125" style="56" bestFit="1" customWidth="1"/>
    <col min="6636" max="6636" width="16.54296875" style="56" customWidth="1"/>
    <col min="6637" max="6637" width="18.453125" style="56" customWidth="1"/>
    <col min="6638" max="6638" width="16" style="56" bestFit="1" customWidth="1"/>
    <col min="6639" max="6886" width="8.81640625" style="56"/>
    <col min="6887" max="6887" width="7.81640625" style="56" customWidth="1"/>
    <col min="6888" max="6888" width="65.54296875" style="56" customWidth="1"/>
    <col min="6889" max="6890" width="7.54296875" style="56" bestFit="1" customWidth="1"/>
    <col min="6891" max="6891" width="15.453125" style="56" bestFit="1" customWidth="1"/>
    <col min="6892" max="6892" width="16.54296875" style="56" customWidth="1"/>
    <col min="6893" max="6893" width="18.453125" style="56" customWidth="1"/>
    <col min="6894" max="6894" width="16" style="56" bestFit="1" customWidth="1"/>
    <col min="6895" max="7142" width="8.81640625" style="56"/>
    <col min="7143" max="7143" width="7.81640625" style="56" customWidth="1"/>
    <col min="7144" max="7144" width="65.54296875" style="56" customWidth="1"/>
    <col min="7145" max="7146" width="7.54296875" style="56" bestFit="1" customWidth="1"/>
    <col min="7147" max="7147" width="15.453125" style="56" bestFit="1" customWidth="1"/>
    <col min="7148" max="7148" width="16.54296875" style="56" customWidth="1"/>
    <col min="7149" max="7149" width="18.453125" style="56" customWidth="1"/>
    <col min="7150" max="7150" width="16" style="56" bestFit="1" customWidth="1"/>
    <col min="7151" max="7398" width="8.81640625" style="56"/>
    <col min="7399" max="7399" width="7.81640625" style="56" customWidth="1"/>
    <col min="7400" max="7400" width="65.54296875" style="56" customWidth="1"/>
    <col min="7401" max="7402" width="7.54296875" style="56" bestFit="1" customWidth="1"/>
    <col min="7403" max="7403" width="15.453125" style="56" bestFit="1" customWidth="1"/>
    <col min="7404" max="7404" width="16.54296875" style="56" customWidth="1"/>
    <col min="7405" max="7405" width="18.453125" style="56" customWidth="1"/>
    <col min="7406" max="7406" width="16" style="56" bestFit="1" customWidth="1"/>
    <col min="7407" max="7654" width="8.81640625" style="56"/>
    <col min="7655" max="7655" width="7.81640625" style="56" customWidth="1"/>
    <col min="7656" max="7656" width="65.54296875" style="56" customWidth="1"/>
    <col min="7657" max="7658" width="7.54296875" style="56" bestFit="1" customWidth="1"/>
    <col min="7659" max="7659" width="15.453125" style="56" bestFit="1" customWidth="1"/>
    <col min="7660" max="7660" width="16.54296875" style="56" customWidth="1"/>
    <col min="7661" max="7661" width="18.453125" style="56" customWidth="1"/>
    <col min="7662" max="7662" width="16" style="56" bestFit="1" customWidth="1"/>
    <col min="7663" max="7910" width="8.81640625" style="56"/>
    <col min="7911" max="7911" width="7.81640625" style="56" customWidth="1"/>
    <col min="7912" max="7912" width="65.54296875" style="56" customWidth="1"/>
    <col min="7913" max="7914" width="7.54296875" style="56" bestFit="1" customWidth="1"/>
    <col min="7915" max="7915" width="15.453125" style="56" bestFit="1" customWidth="1"/>
    <col min="7916" max="7916" width="16.54296875" style="56" customWidth="1"/>
    <col min="7917" max="7917" width="18.453125" style="56" customWidth="1"/>
    <col min="7918" max="7918" width="16" style="56" bestFit="1" customWidth="1"/>
    <col min="7919" max="8166" width="8.81640625" style="56"/>
    <col min="8167" max="8167" width="7.81640625" style="56" customWidth="1"/>
    <col min="8168" max="8168" width="65.54296875" style="56" customWidth="1"/>
    <col min="8169" max="8170" width="7.54296875" style="56" bestFit="1" customWidth="1"/>
    <col min="8171" max="8171" width="15.453125" style="56" bestFit="1" customWidth="1"/>
    <col min="8172" max="8172" width="16.54296875" style="56" customWidth="1"/>
    <col min="8173" max="8173" width="18.453125" style="56" customWidth="1"/>
    <col min="8174" max="8174" width="16" style="56" bestFit="1" customWidth="1"/>
    <col min="8175" max="8422" width="8.81640625" style="56"/>
    <col min="8423" max="8423" width="7.81640625" style="56" customWidth="1"/>
    <col min="8424" max="8424" width="65.54296875" style="56" customWidth="1"/>
    <col min="8425" max="8426" width="7.54296875" style="56" bestFit="1" customWidth="1"/>
    <col min="8427" max="8427" width="15.453125" style="56" bestFit="1" customWidth="1"/>
    <col min="8428" max="8428" width="16.54296875" style="56" customWidth="1"/>
    <col min="8429" max="8429" width="18.453125" style="56" customWidth="1"/>
    <col min="8430" max="8430" width="16" style="56" bestFit="1" customWidth="1"/>
    <col min="8431" max="8678" width="8.81640625" style="56"/>
    <col min="8679" max="8679" width="7.81640625" style="56" customWidth="1"/>
    <col min="8680" max="8680" width="65.54296875" style="56" customWidth="1"/>
    <col min="8681" max="8682" width="7.54296875" style="56" bestFit="1" customWidth="1"/>
    <col min="8683" max="8683" width="15.453125" style="56" bestFit="1" customWidth="1"/>
    <col min="8684" max="8684" width="16.54296875" style="56" customWidth="1"/>
    <col min="8685" max="8685" width="18.453125" style="56" customWidth="1"/>
    <col min="8686" max="8686" width="16" style="56" bestFit="1" customWidth="1"/>
    <col min="8687" max="8934" width="8.81640625" style="56"/>
    <col min="8935" max="8935" width="7.81640625" style="56" customWidth="1"/>
    <col min="8936" max="8936" width="65.54296875" style="56" customWidth="1"/>
    <col min="8937" max="8938" width="7.54296875" style="56" bestFit="1" customWidth="1"/>
    <col min="8939" max="8939" width="15.453125" style="56" bestFit="1" customWidth="1"/>
    <col min="8940" max="8940" width="16.54296875" style="56" customWidth="1"/>
    <col min="8941" max="8941" width="18.453125" style="56" customWidth="1"/>
    <col min="8942" max="8942" width="16" style="56" bestFit="1" customWidth="1"/>
    <col min="8943" max="9190" width="8.81640625" style="56"/>
    <col min="9191" max="9191" width="7.81640625" style="56" customWidth="1"/>
    <col min="9192" max="9192" width="65.54296875" style="56" customWidth="1"/>
    <col min="9193" max="9194" width="7.54296875" style="56" bestFit="1" customWidth="1"/>
    <col min="9195" max="9195" width="15.453125" style="56" bestFit="1" customWidth="1"/>
    <col min="9196" max="9196" width="16.54296875" style="56" customWidth="1"/>
    <col min="9197" max="9197" width="18.453125" style="56" customWidth="1"/>
    <col min="9198" max="9198" width="16" style="56" bestFit="1" customWidth="1"/>
    <col min="9199" max="9446" width="8.81640625" style="56"/>
    <col min="9447" max="9447" width="7.81640625" style="56" customWidth="1"/>
    <col min="9448" max="9448" width="65.54296875" style="56" customWidth="1"/>
    <col min="9449" max="9450" width="7.54296875" style="56" bestFit="1" customWidth="1"/>
    <col min="9451" max="9451" width="15.453125" style="56" bestFit="1" customWidth="1"/>
    <col min="9452" max="9452" width="16.54296875" style="56" customWidth="1"/>
    <col min="9453" max="9453" width="18.453125" style="56" customWidth="1"/>
    <col min="9454" max="9454" width="16" style="56" bestFit="1" customWidth="1"/>
    <col min="9455" max="9702" width="8.81640625" style="56"/>
    <col min="9703" max="9703" width="7.81640625" style="56" customWidth="1"/>
    <col min="9704" max="9704" width="65.54296875" style="56" customWidth="1"/>
    <col min="9705" max="9706" width="7.54296875" style="56" bestFit="1" customWidth="1"/>
    <col min="9707" max="9707" width="15.453125" style="56" bestFit="1" customWidth="1"/>
    <col min="9708" max="9708" width="16.54296875" style="56" customWidth="1"/>
    <col min="9709" max="9709" width="18.453125" style="56" customWidth="1"/>
    <col min="9710" max="9710" width="16" style="56" bestFit="1" customWidth="1"/>
    <col min="9711" max="9958" width="8.81640625" style="56"/>
    <col min="9959" max="9959" width="7.81640625" style="56" customWidth="1"/>
    <col min="9960" max="9960" width="65.54296875" style="56" customWidth="1"/>
    <col min="9961" max="9962" width="7.54296875" style="56" bestFit="1" customWidth="1"/>
    <col min="9963" max="9963" width="15.453125" style="56" bestFit="1" customWidth="1"/>
    <col min="9964" max="9964" width="16.54296875" style="56" customWidth="1"/>
    <col min="9965" max="9965" width="18.453125" style="56" customWidth="1"/>
    <col min="9966" max="9966" width="16" style="56" bestFit="1" customWidth="1"/>
    <col min="9967" max="10214" width="8.81640625" style="56"/>
    <col min="10215" max="10215" width="7.81640625" style="56" customWidth="1"/>
    <col min="10216" max="10216" width="65.54296875" style="56" customWidth="1"/>
    <col min="10217" max="10218" width="7.54296875" style="56" bestFit="1" customWidth="1"/>
    <col min="10219" max="10219" width="15.453125" style="56" bestFit="1" customWidth="1"/>
    <col min="10220" max="10220" width="16.54296875" style="56" customWidth="1"/>
    <col min="10221" max="10221" width="18.453125" style="56" customWidth="1"/>
    <col min="10222" max="10222" width="16" style="56" bestFit="1" customWidth="1"/>
    <col min="10223" max="10470" width="8.81640625" style="56"/>
    <col min="10471" max="10471" width="7.81640625" style="56" customWidth="1"/>
    <col min="10472" max="10472" width="65.54296875" style="56" customWidth="1"/>
    <col min="10473" max="10474" width="7.54296875" style="56" bestFit="1" customWidth="1"/>
    <col min="10475" max="10475" width="15.453125" style="56" bestFit="1" customWidth="1"/>
    <col min="10476" max="10476" width="16.54296875" style="56" customWidth="1"/>
    <col min="10477" max="10477" width="18.453125" style="56" customWidth="1"/>
    <col min="10478" max="10478" width="16" style="56" bestFit="1" customWidth="1"/>
    <col min="10479" max="10726" width="8.81640625" style="56"/>
    <col min="10727" max="10727" width="7.81640625" style="56" customWidth="1"/>
    <col min="10728" max="10728" width="65.54296875" style="56" customWidth="1"/>
    <col min="10729" max="10730" width="7.54296875" style="56" bestFit="1" customWidth="1"/>
    <col min="10731" max="10731" width="15.453125" style="56" bestFit="1" customWidth="1"/>
    <col min="10732" max="10732" width="16.54296875" style="56" customWidth="1"/>
    <col min="10733" max="10733" width="18.453125" style="56" customWidth="1"/>
    <col min="10734" max="10734" width="16" style="56" bestFit="1" customWidth="1"/>
    <col min="10735" max="10982" width="8.81640625" style="56"/>
    <col min="10983" max="10983" width="7.81640625" style="56" customWidth="1"/>
    <col min="10984" max="10984" width="65.54296875" style="56" customWidth="1"/>
    <col min="10985" max="10986" width="7.54296875" style="56" bestFit="1" customWidth="1"/>
    <col min="10987" max="10987" width="15.453125" style="56" bestFit="1" customWidth="1"/>
    <col min="10988" max="10988" width="16.54296875" style="56" customWidth="1"/>
    <col min="10989" max="10989" width="18.453125" style="56" customWidth="1"/>
    <col min="10990" max="10990" width="16" style="56" bestFit="1" customWidth="1"/>
    <col min="10991" max="11238" width="8.81640625" style="56"/>
    <col min="11239" max="11239" width="7.81640625" style="56" customWidth="1"/>
    <col min="11240" max="11240" width="65.54296875" style="56" customWidth="1"/>
    <col min="11241" max="11242" width="7.54296875" style="56" bestFit="1" customWidth="1"/>
    <col min="11243" max="11243" width="15.453125" style="56" bestFit="1" customWidth="1"/>
    <col min="11244" max="11244" width="16.54296875" style="56" customWidth="1"/>
    <col min="11245" max="11245" width="18.453125" style="56" customWidth="1"/>
    <col min="11246" max="11246" width="16" style="56" bestFit="1" customWidth="1"/>
    <col min="11247" max="11494" width="8.81640625" style="56"/>
    <col min="11495" max="11495" width="7.81640625" style="56" customWidth="1"/>
    <col min="11496" max="11496" width="65.54296875" style="56" customWidth="1"/>
    <col min="11497" max="11498" width="7.54296875" style="56" bestFit="1" customWidth="1"/>
    <col min="11499" max="11499" width="15.453125" style="56" bestFit="1" customWidth="1"/>
    <col min="11500" max="11500" width="16.54296875" style="56" customWidth="1"/>
    <col min="11501" max="11501" width="18.453125" style="56" customWidth="1"/>
    <col min="11502" max="11502" width="16" style="56" bestFit="1" customWidth="1"/>
    <col min="11503" max="11750" width="8.81640625" style="56"/>
    <col min="11751" max="11751" width="7.81640625" style="56" customWidth="1"/>
    <col min="11752" max="11752" width="65.54296875" style="56" customWidth="1"/>
    <col min="11753" max="11754" width="7.54296875" style="56" bestFit="1" customWidth="1"/>
    <col min="11755" max="11755" width="15.453125" style="56" bestFit="1" customWidth="1"/>
    <col min="11756" max="11756" width="16.54296875" style="56" customWidth="1"/>
    <col min="11757" max="11757" width="18.453125" style="56" customWidth="1"/>
    <col min="11758" max="11758" width="16" style="56" bestFit="1" customWidth="1"/>
    <col min="11759" max="12006" width="8.81640625" style="56"/>
    <col min="12007" max="12007" width="7.81640625" style="56" customWidth="1"/>
    <col min="12008" max="12008" width="65.54296875" style="56" customWidth="1"/>
    <col min="12009" max="12010" width="7.54296875" style="56" bestFit="1" customWidth="1"/>
    <col min="12011" max="12011" width="15.453125" style="56" bestFit="1" customWidth="1"/>
    <col min="12012" max="12012" width="16.54296875" style="56" customWidth="1"/>
    <col min="12013" max="12013" width="18.453125" style="56" customWidth="1"/>
    <col min="12014" max="12014" width="16" style="56" bestFit="1" customWidth="1"/>
    <col min="12015" max="12262" width="8.81640625" style="56"/>
    <col min="12263" max="12263" width="7.81640625" style="56" customWidth="1"/>
    <col min="12264" max="12264" width="65.54296875" style="56" customWidth="1"/>
    <col min="12265" max="12266" width="7.54296875" style="56" bestFit="1" customWidth="1"/>
    <col min="12267" max="12267" width="15.453125" style="56" bestFit="1" customWidth="1"/>
    <col min="12268" max="12268" width="16.54296875" style="56" customWidth="1"/>
    <col min="12269" max="12269" width="18.453125" style="56" customWidth="1"/>
    <col min="12270" max="12270" width="16" style="56" bestFit="1" customWidth="1"/>
    <col min="12271" max="12518" width="8.81640625" style="56"/>
    <col min="12519" max="12519" width="7.81640625" style="56" customWidth="1"/>
    <col min="12520" max="12520" width="65.54296875" style="56" customWidth="1"/>
    <col min="12521" max="12522" width="7.54296875" style="56" bestFit="1" customWidth="1"/>
    <col min="12523" max="12523" width="15.453125" style="56" bestFit="1" customWidth="1"/>
    <col min="12524" max="12524" width="16.54296875" style="56" customWidth="1"/>
    <col min="12525" max="12525" width="18.453125" style="56" customWidth="1"/>
    <col min="12526" max="12526" width="16" style="56" bestFit="1" customWidth="1"/>
    <col min="12527" max="12774" width="8.81640625" style="56"/>
    <col min="12775" max="12775" width="7.81640625" style="56" customWidth="1"/>
    <col min="12776" max="12776" width="65.54296875" style="56" customWidth="1"/>
    <col min="12777" max="12778" width="7.54296875" style="56" bestFit="1" customWidth="1"/>
    <col min="12779" max="12779" width="15.453125" style="56" bestFit="1" customWidth="1"/>
    <col min="12780" max="12780" width="16.54296875" style="56" customWidth="1"/>
    <col min="12781" max="12781" width="18.453125" style="56" customWidth="1"/>
    <col min="12782" max="12782" width="16" style="56" bestFit="1" customWidth="1"/>
    <col min="12783" max="13030" width="8.81640625" style="56"/>
    <col min="13031" max="13031" width="7.81640625" style="56" customWidth="1"/>
    <col min="13032" max="13032" width="65.54296875" style="56" customWidth="1"/>
    <col min="13033" max="13034" width="7.54296875" style="56" bestFit="1" customWidth="1"/>
    <col min="13035" max="13035" width="15.453125" style="56" bestFit="1" customWidth="1"/>
    <col min="13036" max="13036" width="16.54296875" style="56" customWidth="1"/>
    <col min="13037" max="13037" width="18.453125" style="56" customWidth="1"/>
    <col min="13038" max="13038" width="16" style="56" bestFit="1" customWidth="1"/>
    <col min="13039" max="13286" width="8.81640625" style="56"/>
    <col min="13287" max="13287" width="7.81640625" style="56" customWidth="1"/>
    <col min="13288" max="13288" width="65.54296875" style="56" customWidth="1"/>
    <col min="13289" max="13290" width="7.54296875" style="56" bestFit="1" customWidth="1"/>
    <col min="13291" max="13291" width="15.453125" style="56" bestFit="1" customWidth="1"/>
    <col min="13292" max="13292" width="16.54296875" style="56" customWidth="1"/>
    <col min="13293" max="13293" width="18.453125" style="56" customWidth="1"/>
    <col min="13294" max="13294" width="16" style="56" bestFit="1" customWidth="1"/>
    <col min="13295" max="13542" width="8.81640625" style="56"/>
    <col min="13543" max="13543" width="7.81640625" style="56" customWidth="1"/>
    <col min="13544" max="13544" width="65.54296875" style="56" customWidth="1"/>
    <col min="13545" max="13546" width="7.54296875" style="56" bestFit="1" customWidth="1"/>
    <col min="13547" max="13547" width="15.453125" style="56" bestFit="1" customWidth="1"/>
    <col min="13548" max="13548" width="16.54296875" style="56" customWidth="1"/>
    <col min="13549" max="13549" width="18.453125" style="56" customWidth="1"/>
    <col min="13550" max="13550" width="16" style="56" bestFit="1" customWidth="1"/>
    <col min="13551" max="13798" width="8.81640625" style="56"/>
    <col min="13799" max="13799" width="7.81640625" style="56" customWidth="1"/>
    <col min="13800" max="13800" width="65.54296875" style="56" customWidth="1"/>
    <col min="13801" max="13802" width="7.54296875" style="56" bestFit="1" customWidth="1"/>
    <col min="13803" max="13803" width="15.453125" style="56" bestFit="1" customWidth="1"/>
    <col min="13804" max="13804" width="16.54296875" style="56" customWidth="1"/>
    <col min="13805" max="13805" width="18.453125" style="56" customWidth="1"/>
    <col min="13806" max="13806" width="16" style="56" bestFit="1" customWidth="1"/>
    <col min="13807" max="14054" width="8.81640625" style="56"/>
    <col min="14055" max="14055" width="7.81640625" style="56" customWidth="1"/>
    <col min="14056" max="14056" width="65.54296875" style="56" customWidth="1"/>
    <col min="14057" max="14058" width="7.54296875" style="56" bestFit="1" customWidth="1"/>
    <col min="14059" max="14059" width="15.453125" style="56" bestFit="1" customWidth="1"/>
    <col min="14060" max="14060" width="16.54296875" style="56" customWidth="1"/>
    <col min="14061" max="14061" width="18.453125" style="56" customWidth="1"/>
    <col min="14062" max="14062" width="16" style="56" bestFit="1" customWidth="1"/>
    <col min="14063" max="14310" width="8.81640625" style="56"/>
    <col min="14311" max="14311" width="7.81640625" style="56" customWidth="1"/>
    <col min="14312" max="14312" width="65.54296875" style="56" customWidth="1"/>
    <col min="14313" max="14314" width="7.54296875" style="56" bestFit="1" customWidth="1"/>
    <col min="14315" max="14315" width="15.453125" style="56" bestFit="1" customWidth="1"/>
    <col min="14316" max="14316" width="16.54296875" style="56" customWidth="1"/>
    <col min="14317" max="14317" width="18.453125" style="56" customWidth="1"/>
    <col min="14318" max="14318" width="16" style="56" bestFit="1" customWidth="1"/>
    <col min="14319" max="14566" width="8.81640625" style="56"/>
    <col min="14567" max="14567" width="7.81640625" style="56" customWidth="1"/>
    <col min="14568" max="14568" width="65.54296875" style="56" customWidth="1"/>
    <col min="14569" max="14570" width="7.54296875" style="56" bestFit="1" customWidth="1"/>
    <col min="14571" max="14571" width="15.453125" style="56" bestFit="1" customWidth="1"/>
    <col min="14572" max="14572" width="16.54296875" style="56" customWidth="1"/>
    <col min="14573" max="14573" width="18.453125" style="56" customWidth="1"/>
    <col min="14574" max="14574" width="16" style="56" bestFit="1" customWidth="1"/>
    <col min="14575" max="14822" width="8.81640625" style="56"/>
    <col min="14823" max="14823" width="7.81640625" style="56" customWidth="1"/>
    <col min="14824" max="14824" width="65.54296875" style="56" customWidth="1"/>
    <col min="14825" max="14826" width="7.54296875" style="56" bestFit="1" customWidth="1"/>
    <col min="14827" max="14827" width="15.453125" style="56" bestFit="1" customWidth="1"/>
    <col min="14828" max="14828" width="16.54296875" style="56" customWidth="1"/>
    <col min="14829" max="14829" width="18.453125" style="56" customWidth="1"/>
    <col min="14830" max="14830" width="16" style="56" bestFit="1" customWidth="1"/>
    <col min="14831" max="15078" width="8.81640625" style="56"/>
    <col min="15079" max="15079" width="7.81640625" style="56" customWidth="1"/>
    <col min="15080" max="15080" width="65.54296875" style="56" customWidth="1"/>
    <col min="15081" max="15082" width="7.54296875" style="56" bestFit="1" customWidth="1"/>
    <col min="15083" max="15083" width="15.453125" style="56" bestFit="1" customWidth="1"/>
    <col min="15084" max="15084" width="16.54296875" style="56" customWidth="1"/>
    <col min="15085" max="15085" width="18.453125" style="56" customWidth="1"/>
    <col min="15086" max="15086" width="16" style="56" bestFit="1" customWidth="1"/>
    <col min="15087" max="15334" width="8.81640625" style="56"/>
    <col min="15335" max="15335" width="7.81640625" style="56" customWidth="1"/>
    <col min="15336" max="15336" width="65.54296875" style="56" customWidth="1"/>
    <col min="15337" max="15338" width="7.54296875" style="56" bestFit="1" customWidth="1"/>
    <col min="15339" max="15339" width="15.453125" style="56" bestFit="1" customWidth="1"/>
    <col min="15340" max="15340" width="16.54296875" style="56" customWidth="1"/>
    <col min="15341" max="15341" width="18.453125" style="56" customWidth="1"/>
    <col min="15342" max="15342" width="16" style="56" bestFit="1" customWidth="1"/>
    <col min="15343" max="15590" width="8.81640625" style="56"/>
    <col min="15591" max="15591" width="7.81640625" style="56" customWidth="1"/>
    <col min="15592" max="15592" width="65.54296875" style="56" customWidth="1"/>
    <col min="15593" max="15594" width="7.54296875" style="56" bestFit="1" customWidth="1"/>
    <col min="15595" max="15595" width="15.453125" style="56" bestFit="1" customWidth="1"/>
    <col min="15596" max="15596" width="16.54296875" style="56" customWidth="1"/>
    <col min="15597" max="15597" width="18.453125" style="56" customWidth="1"/>
    <col min="15598" max="15598" width="16" style="56" bestFit="1" customWidth="1"/>
    <col min="15599" max="15846" width="8.81640625" style="56"/>
    <col min="15847" max="15847" width="7.81640625" style="56" customWidth="1"/>
    <col min="15848" max="15848" width="65.54296875" style="56" customWidth="1"/>
    <col min="15849" max="15850" width="7.54296875" style="56" bestFit="1" customWidth="1"/>
    <col min="15851" max="15851" width="15.453125" style="56" bestFit="1" customWidth="1"/>
    <col min="15852" max="15852" width="16.54296875" style="56" customWidth="1"/>
    <col min="15853" max="15853" width="18.453125" style="56" customWidth="1"/>
    <col min="15854" max="15854" width="16" style="56" bestFit="1" customWidth="1"/>
    <col min="15855" max="16102" width="8.81640625" style="56"/>
    <col min="16103" max="16103" width="7.81640625" style="56" customWidth="1"/>
    <col min="16104" max="16104" width="65.54296875" style="56" customWidth="1"/>
    <col min="16105" max="16106" width="7.54296875" style="56" bestFit="1" customWidth="1"/>
    <col min="16107" max="16107" width="15.453125" style="56" bestFit="1" customWidth="1"/>
    <col min="16108" max="16108" width="16.54296875" style="56" customWidth="1"/>
    <col min="16109" max="16109" width="18.453125" style="56" customWidth="1"/>
    <col min="16110" max="16110" width="16" style="56" bestFit="1" customWidth="1"/>
    <col min="16111" max="16384" width="8.81640625" style="56"/>
  </cols>
  <sheetData>
    <row r="1" spans="1:18" s="356" customFormat="1" ht="18" customHeight="1" x14ac:dyDescent="0.3">
      <c r="A1" s="766" t="s">
        <v>654</v>
      </c>
      <c r="B1" s="767"/>
      <c r="C1" s="767"/>
      <c r="D1" s="767"/>
      <c r="E1" s="767"/>
      <c r="F1" s="767"/>
      <c r="G1" s="767"/>
      <c r="H1" s="767"/>
      <c r="I1" s="767"/>
      <c r="J1" s="767"/>
      <c r="K1" s="767"/>
      <c r="L1" s="767"/>
      <c r="M1" s="767"/>
      <c r="N1" s="767"/>
      <c r="O1" s="767"/>
      <c r="P1" s="767"/>
      <c r="Q1" s="767"/>
      <c r="R1" s="767"/>
    </row>
    <row r="2" spans="1:18" s="356" customFormat="1" ht="18" customHeight="1" x14ac:dyDescent="0.3">
      <c r="A2" s="766" t="s">
        <v>662</v>
      </c>
      <c r="B2" s="767"/>
      <c r="C2" s="767"/>
      <c r="D2" s="767"/>
      <c r="E2" s="767"/>
      <c r="F2" s="767"/>
      <c r="G2" s="767"/>
      <c r="H2" s="767"/>
      <c r="I2" s="767"/>
      <c r="J2" s="767"/>
      <c r="K2" s="767"/>
      <c r="L2" s="767"/>
      <c r="M2" s="767"/>
      <c r="N2" s="767"/>
      <c r="O2" s="767"/>
      <c r="P2" s="767"/>
      <c r="Q2" s="767"/>
      <c r="R2" s="767"/>
    </row>
    <row r="3" spans="1:18" s="356" customFormat="1" ht="18" customHeight="1" x14ac:dyDescent="0.3">
      <c r="A3" s="766" t="s">
        <v>653</v>
      </c>
      <c r="B3" s="767"/>
      <c r="C3" s="767"/>
      <c r="D3" s="767"/>
      <c r="E3" s="767"/>
      <c r="F3" s="767"/>
      <c r="G3" s="767"/>
      <c r="H3" s="767"/>
      <c r="I3" s="767"/>
      <c r="J3" s="767"/>
      <c r="K3" s="767"/>
      <c r="L3" s="767"/>
      <c r="M3" s="767"/>
      <c r="N3" s="767"/>
      <c r="O3" s="767"/>
      <c r="P3" s="767"/>
      <c r="Q3" s="767"/>
      <c r="R3" s="767"/>
    </row>
    <row r="4" spans="1:18" s="356" customFormat="1" ht="18" customHeight="1" x14ac:dyDescent="0.3">
      <c r="A4" s="766" t="s">
        <v>657</v>
      </c>
      <c r="B4" s="767"/>
      <c r="C4" s="767"/>
      <c r="D4" s="767"/>
      <c r="E4" s="767"/>
      <c r="F4" s="767"/>
      <c r="G4" s="767"/>
      <c r="H4" s="767"/>
      <c r="I4" s="767"/>
      <c r="J4" s="767"/>
      <c r="K4" s="767"/>
      <c r="L4" s="767"/>
      <c r="M4" s="767"/>
      <c r="N4" s="767"/>
      <c r="O4" s="767"/>
      <c r="P4" s="767"/>
      <c r="Q4" s="767"/>
      <c r="R4" s="767"/>
    </row>
    <row r="5" spans="1:18" s="356" customFormat="1" ht="18" customHeight="1" x14ac:dyDescent="0.3">
      <c r="A5" s="764" t="s">
        <v>746</v>
      </c>
      <c r="B5" s="765"/>
      <c r="C5" s="765"/>
      <c r="D5" s="765"/>
      <c r="E5" s="765"/>
      <c r="F5" s="765"/>
      <c r="G5" s="765"/>
      <c r="H5" s="765"/>
      <c r="I5" s="765"/>
      <c r="J5" s="765"/>
      <c r="K5" s="765"/>
      <c r="L5" s="765"/>
      <c r="M5" s="765"/>
      <c r="N5" s="765"/>
      <c r="O5" s="765"/>
      <c r="P5" s="765"/>
      <c r="Q5" s="765"/>
      <c r="R5" s="765"/>
    </row>
    <row r="6" spans="1:18" x14ac:dyDescent="0.3">
      <c r="A6" s="771" t="s">
        <v>8</v>
      </c>
      <c r="B6" s="771" t="s">
        <v>19</v>
      </c>
      <c r="C6" s="771" t="s">
        <v>9</v>
      </c>
      <c r="D6" s="771" t="s">
        <v>170</v>
      </c>
      <c r="E6" s="771" t="s">
        <v>17</v>
      </c>
      <c r="F6" s="775" t="s">
        <v>10</v>
      </c>
      <c r="G6" s="768" t="s">
        <v>650</v>
      </c>
      <c r="H6" s="769"/>
      <c r="I6" s="770"/>
      <c r="J6" s="768" t="s">
        <v>651</v>
      </c>
      <c r="K6" s="769"/>
      <c r="L6" s="769"/>
      <c r="M6" s="769"/>
      <c r="N6" s="770"/>
      <c r="O6" s="768" t="s">
        <v>652</v>
      </c>
      <c r="P6" s="769"/>
      <c r="Q6" s="770"/>
      <c r="R6" s="775" t="s">
        <v>661</v>
      </c>
    </row>
    <row r="7" spans="1:18" x14ac:dyDescent="0.3">
      <c r="A7" s="772"/>
      <c r="B7" s="772"/>
      <c r="C7" s="772"/>
      <c r="D7" s="772"/>
      <c r="E7" s="772"/>
      <c r="F7" s="776"/>
      <c r="G7" s="225" t="s">
        <v>16</v>
      </c>
      <c r="H7" s="225" t="s">
        <v>15</v>
      </c>
      <c r="I7" s="225" t="s">
        <v>11</v>
      </c>
      <c r="J7" s="225" t="s">
        <v>645</v>
      </c>
      <c r="K7" s="348" t="s">
        <v>648</v>
      </c>
      <c r="L7" s="225" t="s">
        <v>646</v>
      </c>
      <c r="M7" s="225" t="s">
        <v>647</v>
      </c>
      <c r="N7" s="348" t="s">
        <v>649</v>
      </c>
      <c r="O7" s="225" t="s">
        <v>645</v>
      </c>
      <c r="P7" s="225" t="s">
        <v>646</v>
      </c>
      <c r="Q7" s="225" t="s">
        <v>647</v>
      </c>
      <c r="R7" s="776"/>
    </row>
    <row r="8" spans="1:18" x14ac:dyDescent="0.3">
      <c r="A8" s="160"/>
      <c r="B8" s="160"/>
      <c r="C8" s="160"/>
      <c r="D8" s="160"/>
      <c r="E8" s="160"/>
      <c r="F8" s="160"/>
      <c r="G8" s="101"/>
      <c r="H8" s="138"/>
      <c r="I8" s="138"/>
      <c r="J8" s="233"/>
      <c r="K8" s="368"/>
      <c r="L8" s="138"/>
      <c r="M8" s="233"/>
      <c r="N8" s="368"/>
      <c r="O8" s="138"/>
      <c r="P8" s="138"/>
      <c r="Q8" s="138"/>
      <c r="R8" s="138"/>
    </row>
    <row r="9" spans="1:18" s="59" customFormat="1" x14ac:dyDescent="0.3">
      <c r="A9" s="103" t="s">
        <v>172</v>
      </c>
      <c r="B9" s="103"/>
      <c r="C9" s="103"/>
      <c r="D9" s="103"/>
      <c r="E9" s="103"/>
      <c r="F9" s="103"/>
      <c r="G9" s="104"/>
      <c r="H9" s="101"/>
      <c r="I9" s="104"/>
      <c r="J9" s="226"/>
      <c r="K9" s="369"/>
      <c r="L9" s="104"/>
      <c r="M9" s="226"/>
      <c r="N9" s="369"/>
      <c r="O9" s="104"/>
      <c r="P9" s="104"/>
      <c r="Q9" s="104"/>
      <c r="R9" s="104"/>
    </row>
    <row r="10" spans="1:18" s="67" customFormat="1" ht="108" x14ac:dyDescent="0.3">
      <c r="A10" s="102">
        <v>1</v>
      </c>
      <c r="B10" s="106" t="s">
        <v>156</v>
      </c>
      <c r="C10" s="106" t="s">
        <v>157</v>
      </c>
      <c r="D10" s="107"/>
      <c r="E10" s="107"/>
      <c r="F10" s="107"/>
      <c r="G10" s="87"/>
      <c r="H10" s="108"/>
      <c r="I10" s="108"/>
      <c r="J10" s="227"/>
      <c r="K10" s="349"/>
      <c r="L10" s="108"/>
      <c r="M10" s="227"/>
      <c r="N10" s="349"/>
      <c r="O10" s="108"/>
      <c r="P10" s="108"/>
      <c r="Q10" s="108"/>
      <c r="R10" s="108"/>
    </row>
    <row r="11" spans="1:18" s="59" customFormat="1" ht="66.75" customHeight="1" x14ac:dyDescent="0.3">
      <c r="A11" s="102" t="s">
        <v>158</v>
      </c>
      <c r="B11" s="106" t="s">
        <v>159</v>
      </c>
      <c r="C11" s="107" t="s">
        <v>207</v>
      </c>
      <c r="D11" s="107"/>
      <c r="E11" s="107" t="s">
        <v>308</v>
      </c>
      <c r="F11" s="107"/>
      <c r="G11" s="87">
        <v>1</v>
      </c>
      <c r="H11" s="108">
        <v>25340</v>
      </c>
      <c r="I11" s="108">
        <f t="shared" ref="I11:I14" si="0">$G11*H11</f>
        <v>25340</v>
      </c>
      <c r="J11" s="140"/>
      <c r="K11" s="349">
        <v>0</v>
      </c>
      <c r="L11" s="108">
        <f>M11-J11</f>
        <v>1</v>
      </c>
      <c r="M11" s="140">
        <v>1</v>
      </c>
      <c r="N11" s="349">
        <v>1</v>
      </c>
      <c r="O11" s="108">
        <f>H11*J11*K11</f>
        <v>0</v>
      </c>
      <c r="P11" s="108">
        <f>Q11-O11</f>
        <v>25340</v>
      </c>
      <c r="Q11" s="108">
        <f>H11*M11*N11</f>
        <v>25340</v>
      </c>
      <c r="R11" s="108"/>
    </row>
    <row r="12" spans="1:18" s="59" customFormat="1" ht="67.5" customHeight="1" x14ac:dyDescent="0.3">
      <c r="A12" s="102" t="s">
        <v>162</v>
      </c>
      <c r="B12" s="106" t="s">
        <v>164</v>
      </c>
      <c r="C12" s="107" t="s">
        <v>160</v>
      </c>
      <c r="D12" s="107"/>
      <c r="E12" s="107" t="s">
        <v>161</v>
      </c>
      <c r="F12" s="107"/>
      <c r="G12" s="87">
        <v>1</v>
      </c>
      <c r="H12" s="108">
        <v>25340</v>
      </c>
      <c r="I12" s="108">
        <f t="shared" si="0"/>
        <v>25340</v>
      </c>
      <c r="J12" s="140"/>
      <c r="K12" s="349">
        <v>0</v>
      </c>
      <c r="L12" s="108">
        <f t="shared" ref="L12:L14" si="1">M12-J12</f>
        <v>1</v>
      </c>
      <c r="M12" s="140">
        <v>1</v>
      </c>
      <c r="N12" s="349">
        <v>1</v>
      </c>
      <c r="O12" s="108">
        <f t="shared" ref="O12:O14" si="2">H12*J12*K12</f>
        <v>0</v>
      </c>
      <c r="P12" s="108">
        <f t="shared" ref="P12:P14" si="3">Q12-O12</f>
        <v>25340</v>
      </c>
      <c r="Q12" s="108">
        <f t="shared" ref="Q12:Q14" si="4">H12*M12*N12</f>
        <v>25340</v>
      </c>
      <c r="R12" s="108"/>
    </row>
    <row r="13" spans="1:18" s="59" customFormat="1" ht="55.5" customHeight="1" x14ac:dyDescent="0.3">
      <c r="A13" s="102" t="s">
        <v>163</v>
      </c>
      <c r="B13" s="106" t="s">
        <v>167</v>
      </c>
      <c r="C13" s="107" t="s">
        <v>160</v>
      </c>
      <c r="D13" s="107"/>
      <c r="E13" s="107" t="s">
        <v>171</v>
      </c>
      <c r="F13" s="107"/>
      <c r="G13" s="87">
        <v>1</v>
      </c>
      <c r="H13" s="108">
        <v>123000</v>
      </c>
      <c r="I13" s="108">
        <f t="shared" si="0"/>
        <v>123000</v>
      </c>
      <c r="J13" s="140"/>
      <c r="K13" s="349">
        <v>0</v>
      </c>
      <c r="L13" s="108">
        <f t="shared" si="1"/>
        <v>1</v>
      </c>
      <c r="M13" s="140">
        <v>1</v>
      </c>
      <c r="N13" s="349">
        <v>1</v>
      </c>
      <c r="O13" s="108">
        <f t="shared" si="2"/>
        <v>0</v>
      </c>
      <c r="P13" s="108">
        <f t="shared" si="3"/>
        <v>123000</v>
      </c>
      <c r="Q13" s="108">
        <f t="shared" si="4"/>
        <v>123000</v>
      </c>
      <c r="R13" s="108"/>
    </row>
    <row r="14" spans="1:18" s="59" customFormat="1" ht="45.75" customHeight="1" x14ac:dyDescent="0.3">
      <c r="A14" s="102" t="s">
        <v>166</v>
      </c>
      <c r="B14" s="106" t="s">
        <v>168</v>
      </c>
      <c r="C14" s="107" t="s">
        <v>160</v>
      </c>
      <c r="D14" s="107"/>
      <c r="E14" s="107" t="s">
        <v>169</v>
      </c>
      <c r="F14" s="107"/>
      <c r="G14" s="87">
        <v>1</v>
      </c>
      <c r="H14" s="108">
        <v>32450</v>
      </c>
      <c r="I14" s="108">
        <f t="shared" si="0"/>
        <v>32450</v>
      </c>
      <c r="J14" s="140"/>
      <c r="K14" s="349">
        <v>0</v>
      </c>
      <c r="L14" s="108">
        <f t="shared" si="1"/>
        <v>1</v>
      </c>
      <c r="M14" s="140">
        <v>1</v>
      </c>
      <c r="N14" s="349">
        <v>1</v>
      </c>
      <c r="O14" s="108">
        <f t="shared" si="2"/>
        <v>0</v>
      </c>
      <c r="P14" s="108">
        <f t="shared" si="3"/>
        <v>32450</v>
      </c>
      <c r="Q14" s="108">
        <f t="shared" si="4"/>
        <v>32450</v>
      </c>
      <c r="R14" s="108"/>
    </row>
    <row r="15" spans="1:18" x14ac:dyDescent="0.3">
      <c r="A15" s="102"/>
      <c r="B15" s="106"/>
      <c r="C15" s="106"/>
      <c r="D15" s="107"/>
      <c r="E15" s="107"/>
      <c r="F15" s="107"/>
      <c r="G15" s="87"/>
      <c r="H15" s="108"/>
      <c r="I15" s="108"/>
      <c r="J15" s="227"/>
      <c r="K15" s="349"/>
      <c r="L15" s="108"/>
      <c r="M15" s="227"/>
      <c r="N15" s="349"/>
      <c r="O15" s="108"/>
      <c r="P15" s="108"/>
      <c r="Q15" s="108"/>
      <c r="R15" s="108"/>
    </row>
    <row r="16" spans="1:18" x14ac:dyDescent="0.3">
      <c r="A16" s="102"/>
      <c r="B16" s="106"/>
      <c r="C16" s="106"/>
      <c r="D16" s="107"/>
      <c r="E16" s="107"/>
      <c r="F16" s="107"/>
      <c r="G16" s="87"/>
      <c r="H16" s="108"/>
      <c r="I16" s="108"/>
      <c r="J16" s="227"/>
      <c r="K16" s="349"/>
      <c r="L16" s="108"/>
      <c r="M16" s="227"/>
      <c r="N16" s="349"/>
      <c r="O16" s="108"/>
      <c r="P16" s="108"/>
      <c r="Q16" s="108"/>
      <c r="R16" s="108"/>
    </row>
    <row r="17" spans="1:18" x14ac:dyDescent="0.3">
      <c r="A17" s="777" t="s">
        <v>173</v>
      </c>
      <c r="B17" s="777"/>
      <c r="C17" s="777"/>
      <c r="D17" s="344"/>
      <c r="E17" s="344"/>
      <c r="F17" s="344"/>
      <c r="G17" s="342"/>
      <c r="H17" s="342"/>
      <c r="I17" s="342">
        <f>SUM(I11:I16)</f>
        <v>206130</v>
      </c>
      <c r="J17" s="341"/>
      <c r="K17" s="370"/>
      <c r="L17" s="342"/>
      <c r="M17" s="341"/>
      <c r="N17" s="370"/>
      <c r="O17" s="342">
        <f t="shared" ref="O17:Q17" si="5">SUM(O11:O16)</f>
        <v>0</v>
      </c>
      <c r="P17" s="342">
        <f t="shared" si="5"/>
        <v>206130</v>
      </c>
      <c r="Q17" s="342">
        <f t="shared" si="5"/>
        <v>206130</v>
      </c>
      <c r="R17" s="342"/>
    </row>
    <row r="18" spans="1:18" x14ac:dyDescent="0.3">
      <c r="A18" s="102"/>
      <c r="B18" s="102"/>
      <c r="C18" s="118"/>
      <c r="D18" s="118"/>
      <c r="E18" s="118"/>
      <c r="F18" s="140"/>
      <c r="G18" s="87"/>
      <c r="H18" s="87"/>
      <c r="I18" s="87"/>
      <c r="J18" s="140"/>
      <c r="K18" s="351"/>
      <c r="L18" s="87"/>
      <c r="M18" s="140"/>
      <c r="N18" s="351"/>
      <c r="O18" s="87"/>
      <c r="P18" s="87"/>
      <c r="Q18" s="87"/>
      <c r="R18" s="87"/>
    </row>
    <row r="19" spans="1:18" ht="81" customHeight="1" x14ac:dyDescent="0.3"/>
    <row r="20" spans="1:18" ht="81" customHeight="1" x14ac:dyDescent="0.3"/>
    <row r="21" spans="1:18" ht="79.5" customHeight="1" x14ac:dyDescent="0.3"/>
    <row r="22" spans="1:18" ht="83.25" customHeight="1" x14ac:dyDescent="0.3"/>
    <row r="23" spans="1:18" ht="60.75" customHeight="1" x14ac:dyDescent="0.3"/>
    <row r="24" spans="1:18" ht="60.75" customHeight="1" x14ac:dyDescent="0.3"/>
    <row r="25" spans="1:18" ht="54.75" customHeight="1" x14ac:dyDescent="0.3"/>
    <row r="26" spans="1:18" ht="84" customHeight="1" x14ac:dyDescent="0.3"/>
  </sheetData>
  <protectedRanges>
    <protectedRange sqref="I17:R65294 F17:F65294 I8:R8 F8" name="Range1"/>
    <protectedRange sqref="G9" name="Range1_1_1_1"/>
    <protectedRange sqref="F1:F5" name="Range1_8"/>
    <protectedRange sqref="I1:R5" name="Range1_6_3"/>
    <protectedRange sqref="I6:Q6" name="Range1_9"/>
  </protectedRanges>
  <mergeCells count="16">
    <mergeCell ref="A17:C17"/>
    <mergeCell ref="A1:R1"/>
    <mergeCell ref="A2:R2"/>
    <mergeCell ref="A3:R3"/>
    <mergeCell ref="A4:R4"/>
    <mergeCell ref="A5:R5"/>
    <mergeCell ref="A6:A7"/>
    <mergeCell ref="B6:B7"/>
    <mergeCell ref="C6:C7"/>
    <mergeCell ref="D6:D7"/>
    <mergeCell ref="E6:E7"/>
    <mergeCell ref="F6:F7"/>
    <mergeCell ref="G6:I6"/>
    <mergeCell ref="J6:N6"/>
    <mergeCell ref="O6:Q6"/>
    <mergeCell ref="R6:R7"/>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8"/>
  <sheetViews>
    <sheetView zoomScale="90" zoomScaleNormal="90" workbookViewId="0">
      <selection activeCell="C12" sqref="C12"/>
    </sheetView>
  </sheetViews>
  <sheetFormatPr defaultColWidth="8.81640625" defaultRowHeight="13" x14ac:dyDescent="0.3"/>
  <cols>
    <col min="1" max="1" width="7.81640625" style="8" customWidth="1"/>
    <col min="2" max="2" width="18.81640625" style="8" bestFit="1" customWidth="1"/>
    <col min="3" max="3" width="72.54296875" style="13" customWidth="1"/>
    <col min="4" max="4" width="13.453125" style="13" customWidth="1"/>
    <col min="5" max="5" width="17.54296875" style="13" customWidth="1"/>
    <col min="6" max="6" width="8.1796875" style="2" bestFit="1" customWidth="1"/>
    <col min="7" max="7" width="8.453125" style="8" bestFit="1" customWidth="1"/>
    <col min="8" max="8" width="10.453125" style="8" bestFit="1" customWidth="1"/>
    <col min="9" max="9" width="13.54296875" style="2" bestFit="1" customWidth="1"/>
    <col min="10" max="10" width="10.453125" style="9" customWidth="1"/>
    <col min="11" max="11" width="3.81640625" style="9" customWidth="1"/>
    <col min="12" max="237" width="8.81640625" style="9"/>
    <col min="238" max="238" width="7.81640625" style="9" customWidth="1"/>
    <col min="239" max="239" width="65.54296875" style="9" customWidth="1"/>
    <col min="240" max="241" width="7.54296875" style="9" bestFit="1" customWidth="1"/>
    <col min="242" max="242" width="15.453125" style="9" bestFit="1" customWidth="1"/>
    <col min="243" max="243" width="16.54296875" style="9" customWidth="1"/>
    <col min="244" max="244" width="18.453125" style="9" customWidth="1"/>
    <col min="245" max="245" width="16" style="9" bestFit="1" customWidth="1"/>
    <col min="246" max="493" width="8.81640625" style="9"/>
    <col min="494" max="494" width="7.81640625" style="9" customWidth="1"/>
    <col min="495" max="495" width="65.54296875" style="9" customWidth="1"/>
    <col min="496" max="497" width="7.54296875" style="9" bestFit="1" customWidth="1"/>
    <col min="498" max="498" width="15.453125" style="9" bestFit="1" customWidth="1"/>
    <col min="499" max="499" width="16.54296875" style="9" customWidth="1"/>
    <col min="500" max="500" width="18.453125" style="9" customWidth="1"/>
    <col min="501" max="501" width="16" style="9" bestFit="1" customWidth="1"/>
    <col min="502" max="749" width="8.81640625" style="9"/>
    <col min="750" max="750" width="7.81640625" style="9" customWidth="1"/>
    <col min="751" max="751" width="65.54296875" style="9" customWidth="1"/>
    <col min="752" max="753" width="7.54296875" style="9" bestFit="1" customWidth="1"/>
    <col min="754" max="754" width="15.453125" style="9" bestFit="1" customWidth="1"/>
    <col min="755" max="755" width="16.54296875" style="9" customWidth="1"/>
    <col min="756" max="756" width="18.453125" style="9" customWidth="1"/>
    <col min="757" max="757" width="16" style="9" bestFit="1" customWidth="1"/>
    <col min="758" max="1005" width="8.81640625" style="9"/>
    <col min="1006" max="1006" width="7.81640625" style="9" customWidth="1"/>
    <col min="1007" max="1007" width="65.54296875" style="9" customWidth="1"/>
    <col min="1008" max="1009" width="7.54296875" style="9" bestFit="1" customWidth="1"/>
    <col min="1010" max="1010" width="15.453125" style="9" bestFit="1" customWidth="1"/>
    <col min="1011" max="1011" width="16.54296875" style="9" customWidth="1"/>
    <col min="1012" max="1012" width="18.453125" style="9" customWidth="1"/>
    <col min="1013" max="1013" width="16" style="9" bestFit="1" customWidth="1"/>
    <col min="1014" max="1261" width="8.81640625" style="9"/>
    <col min="1262" max="1262" width="7.81640625" style="9" customWidth="1"/>
    <col min="1263" max="1263" width="65.54296875" style="9" customWidth="1"/>
    <col min="1264" max="1265" width="7.54296875" style="9" bestFit="1" customWidth="1"/>
    <col min="1266" max="1266" width="15.453125" style="9" bestFit="1" customWidth="1"/>
    <col min="1267" max="1267" width="16.54296875" style="9" customWidth="1"/>
    <col min="1268" max="1268" width="18.453125" style="9" customWidth="1"/>
    <col min="1269" max="1269" width="16" style="9" bestFit="1" customWidth="1"/>
    <col min="1270" max="1517" width="8.81640625" style="9"/>
    <col min="1518" max="1518" width="7.81640625" style="9" customWidth="1"/>
    <col min="1519" max="1519" width="65.54296875" style="9" customWidth="1"/>
    <col min="1520" max="1521" width="7.54296875" style="9" bestFit="1" customWidth="1"/>
    <col min="1522" max="1522" width="15.453125" style="9" bestFit="1" customWidth="1"/>
    <col min="1523" max="1523" width="16.54296875" style="9" customWidth="1"/>
    <col min="1524" max="1524" width="18.453125" style="9" customWidth="1"/>
    <col min="1525" max="1525" width="16" style="9" bestFit="1" customWidth="1"/>
    <col min="1526" max="1773" width="8.81640625" style="9"/>
    <col min="1774" max="1774" width="7.81640625" style="9" customWidth="1"/>
    <col min="1775" max="1775" width="65.54296875" style="9" customWidth="1"/>
    <col min="1776" max="1777" width="7.54296875" style="9" bestFit="1" customWidth="1"/>
    <col min="1778" max="1778" width="15.453125" style="9" bestFit="1" customWidth="1"/>
    <col min="1779" max="1779" width="16.54296875" style="9" customWidth="1"/>
    <col min="1780" max="1780" width="18.453125" style="9" customWidth="1"/>
    <col min="1781" max="1781" width="16" style="9" bestFit="1" customWidth="1"/>
    <col min="1782" max="2029" width="8.81640625" style="9"/>
    <col min="2030" max="2030" width="7.81640625" style="9" customWidth="1"/>
    <col min="2031" max="2031" width="65.54296875" style="9" customWidth="1"/>
    <col min="2032" max="2033" width="7.54296875" style="9" bestFit="1" customWidth="1"/>
    <col min="2034" max="2034" width="15.453125" style="9" bestFit="1" customWidth="1"/>
    <col min="2035" max="2035" width="16.54296875" style="9" customWidth="1"/>
    <col min="2036" max="2036" width="18.453125" style="9" customWidth="1"/>
    <col min="2037" max="2037" width="16" style="9" bestFit="1" customWidth="1"/>
    <col min="2038" max="2285" width="8.81640625" style="9"/>
    <col min="2286" max="2286" width="7.81640625" style="9" customWidth="1"/>
    <col min="2287" max="2287" width="65.54296875" style="9" customWidth="1"/>
    <col min="2288" max="2289" width="7.54296875" style="9" bestFit="1" customWidth="1"/>
    <col min="2290" max="2290" width="15.453125" style="9" bestFit="1" customWidth="1"/>
    <col min="2291" max="2291" width="16.54296875" style="9" customWidth="1"/>
    <col min="2292" max="2292" width="18.453125" style="9" customWidth="1"/>
    <col min="2293" max="2293" width="16" style="9" bestFit="1" customWidth="1"/>
    <col min="2294" max="2541" width="8.81640625" style="9"/>
    <col min="2542" max="2542" width="7.81640625" style="9" customWidth="1"/>
    <col min="2543" max="2543" width="65.54296875" style="9" customWidth="1"/>
    <col min="2544" max="2545" width="7.54296875" style="9" bestFit="1" customWidth="1"/>
    <col min="2546" max="2546" width="15.453125" style="9" bestFit="1" customWidth="1"/>
    <col min="2547" max="2547" width="16.54296875" style="9" customWidth="1"/>
    <col min="2548" max="2548" width="18.453125" style="9" customWidth="1"/>
    <col min="2549" max="2549" width="16" style="9" bestFit="1" customWidth="1"/>
    <col min="2550" max="2797" width="8.81640625" style="9"/>
    <col min="2798" max="2798" width="7.81640625" style="9" customWidth="1"/>
    <col min="2799" max="2799" width="65.54296875" style="9" customWidth="1"/>
    <col min="2800" max="2801" width="7.54296875" style="9" bestFit="1" customWidth="1"/>
    <col min="2802" max="2802" width="15.453125" style="9" bestFit="1" customWidth="1"/>
    <col min="2803" max="2803" width="16.54296875" style="9" customWidth="1"/>
    <col min="2804" max="2804" width="18.453125" style="9" customWidth="1"/>
    <col min="2805" max="2805" width="16" style="9" bestFit="1" customWidth="1"/>
    <col min="2806" max="3053" width="8.81640625" style="9"/>
    <col min="3054" max="3054" width="7.81640625" style="9" customWidth="1"/>
    <col min="3055" max="3055" width="65.54296875" style="9" customWidth="1"/>
    <col min="3056" max="3057" width="7.54296875" style="9" bestFit="1" customWidth="1"/>
    <col min="3058" max="3058" width="15.453125" style="9" bestFit="1" customWidth="1"/>
    <col min="3059" max="3059" width="16.54296875" style="9" customWidth="1"/>
    <col min="3060" max="3060" width="18.453125" style="9" customWidth="1"/>
    <col min="3061" max="3061" width="16" style="9" bestFit="1" customWidth="1"/>
    <col min="3062" max="3309" width="8.81640625" style="9"/>
    <col min="3310" max="3310" width="7.81640625" style="9" customWidth="1"/>
    <col min="3311" max="3311" width="65.54296875" style="9" customWidth="1"/>
    <col min="3312" max="3313" width="7.54296875" style="9" bestFit="1" customWidth="1"/>
    <col min="3314" max="3314" width="15.453125" style="9" bestFit="1" customWidth="1"/>
    <col min="3315" max="3315" width="16.54296875" style="9" customWidth="1"/>
    <col min="3316" max="3316" width="18.453125" style="9" customWidth="1"/>
    <col min="3317" max="3317" width="16" style="9" bestFit="1" customWidth="1"/>
    <col min="3318" max="3565" width="8.81640625" style="9"/>
    <col min="3566" max="3566" width="7.81640625" style="9" customWidth="1"/>
    <col min="3567" max="3567" width="65.54296875" style="9" customWidth="1"/>
    <col min="3568" max="3569" width="7.54296875" style="9" bestFit="1" customWidth="1"/>
    <col min="3570" max="3570" width="15.453125" style="9" bestFit="1" customWidth="1"/>
    <col min="3571" max="3571" width="16.54296875" style="9" customWidth="1"/>
    <col min="3572" max="3572" width="18.453125" style="9" customWidth="1"/>
    <col min="3573" max="3573" width="16" style="9" bestFit="1" customWidth="1"/>
    <col min="3574" max="3821" width="8.81640625" style="9"/>
    <col min="3822" max="3822" width="7.81640625" style="9" customWidth="1"/>
    <col min="3823" max="3823" width="65.54296875" style="9" customWidth="1"/>
    <col min="3824" max="3825" width="7.54296875" style="9" bestFit="1" customWidth="1"/>
    <col min="3826" max="3826" width="15.453125" style="9" bestFit="1" customWidth="1"/>
    <col min="3827" max="3827" width="16.54296875" style="9" customWidth="1"/>
    <col min="3828" max="3828" width="18.453125" style="9" customWidth="1"/>
    <col min="3829" max="3829" width="16" style="9" bestFit="1" customWidth="1"/>
    <col min="3830" max="4077" width="8.81640625" style="9"/>
    <col min="4078" max="4078" width="7.81640625" style="9" customWidth="1"/>
    <col min="4079" max="4079" width="65.54296875" style="9" customWidth="1"/>
    <col min="4080" max="4081" width="7.54296875" style="9" bestFit="1" customWidth="1"/>
    <col min="4082" max="4082" width="15.453125" style="9" bestFit="1" customWidth="1"/>
    <col min="4083" max="4083" width="16.54296875" style="9" customWidth="1"/>
    <col min="4084" max="4084" width="18.453125" style="9" customWidth="1"/>
    <col min="4085" max="4085" width="16" style="9" bestFit="1" customWidth="1"/>
    <col min="4086" max="4333" width="8.81640625" style="9"/>
    <col min="4334" max="4334" width="7.81640625" style="9" customWidth="1"/>
    <col min="4335" max="4335" width="65.54296875" style="9" customWidth="1"/>
    <col min="4336" max="4337" width="7.54296875" style="9" bestFit="1" customWidth="1"/>
    <col min="4338" max="4338" width="15.453125" style="9" bestFit="1" customWidth="1"/>
    <col min="4339" max="4339" width="16.54296875" style="9" customWidth="1"/>
    <col min="4340" max="4340" width="18.453125" style="9" customWidth="1"/>
    <col min="4341" max="4341" width="16" style="9" bestFit="1" customWidth="1"/>
    <col min="4342" max="4589" width="8.81640625" style="9"/>
    <col min="4590" max="4590" width="7.81640625" style="9" customWidth="1"/>
    <col min="4591" max="4591" width="65.54296875" style="9" customWidth="1"/>
    <col min="4592" max="4593" width="7.54296875" style="9" bestFit="1" customWidth="1"/>
    <col min="4594" max="4594" width="15.453125" style="9" bestFit="1" customWidth="1"/>
    <col min="4595" max="4595" width="16.54296875" style="9" customWidth="1"/>
    <col min="4596" max="4596" width="18.453125" style="9" customWidth="1"/>
    <col min="4597" max="4597" width="16" style="9" bestFit="1" customWidth="1"/>
    <col min="4598" max="4845" width="8.81640625" style="9"/>
    <col min="4846" max="4846" width="7.81640625" style="9" customWidth="1"/>
    <col min="4847" max="4847" width="65.54296875" style="9" customWidth="1"/>
    <col min="4848" max="4849" width="7.54296875" style="9" bestFit="1" customWidth="1"/>
    <col min="4850" max="4850" width="15.453125" style="9" bestFit="1" customWidth="1"/>
    <col min="4851" max="4851" width="16.54296875" style="9" customWidth="1"/>
    <col min="4852" max="4852" width="18.453125" style="9" customWidth="1"/>
    <col min="4853" max="4853" width="16" style="9" bestFit="1" customWidth="1"/>
    <col min="4854" max="5101" width="8.81640625" style="9"/>
    <col min="5102" max="5102" width="7.81640625" style="9" customWidth="1"/>
    <col min="5103" max="5103" width="65.54296875" style="9" customWidth="1"/>
    <col min="5104" max="5105" width="7.54296875" style="9" bestFit="1" customWidth="1"/>
    <col min="5106" max="5106" width="15.453125" style="9" bestFit="1" customWidth="1"/>
    <col min="5107" max="5107" width="16.54296875" style="9" customWidth="1"/>
    <col min="5108" max="5108" width="18.453125" style="9" customWidth="1"/>
    <col min="5109" max="5109" width="16" style="9" bestFit="1" customWidth="1"/>
    <col min="5110" max="5357" width="8.81640625" style="9"/>
    <col min="5358" max="5358" width="7.81640625" style="9" customWidth="1"/>
    <col min="5359" max="5359" width="65.54296875" style="9" customWidth="1"/>
    <col min="5360" max="5361" width="7.54296875" style="9" bestFit="1" customWidth="1"/>
    <col min="5362" max="5362" width="15.453125" style="9" bestFit="1" customWidth="1"/>
    <col min="5363" max="5363" width="16.54296875" style="9" customWidth="1"/>
    <col min="5364" max="5364" width="18.453125" style="9" customWidth="1"/>
    <col min="5365" max="5365" width="16" style="9" bestFit="1" customWidth="1"/>
    <col min="5366" max="5613" width="8.81640625" style="9"/>
    <col min="5614" max="5614" width="7.81640625" style="9" customWidth="1"/>
    <col min="5615" max="5615" width="65.54296875" style="9" customWidth="1"/>
    <col min="5616" max="5617" width="7.54296875" style="9" bestFit="1" customWidth="1"/>
    <col min="5618" max="5618" width="15.453125" style="9" bestFit="1" customWidth="1"/>
    <col min="5619" max="5619" width="16.54296875" style="9" customWidth="1"/>
    <col min="5620" max="5620" width="18.453125" style="9" customWidth="1"/>
    <col min="5621" max="5621" width="16" style="9" bestFit="1" customWidth="1"/>
    <col min="5622" max="5869" width="8.81640625" style="9"/>
    <col min="5870" max="5870" width="7.81640625" style="9" customWidth="1"/>
    <col min="5871" max="5871" width="65.54296875" style="9" customWidth="1"/>
    <col min="5872" max="5873" width="7.54296875" style="9" bestFit="1" customWidth="1"/>
    <col min="5874" max="5874" width="15.453125" style="9" bestFit="1" customWidth="1"/>
    <col min="5875" max="5875" width="16.54296875" style="9" customWidth="1"/>
    <col min="5876" max="5876" width="18.453125" style="9" customWidth="1"/>
    <col min="5877" max="5877" width="16" style="9" bestFit="1" customWidth="1"/>
    <col min="5878" max="6125" width="8.81640625" style="9"/>
    <col min="6126" max="6126" width="7.81640625" style="9" customWidth="1"/>
    <col min="6127" max="6127" width="65.54296875" style="9" customWidth="1"/>
    <col min="6128" max="6129" width="7.54296875" style="9" bestFit="1" customWidth="1"/>
    <col min="6130" max="6130" width="15.453125" style="9" bestFit="1" customWidth="1"/>
    <col min="6131" max="6131" width="16.54296875" style="9" customWidth="1"/>
    <col min="6132" max="6132" width="18.453125" style="9" customWidth="1"/>
    <col min="6133" max="6133" width="16" style="9" bestFit="1" customWidth="1"/>
    <col min="6134" max="6381" width="8.81640625" style="9"/>
    <col min="6382" max="6382" width="7.81640625" style="9" customWidth="1"/>
    <col min="6383" max="6383" width="65.54296875" style="9" customWidth="1"/>
    <col min="6384" max="6385" width="7.54296875" style="9" bestFit="1" customWidth="1"/>
    <col min="6386" max="6386" width="15.453125" style="9" bestFit="1" customWidth="1"/>
    <col min="6387" max="6387" width="16.54296875" style="9" customWidth="1"/>
    <col min="6388" max="6388" width="18.453125" style="9" customWidth="1"/>
    <col min="6389" max="6389" width="16" style="9" bestFit="1" customWidth="1"/>
    <col min="6390" max="6637" width="8.81640625" style="9"/>
    <col min="6638" max="6638" width="7.81640625" style="9" customWidth="1"/>
    <col min="6639" max="6639" width="65.54296875" style="9" customWidth="1"/>
    <col min="6640" max="6641" width="7.54296875" style="9" bestFit="1" customWidth="1"/>
    <col min="6642" max="6642" width="15.453125" style="9" bestFit="1" customWidth="1"/>
    <col min="6643" max="6643" width="16.54296875" style="9" customWidth="1"/>
    <col min="6644" max="6644" width="18.453125" style="9" customWidth="1"/>
    <col min="6645" max="6645" width="16" style="9" bestFit="1" customWidth="1"/>
    <col min="6646" max="6893" width="8.81640625" style="9"/>
    <col min="6894" max="6894" width="7.81640625" style="9" customWidth="1"/>
    <col min="6895" max="6895" width="65.54296875" style="9" customWidth="1"/>
    <col min="6896" max="6897" width="7.54296875" style="9" bestFit="1" customWidth="1"/>
    <col min="6898" max="6898" width="15.453125" style="9" bestFit="1" customWidth="1"/>
    <col min="6899" max="6899" width="16.54296875" style="9" customWidth="1"/>
    <col min="6900" max="6900" width="18.453125" style="9" customWidth="1"/>
    <col min="6901" max="6901" width="16" style="9" bestFit="1" customWidth="1"/>
    <col min="6902" max="7149" width="8.81640625" style="9"/>
    <col min="7150" max="7150" width="7.81640625" style="9" customWidth="1"/>
    <col min="7151" max="7151" width="65.54296875" style="9" customWidth="1"/>
    <col min="7152" max="7153" width="7.54296875" style="9" bestFit="1" customWidth="1"/>
    <col min="7154" max="7154" width="15.453125" style="9" bestFit="1" customWidth="1"/>
    <col min="7155" max="7155" width="16.54296875" style="9" customWidth="1"/>
    <col min="7156" max="7156" width="18.453125" style="9" customWidth="1"/>
    <col min="7157" max="7157" width="16" style="9" bestFit="1" customWidth="1"/>
    <col min="7158" max="7405" width="8.81640625" style="9"/>
    <col min="7406" max="7406" width="7.81640625" style="9" customWidth="1"/>
    <col min="7407" max="7407" width="65.54296875" style="9" customWidth="1"/>
    <col min="7408" max="7409" width="7.54296875" style="9" bestFit="1" customWidth="1"/>
    <col min="7410" max="7410" width="15.453125" style="9" bestFit="1" customWidth="1"/>
    <col min="7411" max="7411" width="16.54296875" style="9" customWidth="1"/>
    <col min="7412" max="7412" width="18.453125" style="9" customWidth="1"/>
    <col min="7413" max="7413" width="16" style="9" bestFit="1" customWidth="1"/>
    <col min="7414" max="7661" width="8.81640625" style="9"/>
    <col min="7662" max="7662" width="7.81640625" style="9" customWidth="1"/>
    <col min="7663" max="7663" width="65.54296875" style="9" customWidth="1"/>
    <col min="7664" max="7665" width="7.54296875" style="9" bestFit="1" customWidth="1"/>
    <col min="7666" max="7666" width="15.453125" style="9" bestFit="1" customWidth="1"/>
    <col min="7667" max="7667" width="16.54296875" style="9" customWidth="1"/>
    <col min="7668" max="7668" width="18.453125" style="9" customWidth="1"/>
    <col min="7669" max="7669" width="16" style="9" bestFit="1" customWidth="1"/>
    <col min="7670" max="7917" width="8.81640625" style="9"/>
    <col min="7918" max="7918" width="7.81640625" style="9" customWidth="1"/>
    <col min="7919" max="7919" width="65.54296875" style="9" customWidth="1"/>
    <col min="7920" max="7921" width="7.54296875" style="9" bestFit="1" customWidth="1"/>
    <col min="7922" max="7922" width="15.453125" style="9" bestFit="1" customWidth="1"/>
    <col min="7923" max="7923" width="16.54296875" style="9" customWidth="1"/>
    <col min="7924" max="7924" width="18.453125" style="9" customWidth="1"/>
    <col min="7925" max="7925" width="16" style="9" bestFit="1" customWidth="1"/>
    <col min="7926" max="8173" width="8.81640625" style="9"/>
    <col min="8174" max="8174" width="7.81640625" style="9" customWidth="1"/>
    <col min="8175" max="8175" width="65.54296875" style="9" customWidth="1"/>
    <col min="8176" max="8177" width="7.54296875" style="9" bestFit="1" customWidth="1"/>
    <col min="8178" max="8178" width="15.453125" style="9" bestFit="1" customWidth="1"/>
    <col min="8179" max="8179" width="16.54296875" style="9" customWidth="1"/>
    <col min="8180" max="8180" width="18.453125" style="9" customWidth="1"/>
    <col min="8181" max="8181" width="16" style="9" bestFit="1" customWidth="1"/>
    <col min="8182" max="8429" width="8.81640625" style="9"/>
    <col min="8430" max="8430" width="7.81640625" style="9" customWidth="1"/>
    <col min="8431" max="8431" width="65.54296875" style="9" customWidth="1"/>
    <col min="8432" max="8433" width="7.54296875" style="9" bestFit="1" customWidth="1"/>
    <col min="8434" max="8434" width="15.453125" style="9" bestFit="1" customWidth="1"/>
    <col min="8435" max="8435" width="16.54296875" style="9" customWidth="1"/>
    <col min="8436" max="8436" width="18.453125" style="9" customWidth="1"/>
    <col min="8437" max="8437" width="16" style="9" bestFit="1" customWidth="1"/>
    <col min="8438" max="8685" width="8.81640625" style="9"/>
    <col min="8686" max="8686" width="7.81640625" style="9" customWidth="1"/>
    <col min="8687" max="8687" width="65.54296875" style="9" customWidth="1"/>
    <col min="8688" max="8689" width="7.54296875" style="9" bestFit="1" customWidth="1"/>
    <col min="8690" max="8690" width="15.453125" style="9" bestFit="1" customWidth="1"/>
    <col min="8691" max="8691" width="16.54296875" style="9" customWidth="1"/>
    <col min="8692" max="8692" width="18.453125" style="9" customWidth="1"/>
    <col min="8693" max="8693" width="16" style="9" bestFit="1" customWidth="1"/>
    <col min="8694" max="8941" width="8.81640625" style="9"/>
    <col min="8942" max="8942" width="7.81640625" style="9" customWidth="1"/>
    <col min="8943" max="8943" width="65.54296875" style="9" customWidth="1"/>
    <col min="8944" max="8945" width="7.54296875" style="9" bestFit="1" customWidth="1"/>
    <col min="8946" max="8946" width="15.453125" style="9" bestFit="1" customWidth="1"/>
    <col min="8947" max="8947" width="16.54296875" style="9" customWidth="1"/>
    <col min="8948" max="8948" width="18.453125" style="9" customWidth="1"/>
    <col min="8949" max="8949" width="16" style="9" bestFit="1" customWidth="1"/>
    <col min="8950" max="9197" width="8.81640625" style="9"/>
    <col min="9198" max="9198" width="7.81640625" style="9" customWidth="1"/>
    <col min="9199" max="9199" width="65.54296875" style="9" customWidth="1"/>
    <col min="9200" max="9201" width="7.54296875" style="9" bestFit="1" customWidth="1"/>
    <col min="9202" max="9202" width="15.453125" style="9" bestFit="1" customWidth="1"/>
    <col min="9203" max="9203" width="16.54296875" style="9" customWidth="1"/>
    <col min="9204" max="9204" width="18.453125" style="9" customWidth="1"/>
    <col min="9205" max="9205" width="16" style="9" bestFit="1" customWidth="1"/>
    <col min="9206" max="9453" width="8.81640625" style="9"/>
    <col min="9454" max="9454" width="7.81640625" style="9" customWidth="1"/>
    <col min="9455" max="9455" width="65.54296875" style="9" customWidth="1"/>
    <col min="9456" max="9457" width="7.54296875" style="9" bestFit="1" customWidth="1"/>
    <col min="9458" max="9458" width="15.453125" style="9" bestFit="1" customWidth="1"/>
    <col min="9459" max="9459" width="16.54296875" style="9" customWidth="1"/>
    <col min="9460" max="9460" width="18.453125" style="9" customWidth="1"/>
    <col min="9461" max="9461" width="16" style="9" bestFit="1" customWidth="1"/>
    <col min="9462" max="9709" width="8.81640625" style="9"/>
    <col min="9710" max="9710" width="7.81640625" style="9" customWidth="1"/>
    <col min="9711" max="9711" width="65.54296875" style="9" customWidth="1"/>
    <col min="9712" max="9713" width="7.54296875" style="9" bestFit="1" customWidth="1"/>
    <col min="9714" max="9714" width="15.453125" style="9" bestFit="1" customWidth="1"/>
    <col min="9715" max="9715" width="16.54296875" style="9" customWidth="1"/>
    <col min="9716" max="9716" width="18.453125" style="9" customWidth="1"/>
    <col min="9717" max="9717" width="16" style="9" bestFit="1" customWidth="1"/>
    <col min="9718" max="9965" width="8.81640625" style="9"/>
    <col min="9966" max="9966" width="7.81640625" style="9" customWidth="1"/>
    <col min="9967" max="9967" width="65.54296875" style="9" customWidth="1"/>
    <col min="9968" max="9969" width="7.54296875" style="9" bestFit="1" customWidth="1"/>
    <col min="9970" max="9970" width="15.453125" style="9" bestFit="1" customWidth="1"/>
    <col min="9971" max="9971" width="16.54296875" style="9" customWidth="1"/>
    <col min="9972" max="9972" width="18.453125" style="9" customWidth="1"/>
    <col min="9973" max="9973" width="16" style="9" bestFit="1" customWidth="1"/>
    <col min="9974" max="10221" width="8.81640625" style="9"/>
    <col min="10222" max="10222" width="7.81640625" style="9" customWidth="1"/>
    <col min="10223" max="10223" width="65.54296875" style="9" customWidth="1"/>
    <col min="10224" max="10225" width="7.54296875" style="9" bestFit="1" customWidth="1"/>
    <col min="10226" max="10226" width="15.453125" style="9" bestFit="1" customWidth="1"/>
    <col min="10227" max="10227" width="16.54296875" style="9" customWidth="1"/>
    <col min="10228" max="10228" width="18.453125" style="9" customWidth="1"/>
    <col min="10229" max="10229" width="16" style="9" bestFit="1" customWidth="1"/>
    <col min="10230" max="10477" width="8.81640625" style="9"/>
    <col min="10478" max="10478" width="7.81640625" style="9" customWidth="1"/>
    <col min="10479" max="10479" width="65.54296875" style="9" customWidth="1"/>
    <col min="10480" max="10481" width="7.54296875" style="9" bestFit="1" customWidth="1"/>
    <col min="10482" max="10482" width="15.453125" style="9" bestFit="1" customWidth="1"/>
    <col min="10483" max="10483" width="16.54296875" style="9" customWidth="1"/>
    <col min="10484" max="10484" width="18.453125" style="9" customWidth="1"/>
    <col min="10485" max="10485" width="16" style="9" bestFit="1" customWidth="1"/>
    <col min="10486" max="10733" width="8.81640625" style="9"/>
    <col min="10734" max="10734" width="7.81640625" style="9" customWidth="1"/>
    <col min="10735" max="10735" width="65.54296875" style="9" customWidth="1"/>
    <col min="10736" max="10737" width="7.54296875" style="9" bestFit="1" customWidth="1"/>
    <col min="10738" max="10738" width="15.453125" style="9" bestFit="1" customWidth="1"/>
    <col min="10739" max="10739" width="16.54296875" style="9" customWidth="1"/>
    <col min="10740" max="10740" width="18.453125" style="9" customWidth="1"/>
    <col min="10741" max="10741" width="16" style="9" bestFit="1" customWidth="1"/>
    <col min="10742" max="10989" width="8.81640625" style="9"/>
    <col min="10990" max="10990" width="7.81640625" style="9" customWidth="1"/>
    <col min="10991" max="10991" width="65.54296875" style="9" customWidth="1"/>
    <col min="10992" max="10993" width="7.54296875" style="9" bestFit="1" customWidth="1"/>
    <col min="10994" max="10994" width="15.453125" style="9" bestFit="1" customWidth="1"/>
    <col min="10995" max="10995" width="16.54296875" style="9" customWidth="1"/>
    <col min="10996" max="10996" width="18.453125" style="9" customWidth="1"/>
    <col min="10997" max="10997" width="16" style="9" bestFit="1" customWidth="1"/>
    <col min="10998" max="11245" width="8.81640625" style="9"/>
    <col min="11246" max="11246" width="7.81640625" style="9" customWidth="1"/>
    <col min="11247" max="11247" width="65.54296875" style="9" customWidth="1"/>
    <col min="11248" max="11249" width="7.54296875" style="9" bestFit="1" customWidth="1"/>
    <col min="11250" max="11250" width="15.453125" style="9" bestFit="1" customWidth="1"/>
    <col min="11251" max="11251" width="16.54296875" style="9" customWidth="1"/>
    <col min="11252" max="11252" width="18.453125" style="9" customWidth="1"/>
    <col min="11253" max="11253" width="16" style="9" bestFit="1" customWidth="1"/>
    <col min="11254" max="11501" width="8.81640625" style="9"/>
    <col min="11502" max="11502" width="7.81640625" style="9" customWidth="1"/>
    <col min="11503" max="11503" width="65.54296875" style="9" customWidth="1"/>
    <col min="11504" max="11505" width="7.54296875" style="9" bestFit="1" customWidth="1"/>
    <col min="11506" max="11506" width="15.453125" style="9" bestFit="1" customWidth="1"/>
    <col min="11507" max="11507" width="16.54296875" style="9" customWidth="1"/>
    <col min="11508" max="11508" width="18.453125" style="9" customWidth="1"/>
    <col min="11509" max="11509" width="16" style="9" bestFit="1" customWidth="1"/>
    <col min="11510" max="11757" width="8.81640625" style="9"/>
    <col min="11758" max="11758" width="7.81640625" style="9" customWidth="1"/>
    <col min="11759" max="11759" width="65.54296875" style="9" customWidth="1"/>
    <col min="11760" max="11761" width="7.54296875" style="9" bestFit="1" customWidth="1"/>
    <col min="11762" max="11762" width="15.453125" style="9" bestFit="1" customWidth="1"/>
    <col min="11763" max="11763" width="16.54296875" style="9" customWidth="1"/>
    <col min="11764" max="11764" width="18.453125" style="9" customWidth="1"/>
    <col min="11765" max="11765" width="16" style="9" bestFit="1" customWidth="1"/>
    <col min="11766" max="12013" width="8.81640625" style="9"/>
    <col min="12014" max="12014" width="7.81640625" style="9" customWidth="1"/>
    <col min="12015" max="12015" width="65.54296875" style="9" customWidth="1"/>
    <col min="12016" max="12017" width="7.54296875" style="9" bestFit="1" customWidth="1"/>
    <col min="12018" max="12018" width="15.453125" style="9" bestFit="1" customWidth="1"/>
    <col min="12019" max="12019" width="16.54296875" style="9" customWidth="1"/>
    <col min="12020" max="12020" width="18.453125" style="9" customWidth="1"/>
    <col min="12021" max="12021" width="16" style="9" bestFit="1" customWidth="1"/>
    <col min="12022" max="12269" width="8.81640625" style="9"/>
    <col min="12270" max="12270" width="7.81640625" style="9" customWidth="1"/>
    <col min="12271" max="12271" width="65.54296875" style="9" customWidth="1"/>
    <col min="12272" max="12273" width="7.54296875" style="9" bestFit="1" customWidth="1"/>
    <col min="12274" max="12274" width="15.453125" style="9" bestFit="1" customWidth="1"/>
    <col min="12275" max="12275" width="16.54296875" style="9" customWidth="1"/>
    <col min="12276" max="12276" width="18.453125" style="9" customWidth="1"/>
    <col min="12277" max="12277" width="16" style="9" bestFit="1" customWidth="1"/>
    <col min="12278" max="12525" width="8.81640625" style="9"/>
    <col min="12526" max="12526" width="7.81640625" style="9" customWidth="1"/>
    <col min="12527" max="12527" width="65.54296875" style="9" customWidth="1"/>
    <col min="12528" max="12529" width="7.54296875" style="9" bestFit="1" customWidth="1"/>
    <col min="12530" max="12530" width="15.453125" style="9" bestFit="1" customWidth="1"/>
    <col min="12531" max="12531" width="16.54296875" style="9" customWidth="1"/>
    <col min="12532" max="12532" width="18.453125" style="9" customWidth="1"/>
    <col min="12533" max="12533" width="16" style="9" bestFit="1" customWidth="1"/>
    <col min="12534" max="12781" width="8.81640625" style="9"/>
    <col min="12782" max="12782" width="7.81640625" style="9" customWidth="1"/>
    <col min="12783" max="12783" width="65.54296875" style="9" customWidth="1"/>
    <col min="12784" max="12785" width="7.54296875" style="9" bestFit="1" customWidth="1"/>
    <col min="12786" max="12786" width="15.453125" style="9" bestFit="1" customWidth="1"/>
    <col min="12787" max="12787" width="16.54296875" style="9" customWidth="1"/>
    <col min="12788" max="12788" width="18.453125" style="9" customWidth="1"/>
    <col min="12789" max="12789" width="16" style="9" bestFit="1" customWidth="1"/>
    <col min="12790" max="13037" width="8.81640625" style="9"/>
    <col min="13038" max="13038" width="7.81640625" style="9" customWidth="1"/>
    <col min="13039" max="13039" width="65.54296875" style="9" customWidth="1"/>
    <col min="13040" max="13041" width="7.54296875" style="9" bestFit="1" customWidth="1"/>
    <col min="13042" max="13042" width="15.453125" style="9" bestFit="1" customWidth="1"/>
    <col min="13043" max="13043" width="16.54296875" style="9" customWidth="1"/>
    <col min="13044" max="13044" width="18.453125" style="9" customWidth="1"/>
    <col min="13045" max="13045" width="16" style="9" bestFit="1" customWidth="1"/>
    <col min="13046" max="13293" width="8.81640625" style="9"/>
    <col min="13294" max="13294" width="7.81640625" style="9" customWidth="1"/>
    <col min="13295" max="13295" width="65.54296875" style="9" customWidth="1"/>
    <col min="13296" max="13297" width="7.54296875" style="9" bestFit="1" customWidth="1"/>
    <col min="13298" max="13298" width="15.453125" style="9" bestFit="1" customWidth="1"/>
    <col min="13299" max="13299" width="16.54296875" style="9" customWidth="1"/>
    <col min="13300" max="13300" width="18.453125" style="9" customWidth="1"/>
    <col min="13301" max="13301" width="16" style="9" bestFit="1" customWidth="1"/>
    <col min="13302" max="13549" width="8.81640625" style="9"/>
    <col min="13550" max="13550" width="7.81640625" style="9" customWidth="1"/>
    <col min="13551" max="13551" width="65.54296875" style="9" customWidth="1"/>
    <col min="13552" max="13553" width="7.54296875" style="9" bestFit="1" customWidth="1"/>
    <col min="13554" max="13554" width="15.453125" style="9" bestFit="1" customWidth="1"/>
    <col min="13555" max="13555" width="16.54296875" style="9" customWidth="1"/>
    <col min="13556" max="13556" width="18.453125" style="9" customWidth="1"/>
    <col min="13557" max="13557" width="16" style="9" bestFit="1" customWidth="1"/>
    <col min="13558" max="13805" width="8.81640625" style="9"/>
    <col min="13806" max="13806" width="7.81640625" style="9" customWidth="1"/>
    <col min="13807" max="13807" width="65.54296875" style="9" customWidth="1"/>
    <col min="13808" max="13809" width="7.54296875" style="9" bestFit="1" customWidth="1"/>
    <col min="13810" max="13810" width="15.453125" style="9" bestFit="1" customWidth="1"/>
    <col min="13811" max="13811" width="16.54296875" style="9" customWidth="1"/>
    <col min="13812" max="13812" width="18.453125" style="9" customWidth="1"/>
    <col min="13813" max="13813" width="16" style="9" bestFit="1" customWidth="1"/>
    <col min="13814" max="14061" width="8.81640625" style="9"/>
    <col min="14062" max="14062" width="7.81640625" style="9" customWidth="1"/>
    <col min="14063" max="14063" width="65.54296875" style="9" customWidth="1"/>
    <col min="14064" max="14065" width="7.54296875" style="9" bestFit="1" customWidth="1"/>
    <col min="14066" max="14066" width="15.453125" style="9" bestFit="1" customWidth="1"/>
    <col min="14067" max="14067" width="16.54296875" style="9" customWidth="1"/>
    <col min="14068" max="14068" width="18.453125" style="9" customWidth="1"/>
    <col min="14069" max="14069" width="16" style="9" bestFit="1" customWidth="1"/>
    <col min="14070" max="14317" width="8.81640625" style="9"/>
    <col min="14318" max="14318" width="7.81640625" style="9" customWidth="1"/>
    <col min="14319" max="14319" width="65.54296875" style="9" customWidth="1"/>
    <col min="14320" max="14321" width="7.54296875" style="9" bestFit="1" customWidth="1"/>
    <col min="14322" max="14322" width="15.453125" style="9" bestFit="1" customWidth="1"/>
    <col min="14323" max="14323" width="16.54296875" style="9" customWidth="1"/>
    <col min="14324" max="14324" width="18.453125" style="9" customWidth="1"/>
    <col min="14325" max="14325" width="16" style="9" bestFit="1" customWidth="1"/>
    <col min="14326" max="14573" width="8.81640625" style="9"/>
    <col min="14574" max="14574" width="7.81640625" style="9" customWidth="1"/>
    <col min="14575" max="14575" width="65.54296875" style="9" customWidth="1"/>
    <col min="14576" max="14577" width="7.54296875" style="9" bestFit="1" customWidth="1"/>
    <col min="14578" max="14578" width="15.453125" style="9" bestFit="1" customWidth="1"/>
    <col min="14579" max="14579" width="16.54296875" style="9" customWidth="1"/>
    <col min="14580" max="14580" width="18.453125" style="9" customWidth="1"/>
    <col min="14581" max="14581" width="16" style="9" bestFit="1" customWidth="1"/>
    <col min="14582" max="14829" width="8.81640625" style="9"/>
    <col min="14830" max="14830" width="7.81640625" style="9" customWidth="1"/>
    <col min="14831" max="14831" width="65.54296875" style="9" customWidth="1"/>
    <col min="14832" max="14833" width="7.54296875" style="9" bestFit="1" customWidth="1"/>
    <col min="14834" max="14834" width="15.453125" style="9" bestFit="1" customWidth="1"/>
    <col min="14835" max="14835" width="16.54296875" style="9" customWidth="1"/>
    <col min="14836" max="14836" width="18.453125" style="9" customWidth="1"/>
    <col min="14837" max="14837" width="16" style="9" bestFit="1" customWidth="1"/>
    <col min="14838" max="15085" width="8.81640625" style="9"/>
    <col min="15086" max="15086" width="7.81640625" style="9" customWidth="1"/>
    <col min="15087" max="15087" width="65.54296875" style="9" customWidth="1"/>
    <col min="15088" max="15089" width="7.54296875" style="9" bestFit="1" customWidth="1"/>
    <col min="15090" max="15090" width="15.453125" style="9" bestFit="1" customWidth="1"/>
    <col min="15091" max="15091" width="16.54296875" style="9" customWidth="1"/>
    <col min="15092" max="15092" width="18.453125" style="9" customWidth="1"/>
    <col min="15093" max="15093" width="16" style="9" bestFit="1" customWidth="1"/>
    <col min="15094" max="15341" width="8.81640625" style="9"/>
    <col min="15342" max="15342" width="7.81640625" style="9" customWidth="1"/>
    <col min="15343" max="15343" width="65.54296875" style="9" customWidth="1"/>
    <col min="15344" max="15345" width="7.54296875" style="9" bestFit="1" customWidth="1"/>
    <col min="15346" max="15346" width="15.453125" style="9" bestFit="1" customWidth="1"/>
    <col min="15347" max="15347" width="16.54296875" style="9" customWidth="1"/>
    <col min="15348" max="15348" width="18.453125" style="9" customWidth="1"/>
    <col min="15349" max="15349" width="16" style="9" bestFit="1" customWidth="1"/>
    <col min="15350" max="15597" width="8.81640625" style="9"/>
    <col min="15598" max="15598" width="7.81640625" style="9" customWidth="1"/>
    <col min="15599" max="15599" width="65.54296875" style="9" customWidth="1"/>
    <col min="15600" max="15601" width="7.54296875" style="9" bestFit="1" customWidth="1"/>
    <col min="15602" max="15602" width="15.453125" style="9" bestFit="1" customWidth="1"/>
    <col min="15603" max="15603" width="16.54296875" style="9" customWidth="1"/>
    <col min="15604" max="15604" width="18.453125" style="9" customWidth="1"/>
    <col min="15605" max="15605" width="16" style="9" bestFit="1" customWidth="1"/>
    <col min="15606" max="15853" width="8.81640625" style="9"/>
    <col min="15854" max="15854" width="7.81640625" style="9" customWidth="1"/>
    <col min="15855" max="15855" width="65.54296875" style="9" customWidth="1"/>
    <col min="15856" max="15857" width="7.54296875" style="9" bestFit="1" customWidth="1"/>
    <col min="15858" max="15858" width="15.453125" style="9" bestFit="1" customWidth="1"/>
    <col min="15859" max="15859" width="16.54296875" style="9" customWidth="1"/>
    <col min="15860" max="15860" width="18.453125" style="9" customWidth="1"/>
    <col min="15861" max="15861" width="16" style="9" bestFit="1" customWidth="1"/>
    <col min="15862" max="16109" width="8.81640625" style="9"/>
    <col min="16110" max="16110" width="7.81640625" style="9" customWidth="1"/>
    <col min="16111" max="16111" width="65.54296875" style="9" customWidth="1"/>
    <col min="16112" max="16113" width="7.54296875" style="9" bestFit="1" customWidth="1"/>
    <col min="16114" max="16114" width="15.453125" style="9" bestFit="1" customWidth="1"/>
    <col min="16115" max="16115" width="16.54296875" style="9" customWidth="1"/>
    <col min="16116" max="16116" width="18.453125" style="9" customWidth="1"/>
    <col min="16117" max="16117" width="16" style="9" bestFit="1" customWidth="1"/>
    <col min="16118" max="16384" width="8.81640625" style="9"/>
  </cols>
  <sheetData>
    <row r="1" spans="1:10" s="8" customFormat="1" ht="14.15" customHeight="1" x14ac:dyDescent="0.25">
      <c r="A1" s="826" t="s">
        <v>239</v>
      </c>
      <c r="B1" s="827"/>
      <c r="C1" s="827"/>
      <c r="D1" s="827"/>
      <c r="E1" s="827"/>
      <c r="F1" s="827"/>
      <c r="G1" s="827"/>
      <c r="H1" s="828">
        <v>45009</v>
      </c>
      <c r="I1" s="829"/>
      <c r="J1" s="25" t="s">
        <v>240</v>
      </c>
    </row>
    <row r="2" spans="1:10" x14ac:dyDescent="0.3">
      <c r="A2" s="49"/>
      <c r="B2" s="41"/>
      <c r="C2" s="42" t="s">
        <v>57</v>
      </c>
      <c r="D2" s="43"/>
      <c r="E2" s="43"/>
      <c r="F2" s="44"/>
      <c r="G2" s="42"/>
      <c r="H2" s="42" t="s">
        <v>56</v>
      </c>
      <c r="I2" s="44"/>
      <c r="J2" s="6"/>
    </row>
    <row r="3" spans="1:10" s="10" customFormat="1" ht="20.149999999999999" customHeight="1" x14ac:dyDescent="0.25">
      <c r="A3" s="50" t="s">
        <v>8</v>
      </c>
      <c r="B3" s="45" t="s">
        <v>19</v>
      </c>
      <c r="C3" s="45" t="s">
        <v>9</v>
      </c>
      <c r="D3" s="45" t="s">
        <v>39</v>
      </c>
      <c r="E3" s="45" t="s">
        <v>17</v>
      </c>
      <c r="F3" s="46" t="s">
        <v>10</v>
      </c>
      <c r="G3" s="45" t="s">
        <v>16</v>
      </c>
      <c r="H3" s="46" t="s">
        <v>15</v>
      </c>
      <c r="I3" s="46" t="s">
        <v>11</v>
      </c>
      <c r="J3" s="51" t="s">
        <v>58</v>
      </c>
    </row>
    <row r="4" spans="1:10" s="11" customFormat="1" x14ac:dyDescent="0.3">
      <c r="A4" s="26"/>
      <c r="B4" s="16"/>
      <c r="C4" s="21"/>
      <c r="D4" s="21"/>
      <c r="E4" s="21"/>
      <c r="F4" s="47"/>
      <c r="G4" s="16"/>
      <c r="H4" s="16"/>
      <c r="I4" s="47"/>
      <c r="J4" s="6"/>
    </row>
    <row r="5" spans="1:10" x14ac:dyDescent="0.3">
      <c r="A5" s="830"/>
      <c r="B5" s="831"/>
      <c r="C5" s="831"/>
      <c r="D5" s="831"/>
      <c r="E5" s="831"/>
      <c r="F5" s="831"/>
      <c r="G5" s="831"/>
      <c r="H5" s="831"/>
      <c r="I5" s="831"/>
      <c r="J5" s="832"/>
    </row>
    <row r="6" spans="1:10" x14ac:dyDescent="0.3">
      <c r="A6" s="7" t="s">
        <v>148</v>
      </c>
      <c r="B6" s="1"/>
      <c r="C6" s="1"/>
      <c r="D6" s="1"/>
      <c r="E6" s="1"/>
      <c r="F6" s="1"/>
      <c r="G6" s="3"/>
      <c r="H6" s="1"/>
      <c r="I6" s="48"/>
      <c r="J6" s="4"/>
    </row>
    <row r="7" spans="1:10" s="12" customFormat="1" ht="26" x14ac:dyDescent="0.3">
      <c r="A7" s="833">
        <v>1</v>
      </c>
      <c r="B7" s="834" t="s">
        <v>139</v>
      </c>
      <c r="C7" s="23" t="s">
        <v>140</v>
      </c>
      <c r="D7" s="23"/>
      <c r="E7" s="18"/>
      <c r="F7" s="19"/>
      <c r="G7" s="22"/>
      <c r="H7" s="54"/>
      <c r="I7" s="24"/>
      <c r="J7" s="5"/>
    </row>
    <row r="8" spans="1:10" s="11" customFormat="1" x14ac:dyDescent="0.3">
      <c r="A8" s="833"/>
      <c r="B8" s="834"/>
      <c r="C8" s="23" t="s">
        <v>141</v>
      </c>
      <c r="D8" s="23"/>
      <c r="E8" s="20"/>
      <c r="F8" s="19"/>
      <c r="G8" s="22"/>
      <c r="H8" s="54"/>
      <c r="I8" s="24"/>
      <c r="J8" s="5"/>
    </row>
    <row r="9" spans="1:10" s="12" customFormat="1" x14ac:dyDescent="0.3">
      <c r="A9" s="833"/>
      <c r="B9" s="834"/>
      <c r="C9" s="23" t="s">
        <v>142</v>
      </c>
      <c r="D9" s="23"/>
      <c r="E9" s="20"/>
      <c r="F9" s="19"/>
      <c r="G9" s="22"/>
      <c r="H9" s="54"/>
      <c r="I9" s="24"/>
      <c r="J9" s="5"/>
    </row>
    <row r="10" spans="1:10" s="11" customFormat="1" x14ac:dyDescent="0.3">
      <c r="A10" s="833"/>
      <c r="B10" s="834"/>
      <c r="C10" s="23" t="s">
        <v>196</v>
      </c>
      <c r="D10" s="23"/>
      <c r="E10" s="20" t="s">
        <v>198</v>
      </c>
      <c r="F10" s="19" t="s">
        <v>95</v>
      </c>
      <c r="G10" s="22"/>
      <c r="H10" s="54"/>
      <c r="I10" s="37">
        <f>H10*G10</f>
        <v>0</v>
      </c>
      <c r="J10" s="5"/>
    </row>
    <row r="11" spans="1:10" s="12" customFormat="1" x14ac:dyDescent="0.3">
      <c r="A11" s="833"/>
      <c r="B11" s="834"/>
      <c r="C11" s="23" t="s">
        <v>197</v>
      </c>
      <c r="D11" s="23"/>
      <c r="E11" s="18" t="s">
        <v>199</v>
      </c>
      <c r="F11" s="19" t="s">
        <v>95</v>
      </c>
      <c r="G11" s="22"/>
      <c r="H11" s="54"/>
      <c r="I11" s="37">
        <f>H11*G11</f>
        <v>0</v>
      </c>
      <c r="J11" s="5"/>
    </row>
    <row r="12" spans="1:10" s="12" customFormat="1" x14ac:dyDescent="0.3">
      <c r="A12" s="26"/>
      <c r="B12" s="17"/>
      <c r="C12" s="23"/>
      <c r="D12" s="23"/>
      <c r="E12" s="18"/>
      <c r="F12" s="19"/>
      <c r="G12" s="22"/>
      <c r="H12" s="54"/>
      <c r="I12" s="24"/>
      <c r="J12" s="5"/>
    </row>
    <row r="13" spans="1:10" s="12" customFormat="1" x14ac:dyDescent="0.3">
      <c r="A13" s="26">
        <v>2</v>
      </c>
      <c r="B13" s="17" t="s">
        <v>143</v>
      </c>
      <c r="C13" s="23" t="s">
        <v>152</v>
      </c>
      <c r="D13" s="23"/>
      <c r="E13" s="20"/>
      <c r="F13" s="19" t="s">
        <v>95</v>
      </c>
      <c r="G13" s="22"/>
      <c r="H13" s="54"/>
      <c r="I13" s="37">
        <f>H13*G13</f>
        <v>0</v>
      </c>
      <c r="J13" s="5"/>
    </row>
    <row r="14" spans="1:10" s="12" customFormat="1" x14ac:dyDescent="0.3">
      <c r="A14" s="26"/>
      <c r="B14" s="17"/>
      <c r="C14" s="23"/>
      <c r="D14" s="23"/>
      <c r="E14" s="20"/>
      <c r="F14" s="19"/>
      <c r="G14" s="22"/>
      <c r="H14" s="22"/>
      <c r="I14" s="37"/>
      <c r="J14" s="5"/>
    </row>
    <row r="15" spans="1:10" s="12" customFormat="1" x14ac:dyDescent="0.3">
      <c r="A15" s="26">
        <v>3</v>
      </c>
      <c r="B15" s="17" t="s">
        <v>144</v>
      </c>
      <c r="C15" s="23" t="s">
        <v>145</v>
      </c>
      <c r="D15" s="23"/>
      <c r="E15" s="20"/>
      <c r="F15" s="19" t="s">
        <v>151</v>
      </c>
      <c r="G15" s="22"/>
      <c r="H15" s="22"/>
      <c r="I15" s="37">
        <f>H15*G15</f>
        <v>0</v>
      </c>
      <c r="J15" s="5"/>
    </row>
    <row r="16" spans="1:10" x14ac:dyDescent="0.3">
      <c r="A16" s="26"/>
      <c r="B16" s="17"/>
      <c r="C16" s="23"/>
      <c r="D16" s="23"/>
      <c r="E16" s="20"/>
      <c r="F16" s="19"/>
      <c r="G16" s="22"/>
      <c r="H16" s="22"/>
      <c r="I16" s="37"/>
      <c r="J16" s="5"/>
    </row>
    <row r="17" spans="1:10" s="11" customFormat="1" x14ac:dyDescent="0.3">
      <c r="A17" s="26">
        <v>4</v>
      </c>
      <c r="B17" s="17" t="s">
        <v>146</v>
      </c>
      <c r="C17" s="23" t="s">
        <v>147</v>
      </c>
      <c r="D17" s="23"/>
      <c r="E17" s="20"/>
      <c r="F17" s="19" t="s">
        <v>151</v>
      </c>
      <c r="G17" s="22"/>
      <c r="H17" s="22"/>
      <c r="I17" s="37">
        <f>H17*G17</f>
        <v>0</v>
      </c>
      <c r="J17" s="5"/>
    </row>
    <row r="18" spans="1:10" x14ac:dyDescent="0.3">
      <c r="A18" s="26"/>
      <c r="B18" s="17"/>
      <c r="C18" s="23"/>
      <c r="D18" s="23"/>
      <c r="E18" s="20"/>
      <c r="F18" s="19"/>
      <c r="G18" s="22"/>
      <c r="H18" s="22"/>
      <c r="I18" s="37"/>
      <c r="J18" s="5"/>
    </row>
    <row r="19" spans="1:10" x14ac:dyDescent="0.3">
      <c r="A19" s="35" t="s">
        <v>150</v>
      </c>
      <c r="B19" s="33"/>
      <c r="C19" s="33"/>
      <c r="D19" s="33"/>
      <c r="E19" s="33"/>
      <c r="F19" s="33"/>
      <c r="G19" s="32"/>
      <c r="H19" s="33"/>
      <c r="I19" s="34">
        <f>SUM(I10:I18)</f>
        <v>0</v>
      </c>
      <c r="J19" s="36"/>
    </row>
    <row r="20" spans="1:10" ht="13.5" thickBot="1" x14ac:dyDescent="0.35">
      <c r="A20" s="27"/>
      <c r="B20" s="28"/>
      <c r="C20" s="29"/>
      <c r="D20" s="29"/>
      <c r="E20" s="29"/>
      <c r="F20" s="30"/>
      <c r="G20" s="52"/>
      <c r="H20" s="52"/>
      <c r="I20" s="53"/>
      <c r="J20" s="31"/>
    </row>
    <row r="21" spans="1:10" x14ac:dyDescent="0.3">
      <c r="F21" s="13"/>
    </row>
    <row r="41" ht="93" customHeight="1" x14ac:dyDescent="0.3"/>
    <row r="49" spans="1:10" ht="13.5" customHeight="1" x14ac:dyDescent="0.3"/>
    <row r="50" spans="1:10" ht="13.5" customHeight="1" x14ac:dyDescent="0.3"/>
    <row r="52" spans="1:10" s="12" customFormat="1" x14ac:dyDescent="0.3">
      <c r="A52" s="8"/>
      <c r="B52" s="8"/>
      <c r="C52" s="13"/>
      <c r="D52" s="13"/>
      <c r="E52" s="13"/>
      <c r="F52" s="2"/>
      <c r="G52" s="8"/>
      <c r="H52" s="8"/>
      <c r="I52" s="2"/>
      <c r="J52" s="9"/>
    </row>
    <row r="54" spans="1:10" ht="16.5" customHeight="1" x14ac:dyDescent="0.3"/>
    <row r="55" spans="1:10" s="12" customFormat="1" x14ac:dyDescent="0.3">
      <c r="A55" s="8"/>
      <c r="B55" s="8"/>
      <c r="C55" s="13"/>
      <c r="D55" s="13"/>
      <c r="E55" s="13"/>
      <c r="F55" s="2"/>
      <c r="G55" s="8"/>
      <c r="H55" s="8"/>
      <c r="I55" s="2"/>
      <c r="J55" s="9"/>
    </row>
    <row r="57" spans="1:10" ht="13.5" customHeight="1" x14ac:dyDescent="0.3"/>
    <row r="59" spans="1:10" ht="13.5" customHeight="1" x14ac:dyDescent="0.3"/>
    <row r="64" spans="1:10" ht="12.75" customHeight="1" x14ac:dyDescent="0.3"/>
    <row r="65" spans="1:10" s="12" customFormat="1" ht="18" customHeight="1" x14ac:dyDescent="0.3">
      <c r="A65" s="8"/>
      <c r="B65" s="8"/>
      <c r="C65" s="13"/>
      <c r="D65" s="13"/>
      <c r="E65" s="13"/>
      <c r="F65" s="2"/>
      <c r="G65" s="8"/>
      <c r="H65" s="8"/>
      <c r="I65" s="2"/>
      <c r="J65" s="9"/>
    </row>
    <row r="67" spans="1:10" s="12" customFormat="1" ht="15" customHeight="1" x14ac:dyDescent="0.3">
      <c r="A67" s="8"/>
      <c r="B67" s="8"/>
      <c r="C67" s="13"/>
      <c r="D67" s="13"/>
      <c r="E67" s="13"/>
      <c r="F67" s="2"/>
      <c r="G67" s="8"/>
      <c r="H67" s="8"/>
      <c r="I67" s="2"/>
      <c r="J67" s="9"/>
    </row>
    <row r="68" spans="1:10" s="12" customFormat="1" x14ac:dyDescent="0.3">
      <c r="A68" s="8"/>
      <c r="B68" s="8"/>
      <c r="C68" s="13"/>
      <c r="D68" s="13"/>
      <c r="E68" s="13"/>
      <c r="F68" s="2"/>
      <c r="G68" s="8"/>
      <c r="H68" s="8"/>
      <c r="I68" s="2"/>
      <c r="J68" s="9"/>
    </row>
    <row r="69" spans="1:10" s="14" customFormat="1" x14ac:dyDescent="0.3">
      <c r="A69" s="8"/>
      <c r="B69" s="8"/>
      <c r="C69" s="13"/>
      <c r="D69" s="13"/>
      <c r="E69" s="13"/>
      <c r="F69" s="2"/>
      <c r="G69" s="8"/>
      <c r="H69" s="8"/>
      <c r="I69" s="2"/>
      <c r="J69" s="9"/>
    </row>
    <row r="70" spans="1:10" s="14" customFormat="1" ht="15" customHeight="1" x14ac:dyDescent="0.3">
      <c r="A70" s="8"/>
      <c r="B70" s="8"/>
      <c r="C70" s="13"/>
      <c r="D70" s="13"/>
      <c r="E70" s="13"/>
      <c r="F70" s="2"/>
      <c r="G70" s="8"/>
      <c r="H70" s="8"/>
      <c r="I70" s="2"/>
      <c r="J70" s="9"/>
    </row>
    <row r="71" spans="1:10" s="15" customFormat="1" x14ac:dyDescent="0.3">
      <c r="A71" s="8"/>
      <c r="B71" s="8"/>
      <c r="C71" s="13"/>
      <c r="D71" s="13"/>
      <c r="E71" s="13"/>
      <c r="F71" s="2"/>
      <c r="G71" s="8"/>
      <c r="H71" s="8"/>
      <c r="I71" s="2"/>
      <c r="J71" s="9"/>
    </row>
    <row r="72" spans="1:10" s="15" customFormat="1" x14ac:dyDescent="0.3">
      <c r="A72" s="8"/>
      <c r="B72" s="8"/>
      <c r="C72" s="13"/>
      <c r="D72" s="13"/>
      <c r="E72" s="13"/>
      <c r="F72" s="2"/>
      <c r="G72" s="8"/>
      <c r="H72" s="8"/>
      <c r="I72" s="2"/>
      <c r="J72" s="9"/>
    </row>
    <row r="73" spans="1:10" s="15" customFormat="1" x14ac:dyDescent="0.3">
      <c r="A73" s="8"/>
      <c r="B73" s="8"/>
      <c r="C73" s="13"/>
      <c r="D73" s="13"/>
      <c r="E73" s="13"/>
      <c r="F73" s="2"/>
      <c r="G73" s="8"/>
      <c r="H73" s="8"/>
      <c r="I73" s="2"/>
      <c r="J73" s="9"/>
    </row>
    <row r="74" spans="1:10" s="15" customFormat="1" x14ac:dyDescent="0.3">
      <c r="A74" s="8"/>
      <c r="B74" s="8"/>
      <c r="C74" s="13"/>
      <c r="D74" s="13"/>
      <c r="E74" s="13"/>
      <c r="F74" s="2"/>
      <c r="G74" s="8"/>
      <c r="H74" s="8"/>
      <c r="I74" s="2"/>
      <c r="J74" s="9"/>
    </row>
    <row r="75" spans="1:10" s="15" customFormat="1" x14ac:dyDescent="0.3">
      <c r="A75" s="8"/>
      <c r="B75" s="8"/>
      <c r="C75" s="13"/>
      <c r="D75" s="13"/>
      <c r="E75" s="13"/>
      <c r="F75" s="2"/>
      <c r="G75" s="8"/>
      <c r="H75" s="8"/>
      <c r="I75" s="2"/>
      <c r="J75" s="9"/>
    </row>
    <row r="76" spans="1:10" s="15" customFormat="1" x14ac:dyDescent="0.3">
      <c r="A76" s="8"/>
      <c r="B76" s="8"/>
      <c r="C76" s="13"/>
      <c r="D76" s="13"/>
      <c r="E76" s="13"/>
      <c r="F76" s="2"/>
      <c r="G76" s="8"/>
      <c r="H76" s="8"/>
      <c r="I76" s="2"/>
      <c r="J76" s="9"/>
    </row>
    <row r="77" spans="1:10" s="15" customFormat="1" x14ac:dyDescent="0.3">
      <c r="A77" s="8"/>
      <c r="B77" s="8"/>
      <c r="C77" s="13"/>
      <c r="D77" s="13"/>
      <c r="E77" s="13"/>
      <c r="F77" s="2"/>
      <c r="G77" s="8"/>
      <c r="H77" s="8"/>
      <c r="I77" s="2"/>
      <c r="J77" s="9"/>
    </row>
    <row r="78" spans="1:10" s="15" customFormat="1" x14ac:dyDescent="0.3">
      <c r="A78" s="8"/>
      <c r="B78" s="8"/>
      <c r="C78" s="13"/>
      <c r="D78" s="13"/>
      <c r="E78" s="13"/>
      <c r="F78" s="2"/>
      <c r="G78" s="8"/>
      <c r="H78" s="8"/>
      <c r="I78" s="2"/>
      <c r="J78" s="9"/>
    </row>
    <row r="79" spans="1:10" s="15" customFormat="1" x14ac:dyDescent="0.3">
      <c r="A79" s="8"/>
      <c r="B79" s="8"/>
      <c r="C79" s="13"/>
      <c r="D79" s="13"/>
      <c r="E79" s="13"/>
      <c r="F79" s="2"/>
      <c r="G79" s="8"/>
      <c r="H79" s="8"/>
      <c r="I79" s="2"/>
      <c r="J79" s="9"/>
    </row>
    <row r="80" spans="1:10" s="15" customFormat="1" x14ac:dyDescent="0.3">
      <c r="A80" s="8"/>
      <c r="B80" s="8"/>
      <c r="C80" s="13"/>
      <c r="D80" s="13"/>
      <c r="E80" s="13"/>
      <c r="F80" s="2"/>
      <c r="G80" s="8"/>
      <c r="H80" s="8"/>
      <c r="I80" s="2"/>
      <c r="J80" s="9"/>
    </row>
    <row r="81" spans="1:10" s="15" customFormat="1" x14ac:dyDescent="0.3">
      <c r="A81" s="8"/>
      <c r="B81" s="8"/>
      <c r="C81" s="13"/>
      <c r="D81" s="13"/>
      <c r="E81" s="13"/>
      <c r="F81" s="2"/>
      <c r="G81" s="8"/>
      <c r="H81" s="8"/>
      <c r="I81" s="2"/>
      <c r="J81" s="9"/>
    </row>
    <row r="82" spans="1:10" s="15" customFormat="1" x14ac:dyDescent="0.3">
      <c r="A82" s="8"/>
      <c r="B82" s="8"/>
      <c r="C82" s="13"/>
      <c r="D82" s="13"/>
      <c r="E82" s="13"/>
      <c r="F82" s="2"/>
      <c r="G82" s="8"/>
      <c r="H82" s="8"/>
      <c r="I82" s="2"/>
      <c r="J82" s="9"/>
    </row>
    <row r="83" spans="1:10" s="15" customFormat="1" x14ac:dyDescent="0.3">
      <c r="A83" s="8"/>
      <c r="B83" s="8"/>
      <c r="C83" s="13"/>
      <c r="D83" s="13"/>
      <c r="E83" s="13"/>
      <c r="F83" s="2"/>
      <c r="G83" s="8"/>
      <c r="H83" s="8"/>
      <c r="I83" s="2"/>
      <c r="J83" s="9"/>
    </row>
    <row r="84" spans="1:10" s="15" customFormat="1" x14ac:dyDescent="0.3">
      <c r="A84" s="8"/>
      <c r="B84" s="8"/>
      <c r="C84" s="13"/>
      <c r="D84" s="13"/>
      <c r="E84" s="13"/>
      <c r="F84" s="2"/>
      <c r="G84" s="8"/>
      <c r="H84" s="8"/>
      <c r="I84" s="2"/>
      <c r="J84" s="9"/>
    </row>
    <row r="85" spans="1:10" s="15" customFormat="1" x14ac:dyDescent="0.3">
      <c r="A85" s="8"/>
      <c r="B85" s="8"/>
      <c r="C85" s="13"/>
      <c r="D85" s="13"/>
      <c r="E85" s="13"/>
      <c r="F85" s="2"/>
      <c r="G85" s="8"/>
      <c r="H85" s="8"/>
      <c r="I85" s="2"/>
      <c r="J85" s="9"/>
    </row>
    <row r="86" spans="1:10" s="15" customFormat="1" x14ac:dyDescent="0.3">
      <c r="A86" s="8"/>
      <c r="B86" s="8"/>
      <c r="C86" s="13"/>
      <c r="D86" s="13"/>
      <c r="E86" s="13"/>
      <c r="F86" s="2"/>
      <c r="G86" s="8"/>
      <c r="H86" s="8"/>
      <c r="I86" s="2"/>
      <c r="J86" s="9"/>
    </row>
    <row r="87" spans="1:10" s="15" customFormat="1" x14ac:dyDescent="0.3">
      <c r="A87" s="8"/>
      <c r="B87" s="8"/>
      <c r="C87" s="13"/>
      <c r="D87" s="13"/>
      <c r="E87" s="13"/>
      <c r="F87" s="2"/>
      <c r="G87" s="8"/>
      <c r="H87" s="8"/>
      <c r="I87" s="2"/>
      <c r="J87" s="9"/>
    </row>
    <row r="88" spans="1:10" s="15" customFormat="1" x14ac:dyDescent="0.3">
      <c r="A88" s="8"/>
      <c r="B88" s="8"/>
      <c r="C88" s="13"/>
      <c r="D88" s="13"/>
      <c r="E88" s="13"/>
      <c r="F88" s="2"/>
      <c r="G88" s="8"/>
      <c r="H88" s="8"/>
      <c r="I88" s="2"/>
      <c r="J88" s="9"/>
    </row>
    <row r="96" spans="1:10" s="15" customFormat="1" x14ac:dyDescent="0.3">
      <c r="A96" s="8"/>
      <c r="B96" s="8"/>
      <c r="C96" s="13"/>
      <c r="D96" s="13"/>
      <c r="E96" s="13"/>
      <c r="F96" s="2"/>
      <c r="G96" s="8"/>
      <c r="H96" s="8"/>
      <c r="I96" s="2"/>
      <c r="J96" s="9"/>
    </row>
    <row r="97" spans="1:10" s="15" customFormat="1" x14ac:dyDescent="0.3">
      <c r="A97" s="8"/>
      <c r="B97" s="8"/>
      <c r="C97" s="13"/>
      <c r="D97" s="13"/>
      <c r="E97" s="13"/>
      <c r="F97" s="2"/>
      <c r="G97" s="8"/>
      <c r="H97" s="8"/>
      <c r="I97" s="2"/>
      <c r="J97" s="9"/>
    </row>
    <row r="103" spans="1:10" s="15" customFormat="1" x14ac:dyDescent="0.3">
      <c r="A103" s="8"/>
      <c r="B103" s="8"/>
      <c r="C103" s="13"/>
      <c r="D103" s="13"/>
      <c r="E103" s="13"/>
      <c r="F103" s="2"/>
      <c r="G103" s="8"/>
      <c r="H103" s="8"/>
      <c r="I103" s="2"/>
      <c r="J103" s="9"/>
    </row>
    <row r="104" spans="1:10" s="15" customFormat="1" x14ac:dyDescent="0.3">
      <c r="A104" s="8"/>
      <c r="B104" s="8"/>
      <c r="C104" s="13"/>
      <c r="D104" s="13"/>
      <c r="E104" s="13"/>
      <c r="F104" s="2"/>
      <c r="G104" s="8"/>
      <c r="H104" s="8"/>
      <c r="I104" s="2"/>
      <c r="J104" s="9"/>
    </row>
    <row r="110" spans="1:10" s="15" customFormat="1" x14ac:dyDescent="0.3">
      <c r="A110" s="8"/>
      <c r="B110" s="8"/>
      <c r="C110" s="13"/>
      <c r="D110" s="13"/>
      <c r="E110" s="13"/>
      <c r="F110" s="2"/>
      <c r="G110" s="8"/>
      <c r="H110" s="8"/>
      <c r="I110" s="2"/>
      <c r="J110" s="9"/>
    </row>
    <row r="111" spans="1:10" s="15" customFormat="1" x14ac:dyDescent="0.3">
      <c r="A111" s="8"/>
      <c r="B111" s="8"/>
      <c r="C111" s="13"/>
      <c r="D111" s="13"/>
      <c r="E111" s="13"/>
      <c r="F111" s="2"/>
      <c r="G111" s="8"/>
      <c r="H111" s="8"/>
      <c r="I111" s="2"/>
      <c r="J111" s="9"/>
    </row>
    <row r="112" spans="1:10" s="15" customFormat="1" x14ac:dyDescent="0.3">
      <c r="A112" s="8"/>
      <c r="B112" s="8"/>
      <c r="C112" s="13"/>
      <c r="D112" s="13"/>
      <c r="E112" s="13"/>
      <c r="F112" s="2"/>
      <c r="G112" s="8"/>
      <c r="H112" s="8"/>
      <c r="I112" s="2"/>
      <c r="J112" s="9"/>
    </row>
    <row r="113" spans="1:10" s="15" customFormat="1" x14ac:dyDescent="0.3">
      <c r="A113" s="8"/>
      <c r="B113" s="8"/>
      <c r="C113" s="13"/>
      <c r="D113" s="13"/>
      <c r="E113" s="13"/>
      <c r="F113" s="2"/>
      <c r="G113" s="8"/>
      <c r="H113" s="8"/>
      <c r="I113" s="2"/>
      <c r="J113" s="9"/>
    </row>
    <row r="114" spans="1:10" s="15" customFormat="1" x14ac:dyDescent="0.3">
      <c r="A114" s="8"/>
      <c r="B114" s="8"/>
      <c r="C114" s="13"/>
      <c r="D114" s="13"/>
      <c r="E114" s="13"/>
      <c r="F114" s="2"/>
      <c r="G114" s="8"/>
      <c r="H114" s="8"/>
      <c r="I114" s="2"/>
      <c r="J114" s="9"/>
    </row>
    <row r="115" spans="1:10" s="15" customFormat="1" ht="15" hidden="1" customHeight="1" x14ac:dyDescent="0.3">
      <c r="A115" s="8"/>
      <c r="B115" s="8"/>
      <c r="C115" s="13"/>
      <c r="D115" s="13"/>
      <c r="E115" s="13"/>
      <c r="F115" s="2"/>
      <c r="G115" s="8"/>
      <c r="H115" s="8"/>
      <c r="I115" s="2"/>
      <c r="J115" s="9"/>
    </row>
    <row r="116" spans="1:10" s="15" customFormat="1" ht="15" hidden="1" customHeight="1" x14ac:dyDescent="0.3">
      <c r="A116" s="8"/>
      <c r="B116" s="8"/>
      <c r="C116" s="13"/>
      <c r="D116" s="13"/>
      <c r="E116" s="13"/>
      <c r="F116" s="2"/>
      <c r="G116" s="8"/>
      <c r="H116" s="8"/>
      <c r="I116" s="2"/>
      <c r="J116" s="9"/>
    </row>
    <row r="117" spans="1:10" s="15" customFormat="1" x14ac:dyDescent="0.3">
      <c r="A117" s="8"/>
      <c r="B117" s="8"/>
      <c r="C117" s="13"/>
      <c r="D117" s="13"/>
      <c r="E117" s="13"/>
      <c r="F117" s="2"/>
      <c r="G117" s="8"/>
      <c r="H117" s="8"/>
      <c r="I117" s="2"/>
      <c r="J117" s="9"/>
    </row>
    <row r="118" spans="1:10" s="15" customFormat="1" x14ac:dyDescent="0.3">
      <c r="A118" s="8"/>
      <c r="B118" s="8"/>
      <c r="C118" s="13"/>
      <c r="D118" s="13"/>
      <c r="E118" s="13"/>
      <c r="F118" s="2"/>
      <c r="G118" s="8"/>
      <c r="H118" s="8"/>
      <c r="I118" s="2"/>
      <c r="J118" s="9"/>
    </row>
    <row r="119" spans="1:10" s="15" customFormat="1" x14ac:dyDescent="0.3">
      <c r="A119" s="8"/>
      <c r="B119" s="8"/>
      <c r="C119" s="13"/>
      <c r="D119" s="13"/>
      <c r="E119" s="13"/>
      <c r="F119" s="2"/>
      <c r="G119" s="8"/>
      <c r="H119" s="8"/>
      <c r="I119" s="2"/>
      <c r="J119" s="9"/>
    </row>
    <row r="120" spans="1:10" s="15" customFormat="1" x14ac:dyDescent="0.3">
      <c r="A120" s="8"/>
      <c r="B120" s="8"/>
      <c r="C120" s="13"/>
      <c r="D120" s="13"/>
      <c r="E120" s="13"/>
      <c r="F120" s="2"/>
      <c r="G120" s="8"/>
      <c r="H120" s="8"/>
      <c r="I120" s="2"/>
      <c r="J120" s="9"/>
    </row>
    <row r="121" spans="1:10" s="15" customFormat="1" x14ac:dyDescent="0.3">
      <c r="A121" s="8"/>
      <c r="B121" s="8"/>
      <c r="C121" s="13"/>
      <c r="D121" s="13"/>
      <c r="E121" s="13"/>
      <c r="F121" s="2"/>
      <c r="G121" s="8"/>
      <c r="H121" s="8"/>
      <c r="I121" s="2"/>
      <c r="J121" s="9"/>
    </row>
    <row r="122" spans="1:10" s="15" customFormat="1" x14ac:dyDescent="0.3">
      <c r="A122" s="8"/>
      <c r="B122" s="8"/>
      <c r="C122" s="13"/>
      <c r="D122" s="13"/>
      <c r="E122" s="13"/>
      <c r="F122" s="2"/>
      <c r="G122" s="8"/>
      <c r="H122" s="8"/>
      <c r="I122" s="2"/>
      <c r="J122" s="9"/>
    </row>
    <row r="123" spans="1:10" s="15" customFormat="1" x14ac:dyDescent="0.3">
      <c r="A123" s="8"/>
      <c r="B123" s="8"/>
      <c r="C123" s="13"/>
      <c r="D123" s="13"/>
      <c r="E123" s="13"/>
      <c r="F123" s="2"/>
      <c r="G123" s="8"/>
      <c r="H123" s="8"/>
      <c r="I123" s="2"/>
      <c r="J123" s="9"/>
    </row>
    <row r="124" spans="1:10" s="15" customFormat="1" x14ac:dyDescent="0.3">
      <c r="A124" s="8"/>
      <c r="B124" s="8"/>
      <c r="C124" s="13"/>
      <c r="D124" s="13"/>
      <c r="E124" s="13"/>
      <c r="F124" s="2"/>
      <c r="G124" s="8"/>
      <c r="H124" s="8"/>
      <c r="I124" s="2"/>
      <c r="J124" s="9"/>
    </row>
    <row r="125" spans="1:10" s="15" customFormat="1" x14ac:dyDescent="0.3">
      <c r="A125" s="8"/>
      <c r="B125" s="8"/>
      <c r="C125" s="13"/>
      <c r="D125" s="13"/>
      <c r="E125" s="13"/>
      <c r="F125" s="2"/>
      <c r="G125" s="8"/>
      <c r="H125" s="8"/>
      <c r="I125" s="2"/>
      <c r="J125" s="9"/>
    </row>
    <row r="126" spans="1:10" s="15" customFormat="1" x14ac:dyDescent="0.3">
      <c r="A126" s="8"/>
      <c r="B126" s="8"/>
      <c r="C126" s="13"/>
      <c r="D126" s="13"/>
      <c r="E126" s="13"/>
      <c r="F126" s="2"/>
      <c r="G126" s="8"/>
      <c r="H126" s="8"/>
      <c r="I126" s="2"/>
      <c r="J126" s="9"/>
    </row>
    <row r="127" spans="1:10" s="15" customFormat="1" x14ac:dyDescent="0.3">
      <c r="A127" s="8"/>
      <c r="B127" s="8"/>
      <c r="C127" s="13"/>
      <c r="D127" s="13"/>
      <c r="E127" s="13"/>
      <c r="F127" s="2"/>
      <c r="G127" s="8"/>
      <c r="H127" s="8"/>
      <c r="I127" s="2"/>
      <c r="J127" s="9"/>
    </row>
    <row r="128" spans="1:10" s="11" customFormat="1" x14ac:dyDescent="0.3">
      <c r="A128" s="8"/>
      <c r="B128" s="8"/>
      <c r="C128" s="13"/>
      <c r="D128" s="13"/>
      <c r="E128" s="13"/>
      <c r="F128" s="2"/>
      <c r="G128" s="8"/>
      <c r="H128" s="8"/>
      <c r="I128" s="2"/>
      <c r="J128" s="9"/>
    </row>
    <row r="130" spans="1:10" s="15" customFormat="1" x14ac:dyDescent="0.3">
      <c r="A130" s="8"/>
      <c r="B130" s="8"/>
      <c r="C130" s="13"/>
      <c r="D130" s="13"/>
      <c r="E130" s="13"/>
      <c r="F130" s="2"/>
      <c r="G130" s="8"/>
      <c r="H130" s="8"/>
      <c r="I130" s="2"/>
      <c r="J130" s="9"/>
    </row>
    <row r="131" spans="1:10" s="11" customFormat="1" x14ac:dyDescent="0.3">
      <c r="A131" s="8"/>
      <c r="B131" s="8"/>
      <c r="C131" s="13"/>
      <c r="D131" s="13"/>
      <c r="E131" s="13"/>
      <c r="F131" s="2"/>
      <c r="G131" s="8"/>
      <c r="H131" s="8"/>
      <c r="I131" s="2"/>
      <c r="J131" s="9"/>
    </row>
    <row r="132" spans="1:10" s="15" customFormat="1" x14ac:dyDescent="0.3">
      <c r="A132" s="8"/>
      <c r="B132" s="8"/>
      <c r="C132" s="13"/>
      <c r="D132" s="13"/>
      <c r="E132" s="13"/>
      <c r="F132" s="2"/>
      <c r="G132" s="8"/>
      <c r="H132" s="8"/>
      <c r="I132" s="2"/>
      <c r="J132" s="9"/>
    </row>
    <row r="133" spans="1:10" s="15" customFormat="1" x14ac:dyDescent="0.3">
      <c r="A133" s="8"/>
      <c r="B133" s="8"/>
      <c r="C133" s="13"/>
      <c r="D133" s="13"/>
      <c r="E133" s="13"/>
      <c r="F133" s="2"/>
      <c r="G133" s="8"/>
      <c r="H133" s="8"/>
      <c r="I133" s="2"/>
      <c r="J133" s="9"/>
    </row>
    <row r="134" spans="1:10" s="15" customFormat="1" x14ac:dyDescent="0.3">
      <c r="A134" s="8"/>
      <c r="B134" s="8"/>
      <c r="C134" s="13"/>
      <c r="D134" s="13"/>
      <c r="E134" s="13"/>
      <c r="F134" s="2"/>
      <c r="G134" s="8"/>
      <c r="H134" s="8"/>
      <c r="I134" s="2"/>
      <c r="J134" s="9"/>
    </row>
    <row r="135" spans="1:10" s="15" customFormat="1" x14ac:dyDescent="0.3">
      <c r="A135" s="8"/>
      <c r="B135" s="8"/>
      <c r="C135" s="13"/>
      <c r="D135" s="13"/>
      <c r="E135" s="13"/>
      <c r="F135" s="2"/>
      <c r="G135" s="8"/>
      <c r="H135" s="8"/>
      <c r="I135" s="2"/>
      <c r="J135" s="9"/>
    </row>
    <row r="136" spans="1:10" s="15" customFormat="1" x14ac:dyDescent="0.3">
      <c r="A136" s="8"/>
      <c r="B136" s="8"/>
      <c r="C136" s="13"/>
      <c r="D136" s="13"/>
      <c r="E136" s="13"/>
      <c r="F136" s="2"/>
      <c r="G136" s="8"/>
      <c r="H136" s="8"/>
      <c r="I136" s="2"/>
      <c r="J136" s="9"/>
    </row>
    <row r="137" spans="1:10" s="15" customFormat="1" x14ac:dyDescent="0.3">
      <c r="A137" s="8"/>
      <c r="B137" s="8"/>
      <c r="C137" s="13"/>
      <c r="D137" s="13"/>
      <c r="E137" s="13"/>
      <c r="F137" s="2"/>
      <c r="G137" s="8"/>
      <c r="H137" s="8"/>
      <c r="I137" s="2"/>
      <c r="J137" s="9"/>
    </row>
    <row r="138" spans="1:10" s="15" customFormat="1" x14ac:dyDescent="0.3">
      <c r="A138" s="8"/>
      <c r="B138" s="8"/>
      <c r="C138" s="13"/>
      <c r="D138" s="13"/>
      <c r="E138" s="13"/>
      <c r="F138" s="2"/>
      <c r="G138" s="8"/>
      <c r="H138" s="8"/>
      <c r="I138" s="2"/>
      <c r="J138" s="9"/>
    </row>
    <row r="142" spans="1:10" s="15" customFormat="1" x14ac:dyDescent="0.3">
      <c r="A142" s="8"/>
      <c r="B142" s="8"/>
      <c r="C142" s="13"/>
      <c r="D142" s="13"/>
      <c r="E142" s="13"/>
      <c r="F142" s="2"/>
      <c r="G142" s="8"/>
      <c r="H142" s="8"/>
      <c r="I142" s="2"/>
      <c r="J142" s="9"/>
    </row>
    <row r="143" spans="1:10" s="15" customFormat="1" x14ac:dyDescent="0.3">
      <c r="A143" s="8"/>
      <c r="B143" s="8"/>
      <c r="C143" s="13"/>
      <c r="D143" s="13"/>
      <c r="E143" s="13"/>
      <c r="F143" s="2"/>
      <c r="G143" s="8"/>
      <c r="H143" s="8"/>
      <c r="I143" s="2"/>
      <c r="J143" s="9"/>
    </row>
    <row r="144" spans="1:10" s="15" customFormat="1" ht="16.5" customHeight="1" x14ac:dyDescent="0.3">
      <c r="A144" s="8"/>
      <c r="B144" s="8"/>
      <c r="C144" s="13"/>
      <c r="D144" s="13"/>
      <c r="E144" s="13"/>
      <c r="F144" s="2"/>
      <c r="G144" s="8"/>
      <c r="H144" s="8"/>
      <c r="I144" s="2"/>
      <c r="J144" s="9"/>
    </row>
    <row r="145" spans="1:10" s="15" customFormat="1" x14ac:dyDescent="0.3">
      <c r="A145" s="8"/>
      <c r="B145" s="8"/>
      <c r="C145" s="13"/>
      <c r="D145" s="13"/>
      <c r="E145" s="13"/>
      <c r="F145" s="2"/>
      <c r="G145" s="8"/>
      <c r="H145" s="8"/>
      <c r="I145" s="2"/>
      <c r="J145" s="9"/>
    </row>
    <row r="146" spans="1:10" s="15" customFormat="1" x14ac:dyDescent="0.3">
      <c r="A146" s="8"/>
      <c r="B146" s="8"/>
      <c r="C146" s="13"/>
      <c r="D146" s="13"/>
      <c r="E146" s="13"/>
      <c r="F146" s="2"/>
      <c r="G146" s="8"/>
      <c r="H146" s="8"/>
      <c r="I146" s="2"/>
      <c r="J146" s="9"/>
    </row>
    <row r="147" spans="1:10" s="15" customFormat="1" x14ac:dyDescent="0.3">
      <c r="A147" s="8"/>
      <c r="B147" s="8"/>
      <c r="C147" s="13"/>
      <c r="D147" s="13"/>
      <c r="E147" s="13"/>
      <c r="F147" s="2"/>
      <c r="G147" s="8"/>
      <c r="H147" s="8"/>
      <c r="I147" s="2"/>
      <c r="J147" s="9"/>
    </row>
    <row r="148" spans="1:10" s="15" customFormat="1" x14ac:dyDescent="0.3">
      <c r="A148" s="8"/>
      <c r="B148" s="8"/>
      <c r="C148" s="13"/>
      <c r="D148" s="13"/>
      <c r="E148" s="13"/>
      <c r="F148" s="2"/>
      <c r="G148" s="8"/>
      <c r="H148" s="8"/>
      <c r="I148" s="2"/>
      <c r="J148" s="9"/>
    </row>
    <row r="149" spans="1:10" s="15" customFormat="1" x14ac:dyDescent="0.3">
      <c r="A149" s="8"/>
      <c r="B149" s="8"/>
      <c r="C149" s="13"/>
      <c r="D149" s="13"/>
      <c r="E149" s="13"/>
      <c r="F149" s="2"/>
      <c r="G149" s="8"/>
      <c r="H149" s="8"/>
      <c r="I149" s="2"/>
      <c r="J149" s="9"/>
    </row>
    <row r="150" spans="1:10" s="15" customFormat="1" x14ac:dyDescent="0.3">
      <c r="A150" s="8"/>
      <c r="B150" s="8"/>
      <c r="C150" s="13"/>
      <c r="D150" s="13"/>
      <c r="E150" s="13"/>
      <c r="F150" s="2"/>
      <c r="G150" s="8"/>
      <c r="H150" s="8"/>
      <c r="I150" s="2"/>
      <c r="J150" s="9"/>
    </row>
    <row r="151" spans="1:10" s="15" customFormat="1" x14ac:dyDescent="0.3">
      <c r="A151" s="8"/>
      <c r="B151" s="8"/>
      <c r="C151" s="13"/>
      <c r="D151" s="13"/>
      <c r="E151" s="13"/>
      <c r="F151" s="2"/>
      <c r="G151" s="8"/>
      <c r="H151" s="8"/>
      <c r="I151" s="2"/>
      <c r="J151" s="9"/>
    </row>
    <row r="152" spans="1:10" s="15" customFormat="1" ht="14.25" customHeight="1" x14ac:dyDescent="0.3">
      <c r="A152" s="8"/>
      <c r="B152" s="8"/>
      <c r="C152" s="13"/>
      <c r="D152" s="13"/>
      <c r="E152" s="13"/>
      <c r="F152" s="2"/>
      <c r="G152" s="8"/>
      <c r="H152" s="8"/>
      <c r="I152" s="2"/>
      <c r="J152" s="9"/>
    </row>
    <row r="153" spans="1:10" s="15" customFormat="1" x14ac:dyDescent="0.3">
      <c r="A153" s="8"/>
      <c r="B153" s="8"/>
      <c r="C153" s="13"/>
      <c r="D153" s="13"/>
      <c r="E153" s="13"/>
      <c r="F153" s="2"/>
      <c r="G153" s="8"/>
      <c r="H153" s="8"/>
      <c r="I153" s="2"/>
      <c r="J153" s="9"/>
    </row>
    <row r="154" spans="1:10" s="15" customFormat="1" x14ac:dyDescent="0.3">
      <c r="A154" s="8"/>
      <c r="B154" s="8"/>
      <c r="C154" s="13"/>
      <c r="D154" s="13"/>
      <c r="E154" s="13"/>
      <c r="F154" s="2"/>
      <c r="G154" s="8"/>
      <c r="H154" s="8"/>
      <c r="I154" s="2"/>
      <c r="J154" s="9"/>
    </row>
    <row r="155" spans="1:10" s="15" customFormat="1" x14ac:dyDescent="0.3">
      <c r="A155" s="8"/>
      <c r="B155" s="8"/>
      <c r="C155" s="13"/>
      <c r="D155" s="13"/>
      <c r="E155" s="13"/>
      <c r="F155" s="2"/>
      <c r="G155" s="8"/>
      <c r="H155" s="8"/>
      <c r="I155" s="2"/>
      <c r="J155" s="9"/>
    </row>
    <row r="156" spans="1:10" s="15" customFormat="1" ht="13.5" customHeight="1" x14ac:dyDescent="0.3">
      <c r="A156" s="8"/>
      <c r="B156" s="8"/>
      <c r="C156" s="13"/>
      <c r="D156" s="13"/>
      <c r="E156" s="13"/>
      <c r="F156" s="2"/>
      <c r="G156" s="8"/>
      <c r="H156" s="8"/>
      <c r="I156" s="2"/>
      <c r="J156" s="9"/>
    </row>
    <row r="157" spans="1:10" s="15" customFormat="1" ht="13.5" customHeight="1" x14ac:dyDescent="0.3">
      <c r="A157" s="8"/>
      <c r="B157" s="8"/>
      <c r="C157" s="13"/>
      <c r="D157" s="13"/>
      <c r="E157" s="13"/>
      <c r="F157" s="2"/>
      <c r="G157" s="8"/>
      <c r="H157" s="8"/>
      <c r="I157" s="2"/>
      <c r="J157" s="9"/>
    </row>
    <row r="158" spans="1:10" s="15" customFormat="1" x14ac:dyDescent="0.3">
      <c r="A158" s="8"/>
      <c r="B158" s="8"/>
      <c r="C158" s="13"/>
      <c r="D158" s="13"/>
      <c r="E158" s="13"/>
      <c r="F158" s="2"/>
      <c r="G158" s="8"/>
      <c r="H158" s="8"/>
      <c r="I158" s="2"/>
      <c r="J158" s="9"/>
    </row>
    <row r="159" spans="1:10" s="15" customFormat="1" x14ac:dyDescent="0.3">
      <c r="A159" s="8"/>
      <c r="B159" s="8"/>
      <c r="C159" s="13"/>
      <c r="D159" s="13"/>
      <c r="E159" s="13"/>
      <c r="F159" s="2"/>
      <c r="G159" s="8"/>
      <c r="H159" s="8"/>
      <c r="I159" s="2"/>
      <c r="J159" s="9"/>
    </row>
    <row r="160" spans="1:10" s="15" customFormat="1" ht="13.5" customHeight="1" x14ac:dyDescent="0.3">
      <c r="A160" s="8"/>
      <c r="B160" s="8"/>
      <c r="C160" s="13"/>
      <c r="D160" s="13"/>
      <c r="E160" s="13"/>
      <c r="F160" s="2"/>
      <c r="G160" s="8"/>
      <c r="H160" s="8"/>
      <c r="I160" s="2"/>
      <c r="J160" s="9"/>
    </row>
    <row r="161" spans="1:10" s="15" customFormat="1" ht="13.5" customHeight="1" x14ac:dyDescent="0.3">
      <c r="A161" s="8"/>
      <c r="B161" s="8"/>
      <c r="C161" s="13"/>
      <c r="D161" s="13"/>
      <c r="E161" s="13"/>
      <c r="F161" s="2"/>
      <c r="G161" s="8"/>
      <c r="H161" s="8"/>
      <c r="I161" s="2"/>
      <c r="J161" s="9"/>
    </row>
    <row r="162" spans="1:10" s="15" customFormat="1" x14ac:dyDescent="0.3">
      <c r="A162" s="8"/>
      <c r="B162" s="8"/>
      <c r="C162" s="13"/>
      <c r="D162" s="13"/>
      <c r="E162" s="13"/>
      <c r="F162" s="2"/>
      <c r="G162" s="8"/>
      <c r="H162" s="8"/>
      <c r="I162" s="2"/>
      <c r="J162" s="9"/>
    </row>
    <row r="163" spans="1:10" s="15" customFormat="1" x14ac:dyDescent="0.3">
      <c r="A163" s="8"/>
      <c r="B163" s="8"/>
      <c r="C163" s="13"/>
      <c r="D163" s="13"/>
      <c r="E163" s="13"/>
      <c r="F163" s="2"/>
      <c r="G163" s="8"/>
      <c r="H163" s="8"/>
      <c r="I163" s="2"/>
      <c r="J163" s="9"/>
    </row>
    <row r="164" spans="1:10" s="15" customFormat="1" x14ac:dyDescent="0.3">
      <c r="A164" s="8"/>
      <c r="B164" s="8"/>
      <c r="C164" s="13"/>
      <c r="D164" s="13"/>
      <c r="E164" s="13"/>
      <c r="F164" s="2"/>
      <c r="G164" s="8"/>
      <c r="H164" s="8"/>
      <c r="I164" s="2"/>
      <c r="J164" s="9"/>
    </row>
    <row r="165" spans="1:10" s="15" customFormat="1" ht="26.25" customHeight="1" x14ac:dyDescent="0.3">
      <c r="A165" s="8"/>
      <c r="B165" s="8"/>
      <c r="C165" s="13"/>
      <c r="D165" s="13"/>
      <c r="E165" s="13"/>
      <c r="F165" s="2"/>
      <c r="G165" s="8"/>
      <c r="H165" s="8"/>
      <c r="I165" s="2"/>
      <c r="J165" s="9"/>
    </row>
    <row r="166" spans="1:10" s="15" customFormat="1" ht="13.5" customHeight="1" x14ac:dyDescent="0.3">
      <c r="A166" s="8"/>
      <c r="B166" s="8"/>
      <c r="C166" s="13"/>
      <c r="D166" s="13"/>
      <c r="E166" s="13"/>
      <c r="F166" s="2"/>
      <c r="G166" s="8"/>
      <c r="H166" s="8"/>
      <c r="I166" s="2"/>
      <c r="J166" s="9"/>
    </row>
    <row r="167" spans="1:10" s="15" customFormat="1" x14ac:dyDescent="0.3">
      <c r="A167" s="8"/>
      <c r="B167" s="8"/>
      <c r="C167" s="13"/>
      <c r="D167" s="13"/>
      <c r="E167" s="13"/>
      <c r="F167" s="2"/>
      <c r="G167" s="8"/>
      <c r="H167" s="8"/>
      <c r="I167" s="2"/>
      <c r="J167" s="9"/>
    </row>
    <row r="168" spans="1:10" s="15" customFormat="1" x14ac:dyDescent="0.3">
      <c r="A168" s="8"/>
      <c r="B168" s="8"/>
      <c r="C168" s="13"/>
      <c r="D168" s="13"/>
      <c r="E168" s="13"/>
      <c r="F168" s="2"/>
      <c r="G168" s="8"/>
      <c r="H168" s="8"/>
      <c r="I168" s="2"/>
      <c r="J168" s="9"/>
    </row>
    <row r="169" spans="1:10" s="15" customFormat="1" x14ac:dyDescent="0.3">
      <c r="A169" s="8"/>
      <c r="B169" s="8"/>
      <c r="C169" s="13"/>
      <c r="D169" s="13"/>
      <c r="E169" s="13"/>
      <c r="F169" s="2"/>
      <c r="G169" s="8"/>
      <c r="H169" s="8"/>
      <c r="I169" s="2"/>
      <c r="J169" s="9"/>
    </row>
    <row r="170" spans="1:10" s="15" customFormat="1" ht="26.25" customHeight="1" x14ac:dyDescent="0.3">
      <c r="A170" s="8"/>
      <c r="B170" s="8"/>
      <c r="C170" s="13"/>
      <c r="D170" s="13"/>
      <c r="E170" s="13"/>
      <c r="F170" s="2"/>
      <c r="G170" s="8"/>
      <c r="H170" s="8"/>
      <c r="I170" s="2"/>
      <c r="J170" s="9"/>
    </row>
    <row r="171" spans="1:10" s="15" customFormat="1" ht="13.5" customHeight="1" x14ac:dyDescent="0.3">
      <c r="A171" s="8"/>
      <c r="B171" s="8"/>
      <c r="C171" s="13"/>
      <c r="D171" s="13"/>
      <c r="E171" s="13"/>
      <c r="F171" s="2"/>
      <c r="G171" s="8"/>
      <c r="H171" s="8"/>
      <c r="I171" s="2"/>
      <c r="J171" s="9"/>
    </row>
    <row r="172" spans="1:10" s="15" customFormat="1" x14ac:dyDescent="0.3">
      <c r="A172" s="8"/>
      <c r="B172" s="8"/>
      <c r="C172" s="13"/>
      <c r="D172" s="13"/>
      <c r="E172" s="13"/>
      <c r="F172" s="2"/>
      <c r="G172" s="8"/>
      <c r="H172" s="8"/>
      <c r="I172" s="2"/>
      <c r="J172" s="9"/>
    </row>
    <row r="173" spans="1:10" s="15" customFormat="1" x14ac:dyDescent="0.3">
      <c r="A173" s="8"/>
      <c r="B173" s="8"/>
      <c r="C173" s="13"/>
      <c r="D173" s="13"/>
      <c r="E173" s="13"/>
      <c r="F173" s="2"/>
      <c r="G173" s="8"/>
      <c r="H173" s="8"/>
      <c r="I173" s="2"/>
      <c r="J173" s="9"/>
    </row>
    <row r="174" spans="1:10" s="15" customFormat="1" x14ac:dyDescent="0.3">
      <c r="A174" s="8"/>
      <c r="B174" s="8"/>
      <c r="C174" s="13"/>
      <c r="D174" s="13"/>
      <c r="E174" s="13"/>
      <c r="F174" s="2"/>
      <c r="G174" s="8"/>
      <c r="H174" s="8"/>
      <c r="I174" s="2"/>
      <c r="J174" s="9"/>
    </row>
    <row r="175" spans="1:10" s="15" customFormat="1" x14ac:dyDescent="0.3">
      <c r="A175" s="8"/>
      <c r="B175" s="8"/>
      <c r="C175" s="13"/>
      <c r="D175" s="13"/>
      <c r="E175" s="13"/>
      <c r="F175" s="2"/>
      <c r="G175" s="8"/>
      <c r="H175" s="8"/>
      <c r="I175" s="2"/>
      <c r="J175" s="9"/>
    </row>
    <row r="176" spans="1:10" s="15" customFormat="1" ht="26.25" customHeight="1" x14ac:dyDescent="0.3">
      <c r="A176" s="8"/>
      <c r="B176" s="8"/>
      <c r="C176" s="13"/>
      <c r="D176" s="13"/>
      <c r="E176" s="13"/>
      <c r="F176" s="2"/>
      <c r="G176" s="8"/>
      <c r="H176" s="8"/>
      <c r="I176" s="2"/>
      <c r="J176" s="9"/>
    </row>
    <row r="177" spans="1:10" s="15" customFormat="1" x14ac:dyDescent="0.3">
      <c r="A177" s="8"/>
      <c r="B177" s="8"/>
      <c r="C177" s="13"/>
      <c r="D177" s="13"/>
      <c r="E177" s="13"/>
      <c r="F177" s="2"/>
      <c r="G177" s="8"/>
      <c r="H177" s="8"/>
      <c r="I177" s="2"/>
      <c r="J177" s="9"/>
    </row>
    <row r="178" spans="1:10" s="15" customFormat="1" x14ac:dyDescent="0.3">
      <c r="A178" s="8"/>
      <c r="B178" s="8"/>
      <c r="C178" s="13"/>
      <c r="D178" s="13"/>
      <c r="E178" s="13"/>
      <c r="F178" s="2"/>
      <c r="G178" s="8"/>
      <c r="H178" s="8"/>
      <c r="I178" s="2"/>
      <c r="J178" s="9"/>
    </row>
    <row r="179" spans="1:10" s="15" customFormat="1" ht="13.5" customHeight="1" x14ac:dyDescent="0.3">
      <c r="A179" s="8"/>
      <c r="B179" s="8"/>
      <c r="C179" s="13"/>
      <c r="D179" s="13"/>
      <c r="E179" s="13"/>
      <c r="F179" s="2"/>
      <c r="G179" s="8"/>
      <c r="H179" s="8"/>
      <c r="I179" s="2"/>
      <c r="J179" s="9"/>
    </row>
    <row r="180" spans="1:10" s="15" customFormat="1" x14ac:dyDescent="0.3">
      <c r="A180" s="8"/>
      <c r="B180" s="8"/>
      <c r="C180" s="13"/>
      <c r="D180" s="13"/>
      <c r="E180" s="13"/>
      <c r="F180" s="2"/>
      <c r="G180" s="8"/>
      <c r="H180" s="8"/>
      <c r="I180" s="2"/>
      <c r="J180" s="9"/>
    </row>
    <row r="181" spans="1:10" s="15" customFormat="1" ht="13.5" customHeight="1" x14ac:dyDescent="0.3">
      <c r="A181" s="8"/>
      <c r="B181" s="8"/>
      <c r="C181" s="13"/>
      <c r="D181" s="13"/>
      <c r="E181" s="13"/>
      <c r="F181" s="2"/>
      <c r="G181" s="8"/>
      <c r="H181" s="8"/>
      <c r="I181" s="2"/>
      <c r="J181" s="9"/>
    </row>
    <row r="182" spans="1:10" s="15" customFormat="1" x14ac:dyDescent="0.3">
      <c r="A182" s="8"/>
      <c r="B182" s="8"/>
      <c r="C182" s="13"/>
      <c r="D182" s="13"/>
      <c r="E182" s="13"/>
      <c r="F182" s="2"/>
      <c r="G182" s="8"/>
      <c r="H182" s="8"/>
      <c r="I182" s="2"/>
      <c r="J182" s="9"/>
    </row>
    <row r="183" spans="1:10" s="15" customFormat="1" x14ac:dyDescent="0.3">
      <c r="A183" s="8"/>
      <c r="B183" s="8"/>
      <c r="C183" s="13"/>
      <c r="D183" s="13"/>
      <c r="E183" s="13"/>
      <c r="F183" s="2"/>
      <c r="G183" s="8"/>
      <c r="H183" s="8"/>
      <c r="I183" s="2"/>
      <c r="J183" s="9"/>
    </row>
    <row r="184" spans="1:10" s="15" customFormat="1" x14ac:dyDescent="0.3">
      <c r="A184" s="8"/>
      <c r="B184" s="8"/>
      <c r="C184" s="13"/>
      <c r="D184" s="13"/>
      <c r="E184" s="13"/>
      <c r="F184" s="2"/>
      <c r="G184" s="8"/>
      <c r="H184" s="8"/>
      <c r="I184" s="2"/>
      <c r="J184" s="9"/>
    </row>
    <row r="185" spans="1:10" s="15" customFormat="1" x14ac:dyDescent="0.3">
      <c r="A185" s="8"/>
      <c r="B185" s="8"/>
      <c r="C185" s="13"/>
      <c r="D185" s="13"/>
      <c r="E185" s="13"/>
      <c r="F185" s="2"/>
      <c r="G185" s="8"/>
      <c r="H185" s="8"/>
      <c r="I185" s="2"/>
      <c r="J185" s="9"/>
    </row>
    <row r="186" spans="1:10" s="15" customFormat="1" x14ac:dyDescent="0.3">
      <c r="A186" s="8"/>
      <c r="B186" s="8"/>
      <c r="C186" s="13"/>
      <c r="D186" s="13"/>
      <c r="E186" s="13"/>
      <c r="F186" s="2"/>
      <c r="G186" s="8"/>
      <c r="H186" s="8"/>
      <c r="I186" s="2"/>
      <c r="J186" s="9"/>
    </row>
    <row r="187" spans="1:10" s="15" customFormat="1" x14ac:dyDescent="0.3">
      <c r="A187" s="8"/>
      <c r="B187" s="8"/>
      <c r="C187" s="13"/>
      <c r="D187" s="13"/>
      <c r="E187" s="13"/>
      <c r="F187" s="2"/>
      <c r="G187" s="8"/>
      <c r="H187" s="8"/>
      <c r="I187" s="2"/>
      <c r="J187" s="9"/>
    </row>
    <row r="188" spans="1:10" s="15" customFormat="1" x14ac:dyDescent="0.3">
      <c r="A188" s="8"/>
      <c r="B188" s="8"/>
      <c r="C188" s="13"/>
      <c r="D188" s="13"/>
      <c r="E188" s="13"/>
      <c r="F188" s="2"/>
      <c r="G188" s="8"/>
      <c r="H188" s="8"/>
      <c r="I188" s="2"/>
      <c r="J188" s="9"/>
    </row>
    <row r="189" spans="1:10" s="15" customFormat="1" x14ac:dyDescent="0.3">
      <c r="A189" s="8"/>
      <c r="B189" s="8"/>
      <c r="C189" s="13"/>
      <c r="D189" s="13"/>
      <c r="E189" s="13"/>
      <c r="F189" s="2"/>
      <c r="G189" s="8"/>
      <c r="H189" s="8"/>
      <c r="I189" s="2"/>
      <c r="J189" s="9"/>
    </row>
    <row r="190" spans="1:10" s="15" customFormat="1" ht="15" customHeight="1" x14ac:dyDescent="0.3">
      <c r="A190" s="8"/>
      <c r="B190" s="8"/>
      <c r="C190" s="13"/>
      <c r="D190" s="13"/>
      <c r="E190" s="13"/>
      <c r="F190" s="2"/>
      <c r="G190" s="8"/>
      <c r="H190" s="8"/>
      <c r="I190" s="2"/>
      <c r="J190" s="9"/>
    </row>
    <row r="191" spans="1:10" s="15" customFormat="1" ht="13.5" customHeight="1" x14ac:dyDescent="0.3">
      <c r="A191" s="8"/>
      <c r="B191" s="8"/>
      <c r="C191" s="13"/>
      <c r="D191" s="13"/>
      <c r="E191" s="13"/>
      <c r="F191" s="2"/>
      <c r="G191" s="8"/>
      <c r="H191" s="8"/>
      <c r="I191" s="2"/>
      <c r="J191" s="9"/>
    </row>
    <row r="192" spans="1:10" s="15" customFormat="1" x14ac:dyDescent="0.3">
      <c r="A192" s="8"/>
      <c r="B192" s="8"/>
      <c r="C192" s="13"/>
      <c r="D192" s="13"/>
      <c r="E192" s="13"/>
      <c r="F192" s="2"/>
      <c r="G192" s="8"/>
      <c r="H192" s="8"/>
      <c r="I192" s="2"/>
      <c r="J192" s="9"/>
    </row>
    <row r="193" spans="1:10" s="15" customFormat="1" ht="13.5" customHeight="1" x14ac:dyDescent="0.3">
      <c r="A193" s="8"/>
      <c r="B193" s="8"/>
      <c r="C193" s="13"/>
      <c r="D193" s="13"/>
      <c r="E193" s="13"/>
      <c r="F193" s="2"/>
      <c r="G193" s="8"/>
      <c r="H193" s="8"/>
      <c r="I193" s="2"/>
      <c r="J193" s="9"/>
    </row>
    <row r="194" spans="1:10" s="15" customFormat="1" x14ac:dyDescent="0.3">
      <c r="A194" s="8"/>
      <c r="B194" s="8"/>
      <c r="C194" s="13"/>
      <c r="D194" s="13"/>
      <c r="E194" s="13"/>
      <c r="F194" s="2"/>
      <c r="G194" s="8"/>
      <c r="H194" s="8"/>
      <c r="I194" s="2"/>
      <c r="J194" s="9"/>
    </row>
    <row r="195" spans="1:10" s="15" customFormat="1" x14ac:dyDescent="0.3">
      <c r="A195" s="8"/>
      <c r="B195" s="8"/>
      <c r="C195" s="13"/>
      <c r="D195" s="13"/>
      <c r="E195" s="13"/>
      <c r="F195" s="2"/>
      <c r="G195" s="8"/>
      <c r="H195" s="8"/>
      <c r="I195" s="2"/>
      <c r="J195" s="9"/>
    </row>
    <row r="196" spans="1:10" s="15" customFormat="1" ht="26.25" customHeight="1" x14ac:dyDescent="0.3">
      <c r="A196" s="8"/>
      <c r="B196" s="8"/>
      <c r="C196" s="13"/>
      <c r="D196" s="13"/>
      <c r="E196" s="13"/>
      <c r="F196" s="2"/>
      <c r="G196" s="8"/>
      <c r="H196" s="8"/>
      <c r="I196" s="2"/>
      <c r="J196" s="9"/>
    </row>
    <row r="197" spans="1:10" s="15" customFormat="1" x14ac:dyDescent="0.3">
      <c r="A197" s="8"/>
      <c r="B197" s="8"/>
      <c r="C197" s="13"/>
      <c r="D197" s="13"/>
      <c r="E197" s="13"/>
      <c r="F197" s="2"/>
      <c r="G197" s="8"/>
      <c r="H197" s="8"/>
      <c r="I197" s="2"/>
      <c r="J197" s="9"/>
    </row>
    <row r="198" spans="1:10" s="15" customFormat="1" x14ac:dyDescent="0.3">
      <c r="A198" s="8"/>
      <c r="B198" s="8"/>
      <c r="C198" s="13"/>
      <c r="D198" s="13"/>
      <c r="E198" s="13"/>
      <c r="F198" s="2"/>
      <c r="G198" s="8"/>
      <c r="H198" s="8"/>
      <c r="I198" s="2"/>
      <c r="J198" s="9"/>
    </row>
    <row r="199" spans="1:10" s="15" customFormat="1" x14ac:dyDescent="0.3">
      <c r="A199" s="8"/>
      <c r="B199" s="8"/>
      <c r="C199" s="13"/>
      <c r="D199" s="13"/>
      <c r="E199" s="13"/>
      <c r="F199" s="2"/>
      <c r="G199" s="8"/>
      <c r="H199" s="8"/>
      <c r="I199" s="2"/>
      <c r="J199" s="9"/>
    </row>
    <row r="200" spans="1:10" s="15" customFormat="1" x14ac:dyDescent="0.3">
      <c r="A200" s="8"/>
      <c r="B200" s="8"/>
      <c r="C200" s="13"/>
      <c r="D200" s="13"/>
      <c r="E200" s="13"/>
      <c r="F200" s="2"/>
      <c r="G200" s="8"/>
      <c r="H200" s="8"/>
      <c r="I200" s="2"/>
      <c r="J200" s="9"/>
    </row>
    <row r="201" spans="1:10" s="15" customFormat="1" x14ac:dyDescent="0.3">
      <c r="A201" s="8"/>
      <c r="B201" s="8"/>
      <c r="C201" s="13"/>
      <c r="D201" s="13"/>
      <c r="E201" s="13"/>
      <c r="F201" s="2"/>
      <c r="G201" s="8"/>
      <c r="H201" s="8"/>
      <c r="I201" s="2"/>
      <c r="J201" s="9"/>
    </row>
    <row r="202" spans="1:10" s="15" customFormat="1" ht="13.5" customHeight="1" x14ac:dyDescent="0.3">
      <c r="A202" s="8"/>
      <c r="B202" s="8"/>
      <c r="C202" s="13"/>
      <c r="D202" s="13"/>
      <c r="E202" s="13"/>
      <c r="F202" s="2"/>
      <c r="G202" s="8"/>
      <c r="H202" s="8"/>
      <c r="I202" s="2"/>
      <c r="J202" s="9"/>
    </row>
    <row r="203" spans="1:10" s="15" customFormat="1" x14ac:dyDescent="0.3">
      <c r="A203" s="8"/>
      <c r="B203" s="8"/>
      <c r="C203" s="13"/>
      <c r="D203" s="13"/>
      <c r="E203" s="13"/>
      <c r="F203" s="2"/>
      <c r="G203" s="8"/>
      <c r="H203" s="8"/>
      <c r="I203" s="2"/>
      <c r="J203" s="9"/>
    </row>
    <row r="204" spans="1:10" s="15" customFormat="1" ht="13.5" customHeight="1" x14ac:dyDescent="0.3">
      <c r="A204" s="8"/>
      <c r="B204" s="8"/>
      <c r="C204" s="13"/>
      <c r="D204" s="13"/>
      <c r="E204" s="13"/>
      <c r="F204" s="2"/>
      <c r="G204" s="8"/>
      <c r="H204" s="8"/>
      <c r="I204" s="2"/>
      <c r="J204" s="9"/>
    </row>
    <row r="205" spans="1:10" s="15" customFormat="1" x14ac:dyDescent="0.3">
      <c r="A205" s="8"/>
      <c r="B205" s="8"/>
      <c r="C205" s="13"/>
      <c r="D205" s="13"/>
      <c r="E205" s="13"/>
      <c r="F205" s="2"/>
      <c r="G205" s="8"/>
      <c r="H205" s="8"/>
      <c r="I205" s="2"/>
      <c r="J205" s="9"/>
    </row>
    <row r="206" spans="1:10" s="15" customFormat="1" x14ac:dyDescent="0.3">
      <c r="A206" s="8"/>
      <c r="B206" s="8"/>
      <c r="C206" s="13"/>
      <c r="D206" s="13"/>
      <c r="E206" s="13"/>
      <c r="F206" s="2"/>
      <c r="G206" s="8"/>
      <c r="H206" s="8"/>
      <c r="I206" s="2"/>
      <c r="J206" s="9"/>
    </row>
    <row r="207" spans="1:10" s="15" customFormat="1" x14ac:dyDescent="0.3">
      <c r="A207" s="8"/>
      <c r="B207" s="8"/>
      <c r="C207" s="13"/>
      <c r="D207" s="13"/>
      <c r="E207" s="13"/>
      <c r="F207" s="2"/>
      <c r="G207" s="8"/>
      <c r="H207" s="8"/>
      <c r="I207" s="2"/>
      <c r="J207" s="9"/>
    </row>
    <row r="208" spans="1:10" s="15" customFormat="1" x14ac:dyDescent="0.3">
      <c r="A208" s="8"/>
      <c r="B208" s="8"/>
      <c r="C208" s="13"/>
      <c r="D208" s="13"/>
      <c r="E208" s="13"/>
      <c r="F208" s="2"/>
      <c r="G208" s="8"/>
      <c r="H208" s="8"/>
      <c r="I208" s="2"/>
      <c r="J208" s="9"/>
    </row>
    <row r="209" spans="1:10" s="15" customFormat="1" x14ac:dyDescent="0.3">
      <c r="A209" s="8"/>
      <c r="B209" s="8"/>
      <c r="C209" s="13"/>
      <c r="D209" s="13"/>
      <c r="E209" s="13"/>
      <c r="F209" s="2"/>
      <c r="G209" s="8"/>
      <c r="H209" s="8"/>
      <c r="I209" s="2"/>
      <c r="J209" s="9"/>
    </row>
    <row r="210" spans="1:10" s="15" customFormat="1" ht="13.5" customHeight="1" x14ac:dyDescent="0.3">
      <c r="A210" s="8"/>
      <c r="B210" s="8"/>
      <c r="C210" s="13"/>
      <c r="D210" s="13"/>
      <c r="E210" s="13"/>
      <c r="F210" s="2"/>
      <c r="G210" s="8"/>
      <c r="H210" s="8"/>
      <c r="I210" s="2"/>
      <c r="J210" s="9"/>
    </row>
    <row r="211" spans="1:10" s="15" customFormat="1" x14ac:dyDescent="0.3">
      <c r="A211" s="8"/>
      <c r="B211" s="8"/>
      <c r="C211" s="13"/>
      <c r="D211" s="13"/>
      <c r="E211" s="13"/>
      <c r="F211" s="2"/>
      <c r="G211" s="8"/>
      <c r="H211" s="8"/>
      <c r="I211" s="2"/>
      <c r="J211" s="9"/>
    </row>
    <row r="212" spans="1:10" s="15" customFormat="1" ht="14.25" customHeight="1" x14ac:dyDescent="0.3">
      <c r="A212" s="8"/>
      <c r="B212" s="8"/>
      <c r="C212" s="13"/>
      <c r="D212" s="13"/>
      <c r="E212" s="13"/>
      <c r="F212" s="2"/>
      <c r="G212" s="8"/>
      <c r="H212" s="8"/>
      <c r="I212" s="2"/>
      <c r="J212" s="9"/>
    </row>
    <row r="213" spans="1:10" s="15" customFormat="1" x14ac:dyDescent="0.3">
      <c r="A213" s="8"/>
      <c r="B213" s="8"/>
      <c r="C213" s="13"/>
      <c r="D213" s="13"/>
      <c r="E213" s="13"/>
      <c r="F213" s="2"/>
      <c r="G213" s="8"/>
      <c r="H213" s="8"/>
      <c r="I213" s="2"/>
      <c r="J213" s="9"/>
    </row>
    <row r="214" spans="1:10" s="15" customFormat="1" ht="13.5" customHeight="1" x14ac:dyDescent="0.3">
      <c r="A214" s="8"/>
      <c r="B214" s="8"/>
      <c r="C214" s="13"/>
      <c r="D214" s="13"/>
      <c r="E214" s="13"/>
      <c r="F214" s="2"/>
      <c r="G214" s="8"/>
      <c r="H214" s="8"/>
      <c r="I214" s="2"/>
      <c r="J214" s="9"/>
    </row>
    <row r="215" spans="1:10" s="15" customFormat="1" x14ac:dyDescent="0.3">
      <c r="A215" s="8"/>
      <c r="B215" s="8"/>
      <c r="C215" s="13"/>
      <c r="D215" s="13"/>
      <c r="E215" s="13"/>
      <c r="F215" s="2"/>
      <c r="G215" s="8"/>
      <c r="H215" s="8"/>
      <c r="I215" s="2"/>
      <c r="J215" s="9"/>
    </row>
    <row r="216" spans="1:10" s="15" customFormat="1" x14ac:dyDescent="0.3">
      <c r="A216" s="8"/>
      <c r="B216" s="8"/>
      <c r="C216" s="13"/>
      <c r="D216" s="13"/>
      <c r="E216" s="13"/>
      <c r="F216" s="2"/>
      <c r="G216" s="8"/>
      <c r="H216" s="8"/>
      <c r="I216" s="2"/>
      <c r="J216" s="9"/>
    </row>
    <row r="217" spans="1:10" s="15" customFormat="1" x14ac:dyDescent="0.3">
      <c r="A217" s="8"/>
      <c r="B217" s="8"/>
      <c r="C217" s="13"/>
      <c r="D217" s="13"/>
      <c r="E217" s="13"/>
      <c r="F217" s="2"/>
      <c r="G217" s="8"/>
      <c r="H217" s="8"/>
      <c r="I217" s="2"/>
      <c r="J217" s="9"/>
    </row>
    <row r="218" spans="1:10" s="15" customFormat="1" x14ac:dyDescent="0.3">
      <c r="A218" s="8"/>
      <c r="B218" s="8"/>
      <c r="C218" s="13"/>
      <c r="D218" s="13"/>
      <c r="E218" s="13"/>
      <c r="F218" s="2"/>
      <c r="G218" s="8"/>
      <c r="H218" s="8"/>
      <c r="I218" s="2"/>
      <c r="J218" s="9"/>
    </row>
    <row r="219" spans="1:10" s="15" customFormat="1" x14ac:dyDescent="0.3">
      <c r="A219" s="8"/>
      <c r="B219" s="8"/>
      <c r="C219" s="13"/>
      <c r="D219" s="13"/>
      <c r="E219" s="13"/>
      <c r="F219" s="2"/>
      <c r="G219" s="8"/>
      <c r="H219" s="8"/>
      <c r="I219" s="2"/>
      <c r="J219" s="9"/>
    </row>
    <row r="220" spans="1:10" s="15" customFormat="1" x14ac:dyDescent="0.3">
      <c r="A220" s="8"/>
      <c r="B220" s="8"/>
      <c r="C220" s="13"/>
      <c r="D220" s="13"/>
      <c r="E220" s="13"/>
      <c r="F220" s="2"/>
      <c r="G220" s="8"/>
      <c r="H220" s="8"/>
      <c r="I220" s="2"/>
      <c r="J220" s="9"/>
    </row>
    <row r="221" spans="1:10" s="15" customFormat="1" x14ac:dyDescent="0.3">
      <c r="A221" s="8"/>
      <c r="B221" s="8"/>
      <c r="C221" s="13"/>
      <c r="D221" s="13"/>
      <c r="E221" s="13"/>
      <c r="F221" s="2"/>
      <c r="G221" s="8"/>
      <c r="H221" s="8"/>
      <c r="I221" s="2"/>
      <c r="J221" s="9"/>
    </row>
    <row r="222" spans="1:10" s="15" customFormat="1" x14ac:dyDescent="0.3">
      <c r="A222" s="8"/>
      <c r="B222" s="8"/>
      <c r="C222" s="13"/>
      <c r="D222" s="13"/>
      <c r="E222" s="13"/>
      <c r="F222" s="2"/>
      <c r="G222" s="8"/>
      <c r="H222" s="8"/>
      <c r="I222" s="2"/>
      <c r="J222" s="9"/>
    </row>
    <row r="223" spans="1:10" s="15" customFormat="1" x14ac:dyDescent="0.3">
      <c r="A223" s="8"/>
      <c r="B223" s="8"/>
      <c r="C223" s="13"/>
      <c r="D223" s="13"/>
      <c r="E223" s="13"/>
      <c r="F223" s="2"/>
      <c r="G223" s="8"/>
      <c r="H223" s="8"/>
      <c r="I223" s="2"/>
      <c r="J223" s="9"/>
    </row>
    <row r="224" spans="1:10" s="15" customFormat="1" x14ac:dyDescent="0.3">
      <c r="A224" s="8"/>
      <c r="B224" s="8"/>
      <c r="C224" s="13"/>
      <c r="D224" s="13"/>
      <c r="E224" s="13"/>
      <c r="F224" s="2"/>
      <c r="G224" s="8"/>
      <c r="H224" s="8"/>
      <c r="I224" s="2"/>
      <c r="J224" s="9"/>
    </row>
    <row r="225" spans="1:10" s="15" customFormat="1" x14ac:dyDescent="0.3">
      <c r="A225" s="8"/>
      <c r="B225" s="8"/>
      <c r="C225" s="13"/>
      <c r="D225" s="13"/>
      <c r="E225" s="13"/>
      <c r="F225" s="2"/>
      <c r="G225" s="8"/>
      <c r="H225" s="8"/>
      <c r="I225" s="2"/>
      <c r="J225" s="9"/>
    </row>
    <row r="226" spans="1:10" s="15" customFormat="1" x14ac:dyDescent="0.3">
      <c r="A226" s="8"/>
      <c r="B226" s="8"/>
      <c r="C226" s="13"/>
      <c r="D226" s="13"/>
      <c r="E226" s="13"/>
      <c r="F226" s="2"/>
      <c r="G226" s="8"/>
      <c r="H226" s="8"/>
      <c r="I226" s="2"/>
      <c r="J226" s="9"/>
    </row>
    <row r="227" spans="1:10" s="15" customFormat="1" x14ac:dyDescent="0.3">
      <c r="A227" s="8"/>
      <c r="B227" s="8"/>
      <c r="C227" s="13"/>
      <c r="D227" s="13"/>
      <c r="E227" s="13"/>
      <c r="F227" s="2"/>
      <c r="G227" s="8"/>
      <c r="H227" s="8"/>
      <c r="I227" s="2"/>
      <c r="J227" s="9"/>
    </row>
    <row r="228" spans="1:10" s="15" customFormat="1" x14ac:dyDescent="0.3">
      <c r="A228" s="8"/>
      <c r="B228" s="8"/>
      <c r="C228" s="13"/>
      <c r="D228" s="13"/>
      <c r="E228" s="13"/>
      <c r="F228" s="2"/>
      <c r="G228" s="8"/>
      <c r="H228" s="8"/>
      <c r="I228" s="2"/>
      <c r="J228" s="9"/>
    </row>
    <row r="229" spans="1:10" s="15" customFormat="1" x14ac:dyDescent="0.3">
      <c r="A229" s="8"/>
      <c r="B229" s="8"/>
      <c r="C229" s="13"/>
      <c r="D229" s="13"/>
      <c r="E229" s="13"/>
      <c r="F229" s="2"/>
      <c r="G229" s="8"/>
      <c r="H229" s="8"/>
      <c r="I229" s="2"/>
      <c r="J229" s="9"/>
    </row>
    <row r="230" spans="1:10" s="15" customFormat="1" x14ac:dyDescent="0.3">
      <c r="A230" s="8"/>
      <c r="B230" s="8"/>
      <c r="C230" s="13"/>
      <c r="D230" s="13"/>
      <c r="E230" s="13"/>
      <c r="F230" s="2"/>
      <c r="G230" s="8"/>
      <c r="H230" s="8"/>
      <c r="I230" s="2"/>
      <c r="J230" s="9"/>
    </row>
    <row r="231" spans="1:10" s="15" customFormat="1" x14ac:dyDescent="0.3">
      <c r="A231" s="8"/>
      <c r="B231" s="8"/>
      <c r="C231" s="13"/>
      <c r="D231" s="13"/>
      <c r="E231" s="13"/>
      <c r="F231" s="2"/>
      <c r="G231" s="8"/>
      <c r="H231" s="8"/>
      <c r="I231" s="2"/>
      <c r="J231" s="9"/>
    </row>
    <row r="232" spans="1:10" s="15" customFormat="1" x14ac:dyDescent="0.3">
      <c r="A232" s="8"/>
      <c r="B232" s="8"/>
      <c r="C232" s="13"/>
      <c r="D232" s="13"/>
      <c r="E232" s="13"/>
      <c r="F232" s="2"/>
      <c r="G232" s="8"/>
      <c r="H232" s="8"/>
      <c r="I232" s="2"/>
      <c r="J232" s="9"/>
    </row>
    <row r="233" spans="1:10" s="15" customFormat="1" x14ac:dyDescent="0.3">
      <c r="A233" s="8"/>
      <c r="B233" s="8"/>
      <c r="C233" s="13"/>
      <c r="D233" s="13"/>
      <c r="E233" s="13"/>
      <c r="F233" s="2"/>
      <c r="G233" s="8"/>
      <c r="H233" s="8"/>
      <c r="I233" s="2"/>
      <c r="J233" s="9"/>
    </row>
    <row r="234" spans="1:10" s="15" customFormat="1" x14ac:dyDescent="0.3">
      <c r="A234" s="8"/>
      <c r="B234" s="8"/>
      <c r="C234" s="13"/>
      <c r="D234" s="13"/>
      <c r="E234" s="13"/>
      <c r="F234" s="2"/>
      <c r="G234" s="8"/>
      <c r="H234" s="8"/>
      <c r="I234" s="2"/>
      <c r="J234" s="9"/>
    </row>
    <row r="235" spans="1:10" s="39" customFormat="1" x14ac:dyDescent="0.3">
      <c r="A235" s="8"/>
      <c r="B235" s="8"/>
      <c r="C235" s="13"/>
      <c r="D235" s="13"/>
      <c r="E235" s="13"/>
      <c r="F235" s="2"/>
      <c r="G235" s="8"/>
      <c r="H235" s="8"/>
      <c r="I235" s="2"/>
      <c r="J235" s="9"/>
    </row>
    <row r="236" spans="1:10" s="39" customFormat="1" x14ac:dyDescent="0.3">
      <c r="A236" s="8"/>
      <c r="B236" s="8"/>
      <c r="C236" s="13"/>
      <c r="D236" s="13"/>
      <c r="E236" s="13"/>
      <c r="F236" s="2"/>
      <c r="G236" s="8"/>
      <c r="H236" s="8"/>
      <c r="I236" s="2"/>
      <c r="J236" s="9"/>
    </row>
    <row r="237" spans="1:10" s="11" customFormat="1" x14ac:dyDescent="0.3">
      <c r="A237" s="8"/>
      <c r="B237" s="8"/>
      <c r="C237" s="13"/>
      <c r="D237" s="13"/>
      <c r="E237" s="13"/>
      <c r="F237" s="2"/>
      <c r="G237" s="8"/>
      <c r="H237" s="8"/>
      <c r="I237" s="2"/>
      <c r="J237" s="9"/>
    </row>
    <row r="238" spans="1:10" s="15" customFormat="1" x14ac:dyDescent="0.3">
      <c r="A238" s="8"/>
      <c r="B238" s="8"/>
      <c r="C238" s="13"/>
      <c r="D238" s="13"/>
      <c r="E238" s="13"/>
      <c r="F238" s="2"/>
      <c r="G238" s="8"/>
      <c r="H238" s="8"/>
      <c r="I238" s="2"/>
      <c r="J238" s="9"/>
    </row>
    <row r="239" spans="1:10" s="15" customFormat="1" x14ac:dyDescent="0.3">
      <c r="A239" s="8"/>
      <c r="B239" s="8"/>
      <c r="C239" s="13"/>
      <c r="D239" s="13"/>
      <c r="E239" s="13"/>
      <c r="F239" s="2"/>
      <c r="G239" s="8"/>
      <c r="H239" s="8"/>
      <c r="I239" s="2"/>
      <c r="J239" s="9"/>
    </row>
    <row r="240" spans="1:10" s="39" customFormat="1" x14ac:dyDescent="0.3">
      <c r="A240" s="8"/>
      <c r="B240" s="8"/>
      <c r="C240" s="13"/>
      <c r="D240" s="13"/>
      <c r="E240" s="13"/>
      <c r="F240" s="2"/>
      <c r="G240" s="8"/>
      <c r="H240" s="8"/>
      <c r="I240" s="2"/>
      <c r="J240" s="9"/>
    </row>
    <row r="241" spans="1:10" s="39" customFormat="1" x14ac:dyDescent="0.3">
      <c r="A241" s="8"/>
      <c r="B241" s="8"/>
      <c r="C241" s="13"/>
      <c r="D241" s="13"/>
      <c r="E241" s="13"/>
      <c r="F241" s="2"/>
      <c r="G241" s="8"/>
      <c r="H241" s="8"/>
      <c r="I241" s="2"/>
      <c r="J241" s="9"/>
    </row>
    <row r="242" spans="1:10" s="39" customFormat="1" x14ac:dyDescent="0.3">
      <c r="A242" s="8"/>
      <c r="B242" s="8"/>
      <c r="C242" s="13"/>
      <c r="D242" s="13"/>
      <c r="E242" s="13"/>
      <c r="F242" s="2"/>
      <c r="G242" s="8"/>
      <c r="H242" s="8"/>
      <c r="I242" s="2"/>
      <c r="J242" s="9"/>
    </row>
    <row r="243" spans="1:10" s="39" customFormat="1" x14ac:dyDescent="0.3">
      <c r="A243" s="8"/>
      <c r="B243" s="8"/>
      <c r="C243" s="13"/>
      <c r="D243" s="13"/>
      <c r="E243" s="13"/>
      <c r="F243" s="2"/>
      <c r="G243" s="8"/>
      <c r="H243" s="8"/>
      <c r="I243" s="2"/>
      <c r="J243" s="9"/>
    </row>
    <row r="244" spans="1:10" s="15" customFormat="1" x14ac:dyDescent="0.3">
      <c r="A244" s="8"/>
      <c r="B244" s="8"/>
      <c r="C244" s="13"/>
      <c r="D244" s="13"/>
      <c r="E244" s="13"/>
      <c r="F244" s="2"/>
      <c r="G244" s="8"/>
      <c r="H244" s="8"/>
      <c r="I244" s="2"/>
      <c r="J244" s="9"/>
    </row>
    <row r="245" spans="1:10" s="15" customFormat="1" x14ac:dyDescent="0.3">
      <c r="A245" s="8"/>
      <c r="B245" s="8"/>
      <c r="C245" s="13"/>
      <c r="D245" s="13"/>
      <c r="E245" s="13"/>
      <c r="F245" s="2"/>
      <c r="G245" s="8"/>
      <c r="H245" s="8"/>
      <c r="I245" s="2"/>
      <c r="J245" s="9"/>
    </row>
    <row r="246" spans="1:10" s="15" customFormat="1" x14ac:dyDescent="0.3">
      <c r="A246" s="8"/>
      <c r="B246" s="8"/>
      <c r="C246" s="13"/>
      <c r="D246" s="13"/>
      <c r="E246" s="13"/>
      <c r="F246" s="2"/>
      <c r="G246" s="8"/>
      <c r="H246" s="8"/>
      <c r="I246" s="2"/>
      <c r="J246" s="9"/>
    </row>
    <row r="247" spans="1:10" s="15" customFormat="1" x14ac:dyDescent="0.3">
      <c r="A247" s="8"/>
      <c r="B247" s="8"/>
      <c r="C247" s="13"/>
      <c r="D247" s="13"/>
      <c r="E247" s="13"/>
      <c r="F247" s="2"/>
      <c r="G247" s="8"/>
      <c r="H247" s="8"/>
      <c r="I247" s="2"/>
      <c r="J247" s="9"/>
    </row>
    <row r="248" spans="1:10" s="15" customFormat="1" x14ac:dyDescent="0.3">
      <c r="A248" s="8"/>
      <c r="B248" s="8"/>
      <c r="C248" s="13"/>
      <c r="D248" s="13"/>
      <c r="E248" s="13"/>
      <c r="F248" s="2"/>
      <c r="G248" s="8"/>
      <c r="H248" s="8"/>
      <c r="I248" s="2"/>
      <c r="J248" s="9"/>
    </row>
    <row r="249" spans="1:10" s="15" customFormat="1" x14ac:dyDescent="0.3">
      <c r="A249" s="8"/>
      <c r="B249" s="8"/>
      <c r="C249" s="13"/>
      <c r="D249" s="13"/>
      <c r="E249" s="13"/>
      <c r="F249" s="2"/>
      <c r="G249" s="8"/>
      <c r="H249" s="8"/>
      <c r="I249" s="2"/>
      <c r="J249" s="9"/>
    </row>
    <row r="250" spans="1:10" s="15" customFormat="1" x14ac:dyDescent="0.3">
      <c r="A250" s="8"/>
      <c r="B250" s="8"/>
      <c r="C250" s="13"/>
      <c r="D250" s="13"/>
      <c r="E250" s="13"/>
      <c r="F250" s="2"/>
      <c r="G250" s="8"/>
      <c r="H250" s="8"/>
      <c r="I250" s="2"/>
      <c r="J250" s="9"/>
    </row>
    <row r="251" spans="1:10" s="11" customFormat="1" x14ac:dyDescent="0.3">
      <c r="A251" s="8"/>
      <c r="B251" s="8"/>
      <c r="C251" s="13"/>
      <c r="D251" s="13"/>
      <c r="E251" s="13"/>
      <c r="F251" s="2"/>
      <c r="G251" s="8"/>
      <c r="H251" s="8"/>
      <c r="I251" s="2"/>
      <c r="J251" s="9"/>
    </row>
    <row r="253" spans="1:10" s="11" customFormat="1" x14ac:dyDescent="0.3">
      <c r="A253" s="8"/>
      <c r="B253" s="8"/>
      <c r="C253" s="13"/>
      <c r="D253" s="13"/>
      <c r="E253" s="13"/>
      <c r="F253" s="2"/>
      <c r="G253" s="8"/>
      <c r="H253" s="8"/>
      <c r="I253" s="2"/>
      <c r="J253" s="9"/>
    </row>
    <row r="255" spans="1:10" s="40" customFormat="1" ht="14" x14ac:dyDescent="0.3">
      <c r="A255" s="8"/>
      <c r="B255" s="8"/>
      <c r="C255" s="13"/>
      <c r="D255" s="13"/>
      <c r="E255" s="13"/>
      <c r="F255" s="2"/>
      <c r="G255" s="8"/>
      <c r="H255" s="8"/>
      <c r="I255" s="2"/>
      <c r="J255" s="9"/>
    </row>
    <row r="256" spans="1:10" s="40" customFormat="1" ht="14" x14ac:dyDescent="0.3">
      <c r="A256" s="8"/>
      <c r="B256" s="8"/>
      <c r="C256" s="13"/>
      <c r="D256" s="13"/>
      <c r="E256" s="13"/>
      <c r="F256" s="2"/>
      <c r="G256" s="8"/>
      <c r="H256" s="8"/>
      <c r="I256" s="2"/>
      <c r="J256" s="9"/>
    </row>
    <row r="257" spans="1:10" s="40" customFormat="1" ht="14" x14ac:dyDescent="0.3">
      <c r="A257" s="8"/>
      <c r="B257" s="8"/>
      <c r="C257" s="13"/>
      <c r="D257" s="13"/>
      <c r="E257" s="13"/>
      <c r="F257" s="2"/>
      <c r="G257" s="8"/>
      <c r="H257" s="8"/>
      <c r="I257" s="2"/>
      <c r="J257" s="9"/>
    </row>
    <row r="258" spans="1:10" s="40" customFormat="1" ht="14" x14ac:dyDescent="0.3">
      <c r="A258" s="8"/>
      <c r="B258" s="8"/>
      <c r="C258" s="13"/>
      <c r="D258" s="13"/>
      <c r="E258" s="13"/>
      <c r="F258" s="2"/>
      <c r="G258" s="8"/>
      <c r="H258" s="8"/>
      <c r="I258" s="2"/>
      <c r="J258" s="9"/>
    </row>
    <row r="259" spans="1:10" s="38" customFormat="1" x14ac:dyDescent="0.3">
      <c r="A259" s="8"/>
      <c r="B259" s="8"/>
      <c r="C259" s="13"/>
      <c r="D259" s="13"/>
      <c r="E259" s="13"/>
      <c r="F259" s="2"/>
      <c r="G259" s="8"/>
      <c r="H259" s="8"/>
      <c r="I259" s="2"/>
      <c r="J259" s="9"/>
    </row>
    <row r="260" spans="1:10" s="38" customFormat="1" x14ac:dyDescent="0.3">
      <c r="A260" s="8"/>
      <c r="B260" s="8"/>
      <c r="C260" s="13"/>
      <c r="D260" s="13"/>
      <c r="E260" s="13"/>
      <c r="F260" s="2"/>
      <c r="G260" s="8"/>
      <c r="H260" s="8"/>
      <c r="I260" s="2"/>
      <c r="J260" s="9"/>
    </row>
    <row r="261" spans="1:10" s="38" customFormat="1" x14ac:dyDescent="0.3">
      <c r="A261" s="8"/>
      <c r="B261" s="8"/>
      <c r="C261" s="13"/>
      <c r="D261" s="13"/>
      <c r="E261" s="13"/>
      <c r="F261" s="2"/>
      <c r="G261" s="8"/>
      <c r="H261" s="8"/>
      <c r="I261" s="2"/>
      <c r="J261" s="9"/>
    </row>
    <row r="262" spans="1:10" s="38" customFormat="1" x14ac:dyDescent="0.3">
      <c r="A262" s="8"/>
      <c r="B262" s="8"/>
      <c r="C262" s="13"/>
      <c r="D262" s="13"/>
      <c r="E262" s="13"/>
      <c r="F262" s="2"/>
      <c r="G262" s="8"/>
      <c r="H262" s="8"/>
      <c r="I262" s="2"/>
      <c r="J262" s="9"/>
    </row>
    <row r="263" spans="1:10" s="38" customFormat="1" ht="27" customHeight="1" x14ac:dyDescent="0.3">
      <c r="A263" s="8"/>
      <c r="B263" s="8"/>
      <c r="C263" s="13"/>
      <c r="D263" s="13"/>
      <c r="E263" s="13"/>
      <c r="F263" s="2"/>
      <c r="G263" s="8"/>
      <c r="H263" s="8"/>
      <c r="I263" s="2"/>
      <c r="J263" s="9"/>
    </row>
    <row r="264" spans="1:10" s="38" customFormat="1" x14ac:dyDescent="0.3">
      <c r="A264" s="8"/>
      <c r="B264" s="8"/>
      <c r="C264" s="13"/>
      <c r="D264" s="13"/>
      <c r="E264" s="13"/>
      <c r="F264" s="2"/>
      <c r="G264" s="8"/>
      <c r="H264" s="8"/>
      <c r="I264" s="2"/>
      <c r="J264" s="9"/>
    </row>
    <row r="265" spans="1:10" s="40" customFormat="1" ht="14" x14ac:dyDescent="0.3">
      <c r="A265" s="8"/>
      <c r="B265" s="8"/>
      <c r="C265" s="13"/>
      <c r="D265" s="13"/>
      <c r="E265" s="13"/>
      <c r="F265" s="2"/>
      <c r="G265" s="8"/>
      <c r="H265" s="8"/>
      <c r="I265" s="2"/>
      <c r="J265" s="9"/>
    </row>
    <row r="266" spans="1:10" s="40" customFormat="1" ht="15.75" customHeight="1" x14ac:dyDescent="0.3">
      <c r="A266" s="8"/>
      <c r="B266" s="8"/>
      <c r="C266" s="13"/>
      <c r="D266" s="13"/>
      <c r="E266" s="13"/>
      <c r="F266" s="2"/>
      <c r="G266" s="8"/>
      <c r="H266" s="8"/>
      <c r="I266" s="2"/>
      <c r="J266" s="9"/>
    </row>
    <row r="267" spans="1:10" s="11" customFormat="1" x14ac:dyDescent="0.3">
      <c r="A267" s="8"/>
      <c r="B267" s="8"/>
      <c r="C267" s="13"/>
      <c r="D267" s="13"/>
      <c r="E267" s="13"/>
      <c r="F267" s="2"/>
      <c r="G267" s="8"/>
      <c r="H267" s="8"/>
      <c r="I267" s="2"/>
      <c r="J267" s="9"/>
    </row>
    <row r="268" spans="1:10" s="11" customFormat="1" x14ac:dyDescent="0.3">
      <c r="A268" s="8"/>
      <c r="B268" s="8"/>
      <c r="C268" s="13"/>
      <c r="D268" s="13"/>
      <c r="E268" s="13"/>
      <c r="F268" s="2"/>
      <c r="G268" s="8"/>
      <c r="H268" s="8"/>
      <c r="I268" s="2"/>
      <c r="J268" s="9"/>
    </row>
    <row r="269" spans="1:10" s="15" customFormat="1" x14ac:dyDescent="0.3">
      <c r="A269" s="8"/>
      <c r="B269" s="8"/>
      <c r="C269" s="13"/>
      <c r="D269" s="13"/>
      <c r="E269" s="13"/>
      <c r="F269" s="2"/>
      <c r="G269" s="8"/>
      <c r="H269" s="8"/>
      <c r="I269" s="2"/>
      <c r="J269" s="9"/>
    </row>
    <row r="270" spans="1:10" s="15" customFormat="1" x14ac:dyDescent="0.3">
      <c r="A270" s="8"/>
      <c r="B270" s="8"/>
      <c r="C270" s="13"/>
      <c r="D270" s="13"/>
      <c r="E270" s="13"/>
      <c r="F270" s="2"/>
      <c r="G270" s="8"/>
      <c r="H270" s="8"/>
      <c r="I270" s="2"/>
      <c r="J270" s="9"/>
    </row>
    <row r="271" spans="1:10" s="15" customFormat="1" x14ac:dyDescent="0.3">
      <c r="A271" s="8"/>
      <c r="B271" s="8"/>
      <c r="C271" s="13"/>
      <c r="D271" s="13"/>
      <c r="E271" s="13"/>
      <c r="F271" s="2"/>
      <c r="G271" s="8"/>
      <c r="H271" s="8"/>
      <c r="I271" s="2"/>
      <c r="J271" s="9"/>
    </row>
    <row r="272" spans="1:10" s="15" customFormat="1" x14ac:dyDescent="0.3">
      <c r="A272" s="8"/>
      <c r="B272" s="8"/>
      <c r="C272" s="13"/>
      <c r="D272" s="13"/>
      <c r="E272" s="13"/>
      <c r="F272" s="2"/>
      <c r="G272" s="8"/>
      <c r="H272" s="8"/>
      <c r="I272" s="2"/>
      <c r="J272" s="9"/>
    </row>
    <row r="273" spans="1:10" s="15" customFormat="1" x14ac:dyDescent="0.3">
      <c r="A273" s="8"/>
      <c r="B273" s="8"/>
      <c r="C273" s="13"/>
      <c r="D273" s="13"/>
      <c r="E273" s="13"/>
      <c r="F273" s="2"/>
      <c r="G273" s="8"/>
      <c r="H273" s="8"/>
      <c r="I273" s="2"/>
      <c r="J273" s="9"/>
    </row>
    <row r="274" spans="1:10" s="15" customFormat="1" x14ac:dyDescent="0.3">
      <c r="A274" s="8"/>
      <c r="B274" s="8"/>
      <c r="C274" s="13"/>
      <c r="D274" s="13"/>
      <c r="E274" s="13"/>
      <c r="F274" s="2"/>
      <c r="G274" s="8"/>
      <c r="H274" s="8"/>
      <c r="I274" s="2"/>
      <c r="J274" s="9"/>
    </row>
    <row r="275" spans="1:10" s="15" customFormat="1" x14ac:dyDescent="0.3">
      <c r="A275" s="8"/>
      <c r="B275" s="8"/>
      <c r="C275" s="13"/>
      <c r="D275" s="13"/>
      <c r="E275" s="13"/>
      <c r="F275" s="2"/>
      <c r="G275" s="8"/>
      <c r="H275" s="8"/>
      <c r="I275" s="2"/>
      <c r="J275" s="9"/>
    </row>
    <row r="276" spans="1:10" s="15" customFormat="1" x14ac:dyDescent="0.3">
      <c r="A276" s="8"/>
      <c r="B276" s="8"/>
      <c r="C276" s="13"/>
      <c r="D276" s="13"/>
      <c r="E276" s="13"/>
      <c r="F276" s="2"/>
      <c r="G276" s="8"/>
      <c r="H276" s="8"/>
      <c r="I276" s="2"/>
      <c r="J276" s="9"/>
    </row>
    <row r="277" spans="1:10" s="15" customFormat="1" x14ac:dyDescent="0.3">
      <c r="A277" s="8"/>
      <c r="B277" s="8"/>
      <c r="C277" s="13"/>
      <c r="D277" s="13"/>
      <c r="E277" s="13"/>
      <c r="F277" s="2"/>
      <c r="G277" s="8"/>
      <c r="H277" s="8"/>
      <c r="I277" s="2"/>
      <c r="J277" s="9"/>
    </row>
    <row r="278" spans="1:10" s="15" customFormat="1" x14ac:dyDescent="0.3">
      <c r="A278" s="8"/>
      <c r="B278" s="8"/>
      <c r="C278" s="13"/>
      <c r="D278" s="13"/>
      <c r="E278" s="13"/>
      <c r="F278" s="2"/>
      <c r="G278" s="8"/>
      <c r="H278" s="8"/>
      <c r="I278" s="2"/>
      <c r="J278" s="9"/>
    </row>
    <row r="279" spans="1:10" s="15" customFormat="1" x14ac:dyDescent="0.3">
      <c r="A279" s="8"/>
      <c r="B279" s="8"/>
      <c r="C279" s="13"/>
      <c r="D279" s="13"/>
      <c r="E279" s="13"/>
      <c r="F279" s="2"/>
      <c r="G279" s="8"/>
      <c r="H279" s="8"/>
      <c r="I279" s="2"/>
      <c r="J279" s="9"/>
    </row>
    <row r="280" spans="1:10" s="15" customFormat="1" x14ac:dyDescent="0.3">
      <c r="A280" s="8"/>
      <c r="B280" s="8"/>
      <c r="C280" s="13"/>
      <c r="D280" s="13"/>
      <c r="E280" s="13"/>
      <c r="F280" s="2"/>
      <c r="G280" s="8"/>
      <c r="H280" s="8"/>
      <c r="I280" s="2"/>
      <c r="J280" s="9"/>
    </row>
    <row r="281" spans="1:10" s="15" customFormat="1" x14ac:dyDescent="0.3">
      <c r="A281" s="8"/>
      <c r="B281" s="8"/>
      <c r="C281" s="13"/>
      <c r="D281" s="13"/>
      <c r="E281" s="13"/>
      <c r="F281" s="2"/>
      <c r="G281" s="8"/>
      <c r="H281" s="8"/>
      <c r="I281" s="2"/>
      <c r="J281" s="9"/>
    </row>
    <row r="282" spans="1:10" s="15" customFormat="1" x14ac:dyDescent="0.3">
      <c r="A282" s="8"/>
      <c r="B282" s="8"/>
      <c r="C282" s="13"/>
      <c r="D282" s="13"/>
      <c r="E282" s="13"/>
      <c r="F282" s="2"/>
      <c r="G282" s="8"/>
      <c r="H282" s="8"/>
      <c r="I282" s="2"/>
      <c r="J282" s="9"/>
    </row>
    <row r="283" spans="1:10" s="15" customFormat="1" x14ac:dyDescent="0.3">
      <c r="A283" s="8"/>
      <c r="B283" s="8"/>
      <c r="C283" s="13"/>
      <c r="D283" s="13"/>
      <c r="E283" s="13"/>
      <c r="F283" s="2"/>
      <c r="G283" s="8"/>
      <c r="H283" s="8"/>
      <c r="I283" s="2"/>
      <c r="J283" s="9"/>
    </row>
    <row r="284" spans="1:10" s="15" customFormat="1" x14ac:dyDescent="0.3">
      <c r="A284" s="8"/>
      <c r="B284" s="8"/>
      <c r="C284" s="13"/>
      <c r="D284" s="13"/>
      <c r="E284" s="13"/>
      <c r="F284" s="2"/>
      <c r="G284" s="8"/>
      <c r="H284" s="8"/>
      <c r="I284" s="2"/>
      <c r="J284" s="9"/>
    </row>
    <row r="285" spans="1:10" s="15" customFormat="1" x14ac:dyDescent="0.3">
      <c r="A285" s="8"/>
      <c r="B285" s="8"/>
      <c r="C285" s="13"/>
      <c r="D285" s="13"/>
      <c r="E285" s="13"/>
      <c r="F285" s="2"/>
      <c r="G285" s="8"/>
      <c r="H285" s="8"/>
      <c r="I285" s="2"/>
      <c r="J285" s="9"/>
    </row>
    <row r="287" spans="1:10" s="15" customFormat="1" x14ac:dyDescent="0.3">
      <c r="A287" s="8"/>
      <c r="B287" s="8"/>
      <c r="C287" s="13"/>
      <c r="D287" s="13"/>
      <c r="E287" s="13"/>
      <c r="F287" s="2"/>
      <c r="G287" s="8"/>
      <c r="H287" s="8"/>
      <c r="I287" s="2"/>
      <c r="J287" s="9"/>
    </row>
    <row r="288" spans="1:10" s="11" customFormat="1" x14ac:dyDescent="0.3">
      <c r="A288" s="8"/>
      <c r="B288" s="8"/>
      <c r="C288" s="13"/>
      <c r="D288" s="13"/>
      <c r="E288" s="13"/>
      <c r="F288" s="2"/>
      <c r="G288" s="8"/>
      <c r="H288" s="8"/>
      <c r="I288" s="2"/>
      <c r="J288" s="9"/>
    </row>
  </sheetData>
  <protectedRanges>
    <protectedRange sqref="H7:H13 F2 I4 I2 F19:F20 F22:F65304 F4 F6:F14 I6:I65304" name="Range1"/>
    <protectedRange sqref="F15:F18" name="Range1_4"/>
    <protectedRange sqref="F1" name="Range1_5"/>
    <protectedRange sqref="I1" name="Range1_6_1"/>
  </protectedRanges>
  <mergeCells count="5">
    <mergeCell ref="A1:G1"/>
    <mergeCell ref="H1:I1"/>
    <mergeCell ref="A5:J5"/>
    <mergeCell ref="A7:A11"/>
    <mergeCell ref="B7:B11"/>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
  <sheetViews>
    <sheetView topLeftCell="A6" zoomScale="80" zoomScaleNormal="80" workbookViewId="0">
      <selection activeCell="N9" sqref="N9:N12"/>
    </sheetView>
  </sheetViews>
  <sheetFormatPr defaultColWidth="9.1796875" defaultRowHeight="12" x14ac:dyDescent="0.25"/>
  <cols>
    <col min="1" max="1" width="6.54296875" style="79" customWidth="1"/>
    <col min="2" max="2" width="22.453125" style="79" customWidth="1"/>
    <col min="3" max="3" width="23.81640625" style="80" customWidth="1"/>
    <col min="4" max="4" width="15.453125" style="80" customWidth="1"/>
    <col min="5" max="5" width="15.1796875" style="315" bestFit="1" customWidth="1"/>
    <col min="6" max="7" width="5.54296875" style="315" bestFit="1" customWidth="1"/>
    <col min="8" max="8" width="7.81640625" style="315" bestFit="1" customWidth="1"/>
    <col min="9" max="9" width="12.453125" style="315" bestFit="1" customWidth="1"/>
    <col min="10" max="10" width="10.1796875" style="315" bestFit="1" customWidth="1"/>
    <col min="11" max="11" width="8.54296875" style="81" bestFit="1" customWidth="1"/>
    <col min="12" max="12" width="7.81640625" style="315" bestFit="1" customWidth="1"/>
    <col min="13" max="13" width="12.453125" style="81" bestFit="1" customWidth="1"/>
    <col min="14" max="14" width="8.81640625" style="315" bestFit="1" customWidth="1"/>
    <col min="15" max="15" width="12.453125" style="315" bestFit="1" customWidth="1"/>
    <col min="16" max="16" width="13.453125" style="315" bestFit="1" customWidth="1"/>
    <col min="17" max="17" width="12.453125" style="79" bestFit="1" customWidth="1"/>
    <col min="18" max="18" width="8.54296875" style="79" bestFit="1" customWidth="1"/>
    <col min="19" max="16384" width="9.1796875" style="79"/>
  </cols>
  <sheetData>
    <row r="1" spans="1:18" s="356" customFormat="1" ht="18" customHeight="1" x14ac:dyDescent="0.3">
      <c r="A1" s="766" t="s">
        <v>654</v>
      </c>
      <c r="B1" s="767"/>
      <c r="C1" s="767"/>
      <c r="D1" s="767"/>
      <c r="E1" s="767"/>
      <c r="F1" s="767"/>
      <c r="G1" s="767"/>
      <c r="H1" s="767"/>
      <c r="I1" s="767"/>
      <c r="J1" s="767"/>
      <c r="K1" s="767"/>
      <c r="L1" s="767"/>
      <c r="M1" s="767"/>
      <c r="N1" s="767"/>
      <c r="O1" s="767"/>
      <c r="P1" s="767"/>
      <c r="Q1" s="767"/>
      <c r="R1" s="767"/>
    </row>
    <row r="2" spans="1:18" s="356" customFormat="1" ht="18" customHeight="1" x14ac:dyDescent="0.3">
      <c r="A2" s="766" t="s">
        <v>660</v>
      </c>
      <c r="B2" s="767"/>
      <c r="C2" s="767"/>
      <c r="D2" s="767"/>
      <c r="E2" s="767"/>
      <c r="F2" s="767"/>
      <c r="G2" s="767"/>
      <c r="H2" s="767"/>
      <c r="I2" s="767"/>
      <c r="J2" s="767"/>
      <c r="K2" s="767"/>
      <c r="L2" s="767"/>
      <c r="M2" s="767"/>
      <c r="N2" s="767"/>
      <c r="O2" s="767"/>
      <c r="P2" s="767"/>
      <c r="Q2" s="767"/>
      <c r="R2" s="767"/>
    </row>
    <row r="3" spans="1:18" s="356" customFormat="1" ht="18" customHeight="1" x14ac:dyDescent="0.3">
      <c r="A3" s="766" t="s">
        <v>653</v>
      </c>
      <c r="B3" s="767"/>
      <c r="C3" s="767"/>
      <c r="D3" s="767"/>
      <c r="E3" s="767"/>
      <c r="F3" s="767"/>
      <c r="G3" s="767"/>
      <c r="H3" s="767"/>
      <c r="I3" s="767"/>
      <c r="J3" s="767"/>
      <c r="K3" s="767"/>
      <c r="L3" s="767"/>
      <c r="M3" s="767"/>
      <c r="N3" s="767"/>
      <c r="O3" s="767"/>
      <c r="P3" s="767"/>
      <c r="Q3" s="767"/>
      <c r="R3" s="767"/>
    </row>
    <row r="4" spans="1:18" s="356" customFormat="1" ht="18" customHeight="1" x14ac:dyDescent="0.3">
      <c r="A4" s="766" t="s">
        <v>657</v>
      </c>
      <c r="B4" s="767"/>
      <c r="C4" s="767"/>
      <c r="D4" s="767"/>
      <c r="E4" s="767"/>
      <c r="F4" s="767"/>
      <c r="G4" s="767"/>
      <c r="H4" s="767"/>
      <c r="I4" s="767"/>
      <c r="J4" s="767"/>
      <c r="K4" s="767"/>
      <c r="L4" s="767"/>
      <c r="M4" s="767"/>
      <c r="N4" s="767"/>
      <c r="O4" s="767"/>
      <c r="P4" s="767"/>
      <c r="Q4" s="767"/>
      <c r="R4" s="767"/>
    </row>
    <row r="5" spans="1:18" s="356" customFormat="1" ht="18" customHeight="1" x14ac:dyDescent="0.3">
      <c r="A5" s="764" t="s">
        <v>746</v>
      </c>
      <c r="B5" s="765"/>
      <c r="C5" s="765"/>
      <c r="D5" s="765"/>
      <c r="E5" s="765"/>
      <c r="F5" s="765"/>
      <c r="G5" s="765"/>
      <c r="H5" s="765"/>
      <c r="I5" s="765"/>
      <c r="J5" s="765"/>
      <c r="K5" s="765"/>
      <c r="L5" s="765"/>
      <c r="M5" s="765"/>
      <c r="N5" s="765"/>
      <c r="O5" s="765"/>
      <c r="P5" s="765"/>
      <c r="Q5" s="765"/>
      <c r="R5" s="765"/>
    </row>
    <row r="6" spans="1:18" s="56" customFormat="1" x14ac:dyDescent="0.3">
      <c r="A6" s="771" t="s">
        <v>8</v>
      </c>
      <c r="B6" s="771" t="s">
        <v>19</v>
      </c>
      <c r="C6" s="771" t="s">
        <v>9</v>
      </c>
      <c r="D6" s="771" t="s">
        <v>133</v>
      </c>
      <c r="E6" s="771" t="s">
        <v>17</v>
      </c>
      <c r="F6" s="775" t="s">
        <v>10</v>
      </c>
      <c r="G6" s="768" t="s">
        <v>650</v>
      </c>
      <c r="H6" s="769"/>
      <c r="I6" s="770"/>
      <c r="J6" s="768" t="s">
        <v>651</v>
      </c>
      <c r="K6" s="769"/>
      <c r="L6" s="769"/>
      <c r="M6" s="769"/>
      <c r="N6" s="770"/>
      <c r="O6" s="768" t="s">
        <v>652</v>
      </c>
      <c r="P6" s="769"/>
      <c r="Q6" s="770"/>
      <c r="R6" s="775" t="s">
        <v>661</v>
      </c>
    </row>
    <row r="7" spans="1:18" s="56" customFormat="1" x14ac:dyDescent="0.3">
      <c r="A7" s="772"/>
      <c r="B7" s="772"/>
      <c r="C7" s="772"/>
      <c r="D7" s="772"/>
      <c r="E7" s="772"/>
      <c r="F7" s="776"/>
      <c r="G7" s="225" t="s">
        <v>16</v>
      </c>
      <c r="H7" s="225" t="s">
        <v>15</v>
      </c>
      <c r="I7" s="225" t="s">
        <v>11</v>
      </c>
      <c r="J7" s="225" t="s">
        <v>645</v>
      </c>
      <c r="K7" s="348" t="s">
        <v>648</v>
      </c>
      <c r="L7" s="225" t="s">
        <v>646</v>
      </c>
      <c r="M7" s="225" t="s">
        <v>647</v>
      </c>
      <c r="N7" s="348" t="s">
        <v>649</v>
      </c>
      <c r="O7" s="225" t="s">
        <v>645</v>
      </c>
      <c r="P7" s="225" t="s">
        <v>646</v>
      </c>
      <c r="Q7" s="225" t="s">
        <v>647</v>
      </c>
      <c r="R7" s="776"/>
    </row>
    <row r="8" spans="1:18" x14ac:dyDescent="0.25">
      <c r="A8" s="221"/>
      <c r="B8" s="221" t="s">
        <v>182</v>
      </c>
      <c r="C8" s="222" t="s">
        <v>183</v>
      </c>
      <c r="D8" s="222" t="s">
        <v>184</v>
      </c>
      <c r="E8" s="314" t="s">
        <v>185</v>
      </c>
      <c r="F8" s="314"/>
      <c r="G8" s="314"/>
      <c r="H8" s="314"/>
      <c r="I8" s="314"/>
      <c r="J8" s="314"/>
      <c r="K8" s="223"/>
      <c r="L8" s="314"/>
      <c r="M8" s="223"/>
      <c r="N8" s="314"/>
      <c r="O8" s="314"/>
      <c r="P8" s="314"/>
      <c r="Q8" s="314"/>
      <c r="R8" s="314"/>
    </row>
    <row r="9" spans="1:18" ht="111" customHeight="1" x14ac:dyDescent="0.25">
      <c r="A9" s="221" t="s">
        <v>158</v>
      </c>
      <c r="B9" s="221"/>
      <c r="C9" s="222" t="s">
        <v>186</v>
      </c>
      <c r="D9" s="222" t="s">
        <v>187</v>
      </c>
      <c r="E9" s="314">
        <v>12</v>
      </c>
      <c r="F9" s="314" t="s">
        <v>188</v>
      </c>
      <c r="G9" s="140">
        <v>30</v>
      </c>
      <c r="H9" s="314">
        <v>1120</v>
      </c>
      <c r="I9" s="314">
        <f t="shared" ref="I9:I12" si="0">$G9*H9</f>
        <v>33600</v>
      </c>
      <c r="J9" s="140">
        <v>30</v>
      </c>
      <c r="K9" s="224">
        <v>0.7</v>
      </c>
      <c r="L9" s="314">
        <f>M9-J9</f>
        <v>0</v>
      </c>
      <c r="M9" s="140">
        <f>'Bells MB'!I4</f>
        <v>30</v>
      </c>
      <c r="N9" s="224">
        <v>1</v>
      </c>
      <c r="O9" s="314">
        <f>H9*J9*K9</f>
        <v>23520</v>
      </c>
      <c r="P9" s="314">
        <f>Q9-O9</f>
        <v>10080</v>
      </c>
      <c r="Q9" s="314">
        <f>H9*M9*N9</f>
        <v>33600</v>
      </c>
      <c r="R9" s="314"/>
    </row>
    <row r="10" spans="1:18" ht="111" customHeight="1" x14ac:dyDescent="0.25">
      <c r="A10" s="221" t="s">
        <v>162</v>
      </c>
      <c r="B10" s="221"/>
      <c r="C10" s="222" t="s">
        <v>189</v>
      </c>
      <c r="D10" s="222" t="s">
        <v>190</v>
      </c>
      <c r="E10" s="314">
        <v>11</v>
      </c>
      <c r="F10" s="314" t="s">
        <v>188</v>
      </c>
      <c r="G10" s="140">
        <v>50</v>
      </c>
      <c r="H10" s="314">
        <v>983</v>
      </c>
      <c r="I10" s="314">
        <f t="shared" si="0"/>
        <v>49150</v>
      </c>
      <c r="J10" s="140">
        <v>50</v>
      </c>
      <c r="K10" s="224">
        <v>0.7</v>
      </c>
      <c r="L10" s="314">
        <f t="shared" ref="L10:L12" si="1">M10-J10</f>
        <v>0</v>
      </c>
      <c r="M10" s="140">
        <f>'Bells MB'!I5</f>
        <v>50</v>
      </c>
      <c r="N10" s="224">
        <v>1</v>
      </c>
      <c r="O10" s="314">
        <f t="shared" ref="O10:O12" si="2">H10*J10*K10</f>
        <v>34405</v>
      </c>
      <c r="P10" s="314">
        <f t="shared" ref="P10:P12" si="3">Q10-O10</f>
        <v>14745</v>
      </c>
      <c r="Q10" s="314">
        <f t="shared" ref="Q10:Q12" si="4">H10*M10*N10</f>
        <v>49150</v>
      </c>
      <c r="R10" s="314"/>
    </row>
    <row r="11" spans="1:18" ht="111" customHeight="1" x14ac:dyDescent="0.25">
      <c r="A11" s="221" t="s">
        <v>163</v>
      </c>
      <c r="B11" s="221"/>
      <c r="C11" s="222" t="s">
        <v>191</v>
      </c>
      <c r="D11" s="222" t="s">
        <v>192</v>
      </c>
      <c r="E11" s="314">
        <v>10</v>
      </c>
      <c r="F11" s="314" t="s">
        <v>188</v>
      </c>
      <c r="G11" s="140">
        <v>60</v>
      </c>
      <c r="H11" s="314">
        <v>890</v>
      </c>
      <c r="I11" s="314">
        <f t="shared" si="0"/>
        <v>53400</v>
      </c>
      <c r="J11" s="140">
        <v>60</v>
      </c>
      <c r="K11" s="224">
        <v>0.7</v>
      </c>
      <c r="L11" s="314">
        <f t="shared" si="1"/>
        <v>0</v>
      </c>
      <c r="M11" s="140">
        <f>'Bells MB'!I6</f>
        <v>60</v>
      </c>
      <c r="N11" s="224">
        <v>1</v>
      </c>
      <c r="O11" s="314">
        <f t="shared" si="2"/>
        <v>37380</v>
      </c>
      <c r="P11" s="314">
        <f t="shared" si="3"/>
        <v>16020</v>
      </c>
      <c r="Q11" s="314">
        <f t="shared" si="4"/>
        <v>53400</v>
      </c>
      <c r="R11" s="314"/>
    </row>
    <row r="12" spans="1:18" ht="111" customHeight="1" x14ac:dyDescent="0.25">
      <c r="A12" s="221" t="s">
        <v>165</v>
      </c>
      <c r="B12" s="221"/>
      <c r="C12" s="222" t="s">
        <v>193</v>
      </c>
      <c r="D12" s="222" t="s">
        <v>194</v>
      </c>
      <c r="E12" s="314">
        <v>9</v>
      </c>
      <c r="F12" s="314" t="s">
        <v>188</v>
      </c>
      <c r="G12" s="140">
        <v>80</v>
      </c>
      <c r="H12" s="314">
        <v>815</v>
      </c>
      <c r="I12" s="314">
        <f t="shared" si="0"/>
        <v>65200</v>
      </c>
      <c r="J12" s="140">
        <v>80</v>
      </c>
      <c r="K12" s="224">
        <v>0.7</v>
      </c>
      <c r="L12" s="314">
        <f t="shared" si="1"/>
        <v>0</v>
      </c>
      <c r="M12" s="140">
        <f>'Bells MB'!I7</f>
        <v>80</v>
      </c>
      <c r="N12" s="224">
        <v>1</v>
      </c>
      <c r="O12" s="314">
        <f t="shared" si="2"/>
        <v>45640</v>
      </c>
      <c r="P12" s="314">
        <f t="shared" si="3"/>
        <v>19560</v>
      </c>
      <c r="Q12" s="314">
        <f t="shared" si="4"/>
        <v>65200</v>
      </c>
      <c r="R12" s="314"/>
    </row>
    <row r="13" spans="1:18" s="313" customFormat="1" ht="15.5" x14ac:dyDescent="0.25">
      <c r="A13" s="345"/>
      <c r="B13" s="835" t="s">
        <v>195</v>
      </c>
      <c r="C13" s="835"/>
      <c r="D13" s="835"/>
      <c r="E13" s="835"/>
      <c r="F13" s="835"/>
      <c r="G13" s="835"/>
      <c r="H13" s="835"/>
      <c r="I13" s="346">
        <f>SUM(I9:I12)</f>
        <v>201350</v>
      </c>
      <c r="J13" s="346"/>
      <c r="K13" s="347"/>
      <c r="L13" s="346"/>
      <c r="M13" s="347"/>
      <c r="N13" s="346"/>
      <c r="O13" s="346">
        <f>SUM(O9:O12)</f>
        <v>140945</v>
      </c>
      <c r="P13" s="346">
        <f>SUM(P9:P12)</f>
        <v>60405</v>
      </c>
      <c r="Q13" s="346">
        <f t="shared" ref="Q13" si="5">SUM(Q9:Q12)</f>
        <v>201350</v>
      </c>
      <c r="R13" s="346"/>
    </row>
  </sheetData>
  <protectedRanges>
    <protectedRange sqref="F1:F5" name="Range1_8"/>
    <protectedRange sqref="I1:R5" name="Range1_6_3"/>
    <protectedRange sqref="I6:Q6" name="Range1_9"/>
  </protectedRanges>
  <mergeCells count="16">
    <mergeCell ref="B13:H13"/>
    <mergeCell ref="A1:R1"/>
    <mergeCell ref="A2:R2"/>
    <mergeCell ref="A3:R3"/>
    <mergeCell ref="A4:R4"/>
    <mergeCell ref="A5:R5"/>
    <mergeCell ref="A6:A7"/>
    <mergeCell ref="B6:B7"/>
    <mergeCell ref="J6:N6"/>
    <mergeCell ref="O6:Q6"/>
    <mergeCell ref="R6:R7"/>
    <mergeCell ref="C6:C7"/>
    <mergeCell ref="D6:D7"/>
    <mergeCell ref="E6:E7"/>
    <mergeCell ref="F6:F7"/>
    <mergeCell ref="G6:I6"/>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7"/>
  <sheetViews>
    <sheetView workbookViewId="0">
      <selection activeCell="I5" sqref="I5"/>
    </sheetView>
  </sheetViews>
  <sheetFormatPr defaultColWidth="8.81640625" defaultRowHeight="12.5" x14ac:dyDescent="0.25"/>
  <cols>
    <col min="1" max="1" width="8.81640625" style="459"/>
    <col min="2" max="2" width="16.453125" style="459" customWidth="1"/>
    <col min="3" max="3" width="13.453125" style="459" customWidth="1"/>
    <col min="4" max="16384" width="8.81640625" style="459"/>
  </cols>
  <sheetData>
    <row r="1" spans="1:9" ht="16" thickBot="1" x14ac:dyDescent="0.3">
      <c r="A1" s="784" t="s">
        <v>761</v>
      </c>
      <c r="B1" s="784"/>
      <c r="C1" s="784"/>
      <c r="D1" s="784"/>
      <c r="E1" s="784"/>
      <c r="F1" s="784"/>
      <c r="G1" s="784"/>
      <c r="H1" s="784"/>
      <c r="I1" s="784"/>
    </row>
    <row r="2" spans="1:9" ht="16" thickBot="1" x14ac:dyDescent="0.3">
      <c r="A2" s="822" t="s">
        <v>669</v>
      </c>
      <c r="B2" s="824" t="s">
        <v>183</v>
      </c>
      <c r="C2" s="824" t="s">
        <v>184</v>
      </c>
      <c r="D2" s="787" t="s">
        <v>672</v>
      </c>
      <c r="E2" s="785" t="s">
        <v>674</v>
      </c>
      <c r="F2" s="785"/>
      <c r="G2" s="785"/>
      <c r="H2" s="785"/>
      <c r="I2" s="785"/>
    </row>
    <row r="3" spans="1:9" ht="16" thickBot="1" x14ac:dyDescent="0.3">
      <c r="A3" s="823"/>
      <c r="B3" s="836"/>
      <c r="C3" s="836"/>
      <c r="D3" s="825"/>
      <c r="E3" s="460" t="s">
        <v>675</v>
      </c>
      <c r="F3" s="460" t="s">
        <v>162</v>
      </c>
      <c r="G3" s="460" t="s">
        <v>676</v>
      </c>
      <c r="H3" s="460" t="s">
        <v>677</v>
      </c>
      <c r="I3" s="460" t="s">
        <v>678</v>
      </c>
    </row>
    <row r="4" spans="1:9" x14ac:dyDescent="0.25">
      <c r="A4" s="495" t="s">
        <v>158</v>
      </c>
      <c r="B4" s="496" t="s">
        <v>186</v>
      </c>
      <c r="C4" s="496" t="s">
        <v>187</v>
      </c>
      <c r="D4" s="497" t="s">
        <v>111</v>
      </c>
      <c r="E4" s="498"/>
      <c r="F4" s="498"/>
      <c r="G4" s="498"/>
      <c r="H4" s="499">
        <v>30</v>
      </c>
      <c r="I4" s="500">
        <f>PRODUCT(E4:H4)</f>
        <v>30</v>
      </c>
    </row>
    <row r="5" spans="1:9" x14ac:dyDescent="0.25">
      <c r="A5" s="501" t="s">
        <v>162</v>
      </c>
      <c r="B5" s="502" t="s">
        <v>189</v>
      </c>
      <c r="C5" s="502" t="s">
        <v>190</v>
      </c>
      <c r="D5" s="478" t="s">
        <v>111</v>
      </c>
      <c r="E5" s="503"/>
      <c r="F5" s="503"/>
      <c r="G5" s="503"/>
      <c r="H5" s="140">
        <v>50</v>
      </c>
      <c r="I5" s="504">
        <f t="shared" ref="I5:I7" si="0">PRODUCT(E5:H5)</f>
        <v>50</v>
      </c>
    </row>
    <row r="6" spans="1:9" x14ac:dyDescent="0.25">
      <c r="A6" s="501" t="s">
        <v>163</v>
      </c>
      <c r="B6" s="502" t="s">
        <v>191</v>
      </c>
      <c r="C6" s="502" t="s">
        <v>192</v>
      </c>
      <c r="D6" s="478" t="s">
        <v>111</v>
      </c>
      <c r="E6" s="503"/>
      <c r="F6" s="503"/>
      <c r="G6" s="503"/>
      <c r="H6" s="140">
        <v>60</v>
      </c>
      <c r="I6" s="504">
        <f t="shared" si="0"/>
        <v>60</v>
      </c>
    </row>
    <row r="7" spans="1:9" ht="13" thickBot="1" x14ac:dyDescent="0.3">
      <c r="A7" s="505" t="s">
        <v>165</v>
      </c>
      <c r="B7" s="506" t="s">
        <v>193</v>
      </c>
      <c r="C7" s="506" t="s">
        <v>194</v>
      </c>
      <c r="D7" s="507" t="s">
        <v>111</v>
      </c>
      <c r="E7" s="508"/>
      <c r="F7" s="508"/>
      <c r="G7" s="508"/>
      <c r="H7" s="509">
        <v>80</v>
      </c>
      <c r="I7" s="510">
        <f t="shared" si="0"/>
        <v>80</v>
      </c>
    </row>
  </sheetData>
  <protectedRanges>
    <protectedRange sqref="F1" name="Range1_6"/>
  </protectedRanges>
  <mergeCells count="6">
    <mergeCell ref="A1:I1"/>
    <mergeCell ref="A2:A3"/>
    <mergeCell ref="B2:B3"/>
    <mergeCell ref="C2:C3"/>
    <mergeCell ref="D2:D3"/>
    <mergeCell ref="E2:I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20"/>
  <sheetViews>
    <sheetView topLeftCell="A92" zoomScale="71" zoomScaleNormal="84" zoomScaleSheetLayoutView="90" zoomScalePageLayoutView="115" workbookViewId="0">
      <selection activeCell="C95" sqref="C95"/>
    </sheetView>
  </sheetViews>
  <sheetFormatPr defaultColWidth="8.81640625" defaultRowHeight="12" x14ac:dyDescent="0.3"/>
  <cols>
    <col min="1" max="1" width="5.81640625" style="55" customWidth="1"/>
    <col min="2" max="2" width="14.81640625" style="68" customWidth="1"/>
    <col min="3" max="3" width="56.81640625" style="63" customWidth="1"/>
    <col min="4" max="5" width="13.453125" style="55" hidden="1" customWidth="1"/>
    <col min="6" max="6" width="8.1796875" style="64" bestFit="1" customWidth="1"/>
    <col min="7" max="7" width="8.54296875" style="236" bestFit="1" customWidth="1"/>
    <col min="8" max="8" width="10.453125" style="236" bestFit="1" customWidth="1"/>
    <col min="9" max="9" width="15.1796875" style="64" bestFit="1" customWidth="1"/>
    <col min="10" max="10" width="13.54296875" style="64" customWidth="1"/>
    <col min="11" max="11" width="13.54296875" style="355" customWidth="1"/>
    <col min="12" max="13" width="13.54296875" style="64" customWidth="1"/>
    <col min="14" max="14" width="13.54296875" style="355" customWidth="1"/>
    <col min="15" max="17" width="13.54296875" style="64" customWidth="1"/>
    <col min="18" max="18" width="8.81640625" style="236"/>
    <col min="19" max="230" width="8.81640625" style="56"/>
    <col min="231" max="231" width="7.81640625" style="56" customWidth="1"/>
    <col min="232" max="232" width="65.54296875" style="56" customWidth="1"/>
    <col min="233" max="234" width="7.54296875" style="56" bestFit="1" customWidth="1"/>
    <col min="235" max="235" width="15.453125" style="56" bestFit="1" customWidth="1"/>
    <col min="236" max="236" width="16.54296875" style="56" customWidth="1"/>
    <col min="237" max="237" width="18.453125" style="56" customWidth="1"/>
    <col min="238" max="238" width="16" style="56" bestFit="1" customWidth="1"/>
    <col min="239" max="486" width="8.81640625" style="56"/>
    <col min="487" max="487" width="7.81640625" style="56" customWidth="1"/>
    <col min="488" max="488" width="65.54296875" style="56" customWidth="1"/>
    <col min="489" max="490" width="7.54296875" style="56" bestFit="1" customWidth="1"/>
    <col min="491" max="491" width="15.453125" style="56" bestFit="1" customWidth="1"/>
    <col min="492" max="492" width="16.54296875" style="56" customWidth="1"/>
    <col min="493" max="493" width="18.453125" style="56" customWidth="1"/>
    <col min="494" max="494" width="16" style="56" bestFit="1" customWidth="1"/>
    <col min="495" max="742" width="8.81640625" style="56"/>
    <col min="743" max="743" width="7.81640625" style="56" customWidth="1"/>
    <col min="744" max="744" width="65.54296875" style="56" customWidth="1"/>
    <col min="745" max="746" width="7.54296875" style="56" bestFit="1" customWidth="1"/>
    <col min="747" max="747" width="15.453125" style="56" bestFit="1" customWidth="1"/>
    <col min="748" max="748" width="16.54296875" style="56" customWidth="1"/>
    <col min="749" max="749" width="18.453125" style="56" customWidth="1"/>
    <col min="750" max="750" width="16" style="56" bestFit="1" customWidth="1"/>
    <col min="751" max="998" width="8.81640625" style="56"/>
    <col min="999" max="999" width="7.81640625" style="56" customWidth="1"/>
    <col min="1000" max="1000" width="65.54296875" style="56" customWidth="1"/>
    <col min="1001" max="1002" width="7.54296875" style="56" bestFit="1" customWidth="1"/>
    <col min="1003" max="1003" width="15.453125" style="56" bestFit="1" customWidth="1"/>
    <col min="1004" max="1004" width="16.54296875" style="56" customWidth="1"/>
    <col min="1005" max="1005" width="18.453125" style="56" customWidth="1"/>
    <col min="1006" max="1006" width="16" style="56" bestFit="1" customWidth="1"/>
    <col min="1007" max="1254" width="8.81640625" style="56"/>
    <col min="1255" max="1255" width="7.81640625" style="56" customWidth="1"/>
    <col min="1256" max="1256" width="65.54296875" style="56" customWidth="1"/>
    <col min="1257" max="1258" width="7.54296875" style="56" bestFit="1" customWidth="1"/>
    <col min="1259" max="1259" width="15.453125" style="56" bestFit="1" customWidth="1"/>
    <col min="1260" max="1260" width="16.54296875" style="56" customWidth="1"/>
    <col min="1261" max="1261" width="18.453125" style="56" customWidth="1"/>
    <col min="1262" max="1262" width="16" style="56" bestFit="1" customWidth="1"/>
    <col min="1263" max="1510" width="8.81640625" style="56"/>
    <col min="1511" max="1511" width="7.81640625" style="56" customWidth="1"/>
    <col min="1512" max="1512" width="65.54296875" style="56" customWidth="1"/>
    <col min="1513" max="1514" width="7.54296875" style="56" bestFit="1" customWidth="1"/>
    <col min="1515" max="1515" width="15.453125" style="56" bestFit="1" customWidth="1"/>
    <col min="1516" max="1516" width="16.54296875" style="56" customWidth="1"/>
    <col min="1517" max="1517" width="18.453125" style="56" customWidth="1"/>
    <col min="1518" max="1518" width="16" style="56" bestFit="1" customWidth="1"/>
    <col min="1519" max="1766" width="8.81640625" style="56"/>
    <col min="1767" max="1767" width="7.81640625" style="56" customWidth="1"/>
    <col min="1768" max="1768" width="65.54296875" style="56" customWidth="1"/>
    <col min="1769" max="1770" width="7.54296875" style="56" bestFit="1" customWidth="1"/>
    <col min="1771" max="1771" width="15.453125" style="56" bestFit="1" customWidth="1"/>
    <col min="1772" max="1772" width="16.54296875" style="56" customWidth="1"/>
    <col min="1773" max="1773" width="18.453125" style="56" customWidth="1"/>
    <col min="1774" max="1774" width="16" style="56" bestFit="1" customWidth="1"/>
    <col min="1775" max="2022" width="8.81640625" style="56"/>
    <col min="2023" max="2023" width="7.81640625" style="56" customWidth="1"/>
    <col min="2024" max="2024" width="65.54296875" style="56" customWidth="1"/>
    <col min="2025" max="2026" width="7.54296875" style="56" bestFit="1" customWidth="1"/>
    <col min="2027" max="2027" width="15.453125" style="56" bestFit="1" customWidth="1"/>
    <col min="2028" max="2028" width="16.54296875" style="56" customWidth="1"/>
    <col min="2029" max="2029" width="18.453125" style="56" customWidth="1"/>
    <col min="2030" max="2030" width="16" style="56" bestFit="1" customWidth="1"/>
    <col min="2031" max="2278" width="8.81640625" style="56"/>
    <col min="2279" max="2279" width="7.81640625" style="56" customWidth="1"/>
    <col min="2280" max="2280" width="65.54296875" style="56" customWidth="1"/>
    <col min="2281" max="2282" width="7.54296875" style="56" bestFit="1" customWidth="1"/>
    <col min="2283" max="2283" width="15.453125" style="56" bestFit="1" customWidth="1"/>
    <col min="2284" max="2284" width="16.54296875" style="56" customWidth="1"/>
    <col min="2285" max="2285" width="18.453125" style="56" customWidth="1"/>
    <col min="2286" max="2286" width="16" style="56" bestFit="1" customWidth="1"/>
    <col min="2287" max="2534" width="8.81640625" style="56"/>
    <col min="2535" max="2535" width="7.81640625" style="56" customWidth="1"/>
    <col min="2536" max="2536" width="65.54296875" style="56" customWidth="1"/>
    <col min="2537" max="2538" width="7.54296875" style="56" bestFit="1" customWidth="1"/>
    <col min="2539" max="2539" width="15.453125" style="56" bestFit="1" customWidth="1"/>
    <col min="2540" max="2540" width="16.54296875" style="56" customWidth="1"/>
    <col min="2541" max="2541" width="18.453125" style="56" customWidth="1"/>
    <col min="2542" max="2542" width="16" style="56" bestFit="1" customWidth="1"/>
    <col min="2543" max="2790" width="8.81640625" style="56"/>
    <col min="2791" max="2791" width="7.81640625" style="56" customWidth="1"/>
    <col min="2792" max="2792" width="65.54296875" style="56" customWidth="1"/>
    <col min="2793" max="2794" width="7.54296875" style="56" bestFit="1" customWidth="1"/>
    <col min="2795" max="2795" width="15.453125" style="56" bestFit="1" customWidth="1"/>
    <col min="2796" max="2796" width="16.54296875" style="56" customWidth="1"/>
    <col min="2797" max="2797" width="18.453125" style="56" customWidth="1"/>
    <col min="2798" max="2798" width="16" style="56" bestFit="1" customWidth="1"/>
    <col min="2799" max="3046" width="8.81640625" style="56"/>
    <col min="3047" max="3047" width="7.81640625" style="56" customWidth="1"/>
    <col min="3048" max="3048" width="65.54296875" style="56" customWidth="1"/>
    <col min="3049" max="3050" width="7.54296875" style="56" bestFit="1" customWidth="1"/>
    <col min="3051" max="3051" width="15.453125" style="56" bestFit="1" customWidth="1"/>
    <col min="3052" max="3052" width="16.54296875" style="56" customWidth="1"/>
    <col min="3053" max="3053" width="18.453125" style="56" customWidth="1"/>
    <col min="3054" max="3054" width="16" style="56" bestFit="1" customWidth="1"/>
    <col min="3055" max="3302" width="8.81640625" style="56"/>
    <col min="3303" max="3303" width="7.81640625" style="56" customWidth="1"/>
    <col min="3304" max="3304" width="65.54296875" style="56" customWidth="1"/>
    <col min="3305" max="3306" width="7.54296875" style="56" bestFit="1" customWidth="1"/>
    <col min="3307" max="3307" width="15.453125" style="56" bestFit="1" customWidth="1"/>
    <col min="3308" max="3308" width="16.54296875" style="56" customWidth="1"/>
    <col min="3309" max="3309" width="18.453125" style="56" customWidth="1"/>
    <col min="3310" max="3310" width="16" style="56" bestFit="1" customWidth="1"/>
    <col min="3311" max="3558" width="8.81640625" style="56"/>
    <col min="3559" max="3559" width="7.81640625" style="56" customWidth="1"/>
    <col min="3560" max="3560" width="65.54296875" style="56" customWidth="1"/>
    <col min="3561" max="3562" width="7.54296875" style="56" bestFit="1" customWidth="1"/>
    <col min="3563" max="3563" width="15.453125" style="56" bestFit="1" customWidth="1"/>
    <col min="3564" max="3564" width="16.54296875" style="56" customWidth="1"/>
    <col min="3565" max="3565" width="18.453125" style="56" customWidth="1"/>
    <col min="3566" max="3566" width="16" style="56" bestFit="1" customWidth="1"/>
    <col min="3567" max="3814" width="8.81640625" style="56"/>
    <col min="3815" max="3815" width="7.81640625" style="56" customWidth="1"/>
    <col min="3816" max="3816" width="65.54296875" style="56" customWidth="1"/>
    <col min="3817" max="3818" width="7.54296875" style="56" bestFit="1" customWidth="1"/>
    <col min="3819" max="3819" width="15.453125" style="56" bestFit="1" customWidth="1"/>
    <col min="3820" max="3820" width="16.54296875" style="56" customWidth="1"/>
    <col min="3821" max="3821" width="18.453125" style="56" customWidth="1"/>
    <col min="3822" max="3822" width="16" style="56" bestFit="1" customWidth="1"/>
    <col min="3823" max="4070" width="8.81640625" style="56"/>
    <col min="4071" max="4071" width="7.81640625" style="56" customWidth="1"/>
    <col min="4072" max="4072" width="65.54296875" style="56" customWidth="1"/>
    <col min="4073" max="4074" width="7.54296875" style="56" bestFit="1" customWidth="1"/>
    <col min="4075" max="4075" width="15.453125" style="56" bestFit="1" customWidth="1"/>
    <col min="4076" max="4076" width="16.54296875" style="56" customWidth="1"/>
    <col min="4077" max="4077" width="18.453125" style="56" customWidth="1"/>
    <col min="4078" max="4078" width="16" style="56" bestFit="1" customWidth="1"/>
    <col min="4079" max="4326" width="8.81640625" style="56"/>
    <col min="4327" max="4327" width="7.81640625" style="56" customWidth="1"/>
    <col min="4328" max="4328" width="65.54296875" style="56" customWidth="1"/>
    <col min="4329" max="4330" width="7.54296875" style="56" bestFit="1" customWidth="1"/>
    <col min="4331" max="4331" width="15.453125" style="56" bestFit="1" customWidth="1"/>
    <col min="4332" max="4332" width="16.54296875" style="56" customWidth="1"/>
    <col min="4333" max="4333" width="18.453125" style="56" customWidth="1"/>
    <col min="4334" max="4334" width="16" style="56" bestFit="1" customWidth="1"/>
    <col min="4335" max="4582" width="8.81640625" style="56"/>
    <col min="4583" max="4583" width="7.81640625" style="56" customWidth="1"/>
    <col min="4584" max="4584" width="65.54296875" style="56" customWidth="1"/>
    <col min="4585" max="4586" width="7.54296875" style="56" bestFit="1" customWidth="1"/>
    <col min="4587" max="4587" width="15.453125" style="56" bestFit="1" customWidth="1"/>
    <col min="4588" max="4588" width="16.54296875" style="56" customWidth="1"/>
    <col min="4589" max="4589" width="18.453125" style="56" customWidth="1"/>
    <col min="4590" max="4590" width="16" style="56" bestFit="1" customWidth="1"/>
    <col min="4591" max="4838" width="8.81640625" style="56"/>
    <col min="4839" max="4839" width="7.81640625" style="56" customWidth="1"/>
    <col min="4840" max="4840" width="65.54296875" style="56" customWidth="1"/>
    <col min="4841" max="4842" width="7.54296875" style="56" bestFit="1" customWidth="1"/>
    <col min="4843" max="4843" width="15.453125" style="56" bestFit="1" customWidth="1"/>
    <col min="4844" max="4844" width="16.54296875" style="56" customWidth="1"/>
    <col min="4845" max="4845" width="18.453125" style="56" customWidth="1"/>
    <col min="4846" max="4846" width="16" style="56" bestFit="1" customWidth="1"/>
    <col min="4847" max="5094" width="8.81640625" style="56"/>
    <col min="5095" max="5095" width="7.81640625" style="56" customWidth="1"/>
    <col min="5096" max="5096" width="65.54296875" style="56" customWidth="1"/>
    <col min="5097" max="5098" width="7.54296875" style="56" bestFit="1" customWidth="1"/>
    <col min="5099" max="5099" width="15.453125" style="56" bestFit="1" customWidth="1"/>
    <col min="5100" max="5100" width="16.54296875" style="56" customWidth="1"/>
    <col min="5101" max="5101" width="18.453125" style="56" customWidth="1"/>
    <col min="5102" max="5102" width="16" style="56" bestFit="1" customWidth="1"/>
    <col min="5103" max="5350" width="8.81640625" style="56"/>
    <col min="5351" max="5351" width="7.81640625" style="56" customWidth="1"/>
    <col min="5352" max="5352" width="65.54296875" style="56" customWidth="1"/>
    <col min="5353" max="5354" width="7.54296875" style="56" bestFit="1" customWidth="1"/>
    <col min="5355" max="5355" width="15.453125" style="56" bestFit="1" customWidth="1"/>
    <col min="5356" max="5356" width="16.54296875" style="56" customWidth="1"/>
    <col min="5357" max="5357" width="18.453125" style="56" customWidth="1"/>
    <col min="5358" max="5358" width="16" style="56" bestFit="1" customWidth="1"/>
    <col min="5359" max="5606" width="8.81640625" style="56"/>
    <col min="5607" max="5607" width="7.81640625" style="56" customWidth="1"/>
    <col min="5608" max="5608" width="65.54296875" style="56" customWidth="1"/>
    <col min="5609" max="5610" width="7.54296875" style="56" bestFit="1" customWidth="1"/>
    <col min="5611" max="5611" width="15.453125" style="56" bestFit="1" customWidth="1"/>
    <col min="5612" max="5612" width="16.54296875" style="56" customWidth="1"/>
    <col min="5613" max="5613" width="18.453125" style="56" customWidth="1"/>
    <col min="5614" max="5614" width="16" style="56" bestFit="1" customWidth="1"/>
    <col min="5615" max="5862" width="8.81640625" style="56"/>
    <col min="5863" max="5863" width="7.81640625" style="56" customWidth="1"/>
    <col min="5864" max="5864" width="65.54296875" style="56" customWidth="1"/>
    <col min="5865" max="5866" width="7.54296875" style="56" bestFit="1" customWidth="1"/>
    <col min="5867" max="5867" width="15.453125" style="56" bestFit="1" customWidth="1"/>
    <col min="5868" max="5868" width="16.54296875" style="56" customWidth="1"/>
    <col min="5869" max="5869" width="18.453125" style="56" customWidth="1"/>
    <col min="5870" max="5870" width="16" style="56" bestFit="1" customWidth="1"/>
    <col min="5871" max="6118" width="8.81640625" style="56"/>
    <col min="6119" max="6119" width="7.81640625" style="56" customWidth="1"/>
    <col min="6120" max="6120" width="65.54296875" style="56" customWidth="1"/>
    <col min="6121" max="6122" width="7.54296875" style="56" bestFit="1" customWidth="1"/>
    <col min="6123" max="6123" width="15.453125" style="56" bestFit="1" customWidth="1"/>
    <col min="6124" max="6124" width="16.54296875" style="56" customWidth="1"/>
    <col min="6125" max="6125" width="18.453125" style="56" customWidth="1"/>
    <col min="6126" max="6126" width="16" style="56" bestFit="1" customWidth="1"/>
    <col min="6127" max="6374" width="8.81640625" style="56"/>
    <col min="6375" max="6375" width="7.81640625" style="56" customWidth="1"/>
    <col min="6376" max="6376" width="65.54296875" style="56" customWidth="1"/>
    <col min="6377" max="6378" width="7.54296875" style="56" bestFit="1" customWidth="1"/>
    <col min="6379" max="6379" width="15.453125" style="56" bestFit="1" customWidth="1"/>
    <col min="6380" max="6380" width="16.54296875" style="56" customWidth="1"/>
    <col min="6381" max="6381" width="18.453125" style="56" customWidth="1"/>
    <col min="6382" max="6382" width="16" style="56" bestFit="1" customWidth="1"/>
    <col min="6383" max="6630" width="8.81640625" style="56"/>
    <col min="6631" max="6631" width="7.81640625" style="56" customWidth="1"/>
    <col min="6632" max="6632" width="65.54296875" style="56" customWidth="1"/>
    <col min="6633" max="6634" width="7.54296875" style="56" bestFit="1" customWidth="1"/>
    <col min="6635" max="6635" width="15.453125" style="56" bestFit="1" customWidth="1"/>
    <col min="6636" max="6636" width="16.54296875" style="56" customWidth="1"/>
    <col min="6637" max="6637" width="18.453125" style="56" customWidth="1"/>
    <col min="6638" max="6638" width="16" style="56" bestFit="1" customWidth="1"/>
    <col min="6639" max="6886" width="8.81640625" style="56"/>
    <col min="6887" max="6887" width="7.81640625" style="56" customWidth="1"/>
    <col min="6888" max="6888" width="65.54296875" style="56" customWidth="1"/>
    <col min="6889" max="6890" width="7.54296875" style="56" bestFit="1" customWidth="1"/>
    <col min="6891" max="6891" width="15.453125" style="56" bestFit="1" customWidth="1"/>
    <col min="6892" max="6892" width="16.54296875" style="56" customWidth="1"/>
    <col min="6893" max="6893" width="18.453125" style="56" customWidth="1"/>
    <col min="6894" max="6894" width="16" style="56" bestFit="1" customWidth="1"/>
    <col min="6895" max="7142" width="8.81640625" style="56"/>
    <col min="7143" max="7143" width="7.81640625" style="56" customWidth="1"/>
    <col min="7144" max="7144" width="65.54296875" style="56" customWidth="1"/>
    <col min="7145" max="7146" width="7.54296875" style="56" bestFit="1" customWidth="1"/>
    <col min="7147" max="7147" width="15.453125" style="56" bestFit="1" customWidth="1"/>
    <col min="7148" max="7148" width="16.54296875" style="56" customWidth="1"/>
    <col min="7149" max="7149" width="18.453125" style="56" customWidth="1"/>
    <col min="7150" max="7150" width="16" style="56" bestFit="1" customWidth="1"/>
    <col min="7151" max="7398" width="8.81640625" style="56"/>
    <col min="7399" max="7399" width="7.81640625" style="56" customWidth="1"/>
    <col min="7400" max="7400" width="65.54296875" style="56" customWidth="1"/>
    <col min="7401" max="7402" width="7.54296875" style="56" bestFit="1" customWidth="1"/>
    <col min="7403" max="7403" width="15.453125" style="56" bestFit="1" customWidth="1"/>
    <col min="7404" max="7404" width="16.54296875" style="56" customWidth="1"/>
    <col min="7405" max="7405" width="18.453125" style="56" customWidth="1"/>
    <col min="7406" max="7406" width="16" style="56" bestFit="1" customWidth="1"/>
    <col min="7407" max="7654" width="8.81640625" style="56"/>
    <col min="7655" max="7655" width="7.81640625" style="56" customWidth="1"/>
    <col min="7656" max="7656" width="65.54296875" style="56" customWidth="1"/>
    <col min="7657" max="7658" width="7.54296875" style="56" bestFit="1" customWidth="1"/>
    <col min="7659" max="7659" width="15.453125" style="56" bestFit="1" customWidth="1"/>
    <col min="7660" max="7660" width="16.54296875" style="56" customWidth="1"/>
    <col min="7661" max="7661" width="18.453125" style="56" customWidth="1"/>
    <col min="7662" max="7662" width="16" style="56" bestFit="1" customWidth="1"/>
    <col min="7663" max="7910" width="8.81640625" style="56"/>
    <col min="7911" max="7911" width="7.81640625" style="56" customWidth="1"/>
    <col min="7912" max="7912" width="65.54296875" style="56" customWidth="1"/>
    <col min="7913" max="7914" width="7.54296875" style="56" bestFit="1" customWidth="1"/>
    <col min="7915" max="7915" width="15.453125" style="56" bestFit="1" customWidth="1"/>
    <col min="7916" max="7916" width="16.54296875" style="56" customWidth="1"/>
    <col min="7917" max="7917" width="18.453125" style="56" customWidth="1"/>
    <col min="7918" max="7918" width="16" style="56" bestFit="1" customWidth="1"/>
    <col min="7919" max="8166" width="8.81640625" style="56"/>
    <col min="8167" max="8167" width="7.81640625" style="56" customWidth="1"/>
    <col min="8168" max="8168" width="65.54296875" style="56" customWidth="1"/>
    <col min="8169" max="8170" width="7.54296875" style="56" bestFit="1" customWidth="1"/>
    <col min="8171" max="8171" width="15.453125" style="56" bestFit="1" customWidth="1"/>
    <col min="8172" max="8172" width="16.54296875" style="56" customWidth="1"/>
    <col min="8173" max="8173" width="18.453125" style="56" customWidth="1"/>
    <col min="8174" max="8174" width="16" style="56" bestFit="1" customWidth="1"/>
    <col min="8175" max="8422" width="8.81640625" style="56"/>
    <col min="8423" max="8423" width="7.81640625" style="56" customWidth="1"/>
    <col min="8424" max="8424" width="65.54296875" style="56" customWidth="1"/>
    <col min="8425" max="8426" width="7.54296875" style="56" bestFit="1" customWidth="1"/>
    <col min="8427" max="8427" width="15.453125" style="56" bestFit="1" customWidth="1"/>
    <col min="8428" max="8428" width="16.54296875" style="56" customWidth="1"/>
    <col min="8429" max="8429" width="18.453125" style="56" customWidth="1"/>
    <col min="8430" max="8430" width="16" style="56" bestFit="1" customWidth="1"/>
    <col min="8431" max="8678" width="8.81640625" style="56"/>
    <col min="8679" max="8679" width="7.81640625" style="56" customWidth="1"/>
    <col min="8680" max="8680" width="65.54296875" style="56" customWidth="1"/>
    <col min="8681" max="8682" width="7.54296875" style="56" bestFit="1" customWidth="1"/>
    <col min="8683" max="8683" width="15.453125" style="56" bestFit="1" customWidth="1"/>
    <col min="8684" max="8684" width="16.54296875" style="56" customWidth="1"/>
    <col min="8685" max="8685" width="18.453125" style="56" customWidth="1"/>
    <col min="8686" max="8686" width="16" style="56" bestFit="1" customWidth="1"/>
    <col min="8687" max="8934" width="8.81640625" style="56"/>
    <col min="8935" max="8935" width="7.81640625" style="56" customWidth="1"/>
    <col min="8936" max="8936" width="65.54296875" style="56" customWidth="1"/>
    <col min="8937" max="8938" width="7.54296875" style="56" bestFit="1" customWidth="1"/>
    <col min="8939" max="8939" width="15.453125" style="56" bestFit="1" customWidth="1"/>
    <col min="8940" max="8940" width="16.54296875" style="56" customWidth="1"/>
    <col min="8941" max="8941" width="18.453125" style="56" customWidth="1"/>
    <col min="8942" max="8942" width="16" style="56" bestFit="1" customWidth="1"/>
    <col min="8943" max="9190" width="8.81640625" style="56"/>
    <col min="9191" max="9191" width="7.81640625" style="56" customWidth="1"/>
    <col min="9192" max="9192" width="65.54296875" style="56" customWidth="1"/>
    <col min="9193" max="9194" width="7.54296875" style="56" bestFit="1" customWidth="1"/>
    <col min="9195" max="9195" width="15.453125" style="56" bestFit="1" customWidth="1"/>
    <col min="9196" max="9196" width="16.54296875" style="56" customWidth="1"/>
    <col min="9197" max="9197" width="18.453125" style="56" customWidth="1"/>
    <col min="9198" max="9198" width="16" style="56" bestFit="1" customWidth="1"/>
    <col min="9199" max="9446" width="8.81640625" style="56"/>
    <col min="9447" max="9447" width="7.81640625" style="56" customWidth="1"/>
    <col min="9448" max="9448" width="65.54296875" style="56" customWidth="1"/>
    <col min="9449" max="9450" width="7.54296875" style="56" bestFit="1" customWidth="1"/>
    <col min="9451" max="9451" width="15.453125" style="56" bestFit="1" customWidth="1"/>
    <col min="9452" max="9452" width="16.54296875" style="56" customWidth="1"/>
    <col min="9453" max="9453" width="18.453125" style="56" customWidth="1"/>
    <col min="9454" max="9454" width="16" style="56" bestFit="1" customWidth="1"/>
    <col min="9455" max="9702" width="8.81640625" style="56"/>
    <col min="9703" max="9703" width="7.81640625" style="56" customWidth="1"/>
    <col min="9704" max="9704" width="65.54296875" style="56" customWidth="1"/>
    <col min="9705" max="9706" width="7.54296875" style="56" bestFit="1" customWidth="1"/>
    <col min="9707" max="9707" width="15.453125" style="56" bestFit="1" customWidth="1"/>
    <col min="9708" max="9708" width="16.54296875" style="56" customWidth="1"/>
    <col min="9709" max="9709" width="18.453125" style="56" customWidth="1"/>
    <col min="9710" max="9710" width="16" style="56" bestFit="1" customWidth="1"/>
    <col min="9711" max="9958" width="8.81640625" style="56"/>
    <col min="9959" max="9959" width="7.81640625" style="56" customWidth="1"/>
    <col min="9960" max="9960" width="65.54296875" style="56" customWidth="1"/>
    <col min="9961" max="9962" width="7.54296875" style="56" bestFit="1" customWidth="1"/>
    <col min="9963" max="9963" width="15.453125" style="56" bestFit="1" customWidth="1"/>
    <col min="9964" max="9964" width="16.54296875" style="56" customWidth="1"/>
    <col min="9965" max="9965" width="18.453125" style="56" customWidth="1"/>
    <col min="9966" max="9966" width="16" style="56" bestFit="1" customWidth="1"/>
    <col min="9967" max="10214" width="8.81640625" style="56"/>
    <col min="10215" max="10215" width="7.81640625" style="56" customWidth="1"/>
    <col min="10216" max="10216" width="65.54296875" style="56" customWidth="1"/>
    <col min="10217" max="10218" width="7.54296875" style="56" bestFit="1" customWidth="1"/>
    <col min="10219" max="10219" width="15.453125" style="56" bestFit="1" customWidth="1"/>
    <col min="10220" max="10220" width="16.54296875" style="56" customWidth="1"/>
    <col min="10221" max="10221" width="18.453125" style="56" customWidth="1"/>
    <col min="10222" max="10222" width="16" style="56" bestFit="1" customWidth="1"/>
    <col min="10223" max="10470" width="8.81640625" style="56"/>
    <col min="10471" max="10471" width="7.81640625" style="56" customWidth="1"/>
    <col min="10472" max="10472" width="65.54296875" style="56" customWidth="1"/>
    <col min="10473" max="10474" width="7.54296875" style="56" bestFit="1" customWidth="1"/>
    <col min="10475" max="10475" width="15.453125" style="56" bestFit="1" customWidth="1"/>
    <col min="10476" max="10476" width="16.54296875" style="56" customWidth="1"/>
    <col min="10477" max="10477" width="18.453125" style="56" customWidth="1"/>
    <col min="10478" max="10478" width="16" style="56" bestFit="1" customWidth="1"/>
    <col min="10479" max="10726" width="8.81640625" style="56"/>
    <col min="10727" max="10727" width="7.81640625" style="56" customWidth="1"/>
    <col min="10728" max="10728" width="65.54296875" style="56" customWidth="1"/>
    <col min="10729" max="10730" width="7.54296875" style="56" bestFit="1" customWidth="1"/>
    <col min="10731" max="10731" width="15.453125" style="56" bestFit="1" customWidth="1"/>
    <col min="10732" max="10732" width="16.54296875" style="56" customWidth="1"/>
    <col min="10733" max="10733" width="18.453125" style="56" customWidth="1"/>
    <col min="10734" max="10734" width="16" style="56" bestFit="1" customWidth="1"/>
    <col min="10735" max="10982" width="8.81640625" style="56"/>
    <col min="10983" max="10983" width="7.81640625" style="56" customWidth="1"/>
    <col min="10984" max="10984" width="65.54296875" style="56" customWidth="1"/>
    <col min="10985" max="10986" width="7.54296875" style="56" bestFit="1" customWidth="1"/>
    <col min="10987" max="10987" width="15.453125" style="56" bestFit="1" customWidth="1"/>
    <col min="10988" max="10988" width="16.54296875" style="56" customWidth="1"/>
    <col min="10989" max="10989" width="18.453125" style="56" customWidth="1"/>
    <col min="10990" max="10990" width="16" style="56" bestFit="1" customWidth="1"/>
    <col min="10991" max="11238" width="8.81640625" style="56"/>
    <col min="11239" max="11239" width="7.81640625" style="56" customWidth="1"/>
    <col min="11240" max="11240" width="65.54296875" style="56" customWidth="1"/>
    <col min="11241" max="11242" width="7.54296875" style="56" bestFit="1" customWidth="1"/>
    <col min="11243" max="11243" width="15.453125" style="56" bestFit="1" customWidth="1"/>
    <col min="11244" max="11244" width="16.54296875" style="56" customWidth="1"/>
    <col min="11245" max="11245" width="18.453125" style="56" customWidth="1"/>
    <col min="11246" max="11246" width="16" style="56" bestFit="1" customWidth="1"/>
    <col min="11247" max="11494" width="8.81640625" style="56"/>
    <col min="11495" max="11495" width="7.81640625" style="56" customWidth="1"/>
    <col min="11496" max="11496" width="65.54296875" style="56" customWidth="1"/>
    <col min="11497" max="11498" width="7.54296875" style="56" bestFit="1" customWidth="1"/>
    <col min="11499" max="11499" width="15.453125" style="56" bestFit="1" customWidth="1"/>
    <col min="11500" max="11500" width="16.54296875" style="56" customWidth="1"/>
    <col min="11501" max="11501" width="18.453125" style="56" customWidth="1"/>
    <col min="11502" max="11502" width="16" style="56" bestFit="1" customWidth="1"/>
    <col min="11503" max="11750" width="8.81640625" style="56"/>
    <col min="11751" max="11751" width="7.81640625" style="56" customWidth="1"/>
    <col min="11752" max="11752" width="65.54296875" style="56" customWidth="1"/>
    <col min="11753" max="11754" width="7.54296875" style="56" bestFit="1" customWidth="1"/>
    <col min="11755" max="11755" width="15.453125" style="56" bestFit="1" customWidth="1"/>
    <col min="11756" max="11756" width="16.54296875" style="56" customWidth="1"/>
    <col min="11757" max="11757" width="18.453125" style="56" customWidth="1"/>
    <col min="11758" max="11758" width="16" style="56" bestFit="1" customWidth="1"/>
    <col min="11759" max="12006" width="8.81640625" style="56"/>
    <col min="12007" max="12007" width="7.81640625" style="56" customWidth="1"/>
    <col min="12008" max="12008" width="65.54296875" style="56" customWidth="1"/>
    <col min="12009" max="12010" width="7.54296875" style="56" bestFit="1" customWidth="1"/>
    <col min="12011" max="12011" width="15.453125" style="56" bestFit="1" customWidth="1"/>
    <col min="12012" max="12012" width="16.54296875" style="56" customWidth="1"/>
    <col min="12013" max="12013" width="18.453125" style="56" customWidth="1"/>
    <col min="12014" max="12014" width="16" style="56" bestFit="1" customWidth="1"/>
    <col min="12015" max="12262" width="8.81640625" style="56"/>
    <col min="12263" max="12263" width="7.81640625" style="56" customWidth="1"/>
    <col min="12264" max="12264" width="65.54296875" style="56" customWidth="1"/>
    <col min="12265" max="12266" width="7.54296875" style="56" bestFit="1" customWidth="1"/>
    <col min="12267" max="12267" width="15.453125" style="56" bestFit="1" customWidth="1"/>
    <col min="12268" max="12268" width="16.54296875" style="56" customWidth="1"/>
    <col min="12269" max="12269" width="18.453125" style="56" customWidth="1"/>
    <col min="12270" max="12270" width="16" style="56" bestFit="1" customWidth="1"/>
    <col min="12271" max="12518" width="8.81640625" style="56"/>
    <col min="12519" max="12519" width="7.81640625" style="56" customWidth="1"/>
    <col min="12520" max="12520" width="65.54296875" style="56" customWidth="1"/>
    <col min="12521" max="12522" width="7.54296875" style="56" bestFit="1" customWidth="1"/>
    <col min="12523" max="12523" width="15.453125" style="56" bestFit="1" customWidth="1"/>
    <col min="12524" max="12524" width="16.54296875" style="56" customWidth="1"/>
    <col min="12525" max="12525" width="18.453125" style="56" customWidth="1"/>
    <col min="12526" max="12526" width="16" style="56" bestFit="1" customWidth="1"/>
    <col min="12527" max="12774" width="8.81640625" style="56"/>
    <col min="12775" max="12775" width="7.81640625" style="56" customWidth="1"/>
    <col min="12776" max="12776" width="65.54296875" style="56" customWidth="1"/>
    <col min="12777" max="12778" width="7.54296875" style="56" bestFit="1" customWidth="1"/>
    <col min="12779" max="12779" width="15.453125" style="56" bestFit="1" customWidth="1"/>
    <col min="12780" max="12780" width="16.54296875" style="56" customWidth="1"/>
    <col min="12781" max="12781" width="18.453125" style="56" customWidth="1"/>
    <col min="12782" max="12782" width="16" style="56" bestFit="1" customWidth="1"/>
    <col min="12783" max="13030" width="8.81640625" style="56"/>
    <col min="13031" max="13031" width="7.81640625" style="56" customWidth="1"/>
    <col min="13032" max="13032" width="65.54296875" style="56" customWidth="1"/>
    <col min="13033" max="13034" width="7.54296875" style="56" bestFit="1" customWidth="1"/>
    <col min="13035" max="13035" width="15.453125" style="56" bestFit="1" customWidth="1"/>
    <col min="13036" max="13036" width="16.54296875" style="56" customWidth="1"/>
    <col min="13037" max="13037" width="18.453125" style="56" customWidth="1"/>
    <col min="13038" max="13038" width="16" style="56" bestFit="1" customWidth="1"/>
    <col min="13039" max="13286" width="8.81640625" style="56"/>
    <col min="13287" max="13287" width="7.81640625" style="56" customWidth="1"/>
    <col min="13288" max="13288" width="65.54296875" style="56" customWidth="1"/>
    <col min="13289" max="13290" width="7.54296875" style="56" bestFit="1" customWidth="1"/>
    <col min="13291" max="13291" width="15.453125" style="56" bestFit="1" customWidth="1"/>
    <col min="13292" max="13292" width="16.54296875" style="56" customWidth="1"/>
    <col min="13293" max="13293" width="18.453125" style="56" customWidth="1"/>
    <col min="13294" max="13294" width="16" style="56" bestFit="1" customWidth="1"/>
    <col min="13295" max="13542" width="8.81640625" style="56"/>
    <col min="13543" max="13543" width="7.81640625" style="56" customWidth="1"/>
    <col min="13544" max="13544" width="65.54296875" style="56" customWidth="1"/>
    <col min="13545" max="13546" width="7.54296875" style="56" bestFit="1" customWidth="1"/>
    <col min="13547" max="13547" width="15.453125" style="56" bestFit="1" customWidth="1"/>
    <col min="13548" max="13548" width="16.54296875" style="56" customWidth="1"/>
    <col min="13549" max="13549" width="18.453125" style="56" customWidth="1"/>
    <col min="13550" max="13550" width="16" style="56" bestFit="1" customWidth="1"/>
    <col min="13551" max="13798" width="8.81640625" style="56"/>
    <col min="13799" max="13799" width="7.81640625" style="56" customWidth="1"/>
    <col min="13800" max="13800" width="65.54296875" style="56" customWidth="1"/>
    <col min="13801" max="13802" width="7.54296875" style="56" bestFit="1" customWidth="1"/>
    <col min="13803" max="13803" width="15.453125" style="56" bestFit="1" customWidth="1"/>
    <col min="13804" max="13804" width="16.54296875" style="56" customWidth="1"/>
    <col min="13805" max="13805" width="18.453125" style="56" customWidth="1"/>
    <col min="13806" max="13806" width="16" style="56" bestFit="1" customWidth="1"/>
    <col min="13807" max="14054" width="8.81640625" style="56"/>
    <col min="14055" max="14055" width="7.81640625" style="56" customWidth="1"/>
    <col min="14056" max="14056" width="65.54296875" style="56" customWidth="1"/>
    <col min="14057" max="14058" width="7.54296875" style="56" bestFit="1" customWidth="1"/>
    <col min="14059" max="14059" width="15.453125" style="56" bestFit="1" customWidth="1"/>
    <col min="14060" max="14060" width="16.54296875" style="56" customWidth="1"/>
    <col min="14061" max="14061" width="18.453125" style="56" customWidth="1"/>
    <col min="14062" max="14062" width="16" style="56" bestFit="1" customWidth="1"/>
    <col min="14063" max="14310" width="8.81640625" style="56"/>
    <col min="14311" max="14311" width="7.81640625" style="56" customWidth="1"/>
    <col min="14312" max="14312" width="65.54296875" style="56" customWidth="1"/>
    <col min="14313" max="14314" width="7.54296875" style="56" bestFit="1" customWidth="1"/>
    <col min="14315" max="14315" width="15.453125" style="56" bestFit="1" customWidth="1"/>
    <col min="14316" max="14316" width="16.54296875" style="56" customWidth="1"/>
    <col min="14317" max="14317" width="18.453125" style="56" customWidth="1"/>
    <col min="14318" max="14318" width="16" style="56" bestFit="1" customWidth="1"/>
    <col min="14319" max="14566" width="8.81640625" style="56"/>
    <col min="14567" max="14567" width="7.81640625" style="56" customWidth="1"/>
    <col min="14568" max="14568" width="65.54296875" style="56" customWidth="1"/>
    <col min="14569" max="14570" width="7.54296875" style="56" bestFit="1" customWidth="1"/>
    <col min="14571" max="14571" width="15.453125" style="56" bestFit="1" customWidth="1"/>
    <col min="14572" max="14572" width="16.54296875" style="56" customWidth="1"/>
    <col min="14573" max="14573" width="18.453125" style="56" customWidth="1"/>
    <col min="14574" max="14574" width="16" style="56" bestFit="1" customWidth="1"/>
    <col min="14575" max="14822" width="8.81640625" style="56"/>
    <col min="14823" max="14823" width="7.81640625" style="56" customWidth="1"/>
    <col min="14824" max="14824" width="65.54296875" style="56" customWidth="1"/>
    <col min="14825" max="14826" width="7.54296875" style="56" bestFit="1" customWidth="1"/>
    <col min="14827" max="14827" width="15.453125" style="56" bestFit="1" customWidth="1"/>
    <col min="14828" max="14828" width="16.54296875" style="56" customWidth="1"/>
    <col min="14829" max="14829" width="18.453125" style="56" customWidth="1"/>
    <col min="14830" max="14830" width="16" style="56" bestFit="1" customWidth="1"/>
    <col min="14831" max="15078" width="8.81640625" style="56"/>
    <col min="15079" max="15079" width="7.81640625" style="56" customWidth="1"/>
    <col min="15080" max="15080" width="65.54296875" style="56" customWidth="1"/>
    <col min="15081" max="15082" width="7.54296875" style="56" bestFit="1" customWidth="1"/>
    <col min="15083" max="15083" width="15.453125" style="56" bestFit="1" customWidth="1"/>
    <col min="15084" max="15084" width="16.54296875" style="56" customWidth="1"/>
    <col min="15085" max="15085" width="18.453125" style="56" customWidth="1"/>
    <col min="15086" max="15086" width="16" style="56" bestFit="1" customWidth="1"/>
    <col min="15087" max="15334" width="8.81640625" style="56"/>
    <col min="15335" max="15335" width="7.81640625" style="56" customWidth="1"/>
    <col min="15336" max="15336" width="65.54296875" style="56" customWidth="1"/>
    <col min="15337" max="15338" width="7.54296875" style="56" bestFit="1" customWidth="1"/>
    <col min="15339" max="15339" width="15.453125" style="56" bestFit="1" customWidth="1"/>
    <col min="15340" max="15340" width="16.54296875" style="56" customWidth="1"/>
    <col min="15341" max="15341" width="18.453125" style="56" customWidth="1"/>
    <col min="15342" max="15342" width="16" style="56" bestFit="1" customWidth="1"/>
    <col min="15343" max="15590" width="8.81640625" style="56"/>
    <col min="15591" max="15591" width="7.81640625" style="56" customWidth="1"/>
    <col min="15592" max="15592" width="65.54296875" style="56" customWidth="1"/>
    <col min="15593" max="15594" width="7.54296875" style="56" bestFit="1" customWidth="1"/>
    <col min="15595" max="15595" width="15.453125" style="56" bestFit="1" customWidth="1"/>
    <col min="15596" max="15596" width="16.54296875" style="56" customWidth="1"/>
    <col min="15597" max="15597" width="18.453125" style="56" customWidth="1"/>
    <col min="15598" max="15598" width="16" style="56" bestFit="1" customWidth="1"/>
    <col min="15599" max="15846" width="8.81640625" style="56"/>
    <col min="15847" max="15847" width="7.81640625" style="56" customWidth="1"/>
    <col min="15848" max="15848" width="65.54296875" style="56" customWidth="1"/>
    <col min="15849" max="15850" width="7.54296875" style="56" bestFit="1" customWidth="1"/>
    <col min="15851" max="15851" width="15.453125" style="56" bestFit="1" customWidth="1"/>
    <col min="15852" max="15852" width="16.54296875" style="56" customWidth="1"/>
    <col min="15853" max="15853" width="18.453125" style="56" customWidth="1"/>
    <col min="15854" max="15854" width="16" style="56" bestFit="1" customWidth="1"/>
    <col min="15855" max="16102" width="8.81640625" style="56"/>
    <col min="16103" max="16103" width="7.81640625" style="56" customWidth="1"/>
    <col min="16104" max="16104" width="65.54296875" style="56" customWidth="1"/>
    <col min="16105" max="16106" width="7.54296875" style="56" bestFit="1" customWidth="1"/>
    <col min="16107" max="16107" width="15.453125" style="56" bestFit="1" customWidth="1"/>
    <col min="16108" max="16108" width="16.54296875" style="56" customWidth="1"/>
    <col min="16109" max="16109" width="18.453125" style="56" customWidth="1"/>
    <col min="16110" max="16110" width="16" style="56" bestFit="1" customWidth="1"/>
    <col min="16111" max="16384" width="8.81640625" style="56"/>
  </cols>
  <sheetData>
    <row r="1" spans="1:18" s="356" customFormat="1" ht="18" customHeight="1" x14ac:dyDescent="0.3">
      <c r="A1" s="766" t="s">
        <v>655</v>
      </c>
      <c r="B1" s="767"/>
      <c r="C1" s="767"/>
      <c r="D1" s="767"/>
      <c r="E1" s="767"/>
      <c r="F1" s="767"/>
      <c r="G1" s="767"/>
      <c r="H1" s="767"/>
      <c r="I1" s="767"/>
      <c r="J1" s="767"/>
      <c r="K1" s="767"/>
      <c r="L1" s="767"/>
      <c r="M1" s="767"/>
      <c r="N1" s="767"/>
      <c r="O1" s="767"/>
      <c r="P1" s="767"/>
      <c r="Q1" s="767"/>
      <c r="R1" s="767"/>
    </row>
    <row r="2" spans="1:18" s="356" customFormat="1" ht="18" customHeight="1" x14ac:dyDescent="0.3">
      <c r="A2" s="766" t="s">
        <v>654</v>
      </c>
      <c r="B2" s="767"/>
      <c r="C2" s="767"/>
      <c r="D2" s="767"/>
      <c r="E2" s="767"/>
      <c r="F2" s="767"/>
      <c r="G2" s="767"/>
      <c r="H2" s="767"/>
      <c r="I2" s="767"/>
      <c r="J2" s="767"/>
      <c r="K2" s="767"/>
      <c r="L2" s="767"/>
      <c r="M2" s="767"/>
      <c r="N2" s="767"/>
      <c r="O2" s="767"/>
      <c r="P2" s="767"/>
      <c r="Q2" s="767"/>
      <c r="R2" s="767"/>
    </row>
    <row r="3" spans="1:18" s="356" customFormat="1" ht="18" customHeight="1" x14ac:dyDescent="0.3">
      <c r="A3" s="766" t="s">
        <v>659</v>
      </c>
      <c r="B3" s="767"/>
      <c r="C3" s="767"/>
      <c r="D3" s="767"/>
      <c r="E3" s="767"/>
      <c r="F3" s="767"/>
      <c r="G3" s="767"/>
      <c r="H3" s="767"/>
      <c r="I3" s="767"/>
      <c r="J3" s="767"/>
      <c r="K3" s="767"/>
      <c r="L3" s="767"/>
      <c r="M3" s="767"/>
      <c r="N3" s="767"/>
      <c r="O3" s="767"/>
      <c r="P3" s="767"/>
      <c r="Q3" s="767"/>
      <c r="R3" s="767"/>
    </row>
    <row r="4" spans="1:18" s="356" customFormat="1" ht="18" customHeight="1" x14ac:dyDescent="0.3">
      <c r="A4" s="766" t="s">
        <v>653</v>
      </c>
      <c r="B4" s="767"/>
      <c r="C4" s="767"/>
      <c r="D4" s="767"/>
      <c r="E4" s="767"/>
      <c r="F4" s="767"/>
      <c r="G4" s="767"/>
      <c r="H4" s="767"/>
      <c r="I4" s="767"/>
      <c r="J4" s="767"/>
      <c r="K4" s="767"/>
      <c r="L4" s="767"/>
      <c r="M4" s="767"/>
      <c r="N4" s="767"/>
      <c r="O4" s="767"/>
      <c r="P4" s="767"/>
      <c r="Q4" s="767"/>
      <c r="R4" s="767"/>
    </row>
    <row r="5" spans="1:18" s="356" customFormat="1" ht="18" customHeight="1" x14ac:dyDescent="0.3">
      <c r="A5" s="766" t="s">
        <v>657</v>
      </c>
      <c r="B5" s="767"/>
      <c r="C5" s="767"/>
      <c r="D5" s="767"/>
      <c r="E5" s="767"/>
      <c r="F5" s="767"/>
      <c r="G5" s="767"/>
      <c r="H5" s="767"/>
      <c r="I5" s="767"/>
      <c r="J5" s="767"/>
      <c r="K5" s="767"/>
      <c r="L5" s="767"/>
      <c r="M5" s="767"/>
      <c r="N5" s="767"/>
      <c r="O5" s="767"/>
      <c r="P5" s="767"/>
      <c r="Q5" s="767"/>
      <c r="R5" s="767"/>
    </row>
    <row r="6" spans="1:18" s="356" customFormat="1" ht="18" customHeight="1" x14ac:dyDescent="0.3">
      <c r="A6" s="764" t="s">
        <v>746</v>
      </c>
      <c r="B6" s="765"/>
      <c r="C6" s="765"/>
      <c r="D6" s="765"/>
      <c r="E6" s="765"/>
      <c r="F6" s="765"/>
      <c r="G6" s="765"/>
      <c r="H6" s="765"/>
      <c r="I6" s="765"/>
      <c r="J6" s="765"/>
      <c r="K6" s="765"/>
      <c r="L6" s="765"/>
      <c r="M6" s="765"/>
      <c r="N6" s="765"/>
      <c r="O6" s="765"/>
      <c r="P6" s="765"/>
      <c r="Q6" s="765"/>
      <c r="R6" s="765"/>
    </row>
    <row r="7" spans="1:18" ht="13.4" customHeight="1" x14ac:dyDescent="0.3">
      <c r="A7" s="771" t="s">
        <v>8</v>
      </c>
      <c r="B7" s="773" t="s">
        <v>19</v>
      </c>
      <c r="C7" s="771" t="s">
        <v>9</v>
      </c>
      <c r="D7" s="99"/>
      <c r="E7" s="99"/>
      <c r="F7" s="775" t="s">
        <v>10</v>
      </c>
      <c r="G7" s="768" t="s">
        <v>650</v>
      </c>
      <c r="H7" s="769"/>
      <c r="I7" s="770"/>
      <c r="J7" s="768" t="s">
        <v>651</v>
      </c>
      <c r="K7" s="769"/>
      <c r="L7" s="769"/>
      <c r="M7" s="769"/>
      <c r="N7" s="770"/>
      <c r="O7" s="768" t="s">
        <v>652</v>
      </c>
      <c r="P7" s="769"/>
      <c r="Q7" s="770"/>
      <c r="R7" s="762" t="s">
        <v>636</v>
      </c>
    </row>
    <row r="8" spans="1:18" s="55" customFormat="1" x14ac:dyDescent="0.25">
      <c r="A8" s="772"/>
      <c r="B8" s="774"/>
      <c r="C8" s="772"/>
      <c r="D8" s="100" t="s">
        <v>39</v>
      </c>
      <c r="E8" s="100" t="s">
        <v>17</v>
      </c>
      <c r="F8" s="776"/>
      <c r="G8" s="225" t="s">
        <v>16</v>
      </c>
      <c r="H8" s="225" t="s">
        <v>15</v>
      </c>
      <c r="I8" s="225" t="s">
        <v>11</v>
      </c>
      <c r="J8" s="225" t="s">
        <v>645</v>
      </c>
      <c r="K8" s="348" t="s">
        <v>648</v>
      </c>
      <c r="L8" s="225" t="s">
        <v>646</v>
      </c>
      <c r="M8" s="225" t="s">
        <v>647</v>
      </c>
      <c r="N8" s="348" t="s">
        <v>649</v>
      </c>
      <c r="O8" s="225" t="s">
        <v>645</v>
      </c>
      <c r="P8" s="225" t="s">
        <v>646</v>
      </c>
      <c r="Q8" s="225" t="s">
        <v>647</v>
      </c>
      <c r="R8" s="763"/>
    </row>
    <row r="9" spans="1:18" x14ac:dyDescent="0.3">
      <c r="A9" s="103" t="s">
        <v>30</v>
      </c>
      <c r="B9" s="137"/>
      <c r="C9" s="103"/>
      <c r="D9" s="98"/>
      <c r="E9" s="98"/>
      <c r="F9" s="98"/>
      <c r="G9" s="225"/>
      <c r="H9" s="225"/>
      <c r="I9" s="225"/>
      <c r="J9" s="225"/>
      <c r="K9" s="348"/>
      <c r="L9" s="225"/>
      <c r="M9" s="225"/>
      <c r="N9" s="348"/>
      <c r="O9" s="225"/>
      <c r="P9" s="225"/>
      <c r="Q9" s="225"/>
      <c r="R9" s="140"/>
    </row>
    <row r="10" spans="1:18" ht="84" x14ac:dyDescent="0.3">
      <c r="A10" s="102">
        <v>1</v>
      </c>
      <c r="B10" s="106" t="s">
        <v>28</v>
      </c>
      <c r="C10" s="106" t="s">
        <v>62</v>
      </c>
      <c r="D10" s="107" t="s">
        <v>40</v>
      </c>
      <c r="E10" s="107" t="s">
        <v>40</v>
      </c>
      <c r="F10" s="102" t="s">
        <v>55</v>
      </c>
      <c r="G10" s="227">
        <v>1950</v>
      </c>
      <c r="H10" s="227">
        <v>12</v>
      </c>
      <c r="I10" s="140">
        <f t="shared" ref="I10:I11" si="0">$G10*H10</f>
        <v>23400</v>
      </c>
      <c r="J10" s="140">
        <v>1950</v>
      </c>
      <c r="K10" s="349">
        <v>1</v>
      </c>
      <c r="L10" s="140">
        <f>M10-J10</f>
        <v>163.79347758695531</v>
      </c>
      <c r="M10" s="248">
        <f>'Civil MB'!M11</f>
        <v>2113.7934775869553</v>
      </c>
      <c r="N10" s="349">
        <v>1</v>
      </c>
      <c r="O10" s="140">
        <f>H10*J10*K10</f>
        <v>23400</v>
      </c>
      <c r="P10" s="140">
        <f>Q10-O10</f>
        <v>1965.5217310434637</v>
      </c>
      <c r="Q10" s="140">
        <f>H10*M10*N10</f>
        <v>25365.521731043464</v>
      </c>
      <c r="R10" s="140"/>
    </row>
    <row r="11" spans="1:18" ht="36" x14ac:dyDescent="0.3">
      <c r="A11" s="102">
        <v>2</v>
      </c>
      <c r="B11" s="129" t="s">
        <v>29</v>
      </c>
      <c r="C11" s="110" t="s">
        <v>14</v>
      </c>
      <c r="D11" s="111" t="s">
        <v>40</v>
      </c>
      <c r="E11" s="111" t="s">
        <v>40</v>
      </c>
      <c r="F11" s="102" t="s">
        <v>55</v>
      </c>
      <c r="G11" s="121">
        <v>360</v>
      </c>
      <c r="H11" s="121">
        <v>142</v>
      </c>
      <c r="I11" s="140">
        <f t="shared" si="0"/>
        <v>51120</v>
      </c>
      <c r="J11" s="140">
        <v>360</v>
      </c>
      <c r="K11" s="350">
        <v>1</v>
      </c>
      <c r="L11" s="140">
        <f t="shared" ref="L11:L75" si="1">M11-J11</f>
        <v>87.778673335124495</v>
      </c>
      <c r="M11" s="248">
        <f>'Civil MB'!M17</f>
        <v>447.77867333512449</v>
      </c>
      <c r="N11" s="350">
        <v>1</v>
      </c>
      <c r="O11" s="140">
        <f t="shared" ref="O11:O75" si="2">H11*J11*K11</f>
        <v>51120</v>
      </c>
      <c r="P11" s="140">
        <f t="shared" ref="P11:P75" si="3">Q11-O11</f>
        <v>12464.571613587679</v>
      </c>
      <c r="Q11" s="140">
        <f t="shared" ref="Q11:Q75" si="4">H11*M11*N11</f>
        <v>63584.571613587679</v>
      </c>
      <c r="R11" s="140"/>
    </row>
    <row r="12" spans="1:18" x14ac:dyDescent="0.3">
      <c r="A12" s="102"/>
      <c r="B12" s="417"/>
      <c r="C12" s="112"/>
      <c r="D12" s="239"/>
      <c r="E12" s="239"/>
      <c r="F12" s="113"/>
      <c r="G12" s="121"/>
      <c r="H12" s="121"/>
      <c r="I12" s="140"/>
      <c r="J12" s="140">
        <v>0</v>
      </c>
      <c r="K12" s="351"/>
      <c r="L12" s="140">
        <f t="shared" si="1"/>
        <v>0</v>
      </c>
      <c r="M12" s="248"/>
      <c r="N12" s="351"/>
      <c r="O12" s="140">
        <f t="shared" si="2"/>
        <v>0</v>
      </c>
      <c r="P12" s="140">
        <f t="shared" si="3"/>
        <v>0</v>
      </c>
      <c r="Q12" s="140">
        <f t="shared" si="4"/>
        <v>0</v>
      </c>
      <c r="R12" s="140"/>
    </row>
    <row r="13" spans="1:18" x14ac:dyDescent="0.3">
      <c r="A13" s="778" t="s">
        <v>31</v>
      </c>
      <c r="B13" s="778"/>
      <c r="C13" s="778"/>
      <c r="D13" s="98"/>
      <c r="E13" s="98"/>
      <c r="F13" s="98"/>
      <c r="G13" s="225"/>
      <c r="H13" s="225"/>
      <c r="I13" s="225"/>
      <c r="J13" s="225">
        <v>0</v>
      </c>
      <c r="K13" s="348"/>
      <c r="L13" s="140">
        <f t="shared" si="1"/>
        <v>0</v>
      </c>
      <c r="M13" s="671"/>
      <c r="N13" s="348"/>
      <c r="O13" s="140">
        <f t="shared" si="2"/>
        <v>0</v>
      </c>
      <c r="P13" s="140">
        <f t="shared" si="3"/>
        <v>0</v>
      </c>
      <c r="Q13" s="140">
        <f t="shared" si="4"/>
        <v>0</v>
      </c>
      <c r="R13" s="140"/>
    </row>
    <row r="14" spans="1:18" s="57" customFormat="1" ht="36" x14ac:dyDescent="0.25">
      <c r="A14" s="114">
        <v>3</v>
      </c>
      <c r="B14" s="115" t="s">
        <v>27</v>
      </c>
      <c r="C14" s="116" t="s">
        <v>46</v>
      </c>
      <c r="D14" s="111" t="s">
        <v>40</v>
      </c>
      <c r="E14" s="111" t="s">
        <v>40</v>
      </c>
      <c r="F14" s="117" t="s">
        <v>41</v>
      </c>
      <c r="G14" s="229">
        <v>3</v>
      </c>
      <c r="H14" s="230">
        <v>2433</v>
      </c>
      <c r="I14" s="140">
        <f t="shared" ref="I14:I16" si="5">$G14*H14</f>
        <v>7299</v>
      </c>
      <c r="J14" s="140">
        <v>3</v>
      </c>
      <c r="K14" s="240">
        <v>1</v>
      </c>
      <c r="L14" s="140">
        <f t="shared" si="1"/>
        <v>2</v>
      </c>
      <c r="M14" s="248">
        <f>'Civil MB'!M27</f>
        <v>5</v>
      </c>
      <c r="N14" s="240">
        <v>1</v>
      </c>
      <c r="O14" s="140">
        <f t="shared" si="2"/>
        <v>7299</v>
      </c>
      <c r="P14" s="140">
        <f t="shared" si="3"/>
        <v>4866</v>
      </c>
      <c r="Q14" s="140">
        <f t="shared" si="4"/>
        <v>12165</v>
      </c>
      <c r="R14" s="140"/>
    </row>
    <row r="15" spans="1:18" s="57" customFormat="1" ht="24" x14ac:dyDescent="0.25">
      <c r="A15" s="114">
        <v>4</v>
      </c>
      <c r="B15" s="115" t="s">
        <v>44</v>
      </c>
      <c r="C15" s="116" t="s">
        <v>43</v>
      </c>
      <c r="D15" s="111" t="s">
        <v>40</v>
      </c>
      <c r="E15" s="111" t="s">
        <v>40</v>
      </c>
      <c r="F15" s="117" t="s">
        <v>41</v>
      </c>
      <c r="G15" s="229">
        <v>5</v>
      </c>
      <c r="H15" s="230">
        <v>5540</v>
      </c>
      <c r="I15" s="140">
        <f t="shared" si="5"/>
        <v>27700</v>
      </c>
      <c r="J15" s="140">
        <v>5</v>
      </c>
      <c r="K15" s="240">
        <v>1</v>
      </c>
      <c r="L15" s="140">
        <f t="shared" si="1"/>
        <v>4</v>
      </c>
      <c r="M15" s="248">
        <f>'Civil MB'!M34</f>
        <v>9</v>
      </c>
      <c r="N15" s="240">
        <v>1</v>
      </c>
      <c r="O15" s="140">
        <f t="shared" si="2"/>
        <v>27700</v>
      </c>
      <c r="P15" s="140">
        <f t="shared" si="3"/>
        <v>22160</v>
      </c>
      <c r="Q15" s="140">
        <f t="shared" si="4"/>
        <v>49860</v>
      </c>
      <c r="R15" s="140"/>
    </row>
    <row r="16" spans="1:18" ht="36" x14ac:dyDescent="0.3">
      <c r="A16" s="102">
        <v>5</v>
      </c>
      <c r="B16" s="115" t="s">
        <v>291</v>
      </c>
      <c r="C16" s="116" t="s">
        <v>292</v>
      </c>
      <c r="D16" s="111" t="s">
        <v>40</v>
      </c>
      <c r="E16" s="111" t="s">
        <v>40</v>
      </c>
      <c r="F16" s="117" t="s">
        <v>41</v>
      </c>
      <c r="G16" s="121"/>
      <c r="H16" s="121">
        <v>3122</v>
      </c>
      <c r="I16" s="140">
        <f t="shared" si="5"/>
        <v>0</v>
      </c>
      <c r="J16" s="140">
        <v>0</v>
      </c>
      <c r="K16" s="351">
        <v>0</v>
      </c>
      <c r="L16" s="140">
        <f t="shared" si="1"/>
        <v>5</v>
      </c>
      <c r="M16" s="248">
        <f>'Civil MB'!M36</f>
        <v>5</v>
      </c>
      <c r="N16" s="240">
        <v>1</v>
      </c>
      <c r="O16" s="140">
        <f t="shared" si="2"/>
        <v>0</v>
      </c>
      <c r="P16" s="140">
        <f t="shared" si="3"/>
        <v>15610</v>
      </c>
      <c r="Q16" s="140">
        <f t="shared" si="4"/>
        <v>15610</v>
      </c>
      <c r="R16" s="140"/>
    </row>
    <row r="17" spans="1:18" s="57" customFormat="1" x14ac:dyDescent="0.25">
      <c r="A17" s="114"/>
      <c r="B17" s="115"/>
      <c r="C17" s="116"/>
      <c r="D17" s="111"/>
      <c r="E17" s="111"/>
      <c r="F17" s="113"/>
      <c r="G17" s="227"/>
      <c r="H17" s="229"/>
      <c r="I17" s="140"/>
      <c r="J17" s="140">
        <v>0</v>
      </c>
      <c r="K17" s="351"/>
      <c r="L17" s="140">
        <f t="shared" si="1"/>
        <v>0</v>
      </c>
      <c r="M17" s="248"/>
      <c r="N17" s="351"/>
      <c r="O17" s="140">
        <f t="shared" si="2"/>
        <v>0</v>
      </c>
      <c r="P17" s="140">
        <f t="shared" si="3"/>
        <v>0</v>
      </c>
      <c r="Q17" s="140">
        <f t="shared" si="4"/>
        <v>0</v>
      </c>
      <c r="R17" s="140"/>
    </row>
    <row r="18" spans="1:18" x14ac:dyDescent="0.3">
      <c r="A18" s="778" t="s">
        <v>32</v>
      </c>
      <c r="B18" s="778"/>
      <c r="C18" s="778"/>
      <c r="D18" s="98"/>
      <c r="E18" s="98"/>
      <c r="F18" s="98"/>
      <c r="G18" s="225"/>
      <c r="H18" s="225"/>
      <c r="I18" s="225"/>
      <c r="J18" s="225">
        <v>0</v>
      </c>
      <c r="K18" s="348"/>
      <c r="L18" s="140">
        <f t="shared" si="1"/>
        <v>0</v>
      </c>
      <c r="M18" s="671"/>
      <c r="N18" s="348"/>
      <c r="O18" s="140">
        <f t="shared" si="2"/>
        <v>0</v>
      </c>
      <c r="P18" s="140">
        <f t="shared" si="3"/>
        <v>0</v>
      </c>
      <c r="Q18" s="140">
        <f t="shared" si="4"/>
        <v>0</v>
      </c>
      <c r="R18" s="140"/>
    </row>
    <row r="19" spans="1:18" ht="108" x14ac:dyDescent="0.3">
      <c r="A19" s="102">
        <v>1</v>
      </c>
      <c r="B19" s="124" t="s">
        <v>0</v>
      </c>
      <c r="C19" s="119" t="s">
        <v>571</v>
      </c>
      <c r="D19" s="117"/>
      <c r="E19" s="111" t="s">
        <v>40</v>
      </c>
      <c r="F19" s="120" t="s">
        <v>55</v>
      </c>
      <c r="G19" s="121"/>
      <c r="H19" s="121"/>
      <c r="I19" s="121"/>
      <c r="J19" s="121">
        <v>0</v>
      </c>
      <c r="K19" s="350"/>
      <c r="L19" s="140">
        <f t="shared" si="1"/>
        <v>0</v>
      </c>
      <c r="M19" s="249"/>
      <c r="N19" s="350"/>
      <c r="O19" s="140">
        <f t="shared" si="2"/>
        <v>0</v>
      </c>
      <c r="P19" s="140">
        <f t="shared" si="3"/>
        <v>0</v>
      </c>
      <c r="Q19" s="140">
        <f t="shared" si="4"/>
        <v>0</v>
      </c>
      <c r="R19" s="140"/>
    </row>
    <row r="20" spans="1:18" x14ac:dyDescent="0.3">
      <c r="A20" s="102" t="s">
        <v>1</v>
      </c>
      <c r="B20" s="124"/>
      <c r="C20" s="119" t="s">
        <v>64</v>
      </c>
      <c r="D20" s="117"/>
      <c r="E20" s="111" t="s">
        <v>40</v>
      </c>
      <c r="F20" s="120" t="s">
        <v>55</v>
      </c>
      <c r="G20" s="121">
        <v>410</v>
      </c>
      <c r="H20" s="121">
        <v>90</v>
      </c>
      <c r="I20" s="121">
        <f t="shared" ref="I20:I24" si="6">$G20*H20</f>
        <v>36900</v>
      </c>
      <c r="J20" s="121">
        <v>410</v>
      </c>
      <c r="K20" s="350">
        <v>1</v>
      </c>
      <c r="L20" s="140">
        <f t="shared" si="1"/>
        <v>18.11521560543116</v>
      </c>
      <c r="M20" s="249">
        <f>'Civil MB'!M41</f>
        <v>428.11521560543116</v>
      </c>
      <c r="N20" s="350">
        <v>1</v>
      </c>
      <c r="O20" s="140">
        <f t="shared" si="2"/>
        <v>36900</v>
      </c>
      <c r="P20" s="140">
        <f t="shared" si="3"/>
        <v>1630.3694044888034</v>
      </c>
      <c r="Q20" s="140">
        <f t="shared" si="4"/>
        <v>38530.369404488803</v>
      </c>
      <c r="R20" s="140"/>
    </row>
    <row r="21" spans="1:18" x14ac:dyDescent="0.3">
      <c r="A21" s="102" t="s">
        <v>2</v>
      </c>
      <c r="B21" s="124"/>
      <c r="C21" s="119" t="s">
        <v>65</v>
      </c>
      <c r="D21" s="117"/>
      <c r="E21" s="111" t="s">
        <v>40</v>
      </c>
      <c r="F21" s="120" t="s">
        <v>55</v>
      </c>
      <c r="G21" s="121">
        <v>170</v>
      </c>
      <c r="H21" s="121">
        <v>90</v>
      </c>
      <c r="I21" s="121">
        <f t="shared" si="6"/>
        <v>15300</v>
      </c>
      <c r="J21" s="121">
        <v>170</v>
      </c>
      <c r="K21" s="350">
        <v>1</v>
      </c>
      <c r="L21" s="140">
        <f t="shared" si="1"/>
        <v>68.539018744704123</v>
      </c>
      <c r="M21" s="249">
        <f>'Civil MB'!M59</f>
        <v>238.53901874470412</v>
      </c>
      <c r="N21" s="350">
        <v>1</v>
      </c>
      <c r="O21" s="140">
        <f t="shared" si="2"/>
        <v>15300</v>
      </c>
      <c r="P21" s="140">
        <f t="shared" si="3"/>
        <v>6168.5116870233724</v>
      </c>
      <c r="Q21" s="140">
        <f t="shared" si="4"/>
        <v>21468.511687023372</v>
      </c>
      <c r="R21" s="140"/>
    </row>
    <row r="22" spans="1:18" x14ac:dyDescent="0.3">
      <c r="A22" s="102" t="s">
        <v>3</v>
      </c>
      <c r="B22" s="124"/>
      <c r="C22" s="119" t="s">
        <v>72</v>
      </c>
      <c r="D22" s="117"/>
      <c r="E22" s="111" t="s">
        <v>40</v>
      </c>
      <c r="F22" s="120" t="s">
        <v>55</v>
      </c>
      <c r="G22" s="121">
        <v>100</v>
      </c>
      <c r="H22" s="121">
        <v>90</v>
      </c>
      <c r="I22" s="140">
        <f t="shared" si="6"/>
        <v>9000</v>
      </c>
      <c r="J22" s="140">
        <v>100</v>
      </c>
      <c r="K22" s="350">
        <v>1</v>
      </c>
      <c r="L22" s="140">
        <f t="shared" si="1"/>
        <v>-9.5831524996383308</v>
      </c>
      <c r="M22" s="248">
        <f>'Civil MB'!M61</f>
        <v>90.416847500361669</v>
      </c>
      <c r="N22" s="350">
        <v>1</v>
      </c>
      <c r="O22" s="140">
        <f t="shared" si="2"/>
        <v>9000</v>
      </c>
      <c r="P22" s="140">
        <f t="shared" si="3"/>
        <v>-862.48372496745014</v>
      </c>
      <c r="Q22" s="140">
        <f t="shared" si="4"/>
        <v>8137.5162750325499</v>
      </c>
      <c r="R22" s="140"/>
    </row>
    <row r="23" spans="1:18" x14ac:dyDescent="0.3">
      <c r="A23" s="102" t="s">
        <v>4</v>
      </c>
      <c r="B23" s="124"/>
      <c r="C23" s="119" t="s">
        <v>73</v>
      </c>
      <c r="D23" s="117"/>
      <c r="E23" s="111" t="s">
        <v>40</v>
      </c>
      <c r="F23" s="120" t="s">
        <v>55</v>
      </c>
      <c r="G23" s="121">
        <v>65</v>
      </c>
      <c r="H23" s="121">
        <v>90</v>
      </c>
      <c r="I23" s="140">
        <f t="shared" si="6"/>
        <v>5850</v>
      </c>
      <c r="J23" s="140">
        <v>65</v>
      </c>
      <c r="K23" s="350">
        <v>1</v>
      </c>
      <c r="L23" s="140">
        <f t="shared" si="1"/>
        <v>9.4001488002976004</v>
      </c>
      <c r="M23" s="248">
        <f>'Civil MB'!M70</f>
        <v>74.4001488002976</v>
      </c>
      <c r="N23" s="350">
        <v>1</v>
      </c>
      <c r="O23" s="140">
        <f t="shared" si="2"/>
        <v>5850</v>
      </c>
      <c r="P23" s="140">
        <f t="shared" si="3"/>
        <v>846.01339202678446</v>
      </c>
      <c r="Q23" s="140">
        <f t="shared" si="4"/>
        <v>6696.0133920267845</v>
      </c>
      <c r="R23" s="140"/>
    </row>
    <row r="24" spans="1:18" x14ac:dyDescent="0.3">
      <c r="A24" s="102"/>
      <c r="B24" s="124"/>
      <c r="C24" s="119" t="s">
        <v>747</v>
      </c>
      <c r="D24" s="117"/>
      <c r="E24" s="111"/>
      <c r="F24" s="120"/>
      <c r="G24" s="121"/>
      <c r="H24" s="121">
        <v>90</v>
      </c>
      <c r="I24" s="140">
        <f t="shared" si="6"/>
        <v>0</v>
      </c>
      <c r="J24" s="140">
        <v>0</v>
      </c>
      <c r="K24" s="350">
        <v>0</v>
      </c>
      <c r="L24" s="140">
        <f t="shared" si="1"/>
        <v>124.38774877549756</v>
      </c>
      <c r="M24" s="249">
        <f>'Civil MB'!M77</f>
        <v>124.38774877549756</v>
      </c>
      <c r="N24" s="350">
        <v>1</v>
      </c>
      <c r="O24" s="140">
        <f t="shared" si="2"/>
        <v>0</v>
      </c>
      <c r="P24" s="140">
        <f t="shared" si="3"/>
        <v>11194.89738979478</v>
      </c>
      <c r="Q24" s="140">
        <f t="shared" si="4"/>
        <v>11194.89738979478</v>
      </c>
      <c r="R24" s="140"/>
    </row>
    <row r="25" spans="1:18" x14ac:dyDescent="0.3">
      <c r="A25" s="102"/>
      <c r="B25" s="147"/>
      <c r="C25" s="105"/>
      <c r="D25" s="102"/>
      <c r="E25" s="102"/>
      <c r="F25" s="121"/>
      <c r="G25" s="229"/>
      <c r="H25" s="229"/>
      <c r="I25" s="140"/>
      <c r="J25" s="140">
        <v>0</v>
      </c>
      <c r="K25" s="351"/>
      <c r="L25" s="140">
        <f t="shared" si="1"/>
        <v>0</v>
      </c>
      <c r="M25" s="248"/>
      <c r="N25" s="351"/>
      <c r="O25" s="140">
        <f t="shared" si="2"/>
        <v>0</v>
      </c>
      <c r="P25" s="140">
        <f t="shared" si="3"/>
        <v>0</v>
      </c>
      <c r="Q25" s="140">
        <f t="shared" si="4"/>
        <v>0</v>
      </c>
      <c r="R25" s="140"/>
    </row>
    <row r="26" spans="1:18" ht="120" x14ac:dyDescent="0.3">
      <c r="A26" s="102">
        <v>2</v>
      </c>
      <c r="B26" s="124" t="s">
        <v>20</v>
      </c>
      <c r="C26" s="119" t="s">
        <v>572</v>
      </c>
      <c r="D26" s="117"/>
      <c r="E26" s="117"/>
      <c r="F26" s="120"/>
      <c r="G26" s="121"/>
      <c r="H26" s="121"/>
      <c r="I26" s="121"/>
      <c r="J26" s="121">
        <v>0</v>
      </c>
      <c r="K26" s="350"/>
      <c r="L26" s="140">
        <f t="shared" si="1"/>
        <v>0</v>
      </c>
      <c r="M26" s="249"/>
      <c r="N26" s="350"/>
      <c r="O26" s="140">
        <f t="shared" si="2"/>
        <v>0</v>
      </c>
      <c r="P26" s="140">
        <f t="shared" si="3"/>
        <v>0</v>
      </c>
      <c r="Q26" s="140">
        <f t="shared" si="4"/>
        <v>0</v>
      </c>
      <c r="R26" s="140"/>
    </row>
    <row r="27" spans="1:18" x14ac:dyDescent="0.3">
      <c r="A27" s="102"/>
      <c r="B27" s="124"/>
      <c r="C27" s="122" t="s">
        <v>232</v>
      </c>
      <c r="D27" s="241"/>
      <c r="E27" s="111" t="s">
        <v>40</v>
      </c>
      <c r="F27" s="120" t="s">
        <v>55</v>
      </c>
      <c r="G27" s="231">
        <v>280</v>
      </c>
      <c r="H27" s="231">
        <v>145</v>
      </c>
      <c r="I27" s="140">
        <f>$G27*H27</f>
        <v>40600</v>
      </c>
      <c r="J27" s="140">
        <v>280</v>
      </c>
      <c r="K27" s="350">
        <v>1</v>
      </c>
      <c r="L27" s="140">
        <f t="shared" si="1"/>
        <v>247.04658534317059</v>
      </c>
      <c r="M27" s="248">
        <f>'Civil MB'!M90</f>
        <v>527.04658534317059</v>
      </c>
      <c r="N27" s="350">
        <v>1</v>
      </c>
      <c r="O27" s="140">
        <f t="shared" si="2"/>
        <v>40600</v>
      </c>
      <c r="P27" s="140">
        <f t="shared" si="3"/>
        <v>35821.754874759732</v>
      </c>
      <c r="Q27" s="140">
        <f t="shared" si="4"/>
        <v>76421.754874759732</v>
      </c>
      <c r="R27" s="140"/>
    </row>
    <row r="28" spans="1:18" x14ac:dyDescent="0.3">
      <c r="A28" s="102"/>
      <c r="B28" s="418"/>
      <c r="C28" s="123"/>
      <c r="D28" s="242"/>
      <c r="E28" s="242"/>
      <c r="F28" s="113"/>
      <c r="G28" s="140"/>
      <c r="H28" s="140"/>
      <c r="I28" s="140"/>
      <c r="J28" s="140">
        <v>0</v>
      </c>
      <c r="K28" s="351"/>
      <c r="L28" s="140">
        <f t="shared" si="1"/>
        <v>0</v>
      </c>
      <c r="M28" s="248"/>
      <c r="N28" s="351"/>
      <c r="O28" s="140">
        <f t="shared" si="2"/>
        <v>0</v>
      </c>
      <c r="P28" s="140">
        <f t="shared" si="3"/>
        <v>0</v>
      </c>
      <c r="Q28" s="140">
        <f t="shared" si="4"/>
        <v>0</v>
      </c>
      <c r="R28" s="140"/>
    </row>
    <row r="29" spans="1:18" x14ac:dyDescent="0.3">
      <c r="A29" s="102">
        <v>3</v>
      </c>
      <c r="B29" s="124" t="s">
        <v>20</v>
      </c>
      <c r="C29" s="119" t="s">
        <v>66</v>
      </c>
      <c r="D29" s="117"/>
      <c r="E29" s="117"/>
      <c r="F29" s="120"/>
      <c r="G29" s="121"/>
      <c r="H29" s="121"/>
      <c r="I29" s="121"/>
      <c r="J29" s="121">
        <v>0</v>
      </c>
      <c r="K29" s="350"/>
      <c r="L29" s="140">
        <f t="shared" si="1"/>
        <v>0</v>
      </c>
      <c r="M29" s="249"/>
      <c r="N29" s="350"/>
      <c r="O29" s="140">
        <f t="shared" si="2"/>
        <v>0</v>
      </c>
      <c r="P29" s="140">
        <f t="shared" si="3"/>
        <v>0</v>
      </c>
      <c r="Q29" s="140">
        <f t="shared" si="4"/>
        <v>0</v>
      </c>
      <c r="R29" s="140"/>
    </row>
    <row r="30" spans="1:18" x14ac:dyDescent="0.3">
      <c r="A30" s="102"/>
      <c r="B30" s="124"/>
      <c r="C30" s="122" t="s">
        <v>18</v>
      </c>
      <c r="D30" s="241"/>
      <c r="E30" s="111" t="s">
        <v>40</v>
      </c>
      <c r="F30" s="120" t="s">
        <v>55</v>
      </c>
      <c r="G30" s="229">
        <v>45</v>
      </c>
      <c r="H30" s="231">
        <v>141</v>
      </c>
      <c r="I30" s="140">
        <f>$G30*H30</f>
        <v>6345</v>
      </c>
      <c r="J30" s="140">
        <v>45</v>
      </c>
      <c r="K30" s="350">
        <v>1</v>
      </c>
      <c r="L30" s="140">
        <f t="shared" si="1"/>
        <v>138.56772824656758</v>
      </c>
      <c r="M30" s="248">
        <f>'Civil MB'!M100</f>
        <v>183.56772824656758</v>
      </c>
      <c r="N30" s="350">
        <v>1</v>
      </c>
      <c r="O30" s="140">
        <f t="shared" si="2"/>
        <v>6345</v>
      </c>
      <c r="P30" s="140">
        <f t="shared" si="3"/>
        <v>19538.049682766028</v>
      </c>
      <c r="Q30" s="140">
        <f t="shared" si="4"/>
        <v>25883.049682766028</v>
      </c>
      <c r="R30" s="140"/>
    </row>
    <row r="31" spans="1:18" x14ac:dyDescent="0.3">
      <c r="A31" s="102"/>
      <c r="B31" s="124"/>
      <c r="C31" s="122"/>
      <c r="D31" s="241"/>
      <c r="E31" s="111"/>
      <c r="F31" s="120"/>
      <c r="G31" s="229"/>
      <c r="H31" s="231"/>
      <c r="I31" s="140"/>
      <c r="J31" s="140">
        <v>0</v>
      </c>
      <c r="K31" s="351"/>
      <c r="L31" s="140">
        <f t="shared" si="1"/>
        <v>0</v>
      </c>
      <c r="M31" s="248"/>
      <c r="N31" s="351"/>
      <c r="O31" s="140">
        <f t="shared" si="2"/>
        <v>0</v>
      </c>
      <c r="P31" s="140">
        <f t="shared" si="3"/>
        <v>0</v>
      </c>
      <c r="Q31" s="140">
        <f t="shared" si="4"/>
        <v>0</v>
      </c>
      <c r="R31" s="140"/>
    </row>
    <row r="32" spans="1:18" x14ac:dyDescent="0.3">
      <c r="A32" s="102"/>
      <c r="B32" s="418"/>
      <c r="C32" s="123"/>
      <c r="D32" s="242"/>
      <c r="E32" s="242"/>
      <c r="F32" s="113"/>
      <c r="G32" s="140"/>
      <c r="H32" s="140"/>
      <c r="I32" s="140"/>
      <c r="J32" s="140">
        <v>0</v>
      </c>
      <c r="K32" s="351"/>
      <c r="L32" s="140">
        <f t="shared" si="1"/>
        <v>0</v>
      </c>
      <c r="M32" s="248"/>
      <c r="N32" s="351"/>
      <c r="O32" s="140">
        <f t="shared" si="2"/>
        <v>0</v>
      </c>
      <c r="P32" s="140">
        <f t="shared" si="3"/>
        <v>0</v>
      </c>
      <c r="Q32" s="140">
        <f t="shared" si="4"/>
        <v>0</v>
      </c>
      <c r="R32" s="140"/>
    </row>
    <row r="33" spans="1:18" ht="60" x14ac:dyDescent="0.3">
      <c r="A33" s="102">
        <v>4</v>
      </c>
      <c r="B33" s="129" t="s">
        <v>21</v>
      </c>
      <c r="C33" s="124" t="s">
        <v>573</v>
      </c>
      <c r="D33" s="111" t="s">
        <v>40</v>
      </c>
      <c r="E33" s="111" t="s">
        <v>40</v>
      </c>
      <c r="F33" s="120" t="s">
        <v>55</v>
      </c>
      <c r="G33" s="121">
        <v>115</v>
      </c>
      <c r="H33" s="121">
        <v>43</v>
      </c>
      <c r="I33" s="140">
        <f>$G33*H33</f>
        <v>4945</v>
      </c>
      <c r="J33" s="140">
        <v>115</v>
      </c>
      <c r="K33" s="350">
        <v>1</v>
      </c>
      <c r="L33" s="140">
        <f t="shared" si="1"/>
        <v>847.14784790680687</v>
      </c>
      <c r="M33" s="248">
        <f>'Civil MB'!M127</f>
        <v>962.14784790680687</v>
      </c>
      <c r="N33" s="350">
        <v>1</v>
      </c>
      <c r="O33" s="140">
        <f t="shared" si="2"/>
        <v>4945</v>
      </c>
      <c r="P33" s="140">
        <f t="shared" si="3"/>
        <v>36427.357459992694</v>
      </c>
      <c r="Q33" s="140">
        <f t="shared" si="4"/>
        <v>41372.357459992694</v>
      </c>
      <c r="R33" s="140"/>
    </row>
    <row r="34" spans="1:18" x14ac:dyDescent="0.3">
      <c r="A34" s="102"/>
      <c r="B34" s="129"/>
      <c r="C34" s="124"/>
      <c r="D34" s="117"/>
      <c r="E34" s="117"/>
      <c r="F34" s="120"/>
      <c r="G34" s="121"/>
      <c r="H34" s="121"/>
      <c r="I34" s="140"/>
      <c r="J34" s="140">
        <v>0</v>
      </c>
      <c r="K34" s="351"/>
      <c r="L34" s="140">
        <f t="shared" si="1"/>
        <v>0</v>
      </c>
      <c r="M34" s="248"/>
      <c r="N34" s="351"/>
      <c r="O34" s="140">
        <f t="shared" si="2"/>
        <v>0</v>
      </c>
      <c r="P34" s="140">
        <f t="shared" si="3"/>
        <v>0</v>
      </c>
      <c r="Q34" s="140">
        <f t="shared" si="4"/>
        <v>0</v>
      </c>
      <c r="R34" s="140"/>
    </row>
    <row r="35" spans="1:18" ht="60" x14ac:dyDescent="0.3">
      <c r="A35" s="102">
        <v>5</v>
      </c>
      <c r="B35" s="129" t="s">
        <v>22</v>
      </c>
      <c r="C35" s="124" t="s">
        <v>574</v>
      </c>
      <c r="D35" s="111" t="s">
        <v>40</v>
      </c>
      <c r="E35" s="111" t="s">
        <v>40</v>
      </c>
      <c r="F35" s="120" t="s">
        <v>55</v>
      </c>
      <c r="G35" s="229"/>
      <c r="H35" s="121"/>
      <c r="I35" s="140"/>
      <c r="J35" s="140">
        <v>0</v>
      </c>
      <c r="K35" s="351"/>
      <c r="L35" s="140">
        <f t="shared" si="1"/>
        <v>0</v>
      </c>
      <c r="M35" s="248"/>
      <c r="N35" s="351"/>
      <c r="O35" s="140">
        <f t="shared" si="2"/>
        <v>0</v>
      </c>
      <c r="P35" s="140">
        <f t="shared" si="3"/>
        <v>0</v>
      </c>
      <c r="Q35" s="140">
        <f t="shared" si="4"/>
        <v>0</v>
      </c>
      <c r="R35" s="140"/>
    </row>
    <row r="36" spans="1:18" x14ac:dyDescent="0.3">
      <c r="A36" s="102"/>
      <c r="B36" s="129"/>
      <c r="C36" s="124" t="s">
        <v>277</v>
      </c>
      <c r="D36" s="111"/>
      <c r="E36" s="111"/>
      <c r="F36" s="120" t="s">
        <v>55</v>
      </c>
      <c r="G36" s="229">
        <v>410</v>
      </c>
      <c r="H36" s="121">
        <v>92</v>
      </c>
      <c r="I36" s="140">
        <f t="shared" ref="I36:I38" si="7">$G36*H36</f>
        <v>37720</v>
      </c>
      <c r="J36" s="140">
        <v>410</v>
      </c>
      <c r="K36" s="350">
        <v>1</v>
      </c>
      <c r="L36" s="140">
        <f t="shared" si="1"/>
        <v>18.11521560543116</v>
      </c>
      <c r="M36" s="248">
        <f>'Civil MB'!M130</f>
        <v>428.11521560543116</v>
      </c>
      <c r="N36" s="350">
        <v>1</v>
      </c>
      <c r="O36" s="140">
        <f t="shared" si="2"/>
        <v>37720</v>
      </c>
      <c r="P36" s="140">
        <f t="shared" si="3"/>
        <v>1666.5998356996643</v>
      </c>
      <c r="Q36" s="140">
        <f t="shared" si="4"/>
        <v>39386.599835699664</v>
      </c>
      <c r="R36" s="140"/>
    </row>
    <row r="37" spans="1:18" x14ac:dyDescent="0.3">
      <c r="A37" s="102"/>
      <c r="B37" s="418"/>
      <c r="C37" s="124" t="s">
        <v>276</v>
      </c>
      <c r="D37" s="117"/>
      <c r="E37" s="117"/>
      <c r="F37" s="120" t="s">
        <v>55</v>
      </c>
      <c r="G37" s="121">
        <v>100</v>
      </c>
      <c r="H37" s="121">
        <v>92</v>
      </c>
      <c r="I37" s="140">
        <f t="shared" si="7"/>
        <v>9200</v>
      </c>
      <c r="J37" s="140">
        <v>100</v>
      </c>
      <c r="K37" s="350">
        <v>1</v>
      </c>
      <c r="L37" s="140">
        <f t="shared" si="1"/>
        <v>1301.9923352346705</v>
      </c>
      <c r="M37" s="248">
        <f>'Civil MB'!M132</f>
        <v>1401.9923352346705</v>
      </c>
      <c r="N37" s="350">
        <v>1</v>
      </c>
      <c r="O37" s="140">
        <f t="shared" si="2"/>
        <v>9200</v>
      </c>
      <c r="P37" s="140">
        <f t="shared" si="3"/>
        <v>119783.29484158968</v>
      </c>
      <c r="Q37" s="140">
        <f t="shared" si="4"/>
        <v>128983.29484158968</v>
      </c>
      <c r="R37" s="140"/>
    </row>
    <row r="38" spans="1:18" x14ac:dyDescent="0.3">
      <c r="A38" s="102"/>
      <c r="B38" s="418"/>
      <c r="C38" s="124" t="s">
        <v>747</v>
      </c>
      <c r="D38" s="117"/>
      <c r="E38" s="117"/>
      <c r="F38" s="120" t="s">
        <v>55</v>
      </c>
      <c r="G38" s="121"/>
      <c r="H38" s="121">
        <v>92</v>
      </c>
      <c r="I38" s="140">
        <f t="shared" si="7"/>
        <v>0</v>
      </c>
      <c r="J38" s="140">
        <v>0</v>
      </c>
      <c r="K38" s="350">
        <v>0</v>
      </c>
      <c r="L38" s="140">
        <f t="shared" si="1"/>
        <v>9.4722411667045545</v>
      </c>
      <c r="M38" s="248">
        <f>'Civil MB'!M134</f>
        <v>9.4722411667045545</v>
      </c>
      <c r="N38" s="350">
        <v>1</v>
      </c>
      <c r="O38" s="140">
        <f t="shared" ref="O38" si="8">H38*J38*K38</f>
        <v>0</v>
      </c>
      <c r="P38" s="140">
        <f t="shared" ref="P38" si="9">Q38-O38</f>
        <v>871.44618733681898</v>
      </c>
      <c r="Q38" s="140">
        <f t="shared" ref="Q38" si="10">H38*M38*N38</f>
        <v>871.44618733681898</v>
      </c>
      <c r="R38" s="140"/>
    </row>
    <row r="39" spans="1:18" x14ac:dyDescent="0.3">
      <c r="A39" s="102"/>
      <c r="B39" s="129"/>
      <c r="C39" s="125"/>
      <c r="D39" s="111"/>
      <c r="E39" s="111"/>
      <c r="F39" s="113"/>
      <c r="G39" s="227"/>
      <c r="H39" s="227"/>
      <c r="I39" s="140"/>
      <c r="J39" s="140">
        <v>0</v>
      </c>
      <c r="K39" s="351"/>
      <c r="L39" s="140">
        <f t="shared" si="1"/>
        <v>0</v>
      </c>
      <c r="M39" s="248"/>
      <c r="N39" s="351"/>
      <c r="O39" s="140">
        <f t="shared" si="2"/>
        <v>0</v>
      </c>
      <c r="P39" s="140">
        <f t="shared" si="3"/>
        <v>0</v>
      </c>
      <c r="Q39" s="140">
        <f t="shared" si="4"/>
        <v>0</v>
      </c>
      <c r="R39" s="140"/>
    </row>
    <row r="40" spans="1:18" ht="84" x14ac:dyDescent="0.3">
      <c r="A40" s="102">
        <v>6</v>
      </c>
      <c r="B40" s="129" t="s">
        <v>23</v>
      </c>
      <c r="C40" s="124" t="s">
        <v>12</v>
      </c>
      <c r="D40" s="111"/>
      <c r="E40" s="111"/>
      <c r="F40" s="120"/>
      <c r="G40" s="121"/>
      <c r="H40" s="121"/>
      <c r="I40" s="140"/>
      <c r="J40" s="140">
        <v>0</v>
      </c>
      <c r="K40" s="351"/>
      <c r="L40" s="140">
        <f t="shared" si="1"/>
        <v>0</v>
      </c>
      <c r="M40" s="248"/>
      <c r="N40" s="351"/>
      <c r="O40" s="140">
        <f t="shared" si="2"/>
        <v>0</v>
      </c>
      <c r="P40" s="140">
        <f t="shared" si="3"/>
        <v>0</v>
      </c>
      <c r="Q40" s="140">
        <f t="shared" si="4"/>
        <v>0</v>
      </c>
      <c r="R40" s="140"/>
    </row>
    <row r="41" spans="1:18" x14ac:dyDescent="0.3">
      <c r="A41" s="102"/>
      <c r="B41" s="117"/>
      <c r="C41" s="124" t="s">
        <v>67</v>
      </c>
      <c r="D41" s="111" t="s">
        <v>40</v>
      </c>
      <c r="E41" s="111" t="s">
        <v>40</v>
      </c>
      <c r="F41" s="113" t="s">
        <v>55</v>
      </c>
      <c r="G41" s="121">
        <v>85</v>
      </c>
      <c r="H41" s="121">
        <v>263</v>
      </c>
      <c r="I41" s="140">
        <f t="shared" ref="I41:I42" si="11">$G41*H41</f>
        <v>22355</v>
      </c>
      <c r="J41" s="140">
        <v>85</v>
      </c>
      <c r="K41" s="350">
        <v>1</v>
      </c>
      <c r="L41" s="140">
        <f t="shared" si="1"/>
        <v>343.11521560543116</v>
      </c>
      <c r="M41" s="248">
        <f>'Civil MB'!M139</f>
        <v>428.11521560543116</v>
      </c>
      <c r="N41" s="350">
        <v>1</v>
      </c>
      <c r="O41" s="140">
        <f t="shared" si="2"/>
        <v>22355</v>
      </c>
      <c r="P41" s="140">
        <f t="shared" si="3"/>
        <v>90239.30170422839</v>
      </c>
      <c r="Q41" s="140">
        <f t="shared" si="4"/>
        <v>112594.30170422839</v>
      </c>
      <c r="R41" s="140"/>
    </row>
    <row r="42" spans="1:18" x14ac:dyDescent="0.3">
      <c r="A42" s="102"/>
      <c r="B42" s="117"/>
      <c r="C42" s="124" t="s">
        <v>71</v>
      </c>
      <c r="D42" s="111" t="s">
        <v>40</v>
      </c>
      <c r="E42" s="111" t="s">
        <v>40</v>
      </c>
      <c r="F42" s="113" t="s">
        <v>55</v>
      </c>
      <c r="G42" s="121">
        <v>25</v>
      </c>
      <c r="H42" s="121">
        <v>263</v>
      </c>
      <c r="I42" s="140">
        <f t="shared" si="11"/>
        <v>6575</v>
      </c>
      <c r="J42" s="140">
        <v>25</v>
      </c>
      <c r="K42" s="350">
        <v>1</v>
      </c>
      <c r="L42" s="140">
        <f t="shared" si="1"/>
        <v>103.1120617796791</v>
      </c>
      <c r="M42" s="248">
        <f>'Civil MB'!M144</f>
        <v>128.1120617796791</v>
      </c>
      <c r="N42" s="350">
        <v>1</v>
      </c>
      <c r="O42" s="140">
        <f t="shared" si="2"/>
        <v>6575</v>
      </c>
      <c r="P42" s="140">
        <f t="shared" si="3"/>
        <v>27118.472248055601</v>
      </c>
      <c r="Q42" s="140">
        <f t="shared" si="4"/>
        <v>33693.472248055601</v>
      </c>
      <c r="R42" s="140"/>
    </row>
    <row r="43" spans="1:18" x14ac:dyDescent="0.3">
      <c r="A43" s="102"/>
      <c r="B43" s="117"/>
      <c r="C43" s="124"/>
      <c r="D43" s="111"/>
      <c r="E43" s="111"/>
      <c r="F43" s="113"/>
      <c r="G43" s="121"/>
      <c r="H43" s="121"/>
      <c r="I43" s="140"/>
      <c r="J43" s="140">
        <v>0</v>
      </c>
      <c r="K43" s="351"/>
      <c r="L43" s="140">
        <f t="shared" si="1"/>
        <v>0</v>
      </c>
      <c r="M43" s="248"/>
      <c r="N43" s="351"/>
      <c r="O43" s="140">
        <f t="shared" si="2"/>
        <v>0</v>
      </c>
      <c r="P43" s="140">
        <f t="shared" si="3"/>
        <v>0</v>
      </c>
      <c r="Q43" s="140">
        <f t="shared" si="4"/>
        <v>0</v>
      </c>
      <c r="R43" s="140"/>
    </row>
    <row r="44" spans="1:18" ht="36" x14ac:dyDescent="0.3">
      <c r="A44" s="102">
        <v>7</v>
      </c>
      <c r="B44" s="117" t="s">
        <v>300</v>
      </c>
      <c r="C44" s="126" t="s">
        <v>304</v>
      </c>
      <c r="D44" s="117" t="s">
        <v>301</v>
      </c>
      <c r="E44" s="111"/>
      <c r="F44" s="113" t="s">
        <v>55</v>
      </c>
      <c r="G44" s="121">
        <v>400</v>
      </c>
      <c r="H44" s="121">
        <v>197</v>
      </c>
      <c r="I44" s="140">
        <f t="shared" ref="I44:I45" si="12">$G44*H44</f>
        <v>78800</v>
      </c>
      <c r="J44" s="140">
        <v>400</v>
      </c>
      <c r="K44" s="351">
        <v>0</v>
      </c>
      <c r="L44" s="140">
        <f t="shared" si="1"/>
        <v>-400</v>
      </c>
      <c r="M44" s="248">
        <f>'Civil MB'!M146</f>
        <v>0</v>
      </c>
      <c r="N44" s="351">
        <v>0</v>
      </c>
      <c r="O44" s="140">
        <f t="shared" si="2"/>
        <v>0</v>
      </c>
      <c r="P44" s="140">
        <f t="shared" si="3"/>
        <v>0</v>
      </c>
      <c r="Q44" s="140">
        <f t="shared" si="4"/>
        <v>0</v>
      </c>
      <c r="R44" s="140"/>
    </row>
    <row r="45" spans="1:18" ht="60" x14ac:dyDescent="0.3">
      <c r="A45" s="102">
        <v>8</v>
      </c>
      <c r="B45" s="127" t="s">
        <v>305</v>
      </c>
      <c r="C45" s="128" t="s">
        <v>306</v>
      </c>
      <c r="D45" s="111"/>
      <c r="E45" s="111"/>
      <c r="F45" s="113" t="s">
        <v>55</v>
      </c>
      <c r="G45" s="121">
        <v>1500</v>
      </c>
      <c r="H45" s="121">
        <v>285</v>
      </c>
      <c r="I45" s="140">
        <f t="shared" si="12"/>
        <v>427500</v>
      </c>
      <c r="J45" s="140">
        <v>1500</v>
      </c>
      <c r="K45" s="351">
        <v>0.95</v>
      </c>
      <c r="L45" s="140">
        <f t="shared" si="1"/>
        <v>-7.8583004388233348</v>
      </c>
      <c r="M45" s="660">
        <f>'Civil MB'!M163</f>
        <v>1492.1416995611767</v>
      </c>
      <c r="N45" s="351">
        <v>1</v>
      </c>
      <c r="O45" s="140">
        <f t="shared" si="2"/>
        <v>406125</v>
      </c>
      <c r="P45" s="140">
        <f t="shared" si="3"/>
        <v>19135.384374935355</v>
      </c>
      <c r="Q45" s="140">
        <f t="shared" si="4"/>
        <v>425260.38437493535</v>
      </c>
      <c r="R45" s="121" t="s">
        <v>901</v>
      </c>
    </row>
    <row r="46" spans="1:18" x14ac:dyDescent="0.3">
      <c r="A46" s="102"/>
      <c r="B46" s="117"/>
      <c r="C46" s="124"/>
      <c r="D46" s="111"/>
      <c r="E46" s="111"/>
      <c r="F46" s="117"/>
      <c r="G46" s="121"/>
      <c r="H46" s="121"/>
      <c r="I46" s="140"/>
      <c r="J46" s="140">
        <v>0</v>
      </c>
      <c r="K46" s="351"/>
      <c r="L46" s="140">
        <f t="shared" si="1"/>
        <v>0</v>
      </c>
      <c r="M46" s="248"/>
      <c r="N46" s="351"/>
      <c r="O46" s="140">
        <f t="shared" si="2"/>
        <v>0</v>
      </c>
      <c r="P46" s="140">
        <f t="shared" si="3"/>
        <v>0</v>
      </c>
      <c r="Q46" s="140">
        <f t="shared" si="4"/>
        <v>0</v>
      </c>
      <c r="R46" s="140"/>
    </row>
    <row r="47" spans="1:18" x14ac:dyDescent="0.3">
      <c r="A47" s="102"/>
      <c r="B47" s="117"/>
      <c r="C47" s="124"/>
      <c r="D47" s="111"/>
      <c r="E47" s="111"/>
      <c r="F47" s="113"/>
      <c r="G47" s="121"/>
      <c r="H47" s="121"/>
      <c r="I47" s="140"/>
      <c r="J47" s="140">
        <v>0</v>
      </c>
      <c r="K47" s="351"/>
      <c r="L47" s="140">
        <f t="shared" si="1"/>
        <v>0</v>
      </c>
      <c r="M47" s="248"/>
      <c r="N47" s="351"/>
      <c r="O47" s="140">
        <f t="shared" si="2"/>
        <v>0</v>
      </c>
      <c r="P47" s="140">
        <f t="shared" si="3"/>
        <v>0</v>
      </c>
      <c r="Q47" s="140">
        <f t="shared" si="4"/>
        <v>0</v>
      </c>
      <c r="R47" s="140"/>
    </row>
    <row r="48" spans="1:18" x14ac:dyDescent="0.3">
      <c r="A48" s="778" t="s">
        <v>33</v>
      </c>
      <c r="B48" s="778"/>
      <c r="C48" s="778"/>
      <c r="D48" s="98"/>
      <c r="E48" s="98"/>
      <c r="F48" s="98"/>
      <c r="G48" s="225"/>
      <c r="H48" s="225"/>
      <c r="I48" s="225"/>
      <c r="J48" s="225">
        <v>0</v>
      </c>
      <c r="K48" s="348"/>
      <c r="L48" s="140">
        <f t="shared" si="1"/>
        <v>0</v>
      </c>
      <c r="M48" s="671"/>
      <c r="N48" s="348"/>
      <c r="O48" s="140">
        <f t="shared" si="2"/>
        <v>0</v>
      </c>
      <c r="P48" s="140">
        <f t="shared" si="3"/>
        <v>0</v>
      </c>
      <c r="Q48" s="140">
        <f t="shared" si="4"/>
        <v>0</v>
      </c>
      <c r="R48" s="140"/>
    </row>
    <row r="49" spans="1:18" ht="84" x14ac:dyDescent="0.3">
      <c r="A49" s="102">
        <v>1</v>
      </c>
      <c r="B49" s="129" t="s">
        <v>24</v>
      </c>
      <c r="C49" s="124" t="s">
        <v>575</v>
      </c>
      <c r="D49" s="117"/>
      <c r="E49" s="111"/>
      <c r="F49" s="113"/>
      <c r="G49" s="121"/>
      <c r="H49" s="121"/>
      <c r="I49" s="140"/>
      <c r="J49" s="140">
        <v>0</v>
      </c>
      <c r="K49" s="351"/>
      <c r="L49" s="140">
        <f t="shared" si="1"/>
        <v>0</v>
      </c>
      <c r="M49" s="248"/>
      <c r="N49" s="351"/>
      <c r="O49" s="140">
        <f t="shared" si="2"/>
        <v>0</v>
      </c>
      <c r="P49" s="140">
        <f t="shared" si="3"/>
        <v>0</v>
      </c>
      <c r="Q49" s="140">
        <f t="shared" si="4"/>
        <v>0</v>
      </c>
      <c r="R49" s="140"/>
    </row>
    <row r="50" spans="1:18" x14ac:dyDescent="0.3">
      <c r="A50" s="102"/>
      <c r="B50" s="129"/>
      <c r="C50" s="124" t="s">
        <v>34</v>
      </c>
      <c r="D50" s="117"/>
      <c r="E50" s="117"/>
      <c r="F50" s="120"/>
      <c r="G50" s="121"/>
      <c r="H50" s="121"/>
      <c r="I50" s="140"/>
      <c r="J50" s="140">
        <v>0</v>
      </c>
      <c r="K50" s="351"/>
      <c r="L50" s="140">
        <f t="shared" si="1"/>
        <v>0</v>
      </c>
      <c r="M50" s="248"/>
      <c r="N50" s="351"/>
      <c r="O50" s="140">
        <f t="shared" si="2"/>
        <v>0</v>
      </c>
      <c r="P50" s="140">
        <f t="shared" si="3"/>
        <v>0</v>
      </c>
      <c r="Q50" s="140">
        <f t="shared" si="4"/>
        <v>0</v>
      </c>
      <c r="R50" s="140"/>
    </row>
    <row r="51" spans="1:18" x14ac:dyDescent="0.3">
      <c r="A51" s="102"/>
      <c r="B51" s="129"/>
      <c r="C51" s="124" t="s">
        <v>63</v>
      </c>
      <c r="D51" s="117"/>
      <c r="E51" s="117" t="s">
        <v>40</v>
      </c>
      <c r="F51" s="120" t="s">
        <v>55</v>
      </c>
      <c r="G51" s="121">
        <v>410</v>
      </c>
      <c r="H51" s="121">
        <v>135</v>
      </c>
      <c r="I51" s="140">
        <f t="shared" ref="I51:I52" si="13">$G51*H51</f>
        <v>55350</v>
      </c>
      <c r="J51" s="140">
        <v>410</v>
      </c>
      <c r="K51" s="351">
        <v>0.95</v>
      </c>
      <c r="L51" s="140">
        <f t="shared" si="1"/>
        <v>5.5429682387141952</v>
      </c>
      <c r="M51" s="248">
        <f>'Civil MB'!M170</f>
        <v>415.5429682387142</v>
      </c>
      <c r="N51" s="351">
        <v>1</v>
      </c>
      <c r="O51" s="140">
        <f t="shared" si="2"/>
        <v>52582.5</v>
      </c>
      <c r="P51" s="140">
        <f t="shared" si="3"/>
        <v>3515.8007122264171</v>
      </c>
      <c r="Q51" s="140">
        <f t="shared" si="4"/>
        <v>56098.300712226417</v>
      </c>
      <c r="R51" s="140"/>
    </row>
    <row r="52" spans="1:18" x14ac:dyDescent="0.3">
      <c r="A52" s="102"/>
      <c r="B52" s="129"/>
      <c r="C52" s="124" t="s">
        <v>233</v>
      </c>
      <c r="D52" s="117"/>
      <c r="E52" s="117" t="s">
        <v>40</v>
      </c>
      <c r="F52" s="120" t="s">
        <v>234</v>
      </c>
      <c r="G52" s="121">
        <v>100</v>
      </c>
      <c r="H52" s="121">
        <v>135</v>
      </c>
      <c r="I52" s="140">
        <f t="shared" si="13"/>
        <v>13500</v>
      </c>
      <c r="J52" s="140">
        <v>100</v>
      </c>
      <c r="K52" s="351">
        <v>0.95</v>
      </c>
      <c r="L52" s="140">
        <f t="shared" si="1"/>
        <v>189.33391200115733</v>
      </c>
      <c r="M52" s="248">
        <f>'Civil MB'!M176</f>
        <v>289.33391200115733</v>
      </c>
      <c r="N52" s="351">
        <v>1</v>
      </c>
      <c r="O52" s="140">
        <f t="shared" si="2"/>
        <v>12825</v>
      </c>
      <c r="P52" s="140">
        <f t="shared" si="3"/>
        <v>26235.078120156242</v>
      </c>
      <c r="Q52" s="140">
        <f t="shared" si="4"/>
        <v>39060.078120156242</v>
      </c>
      <c r="R52" s="140"/>
    </row>
    <row r="53" spans="1:18" x14ac:dyDescent="0.3">
      <c r="A53" s="102"/>
      <c r="B53" s="418"/>
      <c r="C53" s="124"/>
      <c r="D53" s="117"/>
      <c r="E53" s="117"/>
      <c r="F53" s="120"/>
      <c r="G53" s="140"/>
      <c r="H53" s="140"/>
      <c r="I53" s="140"/>
      <c r="J53" s="140">
        <v>0</v>
      </c>
      <c r="K53" s="351"/>
      <c r="L53" s="140">
        <f t="shared" si="1"/>
        <v>0</v>
      </c>
      <c r="M53" s="248"/>
      <c r="N53" s="351"/>
      <c r="O53" s="140">
        <f t="shared" si="2"/>
        <v>0</v>
      </c>
      <c r="P53" s="140">
        <f t="shared" si="3"/>
        <v>0</v>
      </c>
      <c r="Q53" s="140">
        <f t="shared" si="4"/>
        <v>0</v>
      </c>
      <c r="R53" s="140"/>
    </row>
    <row r="54" spans="1:18" ht="84" x14ac:dyDescent="0.3">
      <c r="A54" s="102">
        <v>2</v>
      </c>
      <c r="B54" s="129" t="s">
        <v>74</v>
      </c>
      <c r="C54" s="124" t="s">
        <v>47</v>
      </c>
      <c r="D54" s="117"/>
      <c r="E54" s="111" t="s">
        <v>40</v>
      </c>
      <c r="F54" s="113" t="s">
        <v>55</v>
      </c>
      <c r="G54" s="121">
        <v>1080</v>
      </c>
      <c r="H54" s="121">
        <v>287</v>
      </c>
      <c r="I54" s="140">
        <f>$G54*H54</f>
        <v>309960</v>
      </c>
      <c r="J54" s="140">
        <v>1080</v>
      </c>
      <c r="K54" s="351">
        <v>0.95</v>
      </c>
      <c r="L54" s="140">
        <f t="shared" si="1"/>
        <v>93.045575257817063</v>
      </c>
      <c r="M54" s="248">
        <f>'Civil MB'!M182</f>
        <v>1173.0455752578171</v>
      </c>
      <c r="N54" s="351">
        <v>1</v>
      </c>
      <c r="O54" s="140">
        <f t="shared" si="2"/>
        <v>294462</v>
      </c>
      <c r="P54" s="140">
        <f t="shared" si="3"/>
        <v>42202.080098993494</v>
      </c>
      <c r="Q54" s="140">
        <f t="shared" si="4"/>
        <v>336664.08009899349</v>
      </c>
      <c r="R54" s="140"/>
    </row>
    <row r="55" spans="1:18" x14ac:dyDescent="0.3">
      <c r="A55" s="102"/>
      <c r="B55" s="418"/>
      <c r="C55" s="124" t="s">
        <v>200</v>
      </c>
      <c r="D55" s="117"/>
      <c r="E55" s="117"/>
      <c r="F55" s="120"/>
      <c r="G55" s="140"/>
      <c r="H55" s="140"/>
      <c r="I55" s="140"/>
      <c r="J55" s="140">
        <v>0</v>
      </c>
      <c r="K55" s="351"/>
      <c r="L55" s="140">
        <f t="shared" si="1"/>
        <v>0</v>
      </c>
      <c r="M55" s="248"/>
      <c r="N55" s="351"/>
      <c r="O55" s="140">
        <f t="shared" si="2"/>
        <v>0</v>
      </c>
      <c r="P55" s="140">
        <f t="shared" si="3"/>
        <v>0</v>
      </c>
      <c r="Q55" s="140">
        <f t="shared" si="4"/>
        <v>0</v>
      </c>
      <c r="R55" s="140"/>
    </row>
    <row r="56" spans="1:18" x14ac:dyDescent="0.3">
      <c r="A56" s="102"/>
      <c r="B56" s="418"/>
      <c r="C56" s="124" t="s">
        <v>48</v>
      </c>
      <c r="D56" s="117"/>
      <c r="E56" s="117"/>
      <c r="F56" s="120"/>
      <c r="G56" s="140"/>
      <c r="H56" s="140"/>
      <c r="I56" s="140"/>
      <c r="J56" s="140">
        <v>0</v>
      </c>
      <c r="K56" s="351"/>
      <c r="L56" s="140">
        <f t="shared" si="1"/>
        <v>0</v>
      </c>
      <c r="M56" s="248"/>
      <c r="N56" s="351"/>
      <c r="O56" s="140">
        <f t="shared" si="2"/>
        <v>0</v>
      </c>
      <c r="P56" s="140">
        <f t="shared" si="3"/>
        <v>0</v>
      </c>
      <c r="Q56" s="140">
        <f t="shared" si="4"/>
        <v>0</v>
      </c>
      <c r="R56" s="140"/>
    </row>
    <row r="57" spans="1:18" x14ac:dyDescent="0.3">
      <c r="A57" s="102"/>
      <c r="B57" s="418"/>
      <c r="C57" s="124"/>
      <c r="D57" s="117"/>
      <c r="E57" s="117"/>
      <c r="F57" s="120"/>
      <c r="G57" s="140"/>
      <c r="H57" s="140"/>
      <c r="I57" s="140"/>
      <c r="J57" s="140">
        <v>0</v>
      </c>
      <c r="K57" s="351"/>
      <c r="L57" s="140">
        <f t="shared" si="1"/>
        <v>0</v>
      </c>
      <c r="M57" s="248"/>
      <c r="N57" s="351"/>
      <c r="O57" s="140">
        <f t="shared" si="2"/>
        <v>0</v>
      </c>
      <c r="P57" s="140">
        <f t="shared" si="3"/>
        <v>0</v>
      </c>
      <c r="Q57" s="140">
        <f t="shared" si="4"/>
        <v>0</v>
      </c>
      <c r="R57" s="140"/>
    </row>
    <row r="58" spans="1:18" ht="84" x14ac:dyDescent="0.3">
      <c r="A58" s="102">
        <v>3</v>
      </c>
      <c r="B58" s="129" t="s">
        <v>59</v>
      </c>
      <c r="C58" s="124" t="s">
        <v>47</v>
      </c>
      <c r="D58" s="117"/>
      <c r="E58" s="111" t="s">
        <v>40</v>
      </c>
      <c r="F58" s="113" t="s">
        <v>55</v>
      </c>
      <c r="G58" s="121">
        <v>230</v>
      </c>
      <c r="H58" s="121">
        <v>326</v>
      </c>
      <c r="I58" s="140">
        <f>$G58*H58</f>
        <v>74980</v>
      </c>
      <c r="J58" s="140">
        <v>230</v>
      </c>
      <c r="K58" s="351">
        <v>0.95</v>
      </c>
      <c r="L58" s="140">
        <f t="shared" si="1"/>
        <v>-27.353240539814408</v>
      </c>
      <c r="M58" s="248">
        <f>'Civil MB'!M185</f>
        <v>202.64675946018559</v>
      </c>
      <c r="N58" s="351">
        <v>1</v>
      </c>
      <c r="O58" s="140">
        <f t="shared" si="2"/>
        <v>71231</v>
      </c>
      <c r="P58" s="140">
        <f t="shared" si="3"/>
        <v>-5168.1564159794943</v>
      </c>
      <c r="Q58" s="140">
        <f t="shared" si="4"/>
        <v>66062.843584020506</v>
      </c>
      <c r="R58" s="140"/>
    </row>
    <row r="59" spans="1:18" x14ac:dyDescent="0.3">
      <c r="A59" s="102"/>
      <c r="B59" s="418"/>
      <c r="C59" s="124" t="s">
        <v>75</v>
      </c>
      <c r="D59" s="117"/>
      <c r="E59" s="117"/>
      <c r="F59" s="120"/>
      <c r="G59" s="140"/>
      <c r="H59" s="140"/>
      <c r="I59" s="140"/>
      <c r="J59" s="140">
        <v>0</v>
      </c>
      <c r="K59" s="351"/>
      <c r="L59" s="140">
        <f t="shared" si="1"/>
        <v>0</v>
      </c>
      <c r="M59" s="248"/>
      <c r="N59" s="351"/>
      <c r="O59" s="140">
        <f t="shared" si="2"/>
        <v>0</v>
      </c>
      <c r="P59" s="140">
        <f t="shared" si="3"/>
        <v>0</v>
      </c>
      <c r="Q59" s="140">
        <f t="shared" si="4"/>
        <v>0</v>
      </c>
      <c r="R59" s="140"/>
    </row>
    <row r="60" spans="1:18" x14ac:dyDescent="0.3">
      <c r="A60" s="102"/>
      <c r="B60" s="418"/>
      <c r="C60" s="124" t="s">
        <v>75</v>
      </c>
      <c r="D60" s="117"/>
      <c r="E60" s="117"/>
      <c r="F60" s="120"/>
      <c r="G60" s="140"/>
      <c r="H60" s="140"/>
      <c r="I60" s="140"/>
      <c r="J60" s="140">
        <v>0</v>
      </c>
      <c r="K60" s="351"/>
      <c r="L60" s="140">
        <f t="shared" si="1"/>
        <v>0</v>
      </c>
      <c r="M60" s="248"/>
      <c r="N60" s="351"/>
      <c r="O60" s="140">
        <f t="shared" si="2"/>
        <v>0</v>
      </c>
      <c r="P60" s="140">
        <f t="shared" si="3"/>
        <v>0</v>
      </c>
      <c r="Q60" s="140">
        <f t="shared" si="4"/>
        <v>0</v>
      </c>
      <c r="R60" s="140"/>
    </row>
    <row r="61" spans="1:18" x14ac:dyDescent="0.3">
      <c r="A61" s="102"/>
      <c r="B61" s="418"/>
      <c r="C61" s="124"/>
      <c r="D61" s="117"/>
      <c r="E61" s="117"/>
      <c r="F61" s="120"/>
      <c r="G61" s="140"/>
      <c r="H61" s="140"/>
      <c r="I61" s="140"/>
      <c r="J61" s="140">
        <v>0</v>
      </c>
      <c r="K61" s="351"/>
      <c r="L61" s="140">
        <f t="shared" si="1"/>
        <v>0</v>
      </c>
      <c r="M61" s="248"/>
      <c r="N61" s="351"/>
      <c r="O61" s="140">
        <f t="shared" si="2"/>
        <v>0</v>
      </c>
      <c r="P61" s="140">
        <f t="shared" si="3"/>
        <v>0</v>
      </c>
      <c r="Q61" s="140">
        <f t="shared" si="4"/>
        <v>0</v>
      </c>
      <c r="R61" s="140"/>
    </row>
    <row r="62" spans="1:18" ht="60" x14ac:dyDescent="0.3">
      <c r="A62" s="102">
        <v>4</v>
      </c>
      <c r="B62" s="129" t="s">
        <v>84</v>
      </c>
      <c r="C62" s="124" t="s">
        <v>83</v>
      </c>
      <c r="D62" s="117"/>
      <c r="E62" s="111" t="s">
        <v>40</v>
      </c>
      <c r="F62" s="120" t="s">
        <v>45</v>
      </c>
      <c r="G62" s="140">
        <v>65</v>
      </c>
      <c r="H62" s="140">
        <v>142</v>
      </c>
      <c r="I62" s="140">
        <f>$G62*H62</f>
        <v>9230</v>
      </c>
      <c r="J62" s="140">
        <v>65</v>
      </c>
      <c r="K62" s="351">
        <v>0.95</v>
      </c>
      <c r="L62" s="140">
        <f t="shared" si="1"/>
        <v>46.912729658792671</v>
      </c>
      <c r="M62" s="248">
        <f>'Civil MB'!M198</f>
        <v>111.91272965879267</v>
      </c>
      <c r="N62" s="351">
        <v>1</v>
      </c>
      <c r="O62" s="140">
        <f t="shared" si="2"/>
        <v>8768.5</v>
      </c>
      <c r="P62" s="140">
        <f t="shared" si="3"/>
        <v>7123.1076115485594</v>
      </c>
      <c r="Q62" s="140">
        <f t="shared" si="4"/>
        <v>15891.607611548559</v>
      </c>
      <c r="R62" s="140"/>
    </row>
    <row r="63" spans="1:18" x14ac:dyDescent="0.3">
      <c r="A63" s="102"/>
      <c r="B63" s="418"/>
      <c r="C63" s="124" t="s">
        <v>201</v>
      </c>
      <c r="D63" s="117"/>
      <c r="E63" s="117"/>
      <c r="F63" s="120"/>
      <c r="G63" s="140"/>
      <c r="H63" s="140"/>
      <c r="I63" s="140"/>
      <c r="J63" s="140">
        <v>0</v>
      </c>
      <c r="K63" s="351"/>
      <c r="L63" s="140">
        <f t="shared" si="1"/>
        <v>0</v>
      </c>
      <c r="M63" s="248"/>
      <c r="N63" s="351"/>
      <c r="O63" s="140">
        <f t="shared" si="2"/>
        <v>0</v>
      </c>
      <c r="P63" s="140">
        <f t="shared" si="3"/>
        <v>0</v>
      </c>
      <c r="Q63" s="140">
        <f t="shared" si="4"/>
        <v>0</v>
      </c>
      <c r="R63" s="140"/>
    </row>
    <row r="64" spans="1:18" x14ac:dyDescent="0.3">
      <c r="A64" s="102"/>
      <c r="B64" s="418"/>
      <c r="C64" s="124"/>
      <c r="D64" s="117"/>
      <c r="E64" s="117"/>
      <c r="F64" s="120"/>
      <c r="G64" s="140"/>
      <c r="H64" s="140"/>
      <c r="I64" s="140"/>
      <c r="J64" s="140">
        <v>0</v>
      </c>
      <c r="K64" s="351"/>
      <c r="L64" s="140">
        <f t="shared" si="1"/>
        <v>0</v>
      </c>
      <c r="M64" s="248"/>
      <c r="N64" s="351"/>
      <c r="O64" s="140">
        <f t="shared" si="2"/>
        <v>0</v>
      </c>
      <c r="P64" s="140">
        <f t="shared" si="3"/>
        <v>0</v>
      </c>
      <c r="Q64" s="140">
        <f t="shared" si="4"/>
        <v>0</v>
      </c>
      <c r="R64" s="140"/>
    </row>
    <row r="65" spans="1:18" x14ac:dyDescent="0.3">
      <c r="A65" s="102"/>
      <c r="B65" s="418"/>
      <c r="C65" s="124"/>
      <c r="D65" s="117"/>
      <c r="E65" s="117"/>
      <c r="F65" s="120"/>
      <c r="G65" s="140"/>
      <c r="H65" s="140"/>
      <c r="I65" s="140"/>
      <c r="J65" s="140">
        <v>0</v>
      </c>
      <c r="K65" s="351"/>
      <c r="L65" s="140">
        <f t="shared" si="1"/>
        <v>0</v>
      </c>
      <c r="M65" s="248"/>
      <c r="N65" s="351"/>
      <c r="O65" s="140">
        <f t="shared" si="2"/>
        <v>0</v>
      </c>
      <c r="P65" s="140">
        <f t="shared" si="3"/>
        <v>0</v>
      </c>
      <c r="Q65" s="140">
        <f t="shared" si="4"/>
        <v>0</v>
      </c>
      <c r="R65" s="140"/>
    </row>
    <row r="66" spans="1:18" x14ac:dyDescent="0.3">
      <c r="A66" s="102"/>
      <c r="B66" s="418"/>
      <c r="C66" s="124"/>
      <c r="D66" s="117"/>
      <c r="E66" s="117"/>
      <c r="F66" s="120"/>
      <c r="G66" s="140"/>
      <c r="H66" s="140"/>
      <c r="I66" s="140"/>
      <c r="J66" s="140">
        <v>0</v>
      </c>
      <c r="K66" s="351"/>
      <c r="L66" s="140">
        <f t="shared" si="1"/>
        <v>0</v>
      </c>
      <c r="M66" s="248"/>
      <c r="N66" s="351"/>
      <c r="O66" s="140">
        <f t="shared" si="2"/>
        <v>0</v>
      </c>
      <c r="P66" s="140">
        <f t="shared" si="3"/>
        <v>0</v>
      </c>
      <c r="Q66" s="140">
        <f t="shared" si="4"/>
        <v>0</v>
      </c>
      <c r="R66" s="140"/>
    </row>
    <row r="67" spans="1:18" x14ac:dyDescent="0.3">
      <c r="A67" s="100"/>
      <c r="B67" s="148"/>
      <c r="C67" s="131"/>
      <c r="D67" s="141"/>
      <c r="E67" s="141"/>
      <c r="F67" s="121"/>
      <c r="G67" s="232"/>
      <c r="H67" s="232"/>
      <c r="I67" s="140"/>
      <c r="J67" s="140">
        <v>0</v>
      </c>
      <c r="K67" s="351"/>
      <c r="L67" s="140">
        <f t="shared" si="1"/>
        <v>0</v>
      </c>
      <c r="M67" s="248"/>
      <c r="N67" s="351"/>
      <c r="O67" s="140">
        <f t="shared" si="2"/>
        <v>0</v>
      </c>
      <c r="P67" s="140">
        <f t="shared" si="3"/>
        <v>0</v>
      </c>
      <c r="Q67" s="140">
        <f t="shared" si="4"/>
        <v>0</v>
      </c>
      <c r="R67" s="140"/>
    </row>
    <row r="68" spans="1:18" ht="24" x14ac:dyDescent="0.3">
      <c r="A68" s="102">
        <v>5</v>
      </c>
      <c r="B68" s="129" t="s">
        <v>88</v>
      </c>
      <c r="C68" s="124" t="s">
        <v>576</v>
      </c>
      <c r="D68" s="117"/>
      <c r="E68" s="117" t="s">
        <v>241</v>
      </c>
      <c r="F68" s="120"/>
      <c r="G68" s="121"/>
      <c r="H68" s="121"/>
      <c r="I68" s="140"/>
      <c r="J68" s="140">
        <v>0</v>
      </c>
      <c r="K68" s="351"/>
      <c r="L68" s="140">
        <f t="shared" si="1"/>
        <v>0</v>
      </c>
      <c r="M68" s="248"/>
      <c r="N68" s="351"/>
      <c r="O68" s="140">
        <f t="shared" si="2"/>
        <v>0</v>
      </c>
      <c r="P68" s="140">
        <f t="shared" si="3"/>
        <v>0</v>
      </c>
      <c r="Q68" s="140">
        <f t="shared" si="4"/>
        <v>0</v>
      </c>
      <c r="R68" s="140"/>
    </row>
    <row r="69" spans="1:18" s="57" customFormat="1" ht="24" x14ac:dyDescent="0.25">
      <c r="A69" s="102"/>
      <c r="B69" s="418"/>
      <c r="C69" s="124" t="s">
        <v>13</v>
      </c>
      <c r="D69" s="117" t="s">
        <v>278</v>
      </c>
      <c r="E69" s="111" t="s">
        <v>281</v>
      </c>
      <c r="F69" s="120" t="s">
        <v>45</v>
      </c>
      <c r="G69" s="229">
        <v>2</v>
      </c>
      <c r="H69" s="229">
        <v>375</v>
      </c>
      <c r="I69" s="140">
        <f t="shared" ref="I69:I70" si="14">$G69*H69</f>
        <v>750</v>
      </c>
      <c r="J69" s="140">
        <v>2</v>
      </c>
      <c r="K69" s="351">
        <v>0</v>
      </c>
      <c r="L69" s="140">
        <f t="shared" si="1"/>
        <v>55.230971128608928</v>
      </c>
      <c r="M69" s="248">
        <f>'Civil MB'!M206</f>
        <v>57.230971128608928</v>
      </c>
      <c r="N69" s="351">
        <v>1</v>
      </c>
      <c r="O69" s="140">
        <f t="shared" si="2"/>
        <v>0</v>
      </c>
      <c r="P69" s="140">
        <f t="shared" si="3"/>
        <v>21461.614173228347</v>
      </c>
      <c r="Q69" s="140">
        <f t="shared" si="4"/>
        <v>21461.614173228347</v>
      </c>
      <c r="R69" s="140"/>
    </row>
    <row r="70" spans="1:18" x14ac:dyDescent="0.3">
      <c r="A70" s="102"/>
      <c r="B70" s="418"/>
      <c r="C70" s="132" t="s">
        <v>89</v>
      </c>
      <c r="D70" s="117" t="s">
        <v>279</v>
      </c>
      <c r="E70" s="111" t="s">
        <v>280</v>
      </c>
      <c r="F70" s="120" t="s">
        <v>45</v>
      </c>
      <c r="G70" s="121">
        <v>1</v>
      </c>
      <c r="H70" s="121">
        <v>634</v>
      </c>
      <c r="I70" s="140">
        <f t="shared" si="14"/>
        <v>634</v>
      </c>
      <c r="J70" s="140">
        <v>1</v>
      </c>
      <c r="K70" s="351">
        <v>0</v>
      </c>
      <c r="L70" s="140">
        <f t="shared" si="1"/>
        <v>-1</v>
      </c>
      <c r="M70" s="248">
        <v>0</v>
      </c>
      <c r="N70" s="351">
        <v>0</v>
      </c>
      <c r="O70" s="140">
        <f t="shared" si="2"/>
        <v>0</v>
      </c>
      <c r="P70" s="140">
        <f t="shared" si="3"/>
        <v>0</v>
      </c>
      <c r="Q70" s="140">
        <f t="shared" si="4"/>
        <v>0</v>
      </c>
      <c r="R70" s="140"/>
    </row>
    <row r="71" spans="1:18" x14ac:dyDescent="0.3">
      <c r="A71" s="102"/>
      <c r="B71" s="418"/>
      <c r="C71" s="132"/>
      <c r="D71" s="117"/>
      <c r="E71" s="111"/>
      <c r="F71" s="120"/>
      <c r="G71" s="121"/>
      <c r="H71" s="121"/>
      <c r="I71" s="140"/>
      <c r="J71" s="140">
        <v>0</v>
      </c>
      <c r="K71" s="351"/>
      <c r="L71" s="140">
        <f t="shared" si="1"/>
        <v>0</v>
      </c>
      <c r="M71" s="248"/>
      <c r="N71" s="351"/>
      <c r="O71" s="140">
        <f t="shared" si="2"/>
        <v>0</v>
      </c>
      <c r="P71" s="140">
        <f t="shared" si="3"/>
        <v>0</v>
      </c>
      <c r="Q71" s="140">
        <f t="shared" si="4"/>
        <v>0</v>
      </c>
      <c r="R71" s="140"/>
    </row>
    <row r="72" spans="1:18" s="57" customFormat="1" x14ac:dyDescent="0.25">
      <c r="A72" s="102"/>
      <c r="B72" s="117"/>
      <c r="C72" s="124"/>
      <c r="D72" s="117"/>
      <c r="E72" s="111"/>
      <c r="F72" s="120"/>
      <c r="G72" s="121"/>
      <c r="H72" s="121"/>
      <c r="I72" s="140"/>
      <c r="J72" s="140">
        <v>0</v>
      </c>
      <c r="K72" s="351"/>
      <c r="L72" s="140">
        <f t="shared" si="1"/>
        <v>0</v>
      </c>
      <c r="M72" s="248"/>
      <c r="N72" s="351"/>
      <c r="O72" s="140">
        <f t="shared" si="2"/>
        <v>0</v>
      </c>
      <c r="P72" s="140">
        <f t="shared" si="3"/>
        <v>0</v>
      </c>
      <c r="Q72" s="140">
        <f t="shared" si="4"/>
        <v>0</v>
      </c>
      <c r="R72" s="140"/>
    </row>
    <row r="73" spans="1:18" ht="48" x14ac:dyDescent="0.3">
      <c r="A73" s="102">
        <v>6</v>
      </c>
      <c r="B73" s="129" t="s">
        <v>90</v>
      </c>
      <c r="C73" s="124" t="s">
        <v>577</v>
      </c>
      <c r="D73" s="117"/>
      <c r="E73" s="117"/>
      <c r="F73" s="133"/>
      <c r="G73" s="121"/>
      <c r="H73" s="121"/>
      <c r="I73" s="140"/>
      <c r="J73" s="140">
        <v>0</v>
      </c>
      <c r="K73" s="351"/>
      <c r="L73" s="140">
        <f t="shared" si="1"/>
        <v>0</v>
      </c>
      <c r="M73" s="248"/>
      <c r="N73" s="351"/>
      <c r="O73" s="140">
        <f t="shared" si="2"/>
        <v>0</v>
      </c>
      <c r="P73" s="140">
        <f t="shared" si="3"/>
        <v>0</v>
      </c>
      <c r="Q73" s="140">
        <f t="shared" si="4"/>
        <v>0</v>
      </c>
      <c r="R73" s="140"/>
    </row>
    <row r="74" spans="1:18" x14ac:dyDescent="0.3">
      <c r="A74" s="134"/>
      <c r="B74" s="142"/>
      <c r="C74" s="132" t="s">
        <v>76</v>
      </c>
      <c r="D74" s="143"/>
      <c r="E74" s="143"/>
      <c r="F74" s="120"/>
      <c r="G74" s="121"/>
      <c r="H74" s="121"/>
      <c r="I74" s="140"/>
      <c r="J74" s="140">
        <v>0</v>
      </c>
      <c r="K74" s="351"/>
      <c r="L74" s="140">
        <f t="shared" si="1"/>
        <v>0</v>
      </c>
      <c r="M74" s="248"/>
      <c r="N74" s="351"/>
      <c r="O74" s="140">
        <f t="shared" si="2"/>
        <v>0</v>
      </c>
      <c r="P74" s="140">
        <f t="shared" si="3"/>
        <v>0</v>
      </c>
      <c r="Q74" s="140">
        <f t="shared" si="4"/>
        <v>0</v>
      </c>
      <c r="R74" s="140"/>
    </row>
    <row r="75" spans="1:18" x14ac:dyDescent="0.3">
      <c r="A75" s="102"/>
      <c r="B75" s="418"/>
      <c r="C75" s="124" t="s">
        <v>91</v>
      </c>
      <c r="D75" s="117"/>
      <c r="E75" s="111"/>
      <c r="F75" s="120"/>
      <c r="G75" s="121"/>
      <c r="H75" s="121"/>
      <c r="I75" s="140"/>
      <c r="J75" s="140">
        <v>0</v>
      </c>
      <c r="K75" s="351"/>
      <c r="L75" s="140">
        <f t="shared" si="1"/>
        <v>0</v>
      </c>
      <c r="M75" s="248"/>
      <c r="N75" s="351"/>
      <c r="O75" s="140">
        <f t="shared" si="2"/>
        <v>0</v>
      </c>
      <c r="P75" s="140">
        <f t="shared" si="3"/>
        <v>0</v>
      </c>
      <c r="Q75" s="140">
        <f t="shared" si="4"/>
        <v>0</v>
      </c>
      <c r="R75" s="140"/>
    </row>
    <row r="76" spans="1:18" x14ac:dyDescent="0.3">
      <c r="A76" s="102"/>
      <c r="B76" s="418"/>
      <c r="C76" s="124" t="s">
        <v>235</v>
      </c>
      <c r="D76" s="117"/>
      <c r="E76" s="111" t="s">
        <v>70</v>
      </c>
      <c r="F76" s="120" t="s">
        <v>45</v>
      </c>
      <c r="G76" s="121">
        <v>100</v>
      </c>
      <c r="H76" s="121">
        <v>983</v>
      </c>
      <c r="I76" s="140">
        <f>$G76*H76</f>
        <v>98300</v>
      </c>
      <c r="J76" s="140">
        <v>100</v>
      </c>
      <c r="K76" s="351">
        <v>0.6</v>
      </c>
      <c r="L76" s="140">
        <f t="shared" ref="L76:L116" si="15">M76-J76</f>
        <v>-53.608923884514439</v>
      </c>
      <c r="M76" s="248">
        <f>'Civil MB'!M216</f>
        <v>46.391076115485561</v>
      </c>
      <c r="N76" s="351">
        <v>1</v>
      </c>
      <c r="O76" s="140">
        <f t="shared" ref="O76:O116" si="16">H76*J76*K76</f>
        <v>58980</v>
      </c>
      <c r="P76" s="140">
        <f t="shared" ref="P76:P116" si="17">Q76-O76</f>
        <v>-13377.572178477691</v>
      </c>
      <c r="Q76" s="140">
        <f t="shared" ref="Q76:Q116" si="18">H76*M76*N76</f>
        <v>45602.427821522309</v>
      </c>
      <c r="R76" s="140"/>
    </row>
    <row r="77" spans="1:18" x14ac:dyDescent="0.3">
      <c r="A77" s="102"/>
      <c r="B77" s="418"/>
      <c r="C77" s="124"/>
      <c r="D77" s="117"/>
      <c r="E77" s="111"/>
      <c r="F77" s="113"/>
      <c r="G77" s="140"/>
      <c r="H77" s="140"/>
      <c r="I77" s="140"/>
      <c r="J77" s="140">
        <v>0</v>
      </c>
      <c r="K77" s="351"/>
      <c r="L77" s="140">
        <f t="shared" si="15"/>
        <v>0</v>
      </c>
      <c r="M77" s="248"/>
      <c r="N77" s="351"/>
      <c r="O77" s="140">
        <f t="shared" si="16"/>
        <v>0</v>
      </c>
      <c r="P77" s="140">
        <f t="shared" si="17"/>
        <v>0</v>
      </c>
      <c r="Q77" s="140">
        <f t="shared" si="18"/>
        <v>0</v>
      </c>
      <c r="R77" s="140"/>
    </row>
    <row r="78" spans="1:18" ht="72" x14ac:dyDescent="0.3">
      <c r="A78" s="102">
        <v>7</v>
      </c>
      <c r="B78" s="129" t="s">
        <v>25</v>
      </c>
      <c r="C78" s="124" t="s">
        <v>578</v>
      </c>
      <c r="D78" s="117"/>
      <c r="E78" s="117"/>
      <c r="F78" s="120"/>
      <c r="G78" s="121"/>
      <c r="H78" s="121"/>
      <c r="I78" s="140"/>
      <c r="J78" s="140">
        <v>0</v>
      </c>
      <c r="K78" s="351"/>
      <c r="L78" s="140">
        <f t="shared" si="15"/>
        <v>0</v>
      </c>
      <c r="M78" s="248"/>
      <c r="N78" s="351"/>
      <c r="O78" s="140">
        <f t="shared" si="16"/>
        <v>0</v>
      </c>
      <c r="P78" s="140">
        <f t="shared" si="17"/>
        <v>0</v>
      </c>
      <c r="Q78" s="140">
        <f t="shared" si="18"/>
        <v>0</v>
      </c>
      <c r="R78" s="140"/>
    </row>
    <row r="79" spans="1:18" x14ac:dyDescent="0.3">
      <c r="A79" s="102"/>
      <c r="B79" s="129"/>
      <c r="C79" s="124" t="s">
        <v>85</v>
      </c>
      <c r="D79" s="117"/>
      <c r="E79" s="117"/>
      <c r="F79" s="120"/>
      <c r="G79" s="121"/>
      <c r="H79" s="121"/>
      <c r="I79" s="140"/>
      <c r="J79" s="140">
        <v>0</v>
      </c>
      <c r="K79" s="351"/>
      <c r="L79" s="140">
        <f t="shared" si="15"/>
        <v>0</v>
      </c>
      <c r="M79" s="248"/>
      <c r="N79" s="351"/>
      <c r="O79" s="140">
        <f t="shared" si="16"/>
        <v>0</v>
      </c>
      <c r="P79" s="140">
        <f t="shared" si="17"/>
        <v>0</v>
      </c>
      <c r="Q79" s="140">
        <f t="shared" si="18"/>
        <v>0</v>
      </c>
      <c r="R79" s="140"/>
    </row>
    <row r="80" spans="1:18" x14ac:dyDescent="0.3">
      <c r="A80" s="102"/>
      <c r="B80" s="418"/>
      <c r="C80" s="124" t="s">
        <v>87</v>
      </c>
      <c r="D80" s="117"/>
      <c r="E80" s="111"/>
      <c r="F80" s="113" t="s">
        <v>55</v>
      </c>
      <c r="G80" s="140">
        <v>260</v>
      </c>
      <c r="H80" s="140">
        <v>410</v>
      </c>
      <c r="I80" s="140">
        <f>$G80*H80</f>
        <v>106600</v>
      </c>
      <c r="J80" s="140">
        <v>260</v>
      </c>
      <c r="K80" s="351">
        <v>0.95</v>
      </c>
      <c r="L80" s="140">
        <f t="shared" si="15"/>
        <v>-55.550285545015527</v>
      </c>
      <c r="M80" s="248">
        <f>'Civil MB'!M229</f>
        <v>204.44971445498447</v>
      </c>
      <c r="N80" s="351">
        <v>1</v>
      </c>
      <c r="O80" s="140">
        <f t="shared" si="16"/>
        <v>101270</v>
      </c>
      <c r="P80" s="140">
        <f t="shared" si="17"/>
        <v>-17445.617073456364</v>
      </c>
      <c r="Q80" s="140">
        <f t="shared" si="18"/>
        <v>83824.382926543636</v>
      </c>
      <c r="R80" s="140"/>
    </row>
    <row r="81" spans="1:18" x14ac:dyDescent="0.3">
      <c r="A81" s="102"/>
      <c r="B81" s="418"/>
      <c r="C81" s="124"/>
      <c r="D81" s="117"/>
      <c r="E81" s="111"/>
      <c r="F81" s="113"/>
      <c r="G81" s="140"/>
      <c r="H81" s="140"/>
      <c r="I81" s="140"/>
      <c r="J81" s="140">
        <v>0</v>
      </c>
      <c r="K81" s="351"/>
      <c r="L81" s="140">
        <f t="shared" si="15"/>
        <v>0</v>
      </c>
      <c r="M81" s="248"/>
      <c r="N81" s="351"/>
      <c r="O81" s="140">
        <f t="shared" si="16"/>
        <v>0</v>
      </c>
      <c r="P81" s="140">
        <f t="shared" si="17"/>
        <v>0</v>
      </c>
      <c r="Q81" s="140">
        <f t="shared" si="18"/>
        <v>0</v>
      </c>
      <c r="R81" s="140"/>
    </row>
    <row r="82" spans="1:18" ht="72" x14ac:dyDescent="0.3">
      <c r="A82" s="102">
        <v>8</v>
      </c>
      <c r="B82" s="129" t="s">
        <v>77</v>
      </c>
      <c r="C82" s="124" t="s">
        <v>579</v>
      </c>
      <c r="D82" s="117"/>
      <c r="E82" s="117"/>
      <c r="F82" s="120"/>
      <c r="G82" s="121"/>
      <c r="H82" s="121"/>
      <c r="I82" s="140"/>
      <c r="J82" s="140">
        <v>0</v>
      </c>
      <c r="K82" s="351"/>
      <c r="L82" s="140">
        <f t="shared" si="15"/>
        <v>0</v>
      </c>
      <c r="M82" s="248"/>
      <c r="N82" s="351"/>
      <c r="O82" s="140">
        <f t="shared" si="16"/>
        <v>0</v>
      </c>
      <c r="P82" s="140">
        <f t="shared" si="17"/>
        <v>0</v>
      </c>
      <c r="Q82" s="140">
        <f t="shared" si="18"/>
        <v>0</v>
      </c>
      <c r="R82" s="140"/>
    </row>
    <row r="83" spans="1:18" x14ac:dyDescent="0.3">
      <c r="A83" s="102"/>
      <c r="B83" s="129"/>
      <c r="C83" s="136" t="s">
        <v>78</v>
      </c>
      <c r="D83" s="117"/>
      <c r="E83" s="117"/>
      <c r="F83" s="120"/>
      <c r="G83" s="121"/>
      <c r="H83" s="121"/>
      <c r="I83" s="140"/>
      <c r="J83" s="140">
        <v>0</v>
      </c>
      <c r="K83" s="351"/>
      <c r="L83" s="140">
        <f t="shared" si="15"/>
        <v>0</v>
      </c>
      <c r="M83" s="248"/>
      <c r="N83" s="351"/>
      <c r="O83" s="140">
        <f t="shared" si="16"/>
        <v>0</v>
      </c>
      <c r="P83" s="140">
        <f t="shared" si="17"/>
        <v>0</v>
      </c>
      <c r="Q83" s="140">
        <f t="shared" si="18"/>
        <v>0</v>
      </c>
      <c r="R83" s="140"/>
    </row>
    <row r="84" spans="1:18" x14ac:dyDescent="0.3">
      <c r="A84" s="102"/>
      <c r="B84" s="418"/>
      <c r="C84" s="124" t="s">
        <v>236</v>
      </c>
      <c r="D84" s="117"/>
      <c r="E84" s="111"/>
      <c r="F84" s="113" t="s">
        <v>55</v>
      </c>
      <c r="G84" s="140">
        <v>860</v>
      </c>
      <c r="H84" s="140">
        <v>107</v>
      </c>
      <c r="I84" s="140">
        <f>$G84*H84</f>
        <v>92020</v>
      </c>
      <c r="J84" s="140">
        <v>860</v>
      </c>
      <c r="K84" s="351">
        <v>0.9</v>
      </c>
      <c r="L84" s="140">
        <f t="shared" si="15"/>
        <v>-126.03176817464748</v>
      </c>
      <c r="M84" s="248">
        <f>'Civil MB'!M252</f>
        <v>733.96823182535252</v>
      </c>
      <c r="N84" s="351">
        <v>1</v>
      </c>
      <c r="O84" s="140">
        <f t="shared" si="16"/>
        <v>82818</v>
      </c>
      <c r="P84" s="140">
        <f t="shared" si="17"/>
        <v>-4283.3991946872848</v>
      </c>
      <c r="Q84" s="140">
        <f t="shared" si="18"/>
        <v>78534.600805312715</v>
      </c>
      <c r="R84" s="140"/>
    </row>
    <row r="85" spans="1:18" x14ac:dyDescent="0.3">
      <c r="A85" s="102"/>
      <c r="B85" s="418"/>
      <c r="C85" s="124"/>
      <c r="D85" s="117"/>
      <c r="E85" s="111"/>
      <c r="F85" s="113"/>
      <c r="G85" s="140"/>
      <c r="H85" s="140"/>
      <c r="I85" s="140"/>
      <c r="J85" s="140">
        <v>0</v>
      </c>
      <c r="K85" s="351"/>
      <c r="L85" s="140">
        <f t="shared" si="15"/>
        <v>0</v>
      </c>
      <c r="M85" s="248"/>
      <c r="N85" s="351"/>
      <c r="O85" s="140">
        <f t="shared" si="16"/>
        <v>0</v>
      </c>
      <c r="P85" s="140">
        <f t="shared" si="17"/>
        <v>0</v>
      </c>
      <c r="Q85" s="140">
        <f t="shared" si="18"/>
        <v>0</v>
      </c>
      <c r="R85" s="140"/>
    </row>
    <row r="86" spans="1:18" s="57" customFormat="1" ht="48" x14ac:dyDescent="0.25">
      <c r="A86" s="102">
        <v>9</v>
      </c>
      <c r="B86" s="129" t="s">
        <v>26</v>
      </c>
      <c r="C86" s="124" t="s">
        <v>580</v>
      </c>
      <c r="D86" s="117"/>
      <c r="E86" s="111" t="s">
        <v>275</v>
      </c>
      <c r="F86" s="120" t="s">
        <v>45</v>
      </c>
      <c r="G86" s="140">
        <v>3</v>
      </c>
      <c r="H86" s="121">
        <v>232</v>
      </c>
      <c r="I86" s="140">
        <f>$G86*H86</f>
        <v>696</v>
      </c>
      <c r="J86" s="140">
        <v>3</v>
      </c>
      <c r="K86" s="351">
        <v>0</v>
      </c>
      <c r="L86" s="140">
        <f t="shared" si="15"/>
        <v>45.622047244094489</v>
      </c>
      <c r="M86" s="248">
        <f>'Civil MB'!M261</f>
        <v>48.622047244094489</v>
      </c>
      <c r="N86" s="351">
        <v>1</v>
      </c>
      <c r="O86" s="140">
        <f t="shared" si="16"/>
        <v>0</v>
      </c>
      <c r="P86" s="140">
        <f t="shared" si="17"/>
        <v>11280.314960629921</v>
      </c>
      <c r="Q86" s="140">
        <f t="shared" si="18"/>
        <v>11280.314960629921</v>
      </c>
      <c r="R86" s="140"/>
    </row>
    <row r="87" spans="1:18" ht="48" x14ac:dyDescent="0.3">
      <c r="A87" s="102">
        <v>10</v>
      </c>
      <c r="B87" s="418" t="s">
        <v>293</v>
      </c>
      <c r="C87" s="124" t="s">
        <v>581</v>
      </c>
      <c r="D87" s="117"/>
      <c r="E87" s="117"/>
      <c r="F87" s="120" t="s">
        <v>45</v>
      </c>
      <c r="G87" s="121"/>
      <c r="H87" s="121">
        <v>345</v>
      </c>
      <c r="I87" s="121"/>
      <c r="J87" s="121">
        <v>0</v>
      </c>
      <c r="K87" s="350">
        <v>0</v>
      </c>
      <c r="L87" s="140">
        <f t="shared" si="15"/>
        <v>0</v>
      </c>
      <c r="M87" s="249"/>
      <c r="N87" s="350">
        <v>0</v>
      </c>
      <c r="O87" s="140">
        <f t="shared" si="16"/>
        <v>0</v>
      </c>
      <c r="P87" s="140">
        <f t="shared" si="17"/>
        <v>0</v>
      </c>
      <c r="Q87" s="140">
        <f t="shared" si="18"/>
        <v>0</v>
      </c>
      <c r="R87" s="140"/>
    </row>
    <row r="88" spans="1:18" s="58" customFormat="1" x14ac:dyDescent="0.3">
      <c r="A88" s="102"/>
      <c r="B88" s="418"/>
      <c r="C88" s="137"/>
      <c r="D88" s="220"/>
      <c r="E88" s="220"/>
      <c r="F88" s="120"/>
      <c r="G88" s="232"/>
      <c r="H88" s="232"/>
      <c r="I88" s="225"/>
      <c r="J88" s="225">
        <v>0</v>
      </c>
      <c r="K88" s="348"/>
      <c r="L88" s="140">
        <f t="shared" si="15"/>
        <v>0</v>
      </c>
      <c r="M88" s="671"/>
      <c r="N88" s="348"/>
      <c r="O88" s="140">
        <f t="shared" si="16"/>
        <v>0</v>
      </c>
      <c r="P88" s="140">
        <f t="shared" si="17"/>
        <v>0</v>
      </c>
      <c r="Q88" s="140">
        <f t="shared" si="18"/>
        <v>0</v>
      </c>
      <c r="R88" s="140"/>
    </row>
    <row r="89" spans="1:18" x14ac:dyDescent="0.3">
      <c r="A89" s="778" t="s">
        <v>42</v>
      </c>
      <c r="B89" s="778"/>
      <c r="C89" s="778"/>
      <c r="D89" s="98"/>
      <c r="E89" s="98"/>
      <c r="F89" s="98"/>
      <c r="G89" s="225"/>
      <c r="H89" s="225"/>
      <c r="I89" s="225"/>
      <c r="J89" s="225">
        <v>0</v>
      </c>
      <c r="K89" s="348"/>
      <c r="L89" s="140">
        <f t="shared" si="15"/>
        <v>0</v>
      </c>
      <c r="M89" s="671"/>
      <c r="N89" s="348"/>
      <c r="O89" s="140">
        <f t="shared" si="16"/>
        <v>0</v>
      </c>
      <c r="P89" s="140">
        <f t="shared" si="17"/>
        <v>0</v>
      </c>
      <c r="Q89" s="140">
        <f t="shared" si="18"/>
        <v>0</v>
      </c>
      <c r="R89" s="140"/>
    </row>
    <row r="90" spans="1:18" s="59" customFormat="1" x14ac:dyDescent="0.3">
      <c r="A90" s="102"/>
      <c r="B90" s="418"/>
      <c r="C90" s="124"/>
      <c r="D90" s="117"/>
      <c r="E90" s="111"/>
      <c r="F90" s="113"/>
      <c r="G90" s="140"/>
      <c r="H90" s="140"/>
      <c r="I90" s="140"/>
      <c r="J90" s="140">
        <v>0</v>
      </c>
      <c r="K90" s="351"/>
      <c r="L90" s="140">
        <f t="shared" si="15"/>
        <v>0</v>
      </c>
      <c r="M90" s="248"/>
      <c r="N90" s="351"/>
      <c r="O90" s="140">
        <f t="shared" si="16"/>
        <v>0</v>
      </c>
      <c r="P90" s="140">
        <f t="shared" si="17"/>
        <v>0</v>
      </c>
      <c r="Q90" s="140">
        <f t="shared" si="18"/>
        <v>0</v>
      </c>
      <c r="R90" s="140"/>
    </row>
    <row r="91" spans="1:18" s="59" customFormat="1" ht="108" x14ac:dyDescent="0.3">
      <c r="A91" s="102">
        <v>1</v>
      </c>
      <c r="B91" s="129" t="s">
        <v>35</v>
      </c>
      <c r="C91" s="124" t="s">
        <v>210</v>
      </c>
      <c r="D91" s="117"/>
      <c r="E91" s="111" t="s">
        <v>40</v>
      </c>
      <c r="F91" s="113" t="s">
        <v>55</v>
      </c>
      <c r="G91" s="140"/>
      <c r="H91" s="140"/>
      <c r="I91" s="140"/>
      <c r="J91" s="140">
        <v>0</v>
      </c>
      <c r="K91" s="351"/>
      <c r="L91" s="140">
        <f t="shared" si="15"/>
        <v>0</v>
      </c>
      <c r="M91" s="248"/>
      <c r="N91" s="351"/>
      <c r="O91" s="140">
        <f t="shared" si="16"/>
        <v>0</v>
      </c>
      <c r="P91" s="140">
        <f t="shared" si="17"/>
        <v>0</v>
      </c>
      <c r="Q91" s="140">
        <f t="shared" si="18"/>
        <v>0</v>
      </c>
      <c r="R91" s="140"/>
    </row>
    <row r="92" spans="1:18" s="59" customFormat="1" x14ac:dyDescent="0.3">
      <c r="A92" s="102"/>
      <c r="B92" s="117" t="s">
        <v>1</v>
      </c>
      <c r="C92" s="124" t="s">
        <v>209</v>
      </c>
      <c r="D92" s="117"/>
      <c r="E92" s="111" t="s">
        <v>40</v>
      </c>
      <c r="F92" s="113" t="s">
        <v>55</v>
      </c>
      <c r="G92" s="140">
        <v>1340</v>
      </c>
      <c r="H92" s="140">
        <v>38</v>
      </c>
      <c r="I92" s="140">
        <f t="shared" ref="I92:I93" si="19">$G92*H92</f>
        <v>50920</v>
      </c>
      <c r="J92" s="140">
        <v>1340</v>
      </c>
      <c r="K92" s="351">
        <v>0.95</v>
      </c>
      <c r="L92" s="140">
        <f t="shared" si="15"/>
        <v>-766.12480711072544</v>
      </c>
      <c r="M92" s="248">
        <f>'Civil MB'!M277</f>
        <v>573.87519288927456</v>
      </c>
      <c r="N92" s="351">
        <v>1</v>
      </c>
      <c r="O92" s="140">
        <f t="shared" si="16"/>
        <v>48374</v>
      </c>
      <c r="P92" s="140">
        <f t="shared" si="17"/>
        <v>-26566.742670207568</v>
      </c>
      <c r="Q92" s="140">
        <f t="shared" si="18"/>
        <v>21807.257329792432</v>
      </c>
      <c r="R92" s="140"/>
    </row>
    <row r="93" spans="1:18" s="59" customFormat="1" x14ac:dyDescent="0.3">
      <c r="A93" s="102"/>
      <c r="B93" s="117" t="s">
        <v>2</v>
      </c>
      <c r="C93" s="124" t="s">
        <v>202</v>
      </c>
      <c r="D93" s="117"/>
      <c r="E93" s="111" t="s">
        <v>40</v>
      </c>
      <c r="F93" s="113" t="s">
        <v>55</v>
      </c>
      <c r="G93" s="140">
        <v>1380</v>
      </c>
      <c r="H93" s="140">
        <v>38</v>
      </c>
      <c r="I93" s="140">
        <f t="shared" si="19"/>
        <v>52440</v>
      </c>
      <c r="J93" s="140">
        <v>1380</v>
      </c>
      <c r="K93" s="351">
        <v>0.95</v>
      </c>
      <c r="L93" s="140">
        <f t="shared" si="15"/>
        <v>-38.699973649947424</v>
      </c>
      <c r="M93" s="248">
        <f>'Civil MB'!M279</f>
        <v>1341.3000263500526</v>
      </c>
      <c r="N93" s="351">
        <v>1</v>
      </c>
      <c r="O93" s="140">
        <f t="shared" si="16"/>
        <v>49818</v>
      </c>
      <c r="P93" s="140">
        <f t="shared" si="17"/>
        <v>1151.4010013020015</v>
      </c>
      <c r="Q93" s="140">
        <f t="shared" si="18"/>
        <v>50969.401001302002</v>
      </c>
      <c r="R93" s="140"/>
    </row>
    <row r="94" spans="1:18" s="59" customFormat="1" x14ac:dyDescent="0.3">
      <c r="A94" s="102"/>
      <c r="B94" s="129"/>
      <c r="C94" s="124"/>
      <c r="D94" s="117"/>
      <c r="E94" s="117"/>
      <c r="F94" s="120"/>
      <c r="G94" s="121"/>
      <c r="H94" s="121"/>
      <c r="I94" s="140"/>
      <c r="J94" s="140">
        <v>0</v>
      </c>
      <c r="K94" s="351"/>
      <c r="L94" s="140">
        <f t="shared" si="15"/>
        <v>0</v>
      </c>
      <c r="M94" s="248"/>
      <c r="N94" s="351"/>
      <c r="O94" s="140">
        <f t="shared" si="16"/>
        <v>0</v>
      </c>
      <c r="P94" s="140">
        <f t="shared" si="17"/>
        <v>0</v>
      </c>
      <c r="Q94" s="140">
        <f t="shared" si="18"/>
        <v>0</v>
      </c>
      <c r="R94" s="140"/>
    </row>
    <row r="95" spans="1:18" s="59" customFormat="1" ht="84" x14ac:dyDescent="0.3">
      <c r="A95" s="102">
        <v>2</v>
      </c>
      <c r="B95" s="129" t="s">
        <v>36</v>
      </c>
      <c r="C95" s="124" t="s">
        <v>49</v>
      </c>
      <c r="D95" s="117"/>
      <c r="E95" s="117" t="s">
        <v>40</v>
      </c>
      <c r="F95" s="113" t="s">
        <v>55</v>
      </c>
      <c r="G95" s="121">
        <v>120</v>
      </c>
      <c r="H95" s="121">
        <v>105</v>
      </c>
      <c r="I95" s="140">
        <f>$G95*H95</f>
        <v>12600</v>
      </c>
      <c r="J95" s="140">
        <v>120</v>
      </c>
      <c r="K95" s="351">
        <v>0</v>
      </c>
      <c r="L95" s="140">
        <f t="shared" si="15"/>
        <v>517.04589214733983</v>
      </c>
      <c r="M95" s="248">
        <f>'Civil MB'!M289</f>
        <v>637.04589214733983</v>
      </c>
      <c r="N95" s="351">
        <v>1</v>
      </c>
      <c r="O95" s="140">
        <f t="shared" si="16"/>
        <v>0</v>
      </c>
      <c r="P95" s="140">
        <f t="shared" si="17"/>
        <v>66889.818675470684</v>
      </c>
      <c r="Q95" s="140">
        <f t="shared" si="18"/>
        <v>66889.818675470684</v>
      </c>
      <c r="R95" s="140"/>
    </row>
    <row r="96" spans="1:18" s="59" customFormat="1" x14ac:dyDescent="0.3">
      <c r="A96" s="102"/>
      <c r="B96" s="129"/>
      <c r="C96" s="124"/>
      <c r="D96" s="117"/>
      <c r="E96" s="117"/>
      <c r="F96" s="120"/>
      <c r="G96" s="121"/>
      <c r="H96" s="121"/>
      <c r="I96" s="121"/>
      <c r="J96" s="121">
        <v>0</v>
      </c>
      <c r="K96" s="350"/>
      <c r="L96" s="140">
        <f t="shared" si="15"/>
        <v>0</v>
      </c>
      <c r="M96" s="249"/>
      <c r="N96" s="350"/>
      <c r="O96" s="140">
        <f t="shared" si="16"/>
        <v>0</v>
      </c>
      <c r="P96" s="140">
        <f t="shared" si="17"/>
        <v>0</v>
      </c>
      <c r="Q96" s="140">
        <f t="shared" si="18"/>
        <v>0</v>
      </c>
      <c r="R96" s="140"/>
    </row>
    <row r="97" spans="1:18" s="59" customFormat="1" ht="48" x14ac:dyDescent="0.3">
      <c r="A97" s="102">
        <v>3</v>
      </c>
      <c r="B97" s="129" t="s">
        <v>37</v>
      </c>
      <c r="C97" s="139" t="s">
        <v>50</v>
      </c>
      <c r="D97" s="117"/>
      <c r="E97" s="134"/>
      <c r="F97" s="134"/>
      <c r="G97" s="121"/>
      <c r="H97" s="121"/>
      <c r="I97" s="140"/>
      <c r="J97" s="140">
        <v>0</v>
      </c>
      <c r="K97" s="351"/>
      <c r="L97" s="140">
        <f t="shared" si="15"/>
        <v>0</v>
      </c>
      <c r="M97" s="248"/>
      <c r="N97" s="351"/>
      <c r="O97" s="140">
        <f t="shared" si="16"/>
        <v>0</v>
      </c>
      <c r="P97" s="140">
        <f t="shared" si="17"/>
        <v>0</v>
      </c>
      <c r="Q97" s="140">
        <f t="shared" si="18"/>
        <v>0</v>
      </c>
      <c r="R97" s="140"/>
    </row>
    <row r="98" spans="1:18" s="59" customFormat="1" x14ac:dyDescent="0.3">
      <c r="A98" s="102"/>
      <c r="B98" s="129" t="s">
        <v>1</v>
      </c>
      <c r="C98" s="139" t="s">
        <v>237</v>
      </c>
      <c r="D98" s="117"/>
      <c r="E98" s="111" t="s">
        <v>40</v>
      </c>
      <c r="F98" s="113" t="s">
        <v>55</v>
      </c>
      <c r="G98" s="121">
        <v>410</v>
      </c>
      <c r="H98" s="121">
        <v>172</v>
      </c>
      <c r="I98" s="140">
        <f t="shared" ref="I98:I99" si="20">$G98*H98</f>
        <v>70520</v>
      </c>
      <c r="J98" s="140">
        <v>410</v>
      </c>
      <c r="K98" s="351">
        <v>0.7</v>
      </c>
      <c r="L98" s="140">
        <f t="shared" si="15"/>
        <v>-355.41082832165665</v>
      </c>
      <c r="M98" s="248">
        <f>'Civil MB'!M292</f>
        <v>54.589171678343355</v>
      </c>
      <c r="N98" s="351">
        <v>1</v>
      </c>
      <c r="O98" s="140">
        <f t="shared" si="16"/>
        <v>49364</v>
      </c>
      <c r="P98" s="140">
        <f t="shared" si="17"/>
        <v>-39974.66247132494</v>
      </c>
      <c r="Q98" s="140">
        <f t="shared" si="18"/>
        <v>9389.3375286750579</v>
      </c>
      <c r="R98" s="140"/>
    </row>
    <row r="99" spans="1:18" s="59" customFormat="1" x14ac:dyDescent="0.3">
      <c r="A99" s="102"/>
      <c r="B99" s="129" t="s">
        <v>2</v>
      </c>
      <c r="C99" s="139" t="s">
        <v>238</v>
      </c>
      <c r="D99" s="117"/>
      <c r="E99" s="111" t="s">
        <v>40</v>
      </c>
      <c r="F99" s="113" t="s">
        <v>55</v>
      </c>
      <c r="G99" s="121">
        <v>100</v>
      </c>
      <c r="H99" s="121">
        <v>172</v>
      </c>
      <c r="I99" s="140">
        <f t="shared" si="20"/>
        <v>17200</v>
      </c>
      <c r="J99" s="140">
        <v>100</v>
      </c>
      <c r="K99" s="351">
        <v>0.7</v>
      </c>
      <c r="L99" s="140">
        <f t="shared" si="15"/>
        <v>268.95832472220502</v>
      </c>
      <c r="M99" s="248">
        <f>'Civil MB'!M298</f>
        <v>368.95832472220502</v>
      </c>
      <c r="N99" s="351">
        <v>1</v>
      </c>
      <c r="O99" s="140">
        <f t="shared" si="16"/>
        <v>12040</v>
      </c>
      <c r="P99" s="140">
        <f t="shared" si="17"/>
        <v>51420.831852219264</v>
      </c>
      <c r="Q99" s="140">
        <f t="shared" si="18"/>
        <v>63460.831852219264</v>
      </c>
      <c r="R99" s="140"/>
    </row>
    <row r="100" spans="1:18" s="59" customFormat="1" x14ac:dyDescent="0.3">
      <c r="A100" s="102"/>
      <c r="B100" s="129" t="s">
        <v>3</v>
      </c>
      <c r="C100" s="139" t="s">
        <v>867</v>
      </c>
      <c r="D100" s="117"/>
      <c r="E100" s="111" t="s">
        <v>40</v>
      </c>
      <c r="F100" s="113" t="s">
        <v>55</v>
      </c>
      <c r="G100" s="121"/>
      <c r="H100" s="121">
        <v>172</v>
      </c>
      <c r="I100" s="140">
        <f t="shared" ref="I100" si="21">$G100*H100</f>
        <v>0</v>
      </c>
      <c r="J100" s="140">
        <v>0</v>
      </c>
      <c r="K100" s="351">
        <v>0</v>
      </c>
      <c r="L100" s="140">
        <f t="shared" ref="L100" si="22">M100-J100</f>
        <v>155.51697770062205</v>
      </c>
      <c r="M100" s="248">
        <f>'Civil MB'!M302</f>
        <v>155.51697770062205</v>
      </c>
      <c r="N100" s="351">
        <v>1</v>
      </c>
      <c r="O100" s="140">
        <f t="shared" ref="O100" si="23">H100*J100*K100</f>
        <v>0</v>
      </c>
      <c r="P100" s="140">
        <f t="shared" ref="P100" si="24">Q100-O100</f>
        <v>26748.920164506992</v>
      </c>
      <c r="Q100" s="140">
        <f t="shared" ref="Q100" si="25">H100*M100*N100</f>
        <v>26748.920164506992</v>
      </c>
      <c r="R100" s="140"/>
    </row>
    <row r="101" spans="1:18" s="59" customFormat="1" x14ac:dyDescent="0.3">
      <c r="A101" s="102"/>
      <c r="B101" s="129"/>
      <c r="C101" s="124"/>
      <c r="D101" s="117"/>
      <c r="E101" s="117"/>
      <c r="F101" s="113"/>
      <c r="G101" s="121"/>
      <c r="H101" s="121"/>
      <c r="I101" s="121"/>
      <c r="J101" s="121">
        <v>0</v>
      </c>
      <c r="K101" s="350"/>
      <c r="L101" s="140">
        <f t="shared" si="15"/>
        <v>0</v>
      </c>
      <c r="M101" s="249"/>
      <c r="N101" s="350"/>
      <c r="O101" s="140">
        <f t="shared" si="16"/>
        <v>0</v>
      </c>
      <c r="P101" s="140">
        <f t="shared" si="17"/>
        <v>0</v>
      </c>
      <c r="Q101" s="140">
        <f t="shared" si="18"/>
        <v>0</v>
      </c>
      <c r="R101" s="140"/>
    </row>
    <row r="102" spans="1:18" s="59" customFormat="1" ht="84" x14ac:dyDescent="0.3">
      <c r="A102" s="102">
        <v>4</v>
      </c>
      <c r="B102" s="129" t="s">
        <v>38</v>
      </c>
      <c r="C102" s="124" t="s">
        <v>51</v>
      </c>
      <c r="D102" s="117"/>
      <c r="E102" s="117"/>
      <c r="F102" s="113"/>
      <c r="G102" s="121"/>
      <c r="H102" s="121"/>
      <c r="I102" s="121"/>
      <c r="J102" s="121">
        <v>0</v>
      </c>
      <c r="K102" s="350"/>
      <c r="L102" s="140">
        <f t="shared" si="15"/>
        <v>0</v>
      </c>
      <c r="M102" s="249"/>
      <c r="N102" s="350"/>
      <c r="O102" s="140">
        <f t="shared" si="16"/>
        <v>0</v>
      </c>
      <c r="P102" s="140">
        <f t="shared" si="17"/>
        <v>0</v>
      </c>
      <c r="Q102" s="140">
        <f t="shared" si="18"/>
        <v>0</v>
      </c>
      <c r="R102" s="140"/>
    </row>
    <row r="103" spans="1:18" s="59" customFormat="1" x14ac:dyDescent="0.3">
      <c r="A103" s="102"/>
      <c r="B103" s="129"/>
      <c r="C103" s="124" t="s">
        <v>60</v>
      </c>
      <c r="D103" s="117"/>
      <c r="E103" s="111" t="s">
        <v>40</v>
      </c>
      <c r="F103" s="113" t="s">
        <v>61</v>
      </c>
      <c r="G103" s="229">
        <v>2</v>
      </c>
      <c r="H103" s="121">
        <v>1860</v>
      </c>
      <c r="I103" s="140">
        <f t="shared" ref="I103:I104" si="26">$G103*H103</f>
        <v>3720</v>
      </c>
      <c r="J103" s="140">
        <v>2</v>
      </c>
      <c r="K103" s="351">
        <v>0</v>
      </c>
      <c r="L103" s="140">
        <f t="shared" si="15"/>
        <v>0</v>
      </c>
      <c r="M103" s="248">
        <f>'Civil MB'!M305</f>
        <v>2</v>
      </c>
      <c r="N103" s="351">
        <v>1</v>
      </c>
      <c r="O103" s="140">
        <f t="shared" si="16"/>
        <v>0</v>
      </c>
      <c r="P103" s="140">
        <f t="shared" si="17"/>
        <v>3720</v>
      </c>
      <c r="Q103" s="140">
        <f t="shared" si="18"/>
        <v>3720</v>
      </c>
      <c r="R103" s="140"/>
    </row>
    <row r="104" spans="1:18" s="59" customFormat="1" x14ac:dyDescent="0.3">
      <c r="A104" s="102"/>
      <c r="B104" s="129"/>
      <c r="C104" s="124" t="s">
        <v>302</v>
      </c>
      <c r="D104" s="117" t="s">
        <v>303</v>
      </c>
      <c r="E104" s="111"/>
      <c r="F104" s="113" t="s">
        <v>61</v>
      </c>
      <c r="G104" s="229">
        <v>2</v>
      </c>
      <c r="H104" s="121">
        <v>1860</v>
      </c>
      <c r="I104" s="140">
        <f t="shared" si="26"/>
        <v>3720</v>
      </c>
      <c r="J104" s="140">
        <v>2</v>
      </c>
      <c r="K104" s="351">
        <v>0</v>
      </c>
      <c r="L104" s="140">
        <f t="shared" si="15"/>
        <v>0</v>
      </c>
      <c r="M104" s="248">
        <f>'Civil MB'!M306</f>
        <v>2</v>
      </c>
      <c r="N104" s="351">
        <v>1</v>
      </c>
      <c r="O104" s="140">
        <f t="shared" si="16"/>
        <v>0</v>
      </c>
      <c r="P104" s="140">
        <f t="shared" si="17"/>
        <v>3720</v>
      </c>
      <c r="Q104" s="140">
        <f t="shared" si="18"/>
        <v>3720</v>
      </c>
      <c r="R104" s="140"/>
    </row>
    <row r="105" spans="1:18" s="59" customFormat="1" x14ac:dyDescent="0.3">
      <c r="A105" s="102"/>
      <c r="B105" s="418"/>
      <c r="C105" s="124"/>
      <c r="D105" s="117"/>
      <c r="E105" s="111"/>
      <c r="F105" s="113"/>
      <c r="G105" s="140"/>
      <c r="H105" s="140"/>
      <c r="I105" s="140"/>
      <c r="J105" s="140">
        <v>0</v>
      </c>
      <c r="K105" s="351"/>
      <c r="L105" s="140">
        <f t="shared" si="15"/>
        <v>0</v>
      </c>
      <c r="M105" s="248"/>
      <c r="N105" s="351"/>
      <c r="O105" s="140">
        <f t="shared" si="16"/>
        <v>0</v>
      </c>
      <c r="P105" s="140">
        <f t="shared" si="17"/>
        <v>0</v>
      </c>
      <c r="Q105" s="140">
        <f t="shared" si="18"/>
        <v>0</v>
      </c>
      <c r="R105" s="140"/>
    </row>
    <row r="106" spans="1:18" s="59" customFormat="1" ht="36" x14ac:dyDescent="0.3">
      <c r="A106" s="102">
        <v>5</v>
      </c>
      <c r="B106" s="129" t="s">
        <v>86</v>
      </c>
      <c r="C106" s="124" t="s">
        <v>52</v>
      </c>
      <c r="D106" s="117"/>
      <c r="E106" s="117" t="s">
        <v>40</v>
      </c>
      <c r="F106" s="113" t="s">
        <v>55</v>
      </c>
      <c r="G106" s="121">
        <v>1280</v>
      </c>
      <c r="H106" s="121">
        <v>34</v>
      </c>
      <c r="I106" s="140">
        <f>$G106*H106</f>
        <v>43520</v>
      </c>
      <c r="J106" s="140">
        <v>1280</v>
      </c>
      <c r="K106" s="351">
        <v>0</v>
      </c>
      <c r="L106" s="140">
        <f t="shared" si="15"/>
        <v>-1280</v>
      </c>
      <c r="M106" s="248">
        <v>0</v>
      </c>
      <c r="N106" s="351">
        <v>0</v>
      </c>
      <c r="O106" s="140">
        <f t="shared" si="16"/>
        <v>0</v>
      </c>
      <c r="P106" s="140">
        <f t="shared" si="17"/>
        <v>0</v>
      </c>
      <c r="Q106" s="140">
        <f t="shared" si="18"/>
        <v>0</v>
      </c>
      <c r="R106" s="140"/>
    </row>
    <row r="107" spans="1:18" s="59" customFormat="1" x14ac:dyDescent="0.3">
      <c r="A107" s="102"/>
      <c r="B107" s="129"/>
      <c r="C107" s="124"/>
      <c r="D107" s="117"/>
      <c r="E107" s="111"/>
      <c r="F107" s="113"/>
      <c r="G107" s="121"/>
      <c r="H107" s="121"/>
      <c r="I107" s="140"/>
      <c r="J107" s="140">
        <v>0</v>
      </c>
      <c r="K107" s="351"/>
      <c r="L107" s="140">
        <f t="shared" si="15"/>
        <v>0</v>
      </c>
      <c r="M107" s="248"/>
      <c r="N107" s="351"/>
      <c r="O107" s="140">
        <f t="shared" si="16"/>
        <v>0</v>
      </c>
      <c r="P107" s="140">
        <f t="shared" si="17"/>
        <v>0</v>
      </c>
      <c r="Q107" s="140">
        <f t="shared" si="18"/>
        <v>0</v>
      </c>
      <c r="R107" s="140"/>
    </row>
    <row r="108" spans="1:18" s="59" customFormat="1" ht="36" x14ac:dyDescent="0.3">
      <c r="A108" s="102">
        <v>6</v>
      </c>
      <c r="B108" s="129" t="s">
        <v>79</v>
      </c>
      <c r="C108" s="124" t="s">
        <v>53</v>
      </c>
      <c r="D108" s="117"/>
      <c r="E108" s="117" t="s">
        <v>40</v>
      </c>
      <c r="F108" s="113" t="s">
        <v>55</v>
      </c>
      <c r="G108" s="121">
        <v>120</v>
      </c>
      <c r="H108" s="121">
        <v>34</v>
      </c>
      <c r="I108" s="140">
        <f>$G108*H108</f>
        <v>4080</v>
      </c>
      <c r="J108" s="140">
        <v>120</v>
      </c>
      <c r="K108" s="351">
        <v>0</v>
      </c>
      <c r="L108" s="140">
        <f t="shared" si="15"/>
        <v>725.97339333567561</v>
      </c>
      <c r="M108" s="660">
        <f>'Civil MB'!M322</f>
        <v>845.97339333567561</v>
      </c>
      <c r="N108" s="351">
        <v>1</v>
      </c>
      <c r="O108" s="140">
        <f t="shared" si="16"/>
        <v>0</v>
      </c>
      <c r="P108" s="140">
        <f t="shared" si="17"/>
        <v>28763.095373412973</v>
      </c>
      <c r="Q108" s="140">
        <f t="shared" si="18"/>
        <v>28763.095373412973</v>
      </c>
      <c r="R108" s="121" t="s">
        <v>901</v>
      </c>
    </row>
    <row r="109" spans="1:18" s="59" customFormat="1" x14ac:dyDescent="0.3">
      <c r="A109" s="102"/>
      <c r="B109" s="129"/>
      <c r="C109" s="124"/>
      <c r="D109" s="117"/>
      <c r="E109" s="117"/>
      <c r="F109" s="113"/>
      <c r="G109" s="121"/>
      <c r="H109" s="121"/>
      <c r="I109" s="121"/>
      <c r="J109" s="121">
        <v>0</v>
      </c>
      <c r="K109" s="350"/>
      <c r="L109" s="140">
        <f t="shared" si="15"/>
        <v>0</v>
      </c>
      <c r="M109" s="121"/>
      <c r="N109" s="350"/>
      <c r="O109" s="140">
        <f t="shared" si="16"/>
        <v>0</v>
      </c>
      <c r="P109" s="140">
        <f t="shared" si="17"/>
        <v>0</v>
      </c>
      <c r="Q109" s="140">
        <f t="shared" si="18"/>
        <v>0</v>
      </c>
      <c r="R109" s="140"/>
    </row>
    <row r="110" spans="1:18" s="59" customFormat="1" ht="36" x14ac:dyDescent="0.3">
      <c r="A110" s="102">
        <v>7</v>
      </c>
      <c r="B110" s="129" t="s">
        <v>80</v>
      </c>
      <c r="C110" s="124" t="s">
        <v>54</v>
      </c>
      <c r="D110" s="117"/>
      <c r="E110" s="117" t="s">
        <v>40</v>
      </c>
      <c r="F110" s="113" t="s">
        <v>55</v>
      </c>
      <c r="G110" s="121">
        <v>1320</v>
      </c>
      <c r="H110" s="121">
        <v>34</v>
      </c>
      <c r="I110" s="140">
        <f>$G110*H110</f>
        <v>44880</v>
      </c>
      <c r="J110" s="140">
        <v>1320</v>
      </c>
      <c r="K110" s="351">
        <v>0.85</v>
      </c>
      <c r="L110" s="140">
        <f t="shared" si="15"/>
        <v>81.992335234670463</v>
      </c>
      <c r="M110" s="248">
        <f>'Civil MB'!M325</f>
        <v>1401.9923352346705</v>
      </c>
      <c r="N110" s="351">
        <v>1</v>
      </c>
      <c r="O110" s="140">
        <f t="shared" si="16"/>
        <v>38148</v>
      </c>
      <c r="P110" s="140">
        <f t="shared" si="17"/>
        <v>9519.7393979787958</v>
      </c>
      <c r="Q110" s="140">
        <f t="shared" si="18"/>
        <v>47667.739397978796</v>
      </c>
      <c r="R110" s="140"/>
    </row>
    <row r="111" spans="1:18" s="59" customFormat="1" x14ac:dyDescent="0.3">
      <c r="A111" s="102"/>
      <c r="B111" s="129"/>
      <c r="C111" s="124"/>
      <c r="D111" s="117"/>
      <c r="E111" s="117"/>
      <c r="F111" s="113"/>
      <c r="G111" s="121"/>
      <c r="H111" s="121"/>
      <c r="I111" s="140"/>
      <c r="J111" s="140">
        <v>0</v>
      </c>
      <c r="K111" s="351"/>
      <c r="L111" s="140">
        <f t="shared" si="15"/>
        <v>0</v>
      </c>
      <c r="M111" s="248"/>
      <c r="N111" s="351"/>
      <c r="O111" s="140">
        <f t="shared" si="16"/>
        <v>0</v>
      </c>
      <c r="P111" s="140">
        <f t="shared" si="17"/>
        <v>0</v>
      </c>
      <c r="Q111" s="140">
        <f t="shared" si="18"/>
        <v>0</v>
      </c>
      <c r="R111" s="140"/>
    </row>
    <row r="112" spans="1:18" s="59" customFormat="1" ht="48" x14ac:dyDescent="0.3">
      <c r="A112" s="102">
        <v>8</v>
      </c>
      <c r="B112" s="129" t="s">
        <v>68</v>
      </c>
      <c r="C112" s="124" t="s">
        <v>69</v>
      </c>
      <c r="D112" s="117"/>
      <c r="E112" s="117"/>
      <c r="F112" s="113" t="s">
        <v>55</v>
      </c>
      <c r="G112" s="121">
        <v>500</v>
      </c>
      <c r="H112" s="121">
        <v>27</v>
      </c>
      <c r="I112" s="140">
        <f>$G112*H112</f>
        <v>13500</v>
      </c>
      <c r="J112" s="140">
        <v>500</v>
      </c>
      <c r="K112" s="351">
        <v>0.7</v>
      </c>
      <c r="L112" s="140">
        <f t="shared" si="15"/>
        <v>27.776055552111075</v>
      </c>
      <c r="M112" s="248">
        <f>'Civil MB'!M332</f>
        <v>527.77605555211107</v>
      </c>
      <c r="N112" s="351">
        <v>1</v>
      </c>
      <c r="O112" s="140">
        <f t="shared" si="16"/>
        <v>9450</v>
      </c>
      <c r="P112" s="140">
        <f t="shared" si="17"/>
        <v>4799.9534999069983</v>
      </c>
      <c r="Q112" s="140">
        <f t="shared" si="18"/>
        <v>14249.953499906998</v>
      </c>
      <c r="R112" s="140"/>
    </row>
    <row r="113" spans="1:18" s="59" customFormat="1" x14ac:dyDescent="0.3">
      <c r="A113" s="102"/>
      <c r="B113" s="129"/>
      <c r="C113" s="124"/>
      <c r="D113" s="117"/>
      <c r="E113" s="117"/>
      <c r="F113" s="113"/>
      <c r="G113" s="121"/>
      <c r="H113" s="121"/>
      <c r="I113" s="140"/>
      <c r="J113" s="140">
        <v>0</v>
      </c>
      <c r="K113" s="351"/>
      <c r="L113" s="140">
        <f t="shared" si="15"/>
        <v>0</v>
      </c>
      <c r="M113" s="248"/>
      <c r="N113" s="351"/>
      <c r="O113" s="140">
        <f t="shared" si="16"/>
        <v>0</v>
      </c>
      <c r="P113" s="140">
        <f t="shared" si="17"/>
        <v>0</v>
      </c>
      <c r="Q113" s="140">
        <f t="shared" si="18"/>
        <v>0</v>
      </c>
      <c r="R113" s="140"/>
    </row>
    <row r="114" spans="1:18" s="59" customFormat="1" ht="36" x14ac:dyDescent="0.3">
      <c r="A114" s="102">
        <v>9</v>
      </c>
      <c r="B114" s="129" t="s">
        <v>81</v>
      </c>
      <c r="C114" s="124" t="s">
        <v>82</v>
      </c>
      <c r="D114" s="117"/>
      <c r="E114" s="117"/>
      <c r="F114" s="113" t="s">
        <v>55</v>
      </c>
      <c r="G114" s="121">
        <v>250</v>
      </c>
      <c r="H114" s="121">
        <v>23</v>
      </c>
      <c r="I114" s="140">
        <f>$G114*H114</f>
        <v>5750</v>
      </c>
      <c r="J114" s="140">
        <v>250</v>
      </c>
      <c r="K114" s="351">
        <v>0</v>
      </c>
      <c r="L114" s="140">
        <f t="shared" si="15"/>
        <v>0</v>
      </c>
      <c r="M114" s="248">
        <f>'Civil MB'!M335</f>
        <v>250</v>
      </c>
      <c r="N114" s="351">
        <v>1</v>
      </c>
      <c r="O114" s="140">
        <f t="shared" si="16"/>
        <v>0</v>
      </c>
      <c r="P114" s="140">
        <f t="shared" si="17"/>
        <v>5750</v>
      </c>
      <c r="Q114" s="140">
        <f t="shared" si="18"/>
        <v>5750</v>
      </c>
      <c r="R114" s="140"/>
    </row>
    <row r="115" spans="1:18" s="59" customFormat="1" x14ac:dyDescent="0.3">
      <c r="A115" s="102"/>
      <c r="B115" s="129"/>
      <c r="C115" s="124"/>
      <c r="D115" s="117"/>
      <c r="E115" s="117"/>
      <c r="F115" s="113"/>
      <c r="G115" s="121"/>
      <c r="H115" s="121"/>
      <c r="I115" s="140"/>
      <c r="J115" s="140">
        <v>0</v>
      </c>
      <c r="K115" s="351"/>
      <c r="L115" s="140">
        <f t="shared" si="15"/>
        <v>0</v>
      </c>
      <c r="M115" s="248">
        <v>0</v>
      </c>
      <c r="N115" s="351"/>
      <c r="O115" s="140">
        <f t="shared" si="16"/>
        <v>0</v>
      </c>
      <c r="P115" s="140">
        <f t="shared" si="17"/>
        <v>0</v>
      </c>
      <c r="Q115" s="140">
        <f t="shared" si="18"/>
        <v>0</v>
      </c>
      <c r="R115" s="140"/>
    </row>
    <row r="116" spans="1:18" s="59" customFormat="1" ht="48" x14ac:dyDescent="0.3">
      <c r="A116" s="102">
        <v>10</v>
      </c>
      <c r="B116" s="129" t="s">
        <v>205</v>
      </c>
      <c r="C116" s="124" t="s">
        <v>206</v>
      </c>
      <c r="D116" s="117"/>
      <c r="E116" s="117"/>
      <c r="F116" s="113" t="s">
        <v>55</v>
      </c>
      <c r="G116" s="121">
        <v>250</v>
      </c>
      <c r="H116" s="121">
        <v>23</v>
      </c>
      <c r="I116" s="140">
        <f>$G116*H116</f>
        <v>5750</v>
      </c>
      <c r="J116" s="140">
        <v>250</v>
      </c>
      <c r="K116" s="351">
        <v>0</v>
      </c>
      <c r="L116" s="140">
        <f t="shared" si="15"/>
        <v>-250</v>
      </c>
      <c r="M116" s="248">
        <v>0</v>
      </c>
      <c r="N116" s="351">
        <v>0</v>
      </c>
      <c r="O116" s="140">
        <f t="shared" si="16"/>
        <v>0</v>
      </c>
      <c r="P116" s="140">
        <f t="shared" si="17"/>
        <v>0</v>
      </c>
      <c r="Q116" s="140">
        <f t="shared" si="18"/>
        <v>0</v>
      </c>
      <c r="R116" s="140"/>
    </row>
    <row r="117" spans="1:18" s="59" customFormat="1" x14ac:dyDescent="0.3">
      <c r="A117" s="102"/>
      <c r="B117" s="129"/>
      <c r="C117" s="124"/>
      <c r="D117" s="117"/>
      <c r="E117" s="117"/>
      <c r="F117" s="113"/>
      <c r="G117" s="121"/>
      <c r="H117" s="121"/>
      <c r="I117" s="140"/>
      <c r="J117" s="140"/>
      <c r="K117" s="351"/>
      <c r="L117" s="140"/>
      <c r="M117" s="140"/>
      <c r="N117" s="351"/>
      <c r="O117" s="140"/>
      <c r="P117" s="140"/>
      <c r="Q117" s="140"/>
      <c r="R117" s="140"/>
    </row>
    <row r="118" spans="1:18" x14ac:dyDescent="0.3">
      <c r="A118" s="777" t="s">
        <v>640</v>
      </c>
      <c r="B118" s="777"/>
      <c r="C118" s="777"/>
      <c r="D118" s="777"/>
      <c r="E118" s="320"/>
      <c r="F118" s="320"/>
      <c r="G118" s="321"/>
      <c r="H118" s="321"/>
      <c r="I118" s="322">
        <f>SUM(I10:I116)</f>
        <v>1901229</v>
      </c>
      <c r="J118" s="322"/>
      <c r="K118" s="352"/>
      <c r="L118" s="322"/>
      <c r="M118" s="322"/>
      <c r="N118" s="352"/>
      <c r="O118" s="322">
        <f t="shared" ref="O118:Q118" si="27">SUM(O10:O116)</f>
        <v>1600565</v>
      </c>
      <c r="P118" s="322">
        <f>SUM(P10:P116)</f>
        <v>634130.66833980859</v>
      </c>
      <c r="Q118" s="322">
        <f t="shared" si="27"/>
        <v>2234695.6683398089</v>
      </c>
      <c r="R118" s="322"/>
    </row>
    <row r="119" spans="1:18" x14ac:dyDescent="0.3">
      <c r="A119" s="167"/>
      <c r="B119" s="419"/>
      <c r="C119" s="168"/>
      <c r="D119" s="167"/>
      <c r="E119" s="167"/>
      <c r="F119" s="169"/>
      <c r="G119" s="169"/>
      <c r="H119" s="169"/>
      <c r="I119" s="169"/>
      <c r="J119" s="169"/>
      <c r="K119" s="353"/>
      <c r="L119" s="169"/>
      <c r="M119" s="169"/>
      <c r="N119" s="353"/>
      <c r="O119" s="169"/>
      <c r="P119" s="169"/>
      <c r="Q119" s="169"/>
      <c r="R119" s="169"/>
    </row>
    <row r="120" spans="1:18" s="59" customFormat="1" x14ac:dyDescent="0.3">
      <c r="A120" s="60"/>
      <c r="B120" s="420"/>
      <c r="C120" s="61"/>
      <c r="D120" s="62"/>
      <c r="E120" s="62"/>
      <c r="F120" s="62"/>
      <c r="G120" s="235"/>
      <c r="H120" s="235"/>
      <c r="I120" s="236"/>
      <c r="J120" s="236"/>
      <c r="K120" s="354"/>
      <c r="L120" s="236"/>
      <c r="M120" s="236"/>
      <c r="N120" s="354"/>
      <c r="O120" s="236"/>
      <c r="P120" s="236"/>
      <c r="Q120" s="236"/>
      <c r="R120" s="236"/>
    </row>
  </sheetData>
  <protectedRanges>
    <protectedRange sqref="F68:F72 F78:F79 F59:F66 F40 F48 F82:F83 F74:F76 F50:F53 F119:F65403 I119:Q65403 F19:F24 F29:F31 F86:F88 F55:F57 F26:F27 I7:R7 N33 N41:N42 N29:N30 I19:I21 M26:N26 M87:N87 M29 M24 M19:N19 M20:M21 N27 F1:F6 K36:K38 K33 K41:K42 K29:K30 I26:K26 I87:K87 I29:J29 J19:K19 J20:J21 K20:K24 K27 N36:N38 F33:F38 N20:N24" name="Range1"/>
    <protectedRange sqref="F12" name="Range1_2"/>
    <protectedRange sqref="F9 F18 I9:Q9 F13 M13:N13 M18:N18 I13:K13 I18:K18" name="Range1_1_1"/>
    <protectedRange sqref="F95 F103:F104 F84:F85 F106 F108 F80:F81 F77 F110:F117 F91:F93 F98:F100" name="Range1_4"/>
    <protectedRange sqref="C39 G39:H39" name="Range1_11"/>
    <protectedRange sqref="M25:N25 F25:K25" name="Range1_3"/>
    <protectedRange sqref="F58 F32 F49 F54 F39 F28 F47 F41:F45" name="Range1_5"/>
    <protectedRange sqref="G103:G104 G30:H31 G69:H69 G27:H27 G35:G36" name="Range1_7"/>
    <protectedRange sqref="F73:H73 G75:H76" name="Range1_13"/>
    <protectedRange sqref="G91:H93" name="Range1_9_1_1"/>
    <protectedRange sqref="F17" name="Range1_2_1"/>
    <protectedRange sqref="I1:R6" name="Range1_6"/>
  </protectedRanges>
  <mergeCells count="19">
    <mergeCell ref="A118:D118"/>
    <mergeCell ref="A13:C13"/>
    <mergeCell ref="A18:C18"/>
    <mergeCell ref="A48:C48"/>
    <mergeCell ref="A89:C89"/>
    <mergeCell ref="R7:R8"/>
    <mergeCell ref="A6:R6"/>
    <mergeCell ref="A1:R1"/>
    <mergeCell ref="A2:R2"/>
    <mergeCell ref="A3:R3"/>
    <mergeCell ref="A4:R4"/>
    <mergeCell ref="A5:R5"/>
    <mergeCell ref="O7:Q7"/>
    <mergeCell ref="A7:A8"/>
    <mergeCell ref="B7:B8"/>
    <mergeCell ref="C7:C8"/>
    <mergeCell ref="F7:F8"/>
    <mergeCell ref="G7:I7"/>
    <mergeCell ref="J7:N7"/>
  </mergeCells>
  <pageMargins left="0.7" right="0.7" top="0.75" bottom="0.75" header="0.3" footer="0.3"/>
  <pageSetup paperSize="9" scale="20"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1"/>
  <sheetViews>
    <sheetView zoomScale="55" zoomScaleNormal="55" workbookViewId="0">
      <selection activeCell="C9" sqref="C9"/>
    </sheetView>
  </sheetViews>
  <sheetFormatPr defaultColWidth="8.81640625" defaultRowHeight="12.5" x14ac:dyDescent="0.25"/>
  <cols>
    <col min="1" max="1" width="8.81640625" style="511"/>
    <col min="2" max="2" width="24.1796875" style="717" bestFit="1" customWidth="1"/>
    <col min="3" max="3" width="50.81640625" style="717" bestFit="1" customWidth="1"/>
    <col min="4" max="4" width="8.81640625" style="511"/>
    <col min="5" max="5" width="7.81640625" style="525" bestFit="1" customWidth="1"/>
    <col min="6" max="6" width="12.90625" style="525" customWidth="1"/>
    <col min="7" max="7" width="12.7265625" style="525" bestFit="1" customWidth="1"/>
    <col min="8" max="8" width="13.7265625" style="525" bestFit="1" customWidth="1"/>
    <col min="9" max="9" width="12.7265625" style="525" bestFit="1" customWidth="1"/>
    <col min="10" max="12" width="11.453125" style="525" customWidth="1"/>
    <col min="13" max="13" width="10" style="726" bestFit="1" customWidth="1"/>
    <col min="14" max="14" width="11.453125" style="525" customWidth="1"/>
    <col min="15" max="15" width="13.7265625" style="525" bestFit="1" customWidth="1"/>
    <col min="16" max="16" width="14" style="525" bestFit="1" customWidth="1"/>
    <col min="17" max="20" width="18" style="511" customWidth="1"/>
    <col min="21" max="21" width="13.81640625" style="511" customWidth="1"/>
    <col min="22" max="16384" width="8.81640625" style="511"/>
  </cols>
  <sheetData>
    <row r="1" spans="1:21" ht="13" x14ac:dyDescent="0.25">
      <c r="A1" s="849" t="s">
        <v>655</v>
      </c>
      <c r="B1" s="850"/>
      <c r="C1" s="850"/>
      <c r="D1" s="850"/>
      <c r="E1" s="850"/>
      <c r="F1" s="850"/>
      <c r="G1" s="850"/>
      <c r="H1" s="850"/>
      <c r="I1" s="850"/>
      <c r="J1" s="850"/>
      <c r="K1" s="850"/>
      <c r="L1" s="850"/>
      <c r="M1" s="850"/>
      <c r="N1" s="850"/>
      <c r="O1" s="850"/>
      <c r="P1" s="850"/>
      <c r="Q1" s="851"/>
      <c r="R1" s="742"/>
      <c r="S1" s="742"/>
      <c r="T1" s="742"/>
    </row>
    <row r="2" spans="1:21" ht="13" x14ac:dyDescent="0.25">
      <c r="A2" s="852" t="s">
        <v>654</v>
      </c>
      <c r="B2" s="853"/>
      <c r="C2" s="853"/>
      <c r="D2" s="853"/>
      <c r="E2" s="853"/>
      <c r="F2" s="853"/>
      <c r="G2" s="853"/>
      <c r="H2" s="853"/>
      <c r="I2" s="853"/>
      <c r="J2" s="853"/>
      <c r="K2" s="853"/>
      <c r="L2" s="853"/>
      <c r="M2" s="853"/>
      <c r="N2" s="853"/>
      <c r="O2" s="853"/>
      <c r="P2" s="853"/>
      <c r="Q2" s="854"/>
      <c r="R2" s="742"/>
      <c r="S2" s="742"/>
      <c r="T2" s="742"/>
    </row>
    <row r="3" spans="1:21" ht="13" x14ac:dyDescent="0.25">
      <c r="A3" s="852" t="s">
        <v>762</v>
      </c>
      <c r="B3" s="853"/>
      <c r="C3" s="853"/>
      <c r="D3" s="853"/>
      <c r="E3" s="853"/>
      <c r="F3" s="853"/>
      <c r="G3" s="853"/>
      <c r="H3" s="853"/>
      <c r="I3" s="853"/>
      <c r="J3" s="853"/>
      <c r="K3" s="853"/>
      <c r="L3" s="853"/>
      <c r="M3" s="853"/>
      <c r="N3" s="853"/>
      <c r="O3" s="853"/>
      <c r="P3" s="853"/>
      <c r="Q3" s="854"/>
      <c r="R3" s="742"/>
      <c r="S3" s="742"/>
      <c r="T3" s="742"/>
    </row>
    <row r="4" spans="1:21" ht="13" x14ac:dyDescent="0.25">
      <c r="A4" s="852" t="s">
        <v>653</v>
      </c>
      <c r="B4" s="853"/>
      <c r="C4" s="853"/>
      <c r="D4" s="853"/>
      <c r="E4" s="853"/>
      <c r="F4" s="853"/>
      <c r="G4" s="853"/>
      <c r="H4" s="853"/>
      <c r="I4" s="853"/>
      <c r="J4" s="853"/>
      <c r="K4" s="853"/>
      <c r="L4" s="853"/>
      <c r="M4" s="853"/>
      <c r="N4" s="853"/>
      <c r="O4" s="853"/>
      <c r="P4" s="853"/>
      <c r="Q4" s="854"/>
      <c r="R4" s="742"/>
      <c r="S4" s="742"/>
      <c r="T4" s="742"/>
    </row>
    <row r="5" spans="1:21" ht="13.5" thickBot="1" x14ac:dyDescent="0.3">
      <c r="A5" s="846" t="s">
        <v>657</v>
      </c>
      <c r="B5" s="847"/>
      <c r="C5" s="847"/>
      <c r="D5" s="847"/>
      <c r="E5" s="847"/>
      <c r="F5" s="847"/>
      <c r="G5" s="847"/>
      <c r="H5" s="847"/>
      <c r="I5" s="847"/>
      <c r="J5" s="847"/>
      <c r="K5" s="847"/>
      <c r="L5" s="847"/>
      <c r="M5" s="847"/>
      <c r="N5" s="847"/>
      <c r="O5" s="847"/>
      <c r="P5" s="847"/>
      <c r="Q5" s="848"/>
      <c r="R5" s="742"/>
      <c r="S5" s="742"/>
      <c r="T5" s="742"/>
    </row>
    <row r="6" spans="1:21" ht="13.5" thickBot="1" x14ac:dyDescent="0.3">
      <c r="A6" s="846" t="s">
        <v>784</v>
      </c>
      <c r="B6" s="847"/>
      <c r="C6" s="847"/>
      <c r="D6" s="847"/>
      <c r="E6" s="847"/>
      <c r="F6" s="847"/>
      <c r="G6" s="847"/>
      <c r="H6" s="847"/>
      <c r="I6" s="847"/>
      <c r="J6" s="847"/>
      <c r="K6" s="847"/>
      <c r="L6" s="847"/>
      <c r="M6" s="847"/>
      <c r="N6" s="847"/>
      <c r="O6" s="847"/>
      <c r="P6" s="847"/>
      <c r="Q6" s="848"/>
      <c r="R6" s="742"/>
      <c r="S6" s="742"/>
      <c r="T6" s="742"/>
      <c r="U6" s="840"/>
    </row>
    <row r="7" spans="1:21" ht="13.5" customHeight="1" thickBot="1" x14ac:dyDescent="0.3">
      <c r="A7" s="856" t="s">
        <v>8</v>
      </c>
      <c r="B7" s="857" t="s">
        <v>19</v>
      </c>
      <c r="C7" s="857" t="s">
        <v>9</v>
      </c>
      <c r="D7" s="858" t="s">
        <v>10</v>
      </c>
      <c r="E7" s="859" t="s">
        <v>783</v>
      </c>
      <c r="F7" s="859"/>
      <c r="G7" s="859"/>
      <c r="H7" s="859"/>
      <c r="I7" s="837" t="s">
        <v>651</v>
      </c>
      <c r="J7" s="838"/>
      <c r="K7" s="838"/>
      <c r="L7" s="838"/>
      <c r="M7" s="839"/>
      <c r="N7" s="837" t="s">
        <v>652</v>
      </c>
      <c r="O7" s="838"/>
      <c r="P7" s="839"/>
      <c r="Q7" s="855" t="s">
        <v>636</v>
      </c>
      <c r="R7" s="842" t="s">
        <v>1054</v>
      </c>
      <c r="S7" s="842"/>
      <c r="T7" s="748" t="s">
        <v>1055</v>
      </c>
      <c r="U7" s="841"/>
    </row>
    <row r="8" spans="1:21" ht="13.5" thickBot="1" x14ac:dyDescent="0.3">
      <c r="A8" s="856"/>
      <c r="B8" s="857"/>
      <c r="C8" s="857"/>
      <c r="D8" s="858"/>
      <c r="E8" s="512" t="s">
        <v>16</v>
      </c>
      <c r="F8" s="512" t="s">
        <v>15</v>
      </c>
      <c r="G8" s="512"/>
      <c r="H8" s="512" t="s">
        <v>11</v>
      </c>
      <c r="I8" s="534" t="s">
        <v>645</v>
      </c>
      <c r="J8" s="721" t="s">
        <v>648</v>
      </c>
      <c r="K8" s="534" t="s">
        <v>646</v>
      </c>
      <c r="L8" s="534" t="s">
        <v>647</v>
      </c>
      <c r="M8" s="721" t="s">
        <v>649</v>
      </c>
      <c r="N8" s="534" t="s">
        <v>645</v>
      </c>
      <c r="O8" s="534" t="s">
        <v>646</v>
      </c>
      <c r="P8" s="534" t="s">
        <v>647</v>
      </c>
      <c r="Q8" s="855"/>
      <c r="R8" s="748" t="s">
        <v>1052</v>
      </c>
      <c r="S8" s="748" t="s">
        <v>1053</v>
      </c>
      <c r="T8" s="748"/>
      <c r="U8" s="841"/>
    </row>
    <row r="9" spans="1:21" ht="91" x14ac:dyDescent="0.25">
      <c r="A9" s="549">
        <v>1</v>
      </c>
      <c r="B9" s="550" t="s">
        <v>97</v>
      </c>
      <c r="C9" s="551" t="s">
        <v>1067</v>
      </c>
      <c r="D9" s="552" t="s">
        <v>95</v>
      </c>
      <c r="E9" s="552">
        <v>1</v>
      </c>
      <c r="F9" s="553">
        <v>36200</v>
      </c>
      <c r="G9" s="513">
        <f>E9*F9</f>
        <v>36200</v>
      </c>
      <c r="H9" s="513">
        <f t="shared" ref="H9:H55" si="0">E9*F9</f>
        <v>36200</v>
      </c>
      <c r="I9" s="513"/>
      <c r="J9" s="513"/>
      <c r="K9" s="513">
        <f>L9-I9</f>
        <v>1</v>
      </c>
      <c r="L9" s="720">
        <f>'Non BOQ MB'!M5</f>
        <v>1</v>
      </c>
      <c r="M9" s="722">
        <v>1</v>
      </c>
      <c r="N9" s="513">
        <f t="shared" ref="N9:N54" si="1">F9*I9*J9</f>
        <v>0</v>
      </c>
      <c r="O9" s="513">
        <f>P9-N9</f>
        <v>36200</v>
      </c>
      <c r="P9" s="513">
        <f t="shared" ref="P9:P31" si="2">F9*L9*M9</f>
        <v>36200</v>
      </c>
      <c r="Q9" s="744" t="s">
        <v>1020</v>
      </c>
      <c r="R9" s="553">
        <v>36200</v>
      </c>
      <c r="S9" s="450">
        <f>R9*K9</f>
        <v>36200</v>
      </c>
      <c r="T9" s="450"/>
    </row>
    <row r="10" spans="1:21" ht="50" x14ac:dyDescent="0.25">
      <c r="A10" s="554">
        <f>A9+1</f>
        <v>2</v>
      </c>
      <c r="B10" s="555" t="s">
        <v>126</v>
      </c>
      <c r="C10" s="555" t="s">
        <v>127</v>
      </c>
      <c r="D10" s="556" t="s">
        <v>95</v>
      </c>
      <c r="E10" s="450">
        <v>6</v>
      </c>
      <c r="F10" s="557">
        <v>29000</v>
      </c>
      <c r="G10" s="513">
        <f t="shared" ref="G10:G54" si="3">E10*F10</f>
        <v>174000</v>
      </c>
      <c r="H10" s="740">
        <f t="shared" si="0"/>
        <v>174000</v>
      </c>
      <c r="I10" s="515"/>
      <c r="J10" s="515"/>
      <c r="K10" s="513">
        <f t="shared" ref="K10:K54" si="4">L10-I10</f>
        <v>6</v>
      </c>
      <c r="L10" s="720">
        <f>'Non BOQ MB'!M6</f>
        <v>6</v>
      </c>
      <c r="M10" s="722">
        <v>1</v>
      </c>
      <c r="N10" s="513">
        <f t="shared" si="1"/>
        <v>0</v>
      </c>
      <c r="O10" s="513">
        <f t="shared" ref="O10:O54" si="5">P10-N10</f>
        <v>174000</v>
      </c>
      <c r="P10" s="513">
        <f t="shared" si="2"/>
        <v>174000</v>
      </c>
      <c r="Q10" s="745" t="s">
        <v>1020</v>
      </c>
      <c r="R10" s="557">
        <v>27432</v>
      </c>
      <c r="S10" s="450">
        <f t="shared" ref="S10:S54" si="6">R10*K10</f>
        <v>164592</v>
      </c>
      <c r="T10" s="749" t="s">
        <v>1070</v>
      </c>
    </row>
    <row r="11" spans="1:21" ht="13" x14ac:dyDescent="0.25">
      <c r="A11" s="554">
        <f>A10+1</f>
        <v>3</v>
      </c>
      <c r="B11" s="560" t="s">
        <v>1049</v>
      </c>
      <c r="C11" s="560" t="s">
        <v>764</v>
      </c>
      <c r="D11" s="16" t="s">
        <v>112</v>
      </c>
      <c r="E11" s="47">
        <v>320.10147353628042</v>
      </c>
      <c r="F11" s="558">
        <v>360</v>
      </c>
      <c r="G11" s="513">
        <f t="shared" si="3"/>
        <v>115236.53047306095</v>
      </c>
      <c r="H11" s="740">
        <f t="shared" si="0"/>
        <v>115236.53047306095</v>
      </c>
      <c r="I11" s="515"/>
      <c r="J11" s="515"/>
      <c r="K11" s="513">
        <f t="shared" si="4"/>
        <v>320.10147353628042</v>
      </c>
      <c r="L11" s="720">
        <f>'Non BOQ MB'!M14</f>
        <v>320.10147353628042</v>
      </c>
      <c r="M11" s="722">
        <v>1</v>
      </c>
      <c r="N11" s="513">
        <f t="shared" si="1"/>
        <v>0</v>
      </c>
      <c r="O11" s="513">
        <f t="shared" si="5"/>
        <v>115236.53047306095</v>
      </c>
      <c r="P11" s="513">
        <f t="shared" si="2"/>
        <v>115236.53047306095</v>
      </c>
      <c r="Q11" s="745" t="s">
        <v>1020</v>
      </c>
      <c r="R11" s="558">
        <v>312</v>
      </c>
      <c r="S11" s="450">
        <f t="shared" si="6"/>
        <v>99871.659743319498</v>
      </c>
      <c r="T11" s="478"/>
    </row>
    <row r="12" spans="1:21" ht="13" x14ac:dyDescent="0.25">
      <c r="A12" s="554">
        <f>A11+1</f>
        <v>4</v>
      </c>
      <c r="B12" s="560" t="s">
        <v>765</v>
      </c>
      <c r="C12" s="560" t="s">
        <v>766</v>
      </c>
      <c r="D12" s="16" t="s">
        <v>398</v>
      </c>
      <c r="E12" s="47">
        <v>2</v>
      </c>
      <c r="F12" s="558">
        <v>4700</v>
      </c>
      <c r="G12" s="513">
        <f t="shared" si="3"/>
        <v>9400</v>
      </c>
      <c r="H12" s="513">
        <f t="shared" si="0"/>
        <v>9400</v>
      </c>
      <c r="I12" s="515"/>
      <c r="J12" s="515"/>
      <c r="K12" s="513">
        <f t="shared" si="4"/>
        <v>2</v>
      </c>
      <c r="L12" s="720">
        <f>'Non BOQ MB'!M16</f>
        <v>2</v>
      </c>
      <c r="M12" s="722">
        <v>1</v>
      </c>
      <c r="N12" s="513">
        <f t="shared" si="1"/>
        <v>0</v>
      </c>
      <c r="O12" s="513">
        <f t="shared" si="5"/>
        <v>9400</v>
      </c>
      <c r="P12" s="513">
        <f t="shared" si="2"/>
        <v>9400</v>
      </c>
      <c r="Q12" s="745" t="s">
        <v>1020</v>
      </c>
      <c r="R12" s="558">
        <v>4700</v>
      </c>
      <c r="S12" s="450">
        <f t="shared" si="6"/>
        <v>9400</v>
      </c>
      <c r="T12" s="478"/>
    </row>
    <row r="13" spans="1:21" ht="13" x14ac:dyDescent="0.25">
      <c r="A13" s="554">
        <f t="shared" ref="A13:A21" si="7">A12+1</f>
        <v>5</v>
      </c>
      <c r="B13" s="560" t="s">
        <v>767</v>
      </c>
      <c r="C13" s="560" t="s">
        <v>768</v>
      </c>
      <c r="D13" s="16" t="s">
        <v>769</v>
      </c>
      <c r="E13" s="47">
        <v>1</v>
      </c>
      <c r="F13" s="559">
        <v>8200</v>
      </c>
      <c r="G13" s="513">
        <f t="shared" si="3"/>
        <v>8200</v>
      </c>
      <c r="H13" s="513">
        <f t="shared" si="0"/>
        <v>8200</v>
      </c>
      <c r="I13" s="515"/>
      <c r="J13" s="515"/>
      <c r="K13" s="513">
        <f t="shared" si="4"/>
        <v>1</v>
      </c>
      <c r="L13" s="720">
        <f>'Non BOQ MB'!M17</f>
        <v>1</v>
      </c>
      <c r="M13" s="722">
        <v>1</v>
      </c>
      <c r="N13" s="513">
        <f t="shared" si="1"/>
        <v>0</v>
      </c>
      <c r="O13" s="513">
        <f t="shared" si="5"/>
        <v>8200</v>
      </c>
      <c r="P13" s="513">
        <f t="shared" si="2"/>
        <v>8200</v>
      </c>
      <c r="Q13" s="745" t="s">
        <v>1020</v>
      </c>
      <c r="R13" s="559">
        <v>8200</v>
      </c>
      <c r="S13" s="450">
        <f t="shared" si="6"/>
        <v>8200</v>
      </c>
      <c r="T13" s="478"/>
    </row>
    <row r="14" spans="1:21" ht="75" x14ac:dyDescent="0.25">
      <c r="A14" s="554">
        <f t="shared" si="7"/>
        <v>6</v>
      </c>
      <c r="B14" s="560" t="s">
        <v>770</v>
      </c>
      <c r="C14" s="560" t="s">
        <v>771</v>
      </c>
      <c r="D14" s="16" t="s">
        <v>398</v>
      </c>
      <c r="E14" s="47">
        <v>1</v>
      </c>
      <c r="F14" s="559">
        <v>45000</v>
      </c>
      <c r="G14" s="513">
        <f t="shared" si="3"/>
        <v>45000</v>
      </c>
      <c r="H14" s="513">
        <f t="shared" si="0"/>
        <v>45000</v>
      </c>
      <c r="I14" s="515"/>
      <c r="J14" s="515"/>
      <c r="K14" s="513">
        <f t="shared" si="4"/>
        <v>1</v>
      </c>
      <c r="L14" s="720">
        <f>'Non BOQ MB'!M18</f>
        <v>1</v>
      </c>
      <c r="M14" s="722">
        <v>1</v>
      </c>
      <c r="N14" s="513">
        <f t="shared" si="1"/>
        <v>0</v>
      </c>
      <c r="O14" s="513">
        <f t="shared" si="5"/>
        <v>45000</v>
      </c>
      <c r="P14" s="513">
        <f t="shared" si="2"/>
        <v>45000</v>
      </c>
      <c r="Q14" s="745" t="s">
        <v>1020</v>
      </c>
      <c r="R14" s="559">
        <v>45000</v>
      </c>
      <c r="S14" s="450">
        <f t="shared" si="6"/>
        <v>45000</v>
      </c>
      <c r="T14" s="749" t="s">
        <v>1056</v>
      </c>
    </row>
    <row r="15" spans="1:21" ht="39" x14ac:dyDescent="0.25">
      <c r="A15" s="554">
        <f t="shared" si="7"/>
        <v>7</v>
      </c>
      <c r="B15" s="560" t="s">
        <v>772</v>
      </c>
      <c r="C15" s="560" t="s">
        <v>773</v>
      </c>
      <c r="D15" s="16" t="s">
        <v>769</v>
      </c>
      <c r="E15" s="47">
        <v>1</v>
      </c>
      <c r="F15" s="559">
        <v>62000</v>
      </c>
      <c r="G15" s="513">
        <f t="shared" si="3"/>
        <v>62000</v>
      </c>
      <c r="H15" s="740">
        <f t="shared" si="0"/>
        <v>62000</v>
      </c>
      <c r="I15" s="515"/>
      <c r="J15" s="515"/>
      <c r="K15" s="513">
        <f t="shared" si="4"/>
        <v>1</v>
      </c>
      <c r="L15" s="720">
        <f>'Non BOQ MB'!M19</f>
        <v>1</v>
      </c>
      <c r="M15" s="722">
        <v>1</v>
      </c>
      <c r="N15" s="513">
        <f t="shared" si="1"/>
        <v>0</v>
      </c>
      <c r="O15" s="513">
        <f t="shared" si="5"/>
        <v>62000</v>
      </c>
      <c r="P15" s="513">
        <f t="shared" si="2"/>
        <v>62000</v>
      </c>
      <c r="Q15" s="745" t="s">
        <v>1020</v>
      </c>
      <c r="R15" s="559">
        <v>51230</v>
      </c>
      <c r="S15" s="450">
        <f t="shared" si="6"/>
        <v>51230</v>
      </c>
      <c r="T15" s="478"/>
    </row>
    <row r="16" spans="1:21" ht="39" x14ac:dyDescent="0.25">
      <c r="A16" s="554">
        <f t="shared" si="7"/>
        <v>8</v>
      </c>
      <c r="B16" s="560" t="s">
        <v>774</v>
      </c>
      <c r="C16" s="560" t="s">
        <v>785</v>
      </c>
      <c r="D16" s="16" t="s">
        <v>112</v>
      </c>
      <c r="E16" s="47">
        <v>694.2022564600685</v>
      </c>
      <c r="F16" s="559">
        <v>52</v>
      </c>
      <c r="G16" s="513">
        <f t="shared" si="3"/>
        <v>36098.517335923563</v>
      </c>
      <c r="H16" s="720">
        <f t="shared" si="0"/>
        <v>36098.517335923563</v>
      </c>
      <c r="I16" s="515"/>
      <c r="J16" s="515"/>
      <c r="K16" s="513">
        <f t="shared" si="4"/>
        <v>694.2022564600685</v>
      </c>
      <c r="L16" s="720">
        <f>'Non BOQ MB'!M31</f>
        <v>694.2022564600685</v>
      </c>
      <c r="M16" s="722">
        <v>1</v>
      </c>
      <c r="N16" s="513">
        <f t="shared" si="1"/>
        <v>0</v>
      </c>
      <c r="O16" s="513">
        <f t="shared" si="5"/>
        <v>36098.517335923563</v>
      </c>
      <c r="P16" s="513">
        <f t="shared" si="2"/>
        <v>36098.517335923563</v>
      </c>
      <c r="Q16" s="745" t="s">
        <v>1020</v>
      </c>
      <c r="R16" s="559">
        <v>46</v>
      </c>
      <c r="S16" s="450">
        <f t="shared" si="6"/>
        <v>31933.303797163149</v>
      </c>
      <c r="T16" s="478"/>
    </row>
    <row r="17" spans="1:21" ht="13" x14ac:dyDescent="0.25">
      <c r="A17" s="554">
        <f t="shared" si="7"/>
        <v>9</v>
      </c>
      <c r="B17" s="560" t="s">
        <v>775</v>
      </c>
      <c r="C17" s="560" t="s">
        <v>775</v>
      </c>
      <c r="D17" s="16" t="s">
        <v>112</v>
      </c>
      <c r="E17" s="47">
        <v>94.550189100378205</v>
      </c>
      <c r="F17" s="559">
        <v>220</v>
      </c>
      <c r="G17" s="513">
        <f t="shared" si="3"/>
        <v>20801.041602083205</v>
      </c>
      <c r="H17" s="513">
        <f t="shared" si="0"/>
        <v>20801.041602083205</v>
      </c>
      <c r="I17" s="515"/>
      <c r="J17" s="515"/>
      <c r="K17" s="513">
        <f t="shared" si="4"/>
        <v>94.550189100378205</v>
      </c>
      <c r="L17" s="720">
        <f>'Non BOQ MB'!M34</f>
        <v>94.550189100378205</v>
      </c>
      <c r="M17" s="722">
        <v>1</v>
      </c>
      <c r="N17" s="513">
        <f t="shared" si="1"/>
        <v>0</v>
      </c>
      <c r="O17" s="513">
        <f t="shared" si="5"/>
        <v>20801.041602083205</v>
      </c>
      <c r="P17" s="513">
        <f t="shared" si="2"/>
        <v>20801.041602083205</v>
      </c>
      <c r="Q17" s="745" t="s">
        <v>1020</v>
      </c>
      <c r="R17" s="559">
        <v>165</v>
      </c>
      <c r="S17" s="450">
        <f t="shared" si="6"/>
        <v>15600.781201562404</v>
      </c>
      <c r="T17" s="478"/>
    </row>
    <row r="18" spans="1:21" ht="26" x14ac:dyDescent="0.25">
      <c r="A18" s="554">
        <f t="shared" si="7"/>
        <v>10</v>
      </c>
      <c r="B18" s="560" t="s">
        <v>776</v>
      </c>
      <c r="C18" s="561" t="s">
        <v>777</v>
      </c>
      <c r="D18" s="16" t="s">
        <v>974</v>
      </c>
      <c r="E18" s="47">
        <v>6</v>
      </c>
      <c r="F18" s="558">
        <v>15500</v>
      </c>
      <c r="G18" s="513">
        <f t="shared" si="3"/>
        <v>93000</v>
      </c>
      <c r="H18" s="740">
        <f t="shared" si="0"/>
        <v>93000</v>
      </c>
      <c r="I18" s="515"/>
      <c r="J18" s="515"/>
      <c r="K18" s="513">
        <f t="shared" si="4"/>
        <v>6</v>
      </c>
      <c r="L18" s="720">
        <f>'Non BOQ MB'!M36</f>
        <v>6</v>
      </c>
      <c r="M18" s="722">
        <v>1</v>
      </c>
      <c r="N18" s="513">
        <f t="shared" si="1"/>
        <v>0</v>
      </c>
      <c r="O18" s="513">
        <f t="shared" si="5"/>
        <v>93000</v>
      </c>
      <c r="P18" s="513">
        <f t="shared" si="2"/>
        <v>93000</v>
      </c>
      <c r="Q18" s="745" t="s">
        <v>1020</v>
      </c>
      <c r="R18" s="558">
        <v>14000</v>
      </c>
      <c r="S18" s="450">
        <f t="shared" si="6"/>
        <v>84000</v>
      </c>
      <c r="T18" s="749" t="s">
        <v>1057</v>
      </c>
    </row>
    <row r="19" spans="1:21" ht="37.5" x14ac:dyDescent="0.25">
      <c r="A19" s="554">
        <f t="shared" si="7"/>
        <v>11</v>
      </c>
      <c r="B19" s="560" t="s">
        <v>779</v>
      </c>
      <c r="C19" s="562" t="s">
        <v>780</v>
      </c>
      <c r="D19" s="564" t="s">
        <v>769</v>
      </c>
      <c r="E19" s="47">
        <v>8</v>
      </c>
      <c r="F19" s="558">
        <v>3500</v>
      </c>
      <c r="G19" s="513">
        <f t="shared" si="3"/>
        <v>28000</v>
      </c>
      <c r="H19" s="513">
        <f t="shared" si="0"/>
        <v>28000</v>
      </c>
      <c r="I19" s="515"/>
      <c r="J19" s="515"/>
      <c r="K19" s="513">
        <f t="shared" si="4"/>
        <v>8</v>
      </c>
      <c r="L19" s="720">
        <f>'Non BOQ MB'!M37</f>
        <v>8</v>
      </c>
      <c r="M19" s="722">
        <v>1</v>
      </c>
      <c r="N19" s="513">
        <f t="shared" si="1"/>
        <v>0</v>
      </c>
      <c r="O19" s="513">
        <f t="shared" si="5"/>
        <v>28000</v>
      </c>
      <c r="P19" s="513">
        <f t="shared" si="2"/>
        <v>28000</v>
      </c>
      <c r="Q19" s="746" t="s">
        <v>1023</v>
      </c>
      <c r="R19" s="558">
        <v>3500</v>
      </c>
      <c r="S19" s="450">
        <f t="shared" si="6"/>
        <v>28000</v>
      </c>
      <c r="T19" s="749" t="s">
        <v>1058</v>
      </c>
    </row>
    <row r="20" spans="1:21" ht="37.5" x14ac:dyDescent="0.25">
      <c r="A20" s="554">
        <f t="shared" si="7"/>
        <v>12</v>
      </c>
      <c r="B20" s="560" t="s">
        <v>779</v>
      </c>
      <c r="C20" s="562" t="s">
        <v>781</v>
      </c>
      <c r="D20" s="564" t="s">
        <v>769</v>
      </c>
      <c r="E20" s="47">
        <v>1</v>
      </c>
      <c r="F20" s="558">
        <v>7250</v>
      </c>
      <c r="G20" s="513">
        <f t="shared" si="3"/>
        <v>7250</v>
      </c>
      <c r="H20" s="513">
        <f t="shared" si="0"/>
        <v>7250</v>
      </c>
      <c r="I20" s="515"/>
      <c r="J20" s="515"/>
      <c r="K20" s="513">
        <f t="shared" si="4"/>
        <v>1</v>
      </c>
      <c r="L20" s="720">
        <f>'Non BOQ MB'!M38</f>
        <v>1</v>
      </c>
      <c r="M20" s="722">
        <v>1</v>
      </c>
      <c r="N20" s="513">
        <f t="shared" si="1"/>
        <v>0</v>
      </c>
      <c r="O20" s="513">
        <f t="shared" si="5"/>
        <v>7250</v>
      </c>
      <c r="P20" s="513">
        <f t="shared" si="2"/>
        <v>7250</v>
      </c>
      <c r="Q20" s="746" t="s">
        <v>1023</v>
      </c>
      <c r="R20" s="558">
        <v>6234</v>
      </c>
      <c r="S20" s="450">
        <f t="shared" si="6"/>
        <v>6234</v>
      </c>
      <c r="T20" s="749" t="s">
        <v>1058</v>
      </c>
    </row>
    <row r="21" spans="1:21" ht="72" x14ac:dyDescent="0.25">
      <c r="A21" s="554">
        <f t="shared" si="7"/>
        <v>13</v>
      </c>
      <c r="B21" s="560" t="s">
        <v>786</v>
      </c>
      <c r="C21" s="179" t="s">
        <v>625</v>
      </c>
      <c r="D21" s="16"/>
      <c r="E21" s="47">
        <v>0</v>
      </c>
      <c r="F21" s="47"/>
      <c r="G21" s="513">
        <f t="shared" si="3"/>
        <v>0</v>
      </c>
      <c r="H21" s="513">
        <f t="shared" si="0"/>
        <v>0</v>
      </c>
      <c r="I21" s="515"/>
      <c r="J21" s="515"/>
      <c r="K21" s="513">
        <f t="shared" si="4"/>
        <v>0</v>
      </c>
      <c r="L21" s="720"/>
      <c r="M21" s="722"/>
      <c r="N21" s="513">
        <f t="shared" si="1"/>
        <v>0</v>
      </c>
      <c r="O21" s="513">
        <f t="shared" si="5"/>
        <v>0</v>
      </c>
      <c r="P21" s="513">
        <f t="shared" si="2"/>
        <v>0</v>
      </c>
      <c r="Q21" s="745"/>
      <c r="R21" s="47"/>
      <c r="S21" s="450">
        <f t="shared" si="6"/>
        <v>0</v>
      </c>
      <c r="T21" s="478"/>
    </row>
    <row r="22" spans="1:21" ht="13" x14ac:dyDescent="0.25">
      <c r="A22" s="26"/>
      <c r="B22" s="215" t="s">
        <v>493</v>
      </c>
      <c r="C22" s="179" t="s">
        <v>787</v>
      </c>
      <c r="D22" s="563" t="s">
        <v>111</v>
      </c>
      <c r="E22" s="47">
        <v>8</v>
      </c>
      <c r="F22" s="558">
        <v>815</v>
      </c>
      <c r="G22" s="513">
        <f t="shared" si="3"/>
        <v>6520</v>
      </c>
      <c r="H22" s="513">
        <f t="shared" si="0"/>
        <v>6520</v>
      </c>
      <c r="I22" s="515"/>
      <c r="J22" s="515"/>
      <c r="K22" s="513">
        <f t="shared" si="4"/>
        <v>8</v>
      </c>
      <c r="L22" s="720">
        <f>'Non BOQ MB'!M41</f>
        <v>8</v>
      </c>
      <c r="M22" s="722">
        <v>1</v>
      </c>
      <c r="N22" s="513">
        <f t="shared" si="1"/>
        <v>0</v>
      </c>
      <c r="O22" s="513">
        <f t="shared" si="5"/>
        <v>6520</v>
      </c>
      <c r="P22" s="513">
        <f t="shared" si="2"/>
        <v>6520</v>
      </c>
      <c r="Q22" s="745" t="s">
        <v>1020</v>
      </c>
      <c r="R22" s="558">
        <v>815</v>
      </c>
      <c r="S22" s="450">
        <f t="shared" si="6"/>
        <v>6520</v>
      </c>
      <c r="T22" s="478"/>
    </row>
    <row r="23" spans="1:21" ht="13" x14ac:dyDescent="0.25">
      <c r="A23" s="26"/>
      <c r="B23" s="560"/>
      <c r="C23" s="179"/>
      <c r="D23" s="16"/>
      <c r="E23" s="47">
        <v>0</v>
      </c>
      <c r="F23" s="47"/>
      <c r="G23" s="513">
        <f t="shared" si="3"/>
        <v>0</v>
      </c>
      <c r="H23" s="513">
        <f t="shared" si="0"/>
        <v>0</v>
      </c>
      <c r="I23" s="469"/>
      <c r="J23" s="469"/>
      <c r="K23" s="513">
        <f t="shared" si="4"/>
        <v>0</v>
      </c>
      <c r="L23" s="535"/>
      <c r="M23" s="722"/>
      <c r="N23" s="513">
        <f t="shared" si="1"/>
        <v>0</v>
      </c>
      <c r="O23" s="513">
        <f t="shared" si="5"/>
        <v>0</v>
      </c>
      <c r="P23" s="513">
        <f t="shared" si="2"/>
        <v>0</v>
      </c>
      <c r="Q23" s="745"/>
      <c r="R23" s="47"/>
      <c r="S23" s="450">
        <f t="shared" si="6"/>
        <v>0</v>
      </c>
      <c r="T23" s="478"/>
    </row>
    <row r="24" spans="1:21" ht="25" x14ac:dyDescent="0.25">
      <c r="A24" s="26">
        <v>14</v>
      </c>
      <c r="B24" s="560" t="s">
        <v>788</v>
      </c>
      <c r="C24" s="713" t="s">
        <v>975</v>
      </c>
      <c r="D24" s="563" t="s">
        <v>111</v>
      </c>
      <c r="E24" s="47">
        <v>1</v>
      </c>
      <c r="F24" s="558">
        <v>35000</v>
      </c>
      <c r="G24" s="513">
        <f t="shared" si="3"/>
        <v>35000</v>
      </c>
      <c r="H24" s="513">
        <f t="shared" si="0"/>
        <v>35000</v>
      </c>
      <c r="I24" s="469"/>
      <c r="J24" s="469"/>
      <c r="K24" s="513">
        <f t="shared" si="4"/>
        <v>1</v>
      </c>
      <c r="L24" s="535">
        <f>'Non BOQ MB'!M42</f>
        <v>1</v>
      </c>
      <c r="M24" s="722">
        <v>1</v>
      </c>
      <c r="N24" s="513">
        <f t="shared" si="1"/>
        <v>0</v>
      </c>
      <c r="O24" s="513">
        <f t="shared" si="5"/>
        <v>35000</v>
      </c>
      <c r="P24" s="513">
        <f t="shared" si="2"/>
        <v>35000</v>
      </c>
      <c r="Q24" s="745" t="s">
        <v>1020</v>
      </c>
      <c r="R24" s="558">
        <v>35000</v>
      </c>
      <c r="S24" s="450">
        <f t="shared" si="6"/>
        <v>35000</v>
      </c>
      <c r="T24" s="749" t="s">
        <v>1059</v>
      </c>
    </row>
    <row r="25" spans="1:21" ht="37.5" x14ac:dyDescent="0.25">
      <c r="A25" s="26">
        <v>15</v>
      </c>
      <c r="B25" s="560" t="s">
        <v>789</v>
      </c>
      <c r="C25" s="713" t="s">
        <v>1060</v>
      </c>
      <c r="D25" s="563" t="s">
        <v>111</v>
      </c>
      <c r="E25" s="47">
        <v>700.00400417467495</v>
      </c>
      <c r="F25" s="47">
        <v>108</v>
      </c>
      <c r="G25" s="513">
        <f t="shared" si="3"/>
        <v>75600.432450864901</v>
      </c>
      <c r="H25" s="740">
        <f t="shared" si="0"/>
        <v>75600.432450864901</v>
      </c>
      <c r="I25" s="469"/>
      <c r="J25" s="469"/>
      <c r="K25" s="513">
        <f t="shared" si="4"/>
        <v>700.00400417467495</v>
      </c>
      <c r="L25" s="535">
        <f>'Non BOQ MB'!M46</f>
        <v>700.00400417467495</v>
      </c>
      <c r="M25" s="722">
        <v>1</v>
      </c>
      <c r="N25" s="513">
        <f t="shared" si="1"/>
        <v>0</v>
      </c>
      <c r="O25" s="513">
        <f t="shared" si="5"/>
        <v>75600.432450864901</v>
      </c>
      <c r="P25" s="513">
        <f t="shared" si="2"/>
        <v>75600.432450864901</v>
      </c>
      <c r="Q25" s="745" t="s">
        <v>1020</v>
      </c>
      <c r="R25" s="47">
        <v>108</v>
      </c>
      <c r="S25" s="450">
        <f t="shared" si="6"/>
        <v>75600.432450864901</v>
      </c>
      <c r="T25" s="749" t="s">
        <v>1065</v>
      </c>
    </row>
    <row r="26" spans="1:21" ht="112.5" x14ac:dyDescent="0.25">
      <c r="A26" s="26">
        <v>16</v>
      </c>
      <c r="B26" s="560" t="s">
        <v>791</v>
      </c>
      <c r="C26" s="713" t="s">
        <v>792</v>
      </c>
      <c r="D26" s="16" t="s">
        <v>151</v>
      </c>
      <c r="E26" s="47">
        <v>1</v>
      </c>
      <c r="F26" s="47">
        <v>78000</v>
      </c>
      <c r="G26" s="513">
        <f t="shared" si="3"/>
        <v>78000</v>
      </c>
      <c r="H26" s="740">
        <f t="shared" si="0"/>
        <v>78000</v>
      </c>
      <c r="I26" s="469"/>
      <c r="J26" s="469"/>
      <c r="K26" s="513">
        <f t="shared" si="4"/>
        <v>1</v>
      </c>
      <c r="L26" s="535">
        <f>'Non BOQ MB'!M49</f>
        <v>1</v>
      </c>
      <c r="M26" s="722">
        <v>1</v>
      </c>
      <c r="N26" s="513">
        <f t="shared" si="1"/>
        <v>0</v>
      </c>
      <c r="O26" s="513">
        <f t="shared" si="5"/>
        <v>78000</v>
      </c>
      <c r="P26" s="513">
        <f t="shared" si="2"/>
        <v>78000</v>
      </c>
      <c r="Q26" s="745" t="s">
        <v>1020</v>
      </c>
      <c r="R26" s="47">
        <v>66230</v>
      </c>
      <c r="S26" s="450">
        <f t="shared" si="6"/>
        <v>66230</v>
      </c>
      <c r="T26" s="749" t="s">
        <v>1069</v>
      </c>
      <c r="U26" s="750"/>
    </row>
    <row r="27" spans="1:21" ht="13" x14ac:dyDescent="0.25">
      <c r="A27" s="26">
        <v>17</v>
      </c>
      <c r="B27" s="560" t="s">
        <v>793</v>
      </c>
      <c r="C27" s="713" t="s">
        <v>794</v>
      </c>
      <c r="D27" s="16" t="s">
        <v>398</v>
      </c>
      <c r="E27" s="47">
        <v>1</v>
      </c>
      <c r="F27" s="47">
        <v>22500</v>
      </c>
      <c r="G27" s="513">
        <f t="shared" si="3"/>
        <v>22500</v>
      </c>
      <c r="H27" s="513">
        <f t="shared" si="0"/>
        <v>22500</v>
      </c>
      <c r="I27" s="469"/>
      <c r="J27" s="469"/>
      <c r="K27" s="513">
        <f t="shared" si="4"/>
        <v>1</v>
      </c>
      <c r="L27" s="535">
        <f>'Non BOQ MB'!M50</f>
        <v>1</v>
      </c>
      <c r="M27" s="722">
        <v>1</v>
      </c>
      <c r="N27" s="513">
        <f t="shared" si="1"/>
        <v>0</v>
      </c>
      <c r="O27" s="513">
        <f t="shared" si="5"/>
        <v>22500</v>
      </c>
      <c r="P27" s="513">
        <f t="shared" si="2"/>
        <v>22500</v>
      </c>
      <c r="Q27" s="745" t="s">
        <v>1020</v>
      </c>
      <c r="R27" s="47">
        <v>20345</v>
      </c>
      <c r="S27" s="450">
        <f t="shared" si="6"/>
        <v>20345</v>
      </c>
      <c r="T27" s="478"/>
    </row>
    <row r="28" spans="1:21" ht="39" x14ac:dyDescent="0.25">
      <c r="A28" s="26">
        <v>18</v>
      </c>
      <c r="B28" s="560" t="s">
        <v>976</v>
      </c>
      <c r="C28" s="560" t="s">
        <v>978</v>
      </c>
      <c r="D28" s="16" t="s">
        <v>468</v>
      </c>
      <c r="E28" s="47">
        <v>44.108849999999997</v>
      </c>
      <c r="F28" s="47">
        <v>2588</v>
      </c>
      <c r="G28" s="513">
        <f t="shared" si="3"/>
        <v>114153.70379999999</v>
      </c>
      <c r="H28" s="740">
        <f t="shared" si="0"/>
        <v>114153.70379999999</v>
      </c>
      <c r="I28" s="469"/>
      <c r="J28" s="469"/>
      <c r="K28" s="513">
        <f t="shared" si="4"/>
        <v>44.108849999999997</v>
      </c>
      <c r="L28" s="535">
        <f>'Non BOQ MB'!M57</f>
        <v>44.108849999999997</v>
      </c>
      <c r="M28" s="722">
        <v>1</v>
      </c>
      <c r="N28" s="513">
        <f t="shared" si="1"/>
        <v>0</v>
      </c>
      <c r="O28" s="513">
        <f t="shared" si="5"/>
        <v>114153.70379999999</v>
      </c>
      <c r="P28" s="513">
        <f t="shared" si="2"/>
        <v>114153.70379999999</v>
      </c>
      <c r="Q28" s="745" t="s">
        <v>1020</v>
      </c>
      <c r="R28" s="47">
        <v>1600</v>
      </c>
      <c r="S28" s="450">
        <f t="shared" si="6"/>
        <v>70574.159999999989</v>
      </c>
      <c r="T28" s="478"/>
    </row>
    <row r="29" spans="1:21" ht="24" x14ac:dyDescent="0.25">
      <c r="A29" s="26">
        <v>19</v>
      </c>
      <c r="B29" s="560" t="s">
        <v>979</v>
      </c>
      <c r="C29" s="713" t="s">
        <v>980</v>
      </c>
      <c r="D29" s="16" t="s">
        <v>95</v>
      </c>
      <c r="E29" s="47">
        <v>1</v>
      </c>
      <c r="F29" s="47">
        <v>21300</v>
      </c>
      <c r="G29" s="513">
        <f t="shared" si="3"/>
        <v>21300</v>
      </c>
      <c r="H29" s="513">
        <f t="shared" si="0"/>
        <v>21300</v>
      </c>
      <c r="I29" s="469"/>
      <c r="J29" s="469"/>
      <c r="K29" s="513">
        <f t="shared" si="4"/>
        <v>1</v>
      </c>
      <c r="L29" s="535">
        <f>'Non BOQ MB'!M59</f>
        <v>1</v>
      </c>
      <c r="M29" s="722">
        <v>1</v>
      </c>
      <c r="N29" s="513">
        <f t="shared" si="1"/>
        <v>0</v>
      </c>
      <c r="O29" s="513">
        <f t="shared" si="5"/>
        <v>21300</v>
      </c>
      <c r="P29" s="513">
        <f t="shared" si="2"/>
        <v>21300</v>
      </c>
      <c r="Q29" s="745" t="s">
        <v>1020</v>
      </c>
      <c r="R29" s="47">
        <v>21300</v>
      </c>
      <c r="S29" s="450">
        <f t="shared" si="6"/>
        <v>21300</v>
      </c>
      <c r="T29" s="478"/>
    </row>
    <row r="30" spans="1:21" ht="24" x14ac:dyDescent="0.25">
      <c r="A30" s="26">
        <v>20</v>
      </c>
      <c r="B30" s="560" t="s">
        <v>981</v>
      </c>
      <c r="C30" s="713" t="s">
        <v>982</v>
      </c>
      <c r="D30" s="16" t="s">
        <v>95</v>
      </c>
      <c r="E30" s="47">
        <v>1</v>
      </c>
      <c r="F30" s="47">
        <v>18700</v>
      </c>
      <c r="G30" s="513">
        <f t="shared" si="3"/>
        <v>18700</v>
      </c>
      <c r="H30" s="513">
        <f t="shared" si="0"/>
        <v>18700</v>
      </c>
      <c r="I30" s="469"/>
      <c r="J30" s="469"/>
      <c r="K30" s="513">
        <f t="shared" si="4"/>
        <v>1</v>
      </c>
      <c r="L30" s="535">
        <f>'Non BOQ MB'!M60</f>
        <v>1</v>
      </c>
      <c r="M30" s="722">
        <v>1</v>
      </c>
      <c r="N30" s="513">
        <f t="shared" si="1"/>
        <v>0</v>
      </c>
      <c r="O30" s="513">
        <f t="shared" si="5"/>
        <v>18700</v>
      </c>
      <c r="P30" s="513">
        <f t="shared" si="2"/>
        <v>18700</v>
      </c>
      <c r="Q30" s="745" t="s">
        <v>1020</v>
      </c>
      <c r="R30" s="47">
        <v>18700</v>
      </c>
      <c r="S30" s="450">
        <f t="shared" si="6"/>
        <v>18700</v>
      </c>
      <c r="T30" s="478"/>
    </row>
    <row r="31" spans="1:21" ht="25" x14ac:dyDescent="0.25">
      <c r="A31" s="26">
        <v>21</v>
      </c>
      <c r="B31" s="560" t="s">
        <v>984</v>
      </c>
      <c r="C31" s="713" t="s">
        <v>1050</v>
      </c>
      <c r="D31" s="16" t="s">
        <v>95</v>
      </c>
      <c r="E31" s="47">
        <v>1</v>
      </c>
      <c r="F31" s="47">
        <v>62000</v>
      </c>
      <c r="G31" s="513">
        <f t="shared" si="3"/>
        <v>62000</v>
      </c>
      <c r="H31" s="740">
        <f t="shared" si="0"/>
        <v>62000</v>
      </c>
      <c r="I31" s="469"/>
      <c r="J31" s="469"/>
      <c r="K31" s="513">
        <f t="shared" si="4"/>
        <v>1</v>
      </c>
      <c r="L31" s="535">
        <f>'Non BOQ MB'!M61</f>
        <v>1</v>
      </c>
      <c r="M31" s="722">
        <v>1</v>
      </c>
      <c r="N31" s="513">
        <f t="shared" si="1"/>
        <v>0</v>
      </c>
      <c r="O31" s="513">
        <f t="shared" si="5"/>
        <v>62000</v>
      </c>
      <c r="P31" s="513">
        <f t="shared" si="2"/>
        <v>62000</v>
      </c>
      <c r="Q31" s="745" t="s">
        <v>1020</v>
      </c>
      <c r="R31" s="47">
        <v>62000</v>
      </c>
      <c r="S31" s="450">
        <f t="shared" si="6"/>
        <v>62000</v>
      </c>
      <c r="T31" s="749" t="s">
        <v>1066</v>
      </c>
    </row>
    <row r="32" spans="1:21" ht="24" x14ac:dyDescent="0.25">
      <c r="A32" s="26">
        <v>22</v>
      </c>
      <c r="B32" s="560" t="s">
        <v>1013</v>
      </c>
      <c r="C32" s="713" t="s">
        <v>1014</v>
      </c>
      <c r="D32" s="16" t="s">
        <v>1015</v>
      </c>
      <c r="E32" s="47">
        <v>0</v>
      </c>
      <c r="F32" s="47">
        <v>85000</v>
      </c>
      <c r="G32" s="513">
        <f t="shared" si="3"/>
        <v>0</v>
      </c>
      <c r="H32" s="513">
        <f t="shared" si="0"/>
        <v>0</v>
      </c>
      <c r="I32" s="469"/>
      <c r="J32" s="469"/>
      <c r="K32" s="513">
        <f t="shared" si="4"/>
        <v>0</v>
      </c>
      <c r="L32" s="535"/>
      <c r="M32" s="722"/>
      <c r="N32" s="513">
        <f t="shared" si="1"/>
        <v>0</v>
      </c>
      <c r="O32" s="513"/>
      <c r="P32" s="513"/>
      <c r="Q32" s="745"/>
      <c r="R32" s="47">
        <v>85000</v>
      </c>
      <c r="S32" s="450">
        <f t="shared" si="6"/>
        <v>0</v>
      </c>
      <c r="T32" s="478"/>
    </row>
    <row r="33" spans="1:20" ht="13" x14ac:dyDescent="0.25">
      <c r="A33" s="26">
        <v>23</v>
      </c>
      <c r="B33" s="560" t="s">
        <v>985</v>
      </c>
      <c r="C33" s="713"/>
      <c r="D33" s="16"/>
      <c r="E33" s="47">
        <v>0</v>
      </c>
      <c r="F33" s="47"/>
      <c r="G33" s="513">
        <f t="shared" si="3"/>
        <v>0</v>
      </c>
      <c r="H33" s="513">
        <f t="shared" si="0"/>
        <v>0</v>
      </c>
      <c r="I33" s="469"/>
      <c r="J33" s="469"/>
      <c r="K33" s="513">
        <f t="shared" si="4"/>
        <v>0</v>
      </c>
      <c r="L33" s="535">
        <f>'Non BOQ MB'!M63</f>
        <v>0</v>
      </c>
      <c r="M33" s="722">
        <v>1</v>
      </c>
      <c r="N33" s="513">
        <f t="shared" si="1"/>
        <v>0</v>
      </c>
      <c r="O33" s="513">
        <f t="shared" si="5"/>
        <v>0</v>
      </c>
      <c r="P33" s="513">
        <f>F33*L33*M33</f>
        <v>0</v>
      </c>
      <c r="Q33" s="745"/>
      <c r="R33" s="47"/>
      <c r="S33" s="450">
        <f t="shared" si="6"/>
        <v>0</v>
      </c>
      <c r="T33" s="478"/>
    </row>
    <row r="34" spans="1:20" ht="26" x14ac:dyDescent="0.25">
      <c r="A34" s="26" t="s">
        <v>1</v>
      </c>
      <c r="B34" s="560" t="s">
        <v>986</v>
      </c>
      <c r="C34" s="560" t="s">
        <v>987</v>
      </c>
      <c r="D34" s="16" t="s">
        <v>907</v>
      </c>
      <c r="E34" s="47">
        <v>120</v>
      </c>
      <c r="F34" s="47">
        <v>165</v>
      </c>
      <c r="G34" s="513">
        <f t="shared" si="3"/>
        <v>19800</v>
      </c>
      <c r="H34" s="513">
        <f t="shared" si="0"/>
        <v>19800</v>
      </c>
      <c r="I34" s="469"/>
      <c r="J34" s="469"/>
      <c r="K34" s="513">
        <f t="shared" si="4"/>
        <v>120</v>
      </c>
      <c r="L34" s="535">
        <f>'Non BOQ MB'!M64</f>
        <v>120</v>
      </c>
      <c r="M34" s="722">
        <v>1</v>
      </c>
      <c r="N34" s="513">
        <f t="shared" si="1"/>
        <v>0</v>
      </c>
      <c r="O34" s="513" t="s">
        <v>1025</v>
      </c>
      <c r="P34" s="513" t="s">
        <v>1025</v>
      </c>
      <c r="Q34" s="745" t="s">
        <v>1024</v>
      </c>
      <c r="R34" s="47">
        <v>165</v>
      </c>
      <c r="S34" s="450">
        <f t="shared" si="6"/>
        <v>19800</v>
      </c>
      <c r="T34" s="843" t="s">
        <v>1061</v>
      </c>
    </row>
    <row r="35" spans="1:20" ht="26" x14ac:dyDescent="0.25">
      <c r="A35" s="26" t="s">
        <v>2</v>
      </c>
      <c r="B35" s="560" t="s">
        <v>989</v>
      </c>
      <c r="C35" s="560" t="s">
        <v>988</v>
      </c>
      <c r="D35" s="16" t="s">
        <v>907</v>
      </c>
      <c r="E35" s="47">
        <v>52</v>
      </c>
      <c r="F35" s="47">
        <v>123</v>
      </c>
      <c r="G35" s="513">
        <f t="shared" si="3"/>
        <v>6396</v>
      </c>
      <c r="H35" s="513">
        <f t="shared" si="0"/>
        <v>6396</v>
      </c>
      <c r="I35" s="469"/>
      <c r="J35" s="469"/>
      <c r="K35" s="513">
        <f t="shared" si="4"/>
        <v>52</v>
      </c>
      <c r="L35" s="535">
        <f>'Non BOQ MB'!M65</f>
        <v>52</v>
      </c>
      <c r="M35" s="722">
        <v>1</v>
      </c>
      <c r="N35" s="513">
        <f t="shared" si="1"/>
        <v>0</v>
      </c>
      <c r="O35" s="513" t="s">
        <v>1025</v>
      </c>
      <c r="P35" s="513" t="s">
        <v>1025</v>
      </c>
      <c r="Q35" s="745" t="s">
        <v>1024</v>
      </c>
      <c r="R35" s="47">
        <v>123</v>
      </c>
      <c r="S35" s="450">
        <f t="shared" si="6"/>
        <v>6396</v>
      </c>
      <c r="T35" s="844"/>
    </row>
    <row r="36" spans="1:20" ht="26" x14ac:dyDescent="0.25">
      <c r="A36" s="26" t="s">
        <v>3</v>
      </c>
      <c r="B36" s="560" t="s">
        <v>996</v>
      </c>
      <c r="C36" s="560" t="s">
        <v>997</v>
      </c>
      <c r="D36" s="16" t="s">
        <v>907</v>
      </c>
      <c r="E36" s="47">
        <v>46</v>
      </c>
      <c r="F36" s="47">
        <v>135</v>
      </c>
      <c r="G36" s="513">
        <f t="shared" si="3"/>
        <v>6210</v>
      </c>
      <c r="H36" s="513">
        <f t="shared" si="0"/>
        <v>6210</v>
      </c>
      <c r="I36" s="469"/>
      <c r="J36" s="469"/>
      <c r="K36" s="513">
        <f t="shared" si="4"/>
        <v>46</v>
      </c>
      <c r="L36" s="535">
        <f>'Non BOQ MB'!M66</f>
        <v>46</v>
      </c>
      <c r="M36" s="722">
        <v>1</v>
      </c>
      <c r="N36" s="513">
        <f t="shared" si="1"/>
        <v>0</v>
      </c>
      <c r="O36" s="513" t="s">
        <v>1025</v>
      </c>
      <c r="P36" s="513" t="s">
        <v>1025</v>
      </c>
      <c r="Q36" s="745" t="s">
        <v>1024</v>
      </c>
      <c r="R36" s="47">
        <v>135</v>
      </c>
      <c r="S36" s="450">
        <f t="shared" si="6"/>
        <v>6210</v>
      </c>
      <c r="T36" s="844"/>
    </row>
    <row r="37" spans="1:20" ht="26" x14ac:dyDescent="0.25">
      <c r="A37" s="26" t="s">
        <v>4</v>
      </c>
      <c r="B37" s="560" t="s">
        <v>998</v>
      </c>
      <c r="C37" s="560" t="s">
        <v>999</v>
      </c>
      <c r="D37" s="16" t="s">
        <v>907</v>
      </c>
      <c r="E37" s="47">
        <v>40</v>
      </c>
      <c r="F37" s="47">
        <v>131</v>
      </c>
      <c r="G37" s="513">
        <f t="shared" si="3"/>
        <v>5240</v>
      </c>
      <c r="H37" s="513">
        <f t="shared" si="0"/>
        <v>5240</v>
      </c>
      <c r="I37" s="469"/>
      <c r="J37" s="469"/>
      <c r="K37" s="513">
        <f t="shared" si="4"/>
        <v>40</v>
      </c>
      <c r="L37" s="535">
        <f>'Non BOQ MB'!M67</f>
        <v>40</v>
      </c>
      <c r="M37" s="722">
        <v>1</v>
      </c>
      <c r="N37" s="513">
        <f t="shared" si="1"/>
        <v>0</v>
      </c>
      <c r="O37" s="513" t="s">
        <v>1025</v>
      </c>
      <c r="P37" s="513" t="s">
        <v>1025</v>
      </c>
      <c r="Q37" s="745" t="s">
        <v>1024</v>
      </c>
      <c r="R37" s="47">
        <v>131</v>
      </c>
      <c r="S37" s="450">
        <f t="shared" si="6"/>
        <v>5240</v>
      </c>
      <c r="T37" s="845"/>
    </row>
    <row r="38" spans="1:20" ht="24" x14ac:dyDescent="0.25">
      <c r="A38" s="26">
        <v>24</v>
      </c>
      <c r="B38" s="560" t="s">
        <v>990</v>
      </c>
      <c r="C38" s="713" t="s">
        <v>991</v>
      </c>
      <c r="D38" s="16"/>
      <c r="E38" s="47">
        <v>0</v>
      </c>
      <c r="F38" s="47"/>
      <c r="G38" s="513">
        <f t="shared" si="3"/>
        <v>0</v>
      </c>
      <c r="H38" s="513">
        <f t="shared" si="0"/>
        <v>0</v>
      </c>
      <c r="I38" s="469"/>
      <c r="J38" s="469"/>
      <c r="K38" s="513">
        <f t="shared" si="4"/>
        <v>0</v>
      </c>
      <c r="L38" s="535">
        <f>'Non BOQ MB'!M68</f>
        <v>0</v>
      </c>
      <c r="M38" s="722"/>
      <c r="N38" s="513">
        <f t="shared" si="1"/>
        <v>0</v>
      </c>
      <c r="O38" s="513">
        <f t="shared" si="5"/>
        <v>0</v>
      </c>
      <c r="P38" s="513">
        <f>F38*L38*M38</f>
        <v>0</v>
      </c>
      <c r="Q38" s="745"/>
      <c r="R38" s="47"/>
      <c r="S38" s="450">
        <f t="shared" si="6"/>
        <v>0</v>
      </c>
      <c r="T38" s="478"/>
    </row>
    <row r="39" spans="1:20" ht="13" x14ac:dyDescent="0.25">
      <c r="A39" s="26" t="s">
        <v>1</v>
      </c>
      <c r="B39" s="560" t="s">
        <v>992</v>
      </c>
      <c r="C39" s="560" t="s">
        <v>994</v>
      </c>
      <c r="D39" s="16" t="s">
        <v>111</v>
      </c>
      <c r="E39" s="47">
        <v>3</v>
      </c>
      <c r="F39" s="47">
        <v>2967.5</v>
      </c>
      <c r="G39" s="513">
        <f t="shared" si="3"/>
        <v>8902.5</v>
      </c>
      <c r="H39" s="740">
        <f t="shared" si="0"/>
        <v>8902.5</v>
      </c>
      <c r="I39" s="469"/>
      <c r="J39" s="469"/>
      <c r="K39" s="513">
        <f t="shared" si="4"/>
        <v>3</v>
      </c>
      <c r="L39" s="535">
        <f>'Non BOQ MB'!M69</f>
        <v>3</v>
      </c>
      <c r="M39" s="722">
        <v>1</v>
      </c>
      <c r="N39" s="513">
        <f t="shared" si="1"/>
        <v>0</v>
      </c>
      <c r="O39" s="513">
        <f t="shared" si="5"/>
        <v>8902.5</v>
      </c>
      <c r="P39" s="513">
        <f>F39*L39*M39</f>
        <v>8902.5</v>
      </c>
      <c r="Q39" s="745" t="s">
        <v>1020</v>
      </c>
      <c r="R39" s="47">
        <v>1450</v>
      </c>
      <c r="S39" s="450">
        <f t="shared" si="6"/>
        <v>4350</v>
      </c>
      <c r="T39" s="478"/>
    </row>
    <row r="40" spans="1:20" ht="26" x14ac:dyDescent="0.25">
      <c r="A40" s="26" t="s">
        <v>3</v>
      </c>
      <c r="B40" s="560" t="s">
        <v>993</v>
      </c>
      <c r="C40" s="560" t="s">
        <v>1051</v>
      </c>
      <c r="D40" s="16" t="s">
        <v>111</v>
      </c>
      <c r="E40" s="47">
        <v>4</v>
      </c>
      <c r="F40" s="47">
        <v>3030</v>
      </c>
      <c r="G40" s="513">
        <f t="shared" si="3"/>
        <v>12120</v>
      </c>
      <c r="H40" s="740">
        <f t="shared" si="0"/>
        <v>12120</v>
      </c>
      <c r="I40" s="469"/>
      <c r="J40" s="469"/>
      <c r="K40" s="513">
        <f t="shared" si="4"/>
        <v>4</v>
      </c>
      <c r="L40" s="535">
        <f>'Non BOQ MB'!M70</f>
        <v>4</v>
      </c>
      <c r="M40" s="722">
        <v>1</v>
      </c>
      <c r="N40" s="513">
        <f t="shared" si="1"/>
        <v>0</v>
      </c>
      <c r="O40" s="513">
        <f t="shared" si="5"/>
        <v>12120</v>
      </c>
      <c r="P40" s="513">
        <f>F40*L40*M40</f>
        <v>12120</v>
      </c>
      <c r="Q40" s="745" t="s">
        <v>1020</v>
      </c>
      <c r="R40" s="47">
        <v>2312</v>
      </c>
      <c r="S40" s="450">
        <f t="shared" si="6"/>
        <v>9248</v>
      </c>
      <c r="T40" s="478"/>
    </row>
    <row r="41" spans="1:20" ht="26" x14ac:dyDescent="0.25">
      <c r="A41" s="26">
        <v>25</v>
      </c>
      <c r="B41" s="560" t="s">
        <v>1000</v>
      </c>
      <c r="C41" s="560" t="s">
        <v>1001</v>
      </c>
      <c r="D41" s="16" t="s">
        <v>111</v>
      </c>
      <c r="E41" s="47">
        <v>1</v>
      </c>
      <c r="F41" s="47">
        <v>2100</v>
      </c>
      <c r="G41" s="513">
        <f t="shared" si="3"/>
        <v>2100</v>
      </c>
      <c r="H41" s="741">
        <f t="shared" si="0"/>
        <v>2100</v>
      </c>
      <c r="I41" s="469"/>
      <c r="J41" s="469"/>
      <c r="K41" s="513">
        <f t="shared" si="4"/>
        <v>1</v>
      </c>
      <c r="L41" s="535">
        <f>'Non BOQ MB'!M71</f>
        <v>1</v>
      </c>
      <c r="M41" s="722">
        <v>1</v>
      </c>
      <c r="N41" s="513">
        <f t="shared" si="1"/>
        <v>0</v>
      </c>
      <c r="O41" s="513" t="s">
        <v>1025</v>
      </c>
      <c r="P41" s="513" t="s">
        <v>1025</v>
      </c>
      <c r="Q41" s="745" t="s">
        <v>1026</v>
      </c>
      <c r="R41" s="47">
        <v>0</v>
      </c>
      <c r="S41" s="450">
        <f t="shared" si="6"/>
        <v>0</v>
      </c>
      <c r="T41" s="478"/>
    </row>
    <row r="42" spans="1:20" ht="100" x14ac:dyDescent="0.25">
      <c r="A42" s="517">
        <v>26</v>
      </c>
      <c r="B42" s="714" t="s">
        <v>1002</v>
      </c>
      <c r="C42" s="714" t="s">
        <v>1002</v>
      </c>
      <c r="D42" s="471" t="s">
        <v>111</v>
      </c>
      <c r="E42" s="47">
        <v>1</v>
      </c>
      <c r="F42" s="47">
        <v>15000</v>
      </c>
      <c r="G42" s="513">
        <f t="shared" si="3"/>
        <v>15000</v>
      </c>
      <c r="H42" s="741">
        <f t="shared" si="0"/>
        <v>15000</v>
      </c>
      <c r="I42" s="469"/>
      <c r="J42" s="469"/>
      <c r="K42" s="513">
        <f t="shared" si="4"/>
        <v>1</v>
      </c>
      <c r="L42" s="535">
        <f>'Non BOQ MB'!M72</f>
        <v>1</v>
      </c>
      <c r="M42" s="722">
        <v>1</v>
      </c>
      <c r="N42" s="513">
        <f t="shared" si="1"/>
        <v>0</v>
      </c>
      <c r="O42" s="513" t="s">
        <v>1025</v>
      </c>
      <c r="P42" s="513" t="s">
        <v>1025</v>
      </c>
      <c r="Q42" s="745" t="s">
        <v>1026</v>
      </c>
      <c r="R42" s="47">
        <v>12000</v>
      </c>
      <c r="S42" s="450">
        <f t="shared" si="6"/>
        <v>12000</v>
      </c>
      <c r="T42" s="749" t="s">
        <v>1062</v>
      </c>
    </row>
    <row r="43" spans="1:20" ht="13" x14ac:dyDescent="0.25">
      <c r="A43" s="26">
        <v>27</v>
      </c>
      <c r="B43" s="719" t="s">
        <v>870</v>
      </c>
      <c r="C43" s="718" t="s">
        <v>870</v>
      </c>
      <c r="D43" s="471" t="s">
        <v>111</v>
      </c>
      <c r="E43" s="47">
        <v>6</v>
      </c>
      <c r="F43" s="47">
        <v>2100</v>
      </c>
      <c r="G43" s="513">
        <f t="shared" si="3"/>
        <v>12600</v>
      </c>
      <c r="H43" s="513">
        <f t="shared" si="0"/>
        <v>12600</v>
      </c>
      <c r="I43" s="469"/>
      <c r="J43" s="469"/>
      <c r="K43" s="513">
        <v>0</v>
      </c>
      <c r="L43" s="535">
        <v>0</v>
      </c>
      <c r="M43" s="722">
        <v>1</v>
      </c>
      <c r="N43" s="513">
        <f t="shared" si="1"/>
        <v>0</v>
      </c>
      <c r="O43" s="513">
        <f t="shared" si="5"/>
        <v>0</v>
      </c>
      <c r="P43" s="513">
        <f>F43*L43*M43</f>
        <v>0</v>
      </c>
      <c r="Q43" s="745" t="s">
        <v>1020</v>
      </c>
      <c r="R43" s="47">
        <v>2100</v>
      </c>
      <c r="S43" s="450">
        <f t="shared" si="6"/>
        <v>0</v>
      </c>
      <c r="T43" s="478"/>
    </row>
    <row r="44" spans="1:20" ht="87.5" x14ac:dyDescent="0.25">
      <c r="A44" s="517">
        <v>28</v>
      </c>
      <c r="B44" s="719" t="s">
        <v>871</v>
      </c>
      <c r="C44" s="719" t="s">
        <v>871</v>
      </c>
      <c r="D44" s="471" t="s">
        <v>111</v>
      </c>
      <c r="E44" s="47">
        <v>1</v>
      </c>
      <c r="F44" s="47">
        <v>25000</v>
      </c>
      <c r="G44" s="513">
        <f t="shared" si="3"/>
        <v>25000</v>
      </c>
      <c r="H44" s="513">
        <f t="shared" si="0"/>
        <v>25000</v>
      </c>
      <c r="I44" s="469"/>
      <c r="J44" s="469"/>
      <c r="K44" s="513">
        <f t="shared" si="4"/>
        <v>1</v>
      </c>
      <c r="L44" s="535">
        <f>'Non BOQ MB'!M74</f>
        <v>1</v>
      </c>
      <c r="M44" s="722">
        <v>1</v>
      </c>
      <c r="N44" s="513">
        <f t="shared" si="1"/>
        <v>0</v>
      </c>
      <c r="O44" s="513" t="s">
        <v>1025</v>
      </c>
      <c r="P44" s="513" t="s">
        <v>1025</v>
      </c>
      <c r="Q44" s="745" t="s">
        <v>1026</v>
      </c>
      <c r="R44" s="47">
        <v>20000</v>
      </c>
      <c r="S44" s="450">
        <f t="shared" si="6"/>
        <v>20000</v>
      </c>
      <c r="T44" s="749" t="s">
        <v>1063</v>
      </c>
    </row>
    <row r="45" spans="1:20" ht="169.5" customHeight="1" x14ac:dyDescent="0.25">
      <c r="A45" s="26">
        <v>29</v>
      </c>
      <c r="B45" s="719" t="s">
        <v>1006</v>
      </c>
      <c r="C45" s="719" t="s">
        <v>1064</v>
      </c>
      <c r="D45" s="471" t="s">
        <v>111</v>
      </c>
      <c r="E45" s="47">
        <v>32</v>
      </c>
      <c r="F45" s="47">
        <v>3350</v>
      </c>
      <c r="G45" s="513">
        <f t="shared" si="3"/>
        <v>107200</v>
      </c>
      <c r="H45" s="740">
        <f t="shared" si="0"/>
        <v>107200</v>
      </c>
      <c r="I45" s="469"/>
      <c r="J45" s="469"/>
      <c r="K45" s="513">
        <f t="shared" si="4"/>
        <v>32</v>
      </c>
      <c r="L45" s="535">
        <f>'Non BOQ MB'!M75</f>
        <v>32</v>
      </c>
      <c r="M45" s="722">
        <v>1</v>
      </c>
      <c r="N45" s="513">
        <f t="shared" si="1"/>
        <v>0</v>
      </c>
      <c r="O45" s="513">
        <f t="shared" ref="O45" si="8">P45-N45</f>
        <v>107200</v>
      </c>
      <c r="P45" s="513">
        <f t="shared" ref="P45:P54" si="9">F45*L45*M45</f>
        <v>107200</v>
      </c>
      <c r="Q45" s="745" t="s">
        <v>1020</v>
      </c>
      <c r="R45" s="47">
        <v>3023</v>
      </c>
      <c r="S45" s="450">
        <f t="shared" si="6"/>
        <v>96736</v>
      </c>
      <c r="T45" s="719" t="s">
        <v>1064</v>
      </c>
    </row>
    <row r="46" spans="1:20" ht="25" x14ac:dyDescent="0.25">
      <c r="A46" s="517">
        <v>30</v>
      </c>
      <c r="B46" s="719" t="s">
        <v>1007</v>
      </c>
      <c r="C46" s="718" t="s">
        <v>1003</v>
      </c>
      <c r="D46" s="471" t="s">
        <v>111</v>
      </c>
      <c r="E46" s="47">
        <v>2</v>
      </c>
      <c r="F46" s="47">
        <v>7500</v>
      </c>
      <c r="G46" s="513">
        <f t="shared" si="3"/>
        <v>15000</v>
      </c>
      <c r="H46" s="513">
        <f t="shared" si="0"/>
        <v>15000</v>
      </c>
      <c r="I46" s="469"/>
      <c r="J46" s="469"/>
      <c r="K46" s="513">
        <f t="shared" si="4"/>
        <v>2</v>
      </c>
      <c r="L46" s="535">
        <f>'Non BOQ MB'!M76</f>
        <v>2</v>
      </c>
      <c r="M46" s="722">
        <v>1</v>
      </c>
      <c r="N46" s="513">
        <f t="shared" si="1"/>
        <v>0</v>
      </c>
      <c r="O46" s="513">
        <f t="shared" si="5"/>
        <v>15000</v>
      </c>
      <c r="P46" s="513">
        <f t="shared" si="9"/>
        <v>15000</v>
      </c>
      <c r="Q46" s="745" t="s">
        <v>1020</v>
      </c>
      <c r="R46" s="47">
        <v>7500</v>
      </c>
      <c r="S46" s="450">
        <f t="shared" si="6"/>
        <v>15000</v>
      </c>
      <c r="T46" s="478"/>
    </row>
    <row r="47" spans="1:20" ht="37.5" x14ac:dyDescent="0.25">
      <c r="A47" s="517">
        <v>31</v>
      </c>
      <c r="B47" s="719" t="s">
        <v>1008</v>
      </c>
      <c r="C47" s="718" t="s">
        <v>1004</v>
      </c>
      <c r="D47" s="471" t="s">
        <v>111</v>
      </c>
      <c r="E47" s="469">
        <v>4</v>
      </c>
      <c r="F47" s="469">
        <v>3800</v>
      </c>
      <c r="G47" s="513">
        <f t="shared" si="3"/>
        <v>15200</v>
      </c>
      <c r="H47" s="513">
        <f t="shared" si="0"/>
        <v>15200</v>
      </c>
      <c r="I47" s="469"/>
      <c r="J47" s="469"/>
      <c r="K47" s="513">
        <f t="shared" si="4"/>
        <v>4</v>
      </c>
      <c r="L47" s="535">
        <f>'Non BOQ MB'!M77</f>
        <v>4</v>
      </c>
      <c r="M47" s="722">
        <v>1</v>
      </c>
      <c r="N47" s="513">
        <f t="shared" si="1"/>
        <v>0</v>
      </c>
      <c r="O47" s="513">
        <f t="shared" si="5"/>
        <v>15200</v>
      </c>
      <c r="P47" s="513">
        <f t="shared" si="9"/>
        <v>15200</v>
      </c>
      <c r="Q47" s="745" t="s">
        <v>1020</v>
      </c>
      <c r="R47" s="469">
        <v>3800</v>
      </c>
      <c r="S47" s="450">
        <f t="shared" si="6"/>
        <v>15200</v>
      </c>
      <c r="T47" s="478"/>
    </row>
    <row r="48" spans="1:20" ht="37.5" x14ac:dyDescent="0.25">
      <c r="A48" s="517">
        <v>32</v>
      </c>
      <c r="B48" s="714" t="s">
        <v>1005</v>
      </c>
      <c r="C48" s="714" t="s">
        <v>1005</v>
      </c>
      <c r="D48" s="471" t="s">
        <v>111</v>
      </c>
      <c r="E48" s="469">
        <v>0</v>
      </c>
      <c r="F48" s="469"/>
      <c r="G48" s="513">
        <f t="shared" si="3"/>
        <v>0</v>
      </c>
      <c r="H48" s="513">
        <f t="shared" si="0"/>
        <v>0</v>
      </c>
      <c r="I48" s="469"/>
      <c r="J48" s="469"/>
      <c r="K48" s="513">
        <f t="shared" si="4"/>
        <v>0</v>
      </c>
      <c r="L48" s="535">
        <f>'Non BOQ MB'!M78</f>
        <v>0</v>
      </c>
      <c r="M48" s="722"/>
      <c r="N48" s="513">
        <f t="shared" si="1"/>
        <v>0</v>
      </c>
      <c r="O48" s="513">
        <f t="shared" si="5"/>
        <v>0</v>
      </c>
      <c r="P48" s="513">
        <f t="shared" si="9"/>
        <v>0</v>
      </c>
      <c r="Q48" s="745"/>
      <c r="R48" s="469"/>
      <c r="S48" s="450">
        <f t="shared" si="6"/>
        <v>0</v>
      </c>
      <c r="T48" s="478"/>
    </row>
    <row r="49" spans="1:20" ht="13" x14ac:dyDescent="0.25">
      <c r="A49" s="517" t="s">
        <v>1</v>
      </c>
      <c r="B49" s="714" t="s">
        <v>1009</v>
      </c>
      <c r="C49" s="714" t="s">
        <v>1009</v>
      </c>
      <c r="D49" s="471" t="s">
        <v>111</v>
      </c>
      <c r="E49" s="469">
        <v>3</v>
      </c>
      <c r="F49" s="469">
        <v>2522.0333333333333</v>
      </c>
      <c r="G49" s="513">
        <f t="shared" si="3"/>
        <v>7566.1</v>
      </c>
      <c r="H49" s="513">
        <f t="shared" si="0"/>
        <v>7566.1</v>
      </c>
      <c r="I49" s="469"/>
      <c r="J49" s="469"/>
      <c r="K49" s="513">
        <f t="shared" si="4"/>
        <v>3</v>
      </c>
      <c r="L49" s="535">
        <f>'Non BOQ MB'!M79</f>
        <v>3</v>
      </c>
      <c r="M49" s="722">
        <v>1</v>
      </c>
      <c r="N49" s="513">
        <f t="shared" si="1"/>
        <v>0</v>
      </c>
      <c r="O49" s="513">
        <f t="shared" si="5"/>
        <v>7566.1</v>
      </c>
      <c r="P49" s="513">
        <f t="shared" si="9"/>
        <v>7566.1</v>
      </c>
      <c r="Q49" s="745" t="s">
        <v>1020</v>
      </c>
      <c r="R49" s="469">
        <v>2522.0333333333333</v>
      </c>
      <c r="S49" s="450">
        <f t="shared" si="6"/>
        <v>7566.1</v>
      </c>
      <c r="T49" s="478"/>
    </row>
    <row r="50" spans="1:20" ht="13" x14ac:dyDescent="0.25">
      <c r="A50" s="517" t="s">
        <v>2</v>
      </c>
      <c r="B50" s="714" t="s">
        <v>1010</v>
      </c>
      <c r="C50" s="714" t="s">
        <v>1010</v>
      </c>
      <c r="D50" s="471" t="s">
        <v>111</v>
      </c>
      <c r="E50" s="469">
        <v>1</v>
      </c>
      <c r="F50" s="469">
        <v>2862.2999999999997</v>
      </c>
      <c r="G50" s="513">
        <f t="shared" si="3"/>
        <v>2862.2999999999997</v>
      </c>
      <c r="H50" s="513">
        <f t="shared" si="0"/>
        <v>2862.2999999999997</v>
      </c>
      <c r="I50" s="469"/>
      <c r="J50" s="469"/>
      <c r="K50" s="513">
        <f t="shared" si="4"/>
        <v>1</v>
      </c>
      <c r="L50" s="535">
        <f>'Non BOQ MB'!M80</f>
        <v>1</v>
      </c>
      <c r="M50" s="722">
        <v>1</v>
      </c>
      <c r="N50" s="513">
        <f t="shared" si="1"/>
        <v>0</v>
      </c>
      <c r="O50" s="513">
        <f t="shared" si="5"/>
        <v>2862.2999999999997</v>
      </c>
      <c r="P50" s="513">
        <f t="shared" si="9"/>
        <v>2862.2999999999997</v>
      </c>
      <c r="Q50" s="745" t="s">
        <v>1020</v>
      </c>
      <c r="R50" s="469">
        <v>2862.2999999999997</v>
      </c>
      <c r="S50" s="450">
        <f t="shared" si="6"/>
        <v>2862.2999999999997</v>
      </c>
      <c r="T50" s="478"/>
    </row>
    <row r="51" spans="1:20" ht="13" x14ac:dyDescent="0.25">
      <c r="A51" s="517" t="s">
        <v>3</v>
      </c>
      <c r="B51" s="714" t="s">
        <v>1011</v>
      </c>
      <c r="C51" s="714" t="s">
        <v>1011</v>
      </c>
      <c r="D51" s="471" t="s">
        <v>111</v>
      </c>
      <c r="E51" s="469">
        <v>1</v>
      </c>
      <c r="F51" s="469">
        <v>3127.65</v>
      </c>
      <c r="G51" s="513">
        <f t="shared" si="3"/>
        <v>3127.65</v>
      </c>
      <c r="H51" s="513">
        <f t="shared" si="0"/>
        <v>3127.65</v>
      </c>
      <c r="I51" s="469"/>
      <c r="J51" s="469"/>
      <c r="K51" s="513">
        <f t="shared" si="4"/>
        <v>1</v>
      </c>
      <c r="L51" s="535">
        <f>'Non BOQ MB'!M81</f>
        <v>1</v>
      </c>
      <c r="M51" s="722">
        <v>1</v>
      </c>
      <c r="N51" s="513">
        <f t="shared" si="1"/>
        <v>0</v>
      </c>
      <c r="O51" s="513">
        <f t="shared" si="5"/>
        <v>3127.65</v>
      </c>
      <c r="P51" s="513">
        <f t="shared" si="9"/>
        <v>3127.65</v>
      </c>
      <c r="Q51" s="745" t="s">
        <v>1020</v>
      </c>
      <c r="R51" s="469">
        <v>3127.65</v>
      </c>
      <c r="S51" s="450">
        <f t="shared" si="6"/>
        <v>3127.65</v>
      </c>
      <c r="T51" s="478"/>
    </row>
    <row r="52" spans="1:20" ht="13" x14ac:dyDescent="0.25">
      <c r="A52" s="517" t="s">
        <v>4</v>
      </c>
      <c r="B52" s="714" t="s">
        <v>1012</v>
      </c>
      <c r="C52" s="714" t="s">
        <v>1012</v>
      </c>
      <c r="D52" s="471" t="s">
        <v>111</v>
      </c>
      <c r="E52" s="469">
        <v>1</v>
      </c>
      <c r="F52" s="469">
        <v>1776.25</v>
      </c>
      <c r="G52" s="513">
        <f t="shared" si="3"/>
        <v>1776.25</v>
      </c>
      <c r="H52" s="513">
        <f t="shared" si="0"/>
        <v>1776.25</v>
      </c>
      <c r="I52" s="469"/>
      <c r="J52" s="469"/>
      <c r="K52" s="513">
        <f t="shared" si="4"/>
        <v>1</v>
      </c>
      <c r="L52" s="535">
        <f>'Non BOQ MB'!M82</f>
        <v>1</v>
      </c>
      <c r="M52" s="722">
        <v>1</v>
      </c>
      <c r="N52" s="513">
        <f t="shared" si="1"/>
        <v>0</v>
      </c>
      <c r="O52" s="513">
        <f t="shared" si="5"/>
        <v>1776.25</v>
      </c>
      <c r="P52" s="513">
        <f t="shared" si="9"/>
        <v>1776.25</v>
      </c>
      <c r="Q52" s="745" t="s">
        <v>1020</v>
      </c>
      <c r="R52" s="469">
        <v>1776.25</v>
      </c>
      <c r="S52" s="450">
        <f t="shared" si="6"/>
        <v>1776.25</v>
      </c>
      <c r="T52" s="478"/>
    </row>
    <row r="53" spans="1:20" ht="25" x14ac:dyDescent="0.25">
      <c r="A53" s="517">
        <v>33</v>
      </c>
      <c r="B53" s="714" t="s">
        <v>1016</v>
      </c>
      <c r="C53" s="714" t="s">
        <v>1017</v>
      </c>
      <c r="D53" s="471" t="s">
        <v>111</v>
      </c>
      <c r="E53" s="469">
        <v>3</v>
      </c>
      <c r="F53" s="469">
        <v>7100</v>
      </c>
      <c r="G53" s="513">
        <f t="shared" si="3"/>
        <v>21300</v>
      </c>
      <c r="H53" s="513">
        <f t="shared" si="0"/>
        <v>21300</v>
      </c>
      <c r="I53" s="469"/>
      <c r="J53" s="469"/>
      <c r="K53" s="513">
        <f t="shared" si="4"/>
        <v>3</v>
      </c>
      <c r="L53" s="535">
        <f>'Non BOQ MB'!M83</f>
        <v>3</v>
      </c>
      <c r="M53" s="722">
        <v>1</v>
      </c>
      <c r="N53" s="513">
        <f t="shared" si="1"/>
        <v>0</v>
      </c>
      <c r="O53" s="513">
        <f t="shared" si="5"/>
        <v>21300</v>
      </c>
      <c r="P53" s="513">
        <f t="shared" si="9"/>
        <v>21300</v>
      </c>
      <c r="Q53" s="745" t="s">
        <v>1020</v>
      </c>
      <c r="R53" s="469">
        <v>7100</v>
      </c>
      <c r="S53" s="450">
        <f t="shared" si="6"/>
        <v>21300</v>
      </c>
      <c r="T53" s="478"/>
    </row>
    <row r="54" spans="1:20" ht="25" x14ac:dyDescent="0.25">
      <c r="A54" s="517">
        <v>34</v>
      </c>
      <c r="B54" s="714" t="s">
        <v>1018</v>
      </c>
      <c r="C54" s="714" t="s">
        <v>1019</v>
      </c>
      <c r="D54" s="471" t="s">
        <v>111</v>
      </c>
      <c r="E54" s="469">
        <v>12</v>
      </c>
      <c r="F54" s="469">
        <v>1820</v>
      </c>
      <c r="G54" s="513">
        <f t="shared" si="3"/>
        <v>21840</v>
      </c>
      <c r="H54" s="513">
        <f t="shared" si="0"/>
        <v>21840</v>
      </c>
      <c r="I54" s="469"/>
      <c r="J54" s="469"/>
      <c r="K54" s="513">
        <f t="shared" si="4"/>
        <v>12</v>
      </c>
      <c r="L54" s="535">
        <f>'Non BOQ MB'!M84</f>
        <v>12</v>
      </c>
      <c r="M54" s="722">
        <v>1</v>
      </c>
      <c r="N54" s="513">
        <f t="shared" si="1"/>
        <v>0</v>
      </c>
      <c r="O54" s="513">
        <f t="shared" si="5"/>
        <v>21840</v>
      </c>
      <c r="P54" s="513">
        <f t="shared" si="9"/>
        <v>21840</v>
      </c>
      <c r="Q54" s="745" t="s">
        <v>1020</v>
      </c>
      <c r="R54" s="469">
        <v>1820</v>
      </c>
      <c r="S54" s="450">
        <f t="shared" si="6"/>
        <v>21840</v>
      </c>
      <c r="T54" s="478"/>
    </row>
    <row r="55" spans="1:20" x14ac:dyDescent="0.25">
      <c r="A55" s="517"/>
      <c r="B55" s="714"/>
      <c r="C55" s="714"/>
      <c r="D55" s="478"/>
      <c r="E55" s="469"/>
      <c r="F55" s="469"/>
      <c r="G55" s="737"/>
      <c r="H55" s="513">
        <f t="shared" si="0"/>
        <v>0</v>
      </c>
      <c r="I55" s="469"/>
      <c r="J55" s="469"/>
      <c r="K55" s="469"/>
      <c r="L55" s="469"/>
      <c r="M55" s="723"/>
      <c r="N55" s="469"/>
      <c r="O55" s="469"/>
      <c r="P55" s="469"/>
      <c r="Q55" s="745"/>
      <c r="R55" s="478"/>
      <c r="S55" s="478"/>
      <c r="T55" s="478"/>
    </row>
    <row r="56" spans="1:20" x14ac:dyDescent="0.25">
      <c r="A56" s="517"/>
      <c r="B56" s="714"/>
      <c r="C56" s="714"/>
      <c r="D56" s="478"/>
      <c r="E56" s="469"/>
      <c r="F56" s="469"/>
      <c r="G56" s="469"/>
      <c r="H56" s="469"/>
      <c r="I56" s="469"/>
      <c r="J56" s="469"/>
      <c r="K56" s="469"/>
      <c r="L56" s="469"/>
      <c r="M56" s="723"/>
      <c r="N56" s="469"/>
      <c r="O56" s="469"/>
      <c r="P56" s="469"/>
      <c r="Q56" s="745"/>
      <c r="R56" s="478"/>
      <c r="S56" s="478"/>
      <c r="T56" s="478"/>
    </row>
    <row r="57" spans="1:20" ht="22.4" customHeight="1" x14ac:dyDescent="0.25">
      <c r="A57" s="518"/>
      <c r="B57" s="715"/>
      <c r="C57" s="715" t="s">
        <v>782</v>
      </c>
      <c r="D57" s="519"/>
      <c r="E57" s="520"/>
      <c r="F57" s="520"/>
      <c r="G57" s="520"/>
      <c r="H57" s="520">
        <f>SUM(H9:H56)</f>
        <v>1378201.0256619328</v>
      </c>
      <c r="I57" s="520"/>
      <c r="J57" s="520"/>
      <c r="K57" s="520"/>
      <c r="L57" s="520"/>
      <c r="M57" s="724"/>
      <c r="N57" s="520">
        <f>SUM(N9:N56)</f>
        <v>0</v>
      </c>
      <c r="O57" s="520">
        <f>SUM(O9:O56)</f>
        <v>1285855.0256619328</v>
      </c>
      <c r="P57" s="520">
        <f>SUM(P9:P56)</f>
        <v>1285855.0256619328</v>
      </c>
      <c r="Q57" s="747"/>
      <c r="R57" s="519"/>
      <c r="S57" s="751">
        <f>SUM(S9:S56)</f>
        <v>1225183.6371929098</v>
      </c>
      <c r="T57" s="519"/>
    </row>
    <row r="58" spans="1:20" ht="13" thickBot="1" x14ac:dyDescent="0.3">
      <c r="A58" s="522"/>
      <c r="B58" s="716"/>
      <c r="C58" s="716"/>
      <c r="D58" s="507"/>
      <c r="E58" s="523"/>
      <c r="F58" s="523"/>
      <c r="G58" s="523"/>
      <c r="H58" s="523"/>
      <c r="I58" s="523"/>
      <c r="J58" s="523"/>
      <c r="K58" s="523"/>
      <c r="L58" s="523"/>
      <c r="M58" s="725"/>
      <c r="N58" s="523"/>
      <c r="O58" s="523"/>
      <c r="P58" s="523"/>
      <c r="Q58" s="524"/>
      <c r="R58" s="743"/>
      <c r="S58" s="743"/>
      <c r="T58" s="743"/>
    </row>
    <row r="61" spans="1:20" x14ac:dyDescent="0.25">
      <c r="S61" s="752"/>
    </row>
  </sheetData>
  <protectedRanges>
    <protectedRange sqref="Q1:T6" name="Range1_6_3"/>
    <protectedRange sqref="H7" name="Range1_9"/>
    <protectedRange sqref="I21:L21 H9:P9 H10:L20 I22:J22 L22 M10:P54 K22:K54 H21:H55" name="Range1_3"/>
    <protectedRange password="83C1" sqref="C18" name="McDBoQ180602014_3_3"/>
    <protectedRange sqref="D9" name="Range1_3_3"/>
    <protectedRange sqref="D10" name="Range1_4_3"/>
    <protectedRange password="83C1" sqref="D24:D25 D22" name="McDBoQ180602014_6_1_1_3"/>
    <protectedRange sqref="F9 R9" name="Range1_3_4"/>
    <protectedRange sqref="G9:G54" name="Range1_3_1"/>
  </protectedRanges>
  <mergeCells count="17">
    <mergeCell ref="A1:Q1"/>
    <mergeCell ref="A2:Q2"/>
    <mergeCell ref="A3:Q3"/>
    <mergeCell ref="A4:Q4"/>
    <mergeCell ref="A5:Q5"/>
    <mergeCell ref="I7:M7"/>
    <mergeCell ref="U6:U8"/>
    <mergeCell ref="R7:S7"/>
    <mergeCell ref="T34:T37"/>
    <mergeCell ref="A6:Q6"/>
    <mergeCell ref="N7:P7"/>
    <mergeCell ref="Q7:Q8"/>
    <mergeCell ref="A7:A8"/>
    <mergeCell ref="B7:B8"/>
    <mergeCell ref="C7:C8"/>
    <mergeCell ref="D7:D8"/>
    <mergeCell ref="E7:H7"/>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
  <sheetViews>
    <sheetView zoomScale="70" zoomScaleNormal="70" workbookViewId="0">
      <selection activeCell="O10" sqref="O10"/>
    </sheetView>
  </sheetViews>
  <sheetFormatPr defaultColWidth="8.81640625" defaultRowHeight="12.5" x14ac:dyDescent="0.25"/>
  <cols>
    <col min="1" max="1" width="8.81640625" style="511"/>
    <col min="2" max="2" width="36.54296875" style="717" bestFit="1" customWidth="1"/>
    <col min="3" max="3" width="50.81640625" style="717" hidden="1" customWidth="1"/>
    <col min="4" max="4" width="8.81640625" style="511"/>
    <col min="5" max="5" width="7.81640625" style="525" bestFit="1" customWidth="1"/>
    <col min="6" max="6" width="14.453125" style="525" customWidth="1"/>
    <col min="7" max="7" width="14.81640625" style="525" customWidth="1"/>
    <col min="8" max="8" width="15.81640625" style="525" bestFit="1" customWidth="1"/>
    <col min="9" max="12" width="11.453125" style="525" customWidth="1"/>
    <col min="13" max="13" width="11.453125" style="726" customWidth="1"/>
    <col min="14" max="14" width="11.453125" style="525" customWidth="1"/>
    <col min="15" max="15" width="15.81640625" style="525" bestFit="1" customWidth="1"/>
    <col min="16" max="16" width="20.7265625" style="525" bestFit="1" customWidth="1"/>
    <col min="17" max="17" width="13" style="511" bestFit="1" customWidth="1"/>
    <col min="18" max="16384" width="8.81640625" style="511"/>
  </cols>
  <sheetData>
    <row r="1" spans="1:17" ht="13" x14ac:dyDescent="0.25">
      <c r="A1" s="849" t="s">
        <v>655</v>
      </c>
      <c r="B1" s="850"/>
      <c r="C1" s="850"/>
      <c r="D1" s="850"/>
      <c r="E1" s="850"/>
      <c r="F1" s="850"/>
      <c r="G1" s="850"/>
      <c r="H1" s="850"/>
      <c r="I1" s="850"/>
      <c r="J1" s="850"/>
      <c r="K1" s="850"/>
      <c r="L1" s="850"/>
      <c r="M1" s="850"/>
      <c r="N1" s="850"/>
      <c r="O1" s="850"/>
      <c r="P1" s="850"/>
      <c r="Q1" s="851"/>
    </row>
    <row r="2" spans="1:17" ht="13" x14ac:dyDescent="0.25">
      <c r="A2" s="852" t="s">
        <v>654</v>
      </c>
      <c r="B2" s="853"/>
      <c r="C2" s="853"/>
      <c r="D2" s="853"/>
      <c r="E2" s="853"/>
      <c r="F2" s="853"/>
      <c r="G2" s="853"/>
      <c r="H2" s="853"/>
      <c r="I2" s="853"/>
      <c r="J2" s="853"/>
      <c r="K2" s="853"/>
      <c r="L2" s="853"/>
      <c r="M2" s="853"/>
      <c r="N2" s="853"/>
      <c r="O2" s="853"/>
      <c r="P2" s="853"/>
      <c r="Q2" s="854"/>
    </row>
    <row r="3" spans="1:17" ht="13" x14ac:dyDescent="0.25">
      <c r="A3" s="852" t="s">
        <v>762</v>
      </c>
      <c r="B3" s="853"/>
      <c r="C3" s="853"/>
      <c r="D3" s="853"/>
      <c r="E3" s="853"/>
      <c r="F3" s="853"/>
      <c r="G3" s="853"/>
      <c r="H3" s="853"/>
      <c r="I3" s="853"/>
      <c r="J3" s="853"/>
      <c r="K3" s="853"/>
      <c r="L3" s="853"/>
      <c r="M3" s="853"/>
      <c r="N3" s="853"/>
      <c r="O3" s="853"/>
      <c r="P3" s="853"/>
      <c r="Q3" s="854"/>
    </row>
    <row r="4" spans="1:17" ht="13" x14ac:dyDescent="0.25">
      <c r="A4" s="852" t="s">
        <v>653</v>
      </c>
      <c r="B4" s="853"/>
      <c r="C4" s="853"/>
      <c r="D4" s="853"/>
      <c r="E4" s="853"/>
      <c r="F4" s="853"/>
      <c r="G4" s="853"/>
      <c r="H4" s="853"/>
      <c r="I4" s="853"/>
      <c r="J4" s="853"/>
      <c r="K4" s="853"/>
      <c r="L4" s="853"/>
      <c r="M4" s="853"/>
      <c r="N4" s="853"/>
      <c r="O4" s="853"/>
      <c r="P4" s="853"/>
      <c r="Q4" s="854"/>
    </row>
    <row r="5" spans="1:17" ht="13.5" thickBot="1" x14ac:dyDescent="0.3">
      <c r="A5" s="846" t="s">
        <v>657</v>
      </c>
      <c r="B5" s="847"/>
      <c r="C5" s="847"/>
      <c r="D5" s="847"/>
      <c r="E5" s="847"/>
      <c r="F5" s="847"/>
      <c r="G5" s="847"/>
      <c r="H5" s="847"/>
      <c r="I5" s="847"/>
      <c r="J5" s="847"/>
      <c r="K5" s="847"/>
      <c r="L5" s="847"/>
      <c r="M5" s="847"/>
      <c r="N5" s="847"/>
      <c r="O5" s="847"/>
      <c r="P5" s="847"/>
      <c r="Q5" s="848"/>
    </row>
    <row r="6" spans="1:17" ht="13.5" thickBot="1" x14ac:dyDescent="0.3">
      <c r="A6" s="846" t="s">
        <v>784</v>
      </c>
      <c r="B6" s="847"/>
      <c r="C6" s="847"/>
      <c r="D6" s="847"/>
      <c r="E6" s="847"/>
      <c r="F6" s="847"/>
      <c r="G6" s="847"/>
      <c r="H6" s="847"/>
      <c r="I6" s="847"/>
      <c r="J6" s="847"/>
      <c r="K6" s="847"/>
      <c r="L6" s="847"/>
      <c r="M6" s="847"/>
      <c r="N6" s="847"/>
      <c r="O6" s="847"/>
      <c r="P6" s="847"/>
      <c r="Q6" s="848"/>
    </row>
    <row r="7" spans="1:17" ht="13.5" thickBot="1" x14ac:dyDescent="0.3">
      <c r="A7" s="856" t="s">
        <v>8</v>
      </c>
      <c r="B7" s="857" t="s">
        <v>19</v>
      </c>
      <c r="C7" s="857" t="s">
        <v>9</v>
      </c>
      <c r="D7" s="858" t="s">
        <v>10</v>
      </c>
      <c r="E7" s="859" t="s">
        <v>783</v>
      </c>
      <c r="F7" s="859"/>
      <c r="G7" s="859"/>
      <c r="H7" s="859"/>
      <c r="I7" s="837" t="s">
        <v>651</v>
      </c>
      <c r="J7" s="838"/>
      <c r="K7" s="838"/>
      <c r="L7" s="838"/>
      <c r="M7" s="839"/>
      <c r="N7" s="837" t="s">
        <v>652</v>
      </c>
      <c r="O7" s="838"/>
      <c r="P7" s="839"/>
      <c r="Q7" s="858" t="s">
        <v>636</v>
      </c>
    </row>
    <row r="8" spans="1:17" ht="13.5" thickBot="1" x14ac:dyDescent="0.3">
      <c r="A8" s="856"/>
      <c r="B8" s="857"/>
      <c r="C8" s="857"/>
      <c r="D8" s="858"/>
      <c r="E8" s="512" t="s">
        <v>16</v>
      </c>
      <c r="F8" s="512" t="s">
        <v>15</v>
      </c>
      <c r="G8" s="512"/>
      <c r="H8" s="512" t="s">
        <v>11</v>
      </c>
      <c r="I8" s="534" t="s">
        <v>645</v>
      </c>
      <c r="J8" s="721" t="s">
        <v>648</v>
      </c>
      <c r="K8" s="534" t="s">
        <v>646</v>
      </c>
      <c r="L8" s="534" t="s">
        <v>647</v>
      </c>
      <c r="M8" s="721" t="s">
        <v>649</v>
      </c>
      <c r="N8" s="534" t="s">
        <v>645</v>
      </c>
      <c r="O8" s="534" t="s">
        <v>646</v>
      </c>
      <c r="P8" s="534" t="s">
        <v>647</v>
      </c>
      <c r="Q8" s="858"/>
    </row>
    <row r="9" spans="1:17" ht="37.5" x14ac:dyDescent="0.25">
      <c r="A9" s="517">
        <v>35</v>
      </c>
      <c r="B9" s="714" t="s">
        <v>1027</v>
      </c>
      <c r="C9" s="478"/>
      <c r="D9" s="478" t="s">
        <v>111</v>
      </c>
      <c r="E9" s="535">
        <v>6</v>
      </c>
      <c r="F9" s="535">
        <v>2300</v>
      </c>
      <c r="G9" s="720"/>
      <c r="H9" s="720">
        <f t="shared" ref="H9:H22" si="0">E9*F9</f>
        <v>13800</v>
      </c>
      <c r="I9" s="720"/>
      <c r="J9" s="535"/>
      <c r="K9" s="720">
        <f t="shared" ref="K9:K24" si="1">L9-I9</f>
        <v>6</v>
      </c>
      <c r="L9" s="535">
        <f>'[1]Non BOQ MB'!M86</f>
        <v>6</v>
      </c>
      <c r="M9" s="728">
        <v>1</v>
      </c>
      <c r="N9" s="720">
        <f t="shared" ref="N9:N24" si="2">F9*I9*J9</f>
        <v>0</v>
      </c>
      <c r="O9" s="720">
        <f t="shared" ref="O9:O27" si="3">P9-N9</f>
        <v>13800</v>
      </c>
      <c r="P9" s="720">
        <f t="shared" ref="P9:P27" si="4">F9*L9*M9</f>
        <v>13800</v>
      </c>
      <c r="Q9" s="516" t="s">
        <v>1020</v>
      </c>
    </row>
    <row r="10" spans="1:17" ht="120" x14ac:dyDescent="0.25">
      <c r="A10" s="517">
        <f t="shared" ref="A10:A31" si="5">A9+1</f>
        <v>36</v>
      </c>
      <c r="B10" s="713" t="s">
        <v>595</v>
      </c>
      <c r="C10" s="729"/>
      <c r="D10" s="564" t="s">
        <v>769</v>
      </c>
      <c r="E10" s="730">
        <v>6</v>
      </c>
      <c r="F10" s="730">
        <v>4370</v>
      </c>
      <c r="G10" s="738"/>
      <c r="H10" s="740">
        <f t="shared" si="0"/>
        <v>26220</v>
      </c>
      <c r="I10" s="720"/>
      <c r="J10" s="535"/>
      <c r="K10" s="720">
        <f t="shared" si="1"/>
        <v>3</v>
      </c>
      <c r="L10" s="535">
        <v>3</v>
      </c>
      <c r="M10" s="728">
        <v>1</v>
      </c>
      <c r="N10" s="720">
        <f t="shared" si="2"/>
        <v>0</v>
      </c>
      <c r="O10" s="720">
        <f t="shared" si="3"/>
        <v>13110</v>
      </c>
      <c r="P10" s="720">
        <f t="shared" si="4"/>
        <v>13110</v>
      </c>
      <c r="Q10" s="753" t="s">
        <v>1071</v>
      </c>
    </row>
    <row r="11" spans="1:17" ht="36" x14ac:dyDescent="0.25">
      <c r="A11" s="517">
        <f t="shared" si="5"/>
        <v>37</v>
      </c>
      <c r="B11" s="713" t="s">
        <v>1028</v>
      </c>
      <c r="C11" s="729"/>
      <c r="D11" s="564" t="s">
        <v>769</v>
      </c>
      <c r="E11" s="730">
        <v>2</v>
      </c>
      <c r="F11" s="730">
        <v>1400</v>
      </c>
      <c r="G11" s="738"/>
      <c r="H11" s="720">
        <f t="shared" si="0"/>
        <v>2800</v>
      </c>
      <c r="I11" s="720"/>
      <c r="J11" s="535"/>
      <c r="K11" s="720">
        <f t="shared" si="1"/>
        <v>2</v>
      </c>
      <c r="L11" s="535">
        <f>'[1]Non BOQ MB'!M88</f>
        <v>2</v>
      </c>
      <c r="M11" s="728">
        <v>1</v>
      </c>
      <c r="N11" s="720">
        <f t="shared" si="2"/>
        <v>0</v>
      </c>
      <c r="O11" s="720">
        <f t="shared" si="3"/>
        <v>2800</v>
      </c>
      <c r="P11" s="720">
        <f t="shared" si="4"/>
        <v>2800</v>
      </c>
      <c r="Q11" s="516" t="s">
        <v>1020</v>
      </c>
    </row>
    <row r="12" spans="1:17" ht="36" x14ac:dyDescent="0.25">
      <c r="A12" s="517">
        <f t="shared" si="5"/>
        <v>38</v>
      </c>
      <c r="B12" s="713" t="s">
        <v>1029</v>
      </c>
      <c r="C12" s="729"/>
      <c r="D12" s="16" t="s">
        <v>778</v>
      </c>
      <c r="E12" s="596">
        <v>1</v>
      </c>
      <c r="F12" s="559">
        <v>15000</v>
      </c>
      <c r="G12" s="736"/>
      <c r="H12" s="720">
        <f t="shared" si="0"/>
        <v>15000</v>
      </c>
      <c r="I12" s="720"/>
      <c r="J12" s="535"/>
      <c r="K12" s="720">
        <f t="shared" si="1"/>
        <v>1</v>
      </c>
      <c r="L12" s="535">
        <f>'[1]Non BOQ MB'!M89</f>
        <v>1</v>
      </c>
      <c r="M12" s="728">
        <v>1</v>
      </c>
      <c r="N12" s="720">
        <f t="shared" si="2"/>
        <v>0</v>
      </c>
      <c r="O12" s="720">
        <f t="shared" si="3"/>
        <v>15000</v>
      </c>
      <c r="P12" s="720">
        <f t="shared" si="4"/>
        <v>15000</v>
      </c>
      <c r="Q12" s="516" t="s">
        <v>1020</v>
      </c>
    </row>
    <row r="13" spans="1:17" ht="36" x14ac:dyDescent="0.25">
      <c r="A13" s="517">
        <f t="shared" si="5"/>
        <v>39</v>
      </c>
      <c r="B13" s="713" t="s">
        <v>1030</v>
      </c>
      <c r="C13" s="478"/>
      <c r="D13" s="16" t="s">
        <v>778</v>
      </c>
      <c r="E13" s="535">
        <v>2</v>
      </c>
      <c r="F13" s="535">
        <v>2100</v>
      </c>
      <c r="G13" s="720"/>
      <c r="H13" s="741">
        <f t="shared" si="0"/>
        <v>4200</v>
      </c>
      <c r="I13" s="720"/>
      <c r="J13" s="535"/>
      <c r="K13" s="720">
        <f t="shared" si="1"/>
        <v>2</v>
      </c>
      <c r="L13" s="535">
        <f>'[1]Non BOQ MB'!M90</f>
        <v>2</v>
      </c>
      <c r="M13" s="728">
        <v>1</v>
      </c>
      <c r="N13" s="720">
        <f t="shared" si="2"/>
        <v>0</v>
      </c>
      <c r="O13" s="720">
        <f t="shared" si="3"/>
        <v>0</v>
      </c>
      <c r="P13" s="720"/>
      <c r="Q13" s="516" t="s">
        <v>1072</v>
      </c>
    </row>
    <row r="14" spans="1:17" ht="37.5" x14ac:dyDescent="0.25">
      <c r="A14" s="517">
        <f t="shared" si="5"/>
        <v>40</v>
      </c>
      <c r="B14" s="713" t="s">
        <v>1031</v>
      </c>
      <c r="C14" s="729"/>
      <c r="D14" s="564" t="s">
        <v>1032</v>
      </c>
      <c r="E14" s="535">
        <v>1</v>
      </c>
      <c r="F14" s="730">
        <v>12000</v>
      </c>
      <c r="G14" s="738"/>
      <c r="H14" s="741">
        <f t="shared" si="0"/>
        <v>12000</v>
      </c>
      <c r="I14" s="720"/>
      <c r="J14" s="535"/>
      <c r="K14" s="720">
        <f t="shared" si="1"/>
        <v>1</v>
      </c>
      <c r="L14" s="535">
        <f>'[1]Non BOQ MB'!M91</f>
        <v>1</v>
      </c>
      <c r="M14" s="728">
        <v>1</v>
      </c>
      <c r="N14" s="720">
        <f t="shared" si="2"/>
        <v>0</v>
      </c>
      <c r="O14" s="720">
        <f t="shared" si="3"/>
        <v>0</v>
      </c>
      <c r="P14" s="720"/>
      <c r="Q14" s="753" t="s">
        <v>1073</v>
      </c>
    </row>
    <row r="15" spans="1:17" ht="13" x14ac:dyDescent="0.25">
      <c r="A15" s="517">
        <f t="shared" si="5"/>
        <v>41</v>
      </c>
      <c r="B15" s="713" t="s">
        <v>1033</v>
      </c>
      <c r="C15" s="729"/>
      <c r="D15" s="564" t="s">
        <v>778</v>
      </c>
      <c r="E15" s="535">
        <v>2</v>
      </c>
      <c r="F15" s="730">
        <v>800</v>
      </c>
      <c r="G15" s="738"/>
      <c r="H15" s="720">
        <f t="shared" si="0"/>
        <v>1600</v>
      </c>
      <c r="I15" s="720"/>
      <c r="J15" s="535"/>
      <c r="K15" s="720">
        <f t="shared" si="1"/>
        <v>2</v>
      </c>
      <c r="L15" s="535">
        <f>'[1]Non BOQ MB'!M92</f>
        <v>2</v>
      </c>
      <c r="M15" s="728">
        <v>1</v>
      </c>
      <c r="N15" s="720">
        <f t="shared" si="2"/>
        <v>0</v>
      </c>
      <c r="O15" s="720">
        <f t="shared" si="3"/>
        <v>1600</v>
      </c>
      <c r="P15" s="720">
        <f t="shared" si="4"/>
        <v>1600</v>
      </c>
      <c r="Q15" s="516" t="s">
        <v>1020</v>
      </c>
    </row>
    <row r="16" spans="1:17" ht="36" x14ac:dyDescent="0.25">
      <c r="A16" s="517">
        <f t="shared" si="5"/>
        <v>42</v>
      </c>
      <c r="B16" s="713" t="s">
        <v>1034</v>
      </c>
      <c r="C16" s="16"/>
      <c r="D16" s="16" t="s">
        <v>151</v>
      </c>
      <c r="E16" s="596">
        <v>1</v>
      </c>
      <c r="F16" s="596">
        <v>2600</v>
      </c>
      <c r="G16" s="739"/>
      <c r="H16" s="720">
        <f t="shared" si="0"/>
        <v>2600</v>
      </c>
      <c r="I16" s="720"/>
      <c r="J16" s="535"/>
      <c r="K16" s="720">
        <f t="shared" si="1"/>
        <v>1</v>
      </c>
      <c r="L16" s="535">
        <f>'[1]Non BOQ MB'!M93</f>
        <v>1</v>
      </c>
      <c r="M16" s="728">
        <v>1</v>
      </c>
      <c r="N16" s="720">
        <f t="shared" si="2"/>
        <v>0</v>
      </c>
      <c r="O16" s="720">
        <f t="shared" si="3"/>
        <v>2600</v>
      </c>
      <c r="P16" s="720">
        <f t="shared" si="4"/>
        <v>2600</v>
      </c>
      <c r="Q16" s="516" t="s">
        <v>1020</v>
      </c>
    </row>
    <row r="17" spans="1:17" x14ac:dyDescent="0.25">
      <c r="A17" s="517">
        <f t="shared" si="5"/>
        <v>43</v>
      </c>
      <c r="B17" s="714" t="s">
        <v>1035</v>
      </c>
      <c r="C17" s="478"/>
      <c r="D17" s="478" t="s">
        <v>1036</v>
      </c>
      <c r="E17" s="535">
        <v>1</v>
      </c>
      <c r="F17" s="535">
        <v>28000</v>
      </c>
      <c r="G17" s="720"/>
      <c r="H17" s="720">
        <f t="shared" si="0"/>
        <v>28000</v>
      </c>
      <c r="I17" s="720"/>
      <c r="J17" s="535"/>
      <c r="K17" s="720">
        <f t="shared" si="1"/>
        <v>1</v>
      </c>
      <c r="L17" s="535">
        <f>'[1]Non BOQ MB'!M94</f>
        <v>1</v>
      </c>
      <c r="M17" s="728">
        <v>1</v>
      </c>
      <c r="N17" s="720">
        <f t="shared" si="2"/>
        <v>0</v>
      </c>
      <c r="O17" s="720">
        <f t="shared" si="3"/>
        <v>28000</v>
      </c>
      <c r="P17" s="720">
        <f t="shared" si="4"/>
        <v>28000</v>
      </c>
      <c r="Q17" s="516" t="s">
        <v>1020</v>
      </c>
    </row>
    <row r="18" spans="1:17" ht="13" x14ac:dyDescent="0.25">
      <c r="A18" s="517">
        <f t="shared" si="5"/>
        <v>44</v>
      </c>
      <c r="B18" s="731" t="s">
        <v>1037</v>
      </c>
      <c r="C18" s="16"/>
      <c r="D18" s="564" t="s">
        <v>769</v>
      </c>
      <c r="E18" s="596">
        <v>4</v>
      </c>
      <c r="F18" s="596">
        <v>6500</v>
      </c>
      <c r="G18" s="739"/>
      <c r="H18" s="720">
        <f t="shared" si="0"/>
        <v>26000</v>
      </c>
      <c r="I18" s="720"/>
      <c r="J18" s="535"/>
      <c r="K18" s="720">
        <f t="shared" si="1"/>
        <v>4</v>
      </c>
      <c r="L18" s="535">
        <f>'[1]Non BOQ MB'!M95</f>
        <v>4</v>
      </c>
      <c r="M18" s="728">
        <v>1</v>
      </c>
      <c r="N18" s="720">
        <f t="shared" si="2"/>
        <v>0</v>
      </c>
      <c r="O18" s="720">
        <f t="shared" si="3"/>
        <v>26000</v>
      </c>
      <c r="P18" s="720">
        <f t="shared" si="4"/>
        <v>26000</v>
      </c>
      <c r="Q18" s="516" t="s">
        <v>1020</v>
      </c>
    </row>
    <row r="19" spans="1:17" ht="25" x14ac:dyDescent="0.25">
      <c r="A19" s="517">
        <f t="shared" si="5"/>
        <v>45</v>
      </c>
      <c r="B19" s="714" t="s">
        <v>1038</v>
      </c>
      <c r="C19" s="714"/>
      <c r="D19" s="471" t="s">
        <v>398</v>
      </c>
      <c r="E19" s="535">
        <v>1</v>
      </c>
      <c r="F19" s="535">
        <v>3500</v>
      </c>
      <c r="G19" s="720"/>
      <c r="H19" s="720">
        <f t="shared" si="0"/>
        <v>3500</v>
      </c>
      <c r="I19" s="720"/>
      <c r="J19" s="535"/>
      <c r="K19" s="720">
        <f t="shared" si="1"/>
        <v>1</v>
      </c>
      <c r="L19" s="535">
        <f>'[1]Non BOQ MB'!M96</f>
        <v>1</v>
      </c>
      <c r="M19" s="728">
        <v>1</v>
      </c>
      <c r="N19" s="720">
        <f t="shared" si="2"/>
        <v>0</v>
      </c>
      <c r="O19" s="720">
        <f t="shared" si="3"/>
        <v>3500</v>
      </c>
      <c r="P19" s="720">
        <f t="shared" si="4"/>
        <v>3500</v>
      </c>
      <c r="Q19" s="516" t="s">
        <v>1020</v>
      </c>
    </row>
    <row r="20" spans="1:17" ht="25" x14ac:dyDescent="0.25">
      <c r="A20" s="517">
        <f t="shared" si="5"/>
        <v>46</v>
      </c>
      <c r="B20" s="714" t="s">
        <v>1039</v>
      </c>
      <c r="C20" s="714"/>
      <c r="D20" s="16" t="s">
        <v>151</v>
      </c>
      <c r="E20" s="596">
        <v>1</v>
      </c>
      <c r="F20" s="596">
        <v>21000</v>
      </c>
      <c r="G20" s="739"/>
      <c r="H20" s="720">
        <f t="shared" si="0"/>
        <v>21000</v>
      </c>
      <c r="I20" s="720"/>
      <c r="J20" s="535"/>
      <c r="K20" s="720">
        <f t="shared" si="1"/>
        <v>1</v>
      </c>
      <c r="L20" s="535">
        <f>'[1]Non BOQ MB'!M97</f>
        <v>1</v>
      </c>
      <c r="M20" s="728">
        <v>1</v>
      </c>
      <c r="N20" s="720">
        <f t="shared" si="2"/>
        <v>0</v>
      </c>
      <c r="O20" s="720">
        <f t="shared" si="3"/>
        <v>21000</v>
      </c>
      <c r="P20" s="720">
        <f t="shared" si="4"/>
        <v>21000</v>
      </c>
      <c r="Q20" s="516" t="s">
        <v>1020</v>
      </c>
    </row>
    <row r="21" spans="1:17" ht="25" x14ac:dyDescent="0.25">
      <c r="A21" s="517">
        <f t="shared" si="5"/>
        <v>47</v>
      </c>
      <c r="B21" s="714" t="s">
        <v>1040</v>
      </c>
      <c r="C21" s="714"/>
      <c r="D21" s="16" t="s">
        <v>151</v>
      </c>
      <c r="E21" s="596">
        <v>1</v>
      </c>
      <c r="F21" s="596">
        <v>3100</v>
      </c>
      <c r="G21" s="739"/>
      <c r="H21" s="720">
        <f t="shared" si="0"/>
        <v>3100</v>
      </c>
      <c r="I21" s="720"/>
      <c r="J21" s="535"/>
      <c r="K21" s="720">
        <f t="shared" si="1"/>
        <v>1</v>
      </c>
      <c r="L21" s="535">
        <f>'[1]Non BOQ MB'!M98</f>
        <v>1</v>
      </c>
      <c r="M21" s="728">
        <v>1</v>
      </c>
      <c r="N21" s="720">
        <f t="shared" si="2"/>
        <v>0</v>
      </c>
      <c r="O21" s="720">
        <f t="shared" si="3"/>
        <v>3100</v>
      </c>
      <c r="P21" s="720">
        <f t="shared" si="4"/>
        <v>3100</v>
      </c>
      <c r="Q21" s="516" t="s">
        <v>1020</v>
      </c>
    </row>
    <row r="22" spans="1:17" x14ac:dyDescent="0.25">
      <c r="A22" s="517">
        <f t="shared" si="5"/>
        <v>48</v>
      </c>
      <c r="B22" s="714" t="s">
        <v>1041</v>
      </c>
      <c r="C22" s="714"/>
      <c r="D22" s="471" t="s">
        <v>1036</v>
      </c>
      <c r="E22" s="535">
        <v>1</v>
      </c>
      <c r="F22" s="535">
        <v>800</v>
      </c>
      <c r="G22" s="720"/>
      <c r="H22" s="720">
        <f t="shared" si="0"/>
        <v>800</v>
      </c>
      <c r="I22" s="720"/>
      <c r="J22" s="535"/>
      <c r="K22" s="720">
        <f t="shared" si="1"/>
        <v>1</v>
      </c>
      <c r="L22" s="535">
        <f>'[1]Non BOQ MB'!M99</f>
        <v>1</v>
      </c>
      <c r="M22" s="728">
        <v>1</v>
      </c>
      <c r="N22" s="720">
        <f t="shared" si="2"/>
        <v>0</v>
      </c>
      <c r="O22" s="720">
        <f t="shared" si="3"/>
        <v>800</v>
      </c>
      <c r="P22" s="720">
        <f t="shared" si="4"/>
        <v>800</v>
      </c>
      <c r="Q22" s="516" t="s">
        <v>1020</v>
      </c>
    </row>
    <row r="23" spans="1:17" ht="36" x14ac:dyDescent="0.25">
      <c r="A23" s="517">
        <f t="shared" si="5"/>
        <v>49</v>
      </c>
      <c r="B23" s="732" t="s">
        <v>623</v>
      </c>
      <c r="C23" s="733"/>
      <c r="D23" s="734" t="s">
        <v>479</v>
      </c>
      <c r="E23" s="479">
        <f>0.5*0.15*9</f>
        <v>0.67499999999999993</v>
      </c>
      <c r="F23" s="479">
        <v>7800</v>
      </c>
      <c r="G23" s="479"/>
      <c r="H23" s="479">
        <f>F23*E23</f>
        <v>5264.9999999999991</v>
      </c>
      <c r="I23" s="720"/>
      <c r="J23" s="535"/>
      <c r="K23" s="720">
        <f t="shared" si="1"/>
        <v>0.67499999999999993</v>
      </c>
      <c r="L23" s="535">
        <f>'[1]Non BOQ MB'!M100</f>
        <v>0.67499999999999993</v>
      </c>
      <c r="M23" s="728">
        <v>1</v>
      </c>
      <c r="N23" s="720">
        <f t="shared" si="2"/>
        <v>0</v>
      </c>
      <c r="O23" s="720">
        <f t="shared" si="3"/>
        <v>5264.9999999999991</v>
      </c>
      <c r="P23" s="720">
        <f t="shared" si="4"/>
        <v>5264.9999999999991</v>
      </c>
      <c r="Q23" s="516" t="s">
        <v>1020</v>
      </c>
    </row>
    <row r="24" spans="1:17" ht="96" x14ac:dyDescent="0.25">
      <c r="A24" s="517">
        <f t="shared" si="5"/>
        <v>50</v>
      </c>
      <c r="B24" s="732" t="s">
        <v>473</v>
      </c>
      <c r="C24" s="714"/>
      <c r="D24" s="734" t="s">
        <v>479</v>
      </c>
      <c r="E24" s="479">
        <f>0.5*0.15*9</f>
        <v>0.67499999999999993</v>
      </c>
      <c r="F24" s="479">
        <v>8000</v>
      </c>
      <c r="G24" s="479"/>
      <c r="H24" s="479">
        <f>F24*E24</f>
        <v>5399.9999999999991</v>
      </c>
      <c r="I24" s="720"/>
      <c r="J24" s="535"/>
      <c r="K24" s="720">
        <f t="shared" si="1"/>
        <v>0.67499999999999993</v>
      </c>
      <c r="L24" s="535">
        <f>'[1]Non BOQ MB'!M101</f>
        <v>0.67499999999999993</v>
      </c>
      <c r="M24" s="728">
        <v>1</v>
      </c>
      <c r="N24" s="720">
        <f t="shared" si="2"/>
        <v>0</v>
      </c>
      <c r="O24" s="720">
        <f t="shared" si="3"/>
        <v>5399.9999999999991</v>
      </c>
      <c r="P24" s="720">
        <f t="shared" si="4"/>
        <v>5399.9999999999991</v>
      </c>
      <c r="Q24" s="516" t="s">
        <v>1020</v>
      </c>
    </row>
    <row r="25" spans="1:17" ht="13" x14ac:dyDescent="0.25">
      <c r="A25" s="517">
        <f t="shared" si="5"/>
        <v>51</v>
      </c>
      <c r="B25" s="714" t="s">
        <v>1042</v>
      </c>
      <c r="C25" s="714"/>
      <c r="D25" s="564" t="s">
        <v>769</v>
      </c>
      <c r="E25" s="596">
        <v>1</v>
      </c>
      <c r="F25" s="596">
        <v>12000</v>
      </c>
      <c r="G25" s="739"/>
      <c r="H25" s="741">
        <f t="shared" ref="H25:H31" si="6">E25*F25</f>
        <v>12000</v>
      </c>
      <c r="I25" s="535"/>
      <c r="J25" s="535"/>
      <c r="K25" s="535">
        <f>'[1]Non BOQ MB'!M102</f>
        <v>1</v>
      </c>
      <c r="L25" s="535">
        <f>'[1]Non BOQ MB'!M102</f>
        <v>1</v>
      </c>
      <c r="M25" s="735">
        <v>0.8</v>
      </c>
      <c r="N25" s="535"/>
      <c r="O25" s="720">
        <f t="shared" si="3"/>
        <v>0</v>
      </c>
      <c r="P25" s="720"/>
      <c r="Q25" s="516" t="s">
        <v>1072</v>
      </c>
    </row>
    <row r="26" spans="1:17" ht="13" x14ac:dyDescent="0.25">
      <c r="A26" s="517">
        <f t="shared" si="5"/>
        <v>52</v>
      </c>
      <c r="B26" s="714" t="s">
        <v>1043</v>
      </c>
      <c r="C26" s="714"/>
      <c r="D26" s="564" t="s">
        <v>769</v>
      </c>
      <c r="E26" s="596">
        <v>1</v>
      </c>
      <c r="F26" s="596">
        <v>8000</v>
      </c>
      <c r="G26" s="739"/>
      <c r="H26" s="720">
        <f t="shared" si="6"/>
        <v>8000</v>
      </c>
      <c r="I26" s="535"/>
      <c r="J26" s="535"/>
      <c r="K26" s="535">
        <f>'[1]Non BOQ MB'!M103</f>
        <v>1</v>
      </c>
      <c r="L26" s="535">
        <f>'[1]Non BOQ MB'!M103</f>
        <v>1</v>
      </c>
      <c r="M26" s="735">
        <v>1</v>
      </c>
      <c r="N26" s="535"/>
      <c r="O26" s="720">
        <f t="shared" si="3"/>
        <v>8000</v>
      </c>
      <c r="P26" s="720">
        <f t="shared" si="4"/>
        <v>8000</v>
      </c>
      <c r="Q26" s="516" t="s">
        <v>1020</v>
      </c>
    </row>
    <row r="27" spans="1:17" ht="13" x14ac:dyDescent="0.25">
      <c r="A27" s="517">
        <f t="shared" si="5"/>
        <v>53</v>
      </c>
      <c r="B27" s="714" t="s">
        <v>1044</v>
      </c>
      <c r="C27" s="714"/>
      <c r="D27" s="564" t="s">
        <v>769</v>
      </c>
      <c r="E27" s="596">
        <v>1</v>
      </c>
      <c r="F27" s="596">
        <v>3500</v>
      </c>
      <c r="G27" s="739"/>
      <c r="H27" s="720">
        <f t="shared" si="6"/>
        <v>3500</v>
      </c>
      <c r="I27" s="535"/>
      <c r="J27" s="535"/>
      <c r="K27" s="535">
        <f>'[1]Non BOQ MB'!M104</f>
        <v>1</v>
      </c>
      <c r="L27" s="535">
        <f>'[1]Non BOQ MB'!M104</f>
        <v>1</v>
      </c>
      <c r="M27" s="735">
        <v>1</v>
      </c>
      <c r="N27" s="535"/>
      <c r="O27" s="720">
        <f t="shared" si="3"/>
        <v>3500</v>
      </c>
      <c r="P27" s="720">
        <f t="shared" si="4"/>
        <v>3500</v>
      </c>
      <c r="Q27" s="516" t="s">
        <v>1020</v>
      </c>
    </row>
    <row r="28" spans="1:17" ht="13" x14ac:dyDescent="0.25">
      <c r="A28" s="517">
        <f t="shared" si="5"/>
        <v>54</v>
      </c>
      <c r="B28" s="714" t="s">
        <v>1045</v>
      </c>
      <c r="C28" s="714"/>
      <c r="D28" s="564" t="s">
        <v>769</v>
      </c>
      <c r="E28" s="596">
        <v>1</v>
      </c>
      <c r="F28" s="596">
        <v>7000</v>
      </c>
      <c r="G28" s="739"/>
      <c r="H28" s="741">
        <f t="shared" si="6"/>
        <v>7000</v>
      </c>
      <c r="I28" s="535"/>
      <c r="J28" s="535"/>
      <c r="K28" s="535">
        <f>'[1]Non BOQ MB'!M105</f>
        <v>1</v>
      </c>
      <c r="L28" s="535">
        <f>'[1]Non BOQ MB'!M105</f>
        <v>1</v>
      </c>
      <c r="M28" s="735">
        <v>1</v>
      </c>
      <c r="N28" s="535"/>
      <c r="O28" s="720">
        <f t="shared" ref="O28:O31" si="7">P28-N28</f>
        <v>0</v>
      </c>
      <c r="P28" s="720"/>
      <c r="Q28" s="516" t="s">
        <v>1072</v>
      </c>
    </row>
    <row r="29" spans="1:17" ht="13" x14ac:dyDescent="0.25">
      <c r="A29" s="517">
        <f t="shared" si="5"/>
        <v>55</v>
      </c>
      <c r="B29" s="714" t="s">
        <v>1046</v>
      </c>
      <c r="C29" s="714"/>
      <c r="D29" s="564" t="s">
        <v>769</v>
      </c>
      <c r="E29" s="596">
        <v>1</v>
      </c>
      <c r="F29" s="596">
        <v>14000</v>
      </c>
      <c r="G29" s="739"/>
      <c r="H29" s="720">
        <f t="shared" si="6"/>
        <v>14000</v>
      </c>
      <c r="I29" s="535"/>
      <c r="J29" s="535"/>
      <c r="K29" s="535">
        <f>'[1]Non BOQ MB'!M106</f>
        <v>1</v>
      </c>
      <c r="L29" s="535">
        <f>'[1]Non BOQ MB'!M106</f>
        <v>1</v>
      </c>
      <c r="M29" s="735">
        <v>1</v>
      </c>
      <c r="N29" s="535"/>
      <c r="O29" s="720">
        <f t="shared" si="7"/>
        <v>14000</v>
      </c>
      <c r="P29" s="720">
        <f t="shared" ref="P29:P31" si="8">F29*L29*M29</f>
        <v>14000</v>
      </c>
      <c r="Q29" s="516"/>
    </row>
    <row r="30" spans="1:17" ht="13" x14ac:dyDescent="0.25">
      <c r="A30" s="517">
        <f t="shared" si="5"/>
        <v>56</v>
      </c>
      <c r="B30" s="714" t="s">
        <v>1047</v>
      </c>
      <c r="C30" s="714"/>
      <c r="D30" s="564" t="s">
        <v>769</v>
      </c>
      <c r="E30" s="596">
        <v>1</v>
      </c>
      <c r="F30" s="596">
        <v>5000</v>
      </c>
      <c r="G30" s="739"/>
      <c r="H30" s="720">
        <f t="shared" si="6"/>
        <v>5000</v>
      </c>
      <c r="I30" s="535"/>
      <c r="J30" s="535"/>
      <c r="K30" s="535">
        <f>'[1]Non BOQ MB'!M107</f>
        <v>1</v>
      </c>
      <c r="L30" s="535">
        <v>1</v>
      </c>
      <c r="M30" s="735">
        <v>1</v>
      </c>
      <c r="N30" s="535"/>
      <c r="O30" s="720">
        <f t="shared" si="7"/>
        <v>5000</v>
      </c>
      <c r="P30" s="720">
        <f t="shared" si="8"/>
        <v>5000</v>
      </c>
      <c r="Q30" s="516" t="s">
        <v>1020</v>
      </c>
    </row>
    <row r="31" spans="1:17" ht="25" x14ac:dyDescent="0.25">
      <c r="A31" s="517">
        <f t="shared" si="5"/>
        <v>57</v>
      </c>
      <c r="B31" s="718" t="s">
        <v>1048</v>
      </c>
      <c r="C31" s="714"/>
      <c r="D31" s="564" t="s">
        <v>769</v>
      </c>
      <c r="E31" s="596">
        <v>1</v>
      </c>
      <c r="F31" s="596">
        <v>20000</v>
      </c>
      <c r="G31" s="739"/>
      <c r="H31" s="720">
        <f t="shared" si="6"/>
        <v>20000</v>
      </c>
      <c r="I31" s="535"/>
      <c r="J31" s="535"/>
      <c r="K31" s="535">
        <f>'[1]Non BOQ MB'!M108</f>
        <v>1</v>
      </c>
      <c r="L31" s="535">
        <v>1</v>
      </c>
      <c r="M31" s="735">
        <v>0</v>
      </c>
      <c r="N31" s="535"/>
      <c r="O31" s="720">
        <f t="shared" si="7"/>
        <v>0</v>
      </c>
      <c r="P31" s="720">
        <f t="shared" si="8"/>
        <v>0</v>
      </c>
      <c r="Q31" s="516"/>
    </row>
    <row r="32" spans="1:17" ht="22.4" customHeight="1" x14ac:dyDescent="0.25">
      <c r="A32" s="518"/>
      <c r="B32" s="715"/>
      <c r="C32" s="715" t="s">
        <v>782</v>
      </c>
      <c r="D32" s="519"/>
      <c r="E32" s="520"/>
      <c r="F32" s="520"/>
      <c r="G32" s="520"/>
      <c r="H32" s="520">
        <f>SUM(H9:H31)</f>
        <v>240785</v>
      </c>
      <c r="I32" s="520"/>
      <c r="J32" s="520"/>
      <c r="K32" s="520"/>
      <c r="L32" s="520"/>
      <c r="M32" s="724"/>
      <c r="N32" s="520">
        <f>SUM(N9:N26)</f>
        <v>0</v>
      </c>
      <c r="O32" s="520">
        <f>SUM(O9:O31)</f>
        <v>172475</v>
      </c>
      <c r="P32" s="520">
        <f>SUM(P9:P31)</f>
        <v>172475</v>
      </c>
      <c r="Q32" s="521"/>
    </row>
    <row r="33" spans="1:17" ht="13" thickBot="1" x14ac:dyDescent="0.3">
      <c r="A33" s="522"/>
      <c r="B33" s="716"/>
      <c r="C33" s="716"/>
      <c r="D33" s="507"/>
      <c r="E33" s="523"/>
      <c r="F33" s="523"/>
      <c r="G33" s="523"/>
      <c r="H33" s="523"/>
      <c r="I33" s="523"/>
      <c r="J33" s="523"/>
      <c r="K33" s="523"/>
      <c r="L33" s="523"/>
      <c r="M33" s="725"/>
      <c r="N33" s="523"/>
      <c r="O33" s="523"/>
      <c r="P33" s="523"/>
      <c r="Q33" s="524"/>
    </row>
  </sheetData>
  <protectedRanges>
    <protectedRange sqref="Q1:Q6" name="Range1_6_3"/>
    <protectedRange sqref="H7" name="Range1_9"/>
    <protectedRange sqref="H9:H21" name="Range1_3_5"/>
  </protectedRanges>
  <mergeCells count="14">
    <mergeCell ref="A6:Q6"/>
    <mergeCell ref="A1:Q1"/>
    <mergeCell ref="A2:Q2"/>
    <mergeCell ref="A3:Q3"/>
    <mergeCell ref="A4:Q4"/>
    <mergeCell ref="A5:Q5"/>
    <mergeCell ref="N7:P7"/>
    <mergeCell ref="Q7:Q8"/>
    <mergeCell ref="A7:A8"/>
    <mergeCell ref="B7:B8"/>
    <mergeCell ref="C7:C8"/>
    <mergeCell ref="D7:D8"/>
    <mergeCell ref="E7:H7"/>
    <mergeCell ref="I7:M7"/>
  </mergeCells>
  <pageMargins left="0.7" right="0.7" top="0.75" bottom="0.75" header="0.3" footer="0.3"/>
  <pageSetup paperSize="9" orientation="portrait" verticalDpi="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89"/>
  <sheetViews>
    <sheetView zoomScale="74" workbookViewId="0">
      <selection activeCell="B5" sqref="B5"/>
    </sheetView>
  </sheetViews>
  <sheetFormatPr defaultColWidth="8.81640625" defaultRowHeight="12.5" x14ac:dyDescent="0.25"/>
  <cols>
    <col min="1" max="1" width="8.81640625" style="459"/>
    <col min="2" max="2" width="25.453125" style="459" customWidth="1"/>
    <col min="3" max="3" width="50.81640625" style="459" bestFit="1" customWidth="1"/>
    <col min="4" max="4" width="8.81640625" style="459"/>
    <col min="5" max="5" width="10.453125" style="541" bestFit="1" customWidth="1"/>
    <col min="6" max="6" width="9.453125" style="541" bestFit="1" customWidth="1"/>
    <col min="7" max="11" width="8.81640625" style="541"/>
    <col min="12" max="12" width="9.453125" style="541" bestFit="1" customWidth="1"/>
    <col min="13" max="13" width="10.1796875" style="541" bestFit="1" customWidth="1"/>
    <col min="14" max="16384" width="8.81640625" style="459"/>
  </cols>
  <sheetData>
    <row r="1" spans="1:13" ht="13.5" thickBot="1" x14ac:dyDescent="0.3">
      <c r="A1" s="807" t="s">
        <v>748</v>
      </c>
      <c r="B1" s="807"/>
      <c r="C1" s="807"/>
      <c r="D1" s="807"/>
      <c r="E1" s="807"/>
      <c r="F1" s="807"/>
      <c r="G1" s="807"/>
      <c r="H1" s="807"/>
      <c r="I1" s="807"/>
      <c r="J1" s="807"/>
      <c r="K1" s="807"/>
      <c r="L1" s="807"/>
      <c r="M1" s="807"/>
    </row>
    <row r="2" spans="1:13" ht="13.5" thickBot="1" x14ac:dyDescent="0.3">
      <c r="A2" s="808" t="s">
        <v>669</v>
      </c>
      <c r="B2" s="862" t="s">
        <v>670</v>
      </c>
      <c r="C2" s="862" t="s">
        <v>671</v>
      </c>
      <c r="D2" s="864" t="s">
        <v>672</v>
      </c>
      <c r="E2" s="814" t="s">
        <v>673</v>
      </c>
      <c r="F2" s="814"/>
      <c r="G2" s="814"/>
      <c r="H2" s="814"/>
      <c r="I2" s="814" t="s">
        <v>674</v>
      </c>
      <c r="J2" s="814"/>
      <c r="K2" s="814"/>
      <c r="L2" s="814"/>
      <c r="M2" s="814"/>
    </row>
    <row r="3" spans="1:13" ht="13.5" thickBot="1" x14ac:dyDescent="0.3">
      <c r="A3" s="809"/>
      <c r="B3" s="863"/>
      <c r="C3" s="863"/>
      <c r="D3" s="865"/>
      <c r="E3" s="421" t="s">
        <v>675</v>
      </c>
      <c r="F3" s="421" t="s">
        <v>162</v>
      </c>
      <c r="G3" s="421" t="s">
        <v>676</v>
      </c>
      <c r="H3" s="421"/>
      <c r="I3" s="421" t="s">
        <v>675</v>
      </c>
      <c r="J3" s="421" t="s">
        <v>162</v>
      </c>
      <c r="K3" s="421" t="s">
        <v>676</v>
      </c>
      <c r="L3" s="421" t="s">
        <v>677</v>
      </c>
      <c r="M3" s="421" t="s">
        <v>678</v>
      </c>
    </row>
    <row r="4" spans="1:13" ht="13" x14ac:dyDescent="0.25">
      <c r="A4" s="860" t="s">
        <v>749</v>
      </c>
      <c r="B4" s="861"/>
      <c r="C4" s="861"/>
      <c r="D4" s="727"/>
      <c r="E4" s="423"/>
      <c r="F4" s="423"/>
      <c r="G4" s="423"/>
      <c r="H4" s="423"/>
      <c r="I4" s="423"/>
      <c r="J4" s="423"/>
      <c r="K4" s="423"/>
      <c r="L4" s="423"/>
      <c r="M4" s="536"/>
    </row>
    <row r="5" spans="1:13" ht="87.5" x14ac:dyDescent="0.25">
      <c r="A5" s="474">
        <v>1</v>
      </c>
      <c r="B5" s="526" t="s">
        <v>97</v>
      </c>
      <c r="C5" s="527" t="s">
        <v>282</v>
      </c>
      <c r="D5" s="515" t="s">
        <v>95</v>
      </c>
      <c r="E5" s="47"/>
      <c r="F5" s="47"/>
      <c r="G5" s="47"/>
      <c r="H5" s="47"/>
      <c r="I5" s="47"/>
      <c r="J5" s="47"/>
      <c r="K5" s="47"/>
      <c r="L5" s="515">
        <v>1</v>
      </c>
      <c r="M5" s="428">
        <f>PRODUCT(I5:L5)</f>
        <v>1</v>
      </c>
    </row>
    <row r="6" spans="1:13" ht="13" x14ac:dyDescent="0.25">
      <c r="A6" s="474">
        <f>A5+1</f>
        <v>2</v>
      </c>
      <c r="B6" s="528" t="s">
        <v>126</v>
      </c>
      <c r="C6" s="527" t="s">
        <v>127</v>
      </c>
      <c r="D6" s="514" t="s">
        <v>95</v>
      </c>
      <c r="E6" s="537"/>
      <c r="F6" s="537"/>
      <c r="G6" s="537"/>
      <c r="H6" s="537"/>
      <c r="I6" s="537"/>
      <c r="J6" s="537"/>
      <c r="K6" s="537"/>
      <c r="L6" s="529">
        <v>6</v>
      </c>
      <c r="M6" s="428">
        <f t="shared" ref="M6" si="0">PRODUCT(I6:L6)</f>
        <v>6</v>
      </c>
    </row>
    <row r="7" spans="1:13" x14ac:dyDescent="0.25">
      <c r="A7" s="474">
        <f>A6+1</f>
        <v>3</v>
      </c>
      <c r="B7" s="475" t="s">
        <v>763</v>
      </c>
      <c r="C7" s="475" t="s">
        <v>764</v>
      </c>
      <c r="D7" s="478" t="s">
        <v>112</v>
      </c>
      <c r="E7" s="537"/>
      <c r="F7" s="537"/>
      <c r="G7" s="537"/>
      <c r="H7" s="537"/>
      <c r="I7" s="537"/>
      <c r="J7" s="537"/>
      <c r="K7" s="537"/>
      <c r="L7" s="537"/>
      <c r="M7" s="538"/>
    </row>
    <row r="8" spans="1:13" x14ac:dyDescent="0.25">
      <c r="A8" s="474"/>
      <c r="B8" s="475"/>
      <c r="C8" s="483" t="s">
        <v>972</v>
      </c>
      <c r="D8" s="484" t="s">
        <v>679</v>
      </c>
      <c r="E8" s="469">
        <f>5813+2471</f>
        <v>8284</v>
      </c>
      <c r="F8" s="469">
        <f>3800-1200</f>
        <v>2600</v>
      </c>
      <c r="G8" s="537"/>
      <c r="H8" s="537"/>
      <c r="I8" s="469">
        <f t="shared" ref="I8:J12" si="1">E8/304.8</f>
        <v>27.178477690288712</v>
      </c>
      <c r="J8" s="469">
        <f t="shared" si="1"/>
        <v>8.530183727034121</v>
      </c>
      <c r="K8" s="537"/>
      <c r="L8" s="537">
        <v>1</v>
      </c>
      <c r="M8" s="470">
        <f>L8*J8*I8</f>
        <v>231.83740811926069</v>
      </c>
    </row>
    <row r="9" spans="1:13" x14ac:dyDescent="0.25">
      <c r="A9" s="474"/>
      <c r="B9" s="475"/>
      <c r="C9" s="483" t="s">
        <v>876</v>
      </c>
      <c r="D9" s="484" t="s">
        <v>679</v>
      </c>
      <c r="E9" s="469">
        <v>2000</v>
      </c>
      <c r="F9" s="469">
        <v>2600</v>
      </c>
      <c r="G9" s="537"/>
      <c r="H9" s="537"/>
      <c r="I9" s="469">
        <f t="shared" si="1"/>
        <v>6.5616797900262469</v>
      </c>
      <c r="J9" s="469">
        <f t="shared" si="1"/>
        <v>8.530183727034121</v>
      </c>
      <c r="K9" s="537"/>
      <c r="L9" s="537">
        <v>1</v>
      </c>
      <c r="M9" s="470">
        <f>L9*J9*I9</f>
        <v>55.972334166890562</v>
      </c>
    </row>
    <row r="10" spans="1:13" x14ac:dyDescent="0.25">
      <c r="A10" s="474"/>
      <c r="B10" s="475"/>
      <c r="C10" s="483" t="s">
        <v>877</v>
      </c>
      <c r="D10" s="484" t="s">
        <v>679</v>
      </c>
      <c r="E10" s="469">
        <v>6000</v>
      </c>
      <c r="F10" s="469">
        <v>500</v>
      </c>
      <c r="G10" s="537"/>
      <c r="H10" s="537"/>
      <c r="I10" s="469">
        <f t="shared" si="1"/>
        <v>19.685039370078741</v>
      </c>
      <c r="J10" s="469">
        <f t="shared" si="1"/>
        <v>1.6404199475065617</v>
      </c>
      <c r="K10" s="537"/>
      <c r="L10" s="537">
        <v>1</v>
      </c>
      <c r="M10" s="470">
        <f>L10*J10*I10</f>
        <v>32.291731250129168</v>
      </c>
    </row>
    <row r="11" spans="1:13" x14ac:dyDescent="0.25">
      <c r="A11" s="474"/>
      <c r="B11" s="475"/>
      <c r="C11" s="483"/>
      <c r="D11" s="484" t="s">
        <v>679</v>
      </c>
      <c r="E11" s="469"/>
      <c r="F11" s="469"/>
      <c r="G11" s="537"/>
      <c r="H11" s="537"/>
      <c r="I11" s="469">
        <f t="shared" si="1"/>
        <v>0</v>
      </c>
      <c r="J11" s="469">
        <f t="shared" si="1"/>
        <v>0</v>
      </c>
      <c r="K11" s="537"/>
      <c r="L11" s="537"/>
      <c r="M11" s="470">
        <f>L11*J11*I11</f>
        <v>0</v>
      </c>
    </row>
    <row r="12" spans="1:13" x14ac:dyDescent="0.25">
      <c r="A12" s="474"/>
      <c r="B12" s="475"/>
      <c r="C12" s="483"/>
      <c r="D12" s="484" t="s">
        <v>679</v>
      </c>
      <c r="E12" s="469"/>
      <c r="F12" s="469"/>
      <c r="G12" s="537"/>
      <c r="H12" s="537"/>
      <c r="I12" s="469">
        <f t="shared" si="1"/>
        <v>0</v>
      </c>
      <c r="J12" s="469">
        <f t="shared" si="1"/>
        <v>0</v>
      </c>
      <c r="K12" s="537"/>
      <c r="L12" s="537"/>
      <c r="M12" s="470">
        <f>L12*J12*I12</f>
        <v>0</v>
      </c>
    </row>
    <row r="13" spans="1:13" x14ac:dyDescent="0.25">
      <c r="A13" s="474"/>
      <c r="B13" s="475"/>
      <c r="C13" s="483"/>
      <c r="D13" s="483"/>
      <c r="E13" s="537"/>
      <c r="F13" s="537"/>
      <c r="G13" s="537"/>
      <c r="H13" s="537"/>
      <c r="I13" s="537"/>
      <c r="J13" s="537"/>
      <c r="K13" s="537"/>
      <c r="L13" s="537"/>
      <c r="M13" s="538"/>
    </row>
    <row r="14" spans="1:13" ht="13" x14ac:dyDescent="0.3">
      <c r="A14" s="474"/>
      <c r="B14" s="475"/>
      <c r="C14" s="476" t="s">
        <v>684</v>
      </c>
      <c r="D14" s="468" t="s">
        <v>679</v>
      </c>
      <c r="E14" s="477"/>
      <c r="F14" s="477"/>
      <c r="G14" s="477"/>
      <c r="H14" s="477"/>
      <c r="I14" s="477"/>
      <c r="J14" s="477"/>
      <c r="K14" s="477"/>
      <c r="L14" s="477"/>
      <c r="M14" s="494">
        <f>SUM(M8:M13)</f>
        <v>320.10147353628042</v>
      </c>
    </row>
    <row r="15" spans="1:13" x14ac:dyDescent="0.25">
      <c r="A15" s="474"/>
      <c r="B15" s="475"/>
      <c r="C15" s="475"/>
      <c r="D15" s="478"/>
      <c r="E15" s="537"/>
      <c r="F15" s="537"/>
      <c r="G15" s="537"/>
      <c r="H15" s="537"/>
      <c r="I15" s="537"/>
      <c r="J15" s="537"/>
      <c r="K15" s="537"/>
      <c r="L15" s="537"/>
      <c r="M15" s="538"/>
    </row>
    <row r="16" spans="1:13" ht="13" x14ac:dyDescent="0.25">
      <c r="A16" s="474">
        <f>A7+1</f>
        <v>4</v>
      </c>
      <c r="B16" s="475" t="s">
        <v>765</v>
      </c>
      <c r="C16" s="475" t="s">
        <v>766</v>
      </c>
      <c r="D16" s="478" t="s">
        <v>398</v>
      </c>
      <c r="E16" s="537"/>
      <c r="F16" s="537"/>
      <c r="G16" s="537"/>
      <c r="H16" s="537"/>
      <c r="I16" s="537"/>
      <c r="J16" s="537"/>
      <c r="K16" s="537"/>
      <c r="L16" s="469">
        <v>2</v>
      </c>
      <c r="M16" s="428">
        <f t="shared" ref="M16:M19" si="2">PRODUCT(I16:L16)</f>
        <v>2</v>
      </c>
    </row>
    <row r="17" spans="1:13" ht="13" x14ac:dyDescent="0.25">
      <c r="A17" s="474">
        <f t="shared" ref="A17:A38" si="3">A16+1</f>
        <v>5</v>
      </c>
      <c r="B17" s="475" t="s">
        <v>767</v>
      </c>
      <c r="C17" s="475" t="s">
        <v>768</v>
      </c>
      <c r="D17" s="478" t="s">
        <v>769</v>
      </c>
      <c r="E17" s="537"/>
      <c r="F17" s="537"/>
      <c r="G17" s="537"/>
      <c r="H17" s="537"/>
      <c r="I17" s="537"/>
      <c r="J17" s="537"/>
      <c r="K17" s="537"/>
      <c r="L17" s="535">
        <v>1</v>
      </c>
      <c r="M17" s="428">
        <f t="shared" si="2"/>
        <v>1</v>
      </c>
    </row>
    <row r="18" spans="1:13" ht="13" x14ac:dyDescent="0.25">
      <c r="A18" s="474">
        <f t="shared" si="3"/>
        <v>6</v>
      </c>
      <c r="B18" s="475" t="s">
        <v>770</v>
      </c>
      <c r="C18" s="475" t="s">
        <v>771</v>
      </c>
      <c r="D18" s="478" t="s">
        <v>398</v>
      </c>
      <c r="E18" s="537"/>
      <c r="F18" s="537"/>
      <c r="G18" s="537"/>
      <c r="H18" s="537"/>
      <c r="I18" s="537"/>
      <c r="J18" s="537"/>
      <c r="K18" s="537"/>
      <c r="L18" s="535">
        <v>1</v>
      </c>
      <c r="M18" s="428">
        <f t="shared" si="2"/>
        <v>1</v>
      </c>
    </row>
    <row r="19" spans="1:13" ht="37.5" x14ac:dyDescent="0.25">
      <c r="A19" s="474">
        <f t="shared" si="3"/>
        <v>7</v>
      </c>
      <c r="B19" s="475" t="s">
        <v>772</v>
      </c>
      <c r="C19" s="530" t="s">
        <v>773</v>
      </c>
      <c r="D19" s="478" t="s">
        <v>769</v>
      </c>
      <c r="E19" s="537"/>
      <c r="F19" s="537"/>
      <c r="G19" s="537"/>
      <c r="H19" s="537"/>
      <c r="I19" s="537"/>
      <c r="J19" s="537"/>
      <c r="K19" s="537"/>
      <c r="L19" s="535">
        <v>1</v>
      </c>
      <c r="M19" s="428">
        <f t="shared" si="2"/>
        <v>1</v>
      </c>
    </row>
    <row r="20" spans="1:13" ht="39" x14ac:dyDescent="0.25">
      <c r="A20" s="474">
        <f t="shared" si="3"/>
        <v>8</v>
      </c>
      <c r="B20" s="475" t="s">
        <v>774</v>
      </c>
      <c r="C20" s="560" t="s">
        <v>785</v>
      </c>
      <c r="D20" s="478" t="s">
        <v>112</v>
      </c>
      <c r="E20" s="537"/>
      <c r="F20" s="537"/>
      <c r="G20" s="537"/>
      <c r="H20" s="537"/>
      <c r="I20" s="537"/>
      <c r="J20" s="537"/>
      <c r="K20" s="537"/>
      <c r="L20" s="537"/>
      <c r="M20" s="538"/>
    </row>
    <row r="21" spans="1:13" x14ac:dyDescent="0.25">
      <c r="A21" s="482"/>
      <c r="B21" s="483"/>
      <c r="C21" s="483" t="s">
        <v>743</v>
      </c>
      <c r="D21" s="484" t="s">
        <v>679</v>
      </c>
      <c r="E21" s="657">
        <v>6850</v>
      </c>
      <c r="F21" s="657">
        <v>4510</v>
      </c>
      <c r="G21" s="658"/>
      <c r="H21" s="658"/>
      <c r="I21" s="657">
        <f t="shared" ref="I21:J28" si="4">E21/304.8</f>
        <v>22.473753280839894</v>
      </c>
      <c r="J21" s="657">
        <f t="shared" si="4"/>
        <v>14.796587926509186</v>
      </c>
      <c r="K21" s="658"/>
      <c r="L21" s="658">
        <v>1</v>
      </c>
      <c r="M21" s="659">
        <f>L21*J21*I21</f>
        <v>332.53486645862176</v>
      </c>
    </row>
    <row r="22" spans="1:13" x14ac:dyDescent="0.25">
      <c r="A22" s="482"/>
      <c r="B22" s="483"/>
      <c r="C22" s="483" t="s">
        <v>744</v>
      </c>
      <c r="D22" s="484" t="s">
        <v>679</v>
      </c>
      <c r="E22" s="657">
        <v>1500</v>
      </c>
      <c r="F22" s="657">
        <v>1900</v>
      </c>
      <c r="G22" s="658"/>
      <c r="H22" s="658"/>
      <c r="I22" s="657">
        <f t="shared" si="4"/>
        <v>4.9212598425196852</v>
      </c>
      <c r="J22" s="657">
        <f t="shared" si="4"/>
        <v>6.2335958005249346</v>
      </c>
      <c r="K22" s="658"/>
      <c r="L22" s="658">
        <v>-1</v>
      </c>
      <c r="M22" s="659">
        <f>L22*J22*I22</f>
        <v>-30.677144687622711</v>
      </c>
    </row>
    <row r="23" spans="1:13" x14ac:dyDescent="0.25">
      <c r="A23" s="482"/>
      <c r="B23" s="483"/>
      <c r="C23" s="483" t="s">
        <v>745</v>
      </c>
      <c r="D23" s="484" t="s">
        <v>679</v>
      </c>
      <c r="E23" s="657">
        <f>6850-1500</f>
        <v>5350</v>
      </c>
      <c r="F23" s="657">
        <v>1600</v>
      </c>
      <c r="G23" s="658"/>
      <c r="H23" s="658"/>
      <c r="I23" s="657">
        <f t="shared" si="4"/>
        <v>17.552493438320209</v>
      </c>
      <c r="J23" s="657">
        <f t="shared" si="4"/>
        <v>5.2493438320209975</v>
      </c>
      <c r="K23" s="658"/>
      <c r="L23" s="658">
        <v>1</v>
      </c>
      <c r="M23" s="659">
        <f t="shared" ref="M23:M26" si="5">L23*J23*I23</f>
        <v>92.139073167035221</v>
      </c>
    </row>
    <row r="24" spans="1:13" x14ac:dyDescent="0.25">
      <c r="A24" s="482"/>
      <c r="B24" s="483"/>
      <c r="C24" s="483"/>
      <c r="D24" s="484" t="s">
        <v>679</v>
      </c>
      <c r="E24" s="657">
        <v>1900</v>
      </c>
      <c r="F24" s="657">
        <v>1600</v>
      </c>
      <c r="G24" s="658"/>
      <c r="H24" s="658"/>
      <c r="I24" s="657">
        <f t="shared" si="4"/>
        <v>6.2335958005249346</v>
      </c>
      <c r="J24" s="657">
        <f t="shared" si="4"/>
        <v>5.2493438320209975</v>
      </c>
      <c r="K24" s="658"/>
      <c r="L24" s="658">
        <v>2</v>
      </c>
      <c r="M24" s="659">
        <f t="shared" si="5"/>
        <v>65.444575333595111</v>
      </c>
    </row>
    <row r="25" spans="1:13" x14ac:dyDescent="0.25">
      <c r="A25" s="482"/>
      <c r="B25" s="483"/>
      <c r="C25" s="483"/>
      <c r="D25" s="484" t="s">
        <v>679</v>
      </c>
      <c r="E25" s="657">
        <v>1500</v>
      </c>
      <c r="F25" s="657">
        <v>1600</v>
      </c>
      <c r="G25" s="658"/>
      <c r="H25" s="658"/>
      <c r="I25" s="657">
        <f t="shared" si="4"/>
        <v>4.9212598425196852</v>
      </c>
      <c r="J25" s="657">
        <f t="shared" si="4"/>
        <v>5.2493438320209975</v>
      </c>
      <c r="K25" s="658"/>
      <c r="L25" s="658">
        <v>1</v>
      </c>
      <c r="M25" s="659">
        <f t="shared" si="5"/>
        <v>25.833385000103334</v>
      </c>
    </row>
    <row r="26" spans="1:13" x14ac:dyDescent="0.25">
      <c r="A26" s="482"/>
      <c r="B26" s="483"/>
      <c r="C26" s="483" t="s">
        <v>973</v>
      </c>
      <c r="D26" s="484" t="s">
        <v>679</v>
      </c>
      <c r="E26" s="657">
        <v>6850</v>
      </c>
      <c r="F26" s="657">
        <v>2000</v>
      </c>
      <c r="G26" s="658"/>
      <c r="H26" s="658"/>
      <c r="I26" s="657">
        <f t="shared" si="4"/>
        <v>22.473753280839894</v>
      </c>
      <c r="J26" s="657">
        <f t="shared" si="4"/>
        <v>6.5616797900262469</v>
      </c>
      <c r="K26" s="658"/>
      <c r="L26" s="658">
        <v>1</v>
      </c>
      <c r="M26" s="659">
        <f t="shared" si="5"/>
        <v>147.46557270892319</v>
      </c>
    </row>
    <row r="27" spans="1:13" x14ac:dyDescent="0.25">
      <c r="A27" s="482"/>
      <c r="B27" s="483"/>
      <c r="C27" s="483" t="s">
        <v>744</v>
      </c>
      <c r="D27" s="484" t="s">
        <v>679</v>
      </c>
      <c r="E27" s="657">
        <v>1500</v>
      </c>
      <c r="F27" s="657">
        <v>1900</v>
      </c>
      <c r="G27" s="658"/>
      <c r="H27" s="658"/>
      <c r="I27" s="657">
        <f t="shared" si="4"/>
        <v>4.9212598425196852</v>
      </c>
      <c r="J27" s="657">
        <f t="shared" si="4"/>
        <v>6.2335958005249346</v>
      </c>
      <c r="K27" s="658"/>
      <c r="L27" s="658">
        <v>-1</v>
      </c>
      <c r="M27" s="659">
        <f>L27*J27*I27</f>
        <v>-30.677144687622711</v>
      </c>
    </row>
    <row r="28" spans="1:13" x14ac:dyDescent="0.25">
      <c r="A28" s="482"/>
      <c r="B28" s="483"/>
      <c r="C28" s="483" t="s">
        <v>745</v>
      </c>
      <c r="D28" s="484" t="s">
        <v>679</v>
      </c>
      <c r="E28" s="657">
        <f>6850-1500</f>
        <v>5350</v>
      </c>
      <c r="F28" s="657">
        <v>1600</v>
      </c>
      <c r="G28" s="658"/>
      <c r="H28" s="658"/>
      <c r="I28" s="657">
        <f t="shared" si="4"/>
        <v>17.552493438320209</v>
      </c>
      <c r="J28" s="657">
        <f t="shared" si="4"/>
        <v>5.2493438320209975</v>
      </c>
      <c r="K28" s="658"/>
      <c r="L28" s="658">
        <v>1</v>
      </c>
      <c r="M28" s="659">
        <f t="shared" ref="M28" si="6">L28*J28*I28</f>
        <v>92.139073167035221</v>
      </c>
    </row>
    <row r="29" spans="1:13" x14ac:dyDescent="0.25">
      <c r="A29" s="482"/>
      <c r="B29" s="483"/>
      <c r="C29" s="483"/>
      <c r="D29" s="484" t="s">
        <v>679</v>
      </c>
      <c r="E29" s="657"/>
      <c r="F29" s="657"/>
      <c r="G29" s="658"/>
      <c r="H29" s="658"/>
      <c r="I29" s="657"/>
      <c r="J29" s="657"/>
      <c r="K29" s="658"/>
      <c r="L29" s="658"/>
      <c r="M29" s="659"/>
    </row>
    <row r="30" spans="1:13" x14ac:dyDescent="0.25">
      <c r="A30" s="482"/>
      <c r="B30" s="483"/>
      <c r="C30" s="483"/>
      <c r="D30" s="483"/>
      <c r="E30" s="537"/>
      <c r="F30" s="537"/>
      <c r="G30" s="537"/>
      <c r="H30" s="537"/>
      <c r="I30" s="537"/>
      <c r="J30" s="537"/>
      <c r="K30" s="537"/>
      <c r="L30" s="537"/>
      <c r="M30" s="538"/>
    </row>
    <row r="31" spans="1:13" ht="13" x14ac:dyDescent="0.3">
      <c r="A31" s="482"/>
      <c r="B31" s="483"/>
      <c r="C31" s="476" t="s">
        <v>684</v>
      </c>
      <c r="D31" s="468" t="s">
        <v>679</v>
      </c>
      <c r="E31" s="477"/>
      <c r="F31" s="477"/>
      <c r="G31" s="477"/>
      <c r="H31" s="477"/>
      <c r="I31" s="477"/>
      <c r="J31" s="477"/>
      <c r="K31" s="477"/>
      <c r="L31" s="477"/>
      <c r="M31" s="494">
        <f>SUM(M21:M30)</f>
        <v>694.2022564600685</v>
      </c>
    </row>
    <row r="32" spans="1:13" x14ac:dyDescent="0.25">
      <c r="A32" s="482"/>
      <c r="B32" s="483"/>
      <c r="C32" s="483"/>
      <c r="D32" s="483"/>
      <c r="E32" s="537"/>
      <c r="F32" s="537"/>
      <c r="G32" s="537"/>
      <c r="H32" s="537"/>
      <c r="I32" s="537"/>
      <c r="J32" s="537"/>
      <c r="K32" s="537"/>
      <c r="L32" s="537"/>
      <c r="M32" s="538"/>
    </row>
    <row r="33" spans="1:13" x14ac:dyDescent="0.25">
      <c r="A33" s="474">
        <f>A20+1</f>
        <v>9</v>
      </c>
      <c r="B33" s="475" t="s">
        <v>775</v>
      </c>
      <c r="C33" s="475" t="s">
        <v>775</v>
      </c>
      <c r="D33" s="478" t="s">
        <v>112</v>
      </c>
      <c r="E33" s="537"/>
      <c r="F33" s="537"/>
      <c r="G33" s="537"/>
      <c r="H33" s="537"/>
      <c r="I33" s="537"/>
      <c r="J33" s="537"/>
      <c r="K33" s="537"/>
      <c r="L33" s="537"/>
      <c r="M33" s="538"/>
    </row>
    <row r="34" spans="1:13" ht="13" x14ac:dyDescent="0.25">
      <c r="A34" s="482"/>
      <c r="B34" s="483"/>
      <c r="C34" s="483" t="s">
        <v>174</v>
      </c>
      <c r="D34" s="484" t="s">
        <v>679</v>
      </c>
      <c r="E34" s="657">
        <v>3600</v>
      </c>
      <c r="F34" s="657">
        <v>2440</v>
      </c>
      <c r="G34" s="658"/>
      <c r="H34" s="658"/>
      <c r="I34" s="657">
        <f t="shared" ref="I34:J34" si="7">E34/304.8</f>
        <v>11.811023622047244</v>
      </c>
      <c r="J34" s="657">
        <f t="shared" si="7"/>
        <v>8.0052493438320216</v>
      </c>
      <c r="K34" s="658"/>
      <c r="L34" s="658">
        <v>1</v>
      </c>
      <c r="M34" s="494">
        <f>L34*J34*I34</f>
        <v>94.550189100378205</v>
      </c>
    </row>
    <row r="35" spans="1:13" x14ac:dyDescent="0.25">
      <c r="A35" s="482"/>
      <c r="B35" s="483"/>
      <c r="C35" s="483"/>
      <c r="D35" s="483"/>
      <c r="E35" s="537"/>
      <c r="F35" s="537"/>
      <c r="G35" s="537"/>
      <c r="H35" s="537"/>
      <c r="I35" s="537"/>
      <c r="J35" s="537"/>
      <c r="K35" s="537"/>
      <c r="L35" s="537"/>
      <c r="M35" s="538"/>
    </row>
    <row r="36" spans="1:13" ht="25" x14ac:dyDescent="0.25">
      <c r="A36" s="474">
        <f>A33+1</f>
        <v>10</v>
      </c>
      <c r="B36" s="475" t="s">
        <v>776</v>
      </c>
      <c r="C36" s="531" t="s">
        <v>777</v>
      </c>
      <c r="D36" s="478" t="s">
        <v>974</v>
      </c>
      <c r="E36" s="537"/>
      <c r="F36" s="537"/>
      <c r="G36" s="537"/>
      <c r="H36" s="537"/>
      <c r="I36" s="537"/>
      <c r="J36" s="537"/>
      <c r="K36" s="537"/>
      <c r="L36" s="469">
        <v>6</v>
      </c>
      <c r="M36" s="428">
        <f t="shared" ref="M36:M38" si="8">PRODUCT(I36:L36)</f>
        <v>6</v>
      </c>
    </row>
    <row r="37" spans="1:13" ht="25" x14ac:dyDescent="0.25">
      <c r="A37" s="474">
        <f>A36+1</f>
        <v>11</v>
      </c>
      <c r="B37" s="475" t="s">
        <v>779</v>
      </c>
      <c r="C37" s="532" t="s">
        <v>780</v>
      </c>
      <c r="D37" s="533" t="s">
        <v>769</v>
      </c>
      <c r="E37" s="537"/>
      <c r="F37" s="537"/>
      <c r="G37" s="537"/>
      <c r="H37" s="537"/>
      <c r="I37" s="537"/>
      <c r="J37" s="537"/>
      <c r="K37" s="537"/>
      <c r="L37" s="469">
        <v>8</v>
      </c>
      <c r="M37" s="428">
        <f t="shared" si="8"/>
        <v>8</v>
      </c>
    </row>
    <row r="38" spans="1:13" ht="25" x14ac:dyDescent="0.25">
      <c r="A38" s="474">
        <f t="shared" si="3"/>
        <v>12</v>
      </c>
      <c r="B38" s="475" t="s">
        <v>779</v>
      </c>
      <c r="C38" s="532" t="s">
        <v>781</v>
      </c>
      <c r="D38" s="533" t="s">
        <v>769</v>
      </c>
      <c r="E38" s="537"/>
      <c r="F38" s="537"/>
      <c r="G38" s="537"/>
      <c r="H38" s="537"/>
      <c r="I38" s="537"/>
      <c r="J38" s="537"/>
      <c r="K38" s="537"/>
      <c r="L38" s="469">
        <v>1</v>
      </c>
      <c r="M38" s="428">
        <f t="shared" si="8"/>
        <v>1</v>
      </c>
    </row>
    <row r="39" spans="1:13" x14ac:dyDescent="0.25">
      <c r="A39" s="482"/>
      <c r="B39" s="483"/>
      <c r="C39" s="483"/>
      <c r="D39" s="483"/>
      <c r="E39" s="537"/>
      <c r="F39" s="537"/>
      <c r="G39" s="537"/>
      <c r="H39" s="537"/>
      <c r="I39" s="537"/>
      <c r="J39" s="537"/>
      <c r="K39" s="537"/>
      <c r="L39" s="537"/>
      <c r="M39" s="538"/>
    </row>
    <row r="40" spans="1:13" ht="72" x14ac:dyDescent="0.25">
      <c r="A40" s="554">
        <f>A38+1</f>
        <v>13</v>
      </c>
      <c r="B40" s="17" t="s">
        <v>786</v>
      </c>
      <c r="C40" s="179" t="s">
        <v>625</v>
      </c>
      <c r="D40" s="483"/>
      <c r="E40" s="537"/>
      <c r="F40" s="537"/>
      <c r="G40" s="537"/>
      <c r="H40" s="537"/>
      <c r="I40" s="537"/>
      <c r="J40" s="537"/>
      <c r="K40" s="537"/>
      <c r="L40" s="537"/>
      <c r="M40" s="538"/>
    </row>
    <row r="41" spans="1:13" ht="13" x14ac:dyDescent="0.25">
      <c r="A41" s="26"/>
      <c r="B41" s="215" t="s">
        <v>493</v>
      </c>
      <c r="C41" s="179" t="s">
        <v>787</v>
      </c>
      <c r="D41" s="471" t="s">
        <v>111</v>
      </c>
      <c r="E41" s="537"/>
      <c r="F41" s="537"/>
      <c r="G41" s="537"/>
      <c r="H41" s="537"/>
      <c r="I41" s="537"/>
      <c r="J41" s="537"/>
      <c r="K41" s="537"/>
      <c r="L41" s="537">
        <v>8</v>
      </c>
      <c r="M41" s="428">
        <f t="shared" ref="M41:M42" si="9">PRODUCT(I41:L41)</f>
        <v>8</v>
      </c>
    </row>
    <row r="42" spans="1:13" ht="36" x14ac:dyDescent="0.25">
      <c r="A42" s="26">
        <f>A40+1</f>
        <v>14</v>
      </c>
      <c r="B42" s="17" t="s">
        <v>788</v>
      </c>
      <c r="C42" s="179" t="s">
        <v>795</v>
      </c>
      <c r="D42" s="478" t="s">
        <v>778</v>
      </c>
      <c r="E42" s="537"/>
      <c r="F42" s="537"/>
      <c r="G42" s="537"/>
      <c r="H42" s="537"/>
      <c r="I42" s="537"/>
      <c r="J42" s="537"/>
      <c r="K42" s="537"/>
      <c r="L42" s="537">
        <v>1</v>
      </c>
      <c r="M42" s="428">
        <f t="shared" si="9"/>
        <v>1</v>
      </c>
    </row>
    <row r="43" spans="1:13" ht="13" x14ac:dyDescent="0.25">
      <c r="A43" s="26">
        <f>A42+1</f>
        <v>15</v>
      </c>
      <c r="B43" s="17" t="s">
        <v>789</v>
      </c>
      <c r="C43" s="179" t="s">
        <v>790</v>
      </c>
      <c r="D43" s="471" t="s">
        <v>112</v>
      </c>
      <c r="E43" s="537"/>
      <c r="F43" s="537"/>
      <c r="G43" s="537"/>
      <c r="H43" s="537"/>
      <c r="I43" s="537"/>
      <c r="J43" s="537"/>
      <c r="K43" s="537"/>
      <c r="L43" s="537"/>
      <c r="M43" s="538"/>
    </row>
    <row r="44" spans="1:13" customFormat="1" ht="13" x14ac:dyDescent="0.3">
      <c r="A44" s="569"/>
      <c r="B44" s="17"/>
      <c r="C44" s="17" t="s">
        <v>796</v>
      </c>
      <c r="D44" s="574" t="s">
        <v>112</v>
      </c>
      <c r="E44" s="575">
        <v>17940</v>
      </c>
      <c r="F44" s="575">
        <v>3625</v>
      </c>
      <c r="G44" s="567"/>
      <c r="H44" s="565"/>
      <c r="I44" s="571">
        <f t="shared" ref="I44:J45" si="10">E44/304.8</f>
        <v>58.85826771653543</v>
      </c>
      <c r="J44" s="571">
        <f t="shared" si="10"/>
        <v>11.893044619422572</v>
      </c>
      <c r="K44" s="570"/>
      <c r="L44" s="572">
        <v>1</v>
      </c>
      <c r="M44" s="573">
        <f t="shared" ref="M44:M45" si="11">L44*J44*I44</f>
        <v>700.00400417467495</v>
      </c>
    </row>
    <row r="45" spans="1:13" customFormat="1" ht="13" x14ac:dyDescent="0.3">
      <c r="A45" s="569"/>
      <c r="B45" s="17"/>
      <c r="C45" s="17" t="s">
        <v>797</v>
      </c>
      <c r="D45" s="574" t="s">
        <v>112</v>
      </c>
      <c r="E45" s="575"/>
      <c r="F45" s="575"/>
      <c r="G45" s="567"/>
      <c r="H45" s="565"/>
      <c r="I45" s="571">
        <f t="shared" si="10"/>
        <v>0</v>
      </c>
      <c r="J45" s="571">
        <f t="shared" si="10"/>
        <v>0</v>
      </c>
      <c r="K45" s="570"/>
      <c r="L45" s="572">
        <v>1</v>
      </c>
      <c r="M45" s="573">
        <f t="shared" si="11"/>
        <v>0</v>
      </c>
    </row>
    <row r="46" spans="1:13" customFormat="1" ht="13" x14ac:dyDescent="0.3">
      <c r="A46" s="569"/>
      <c r="B46" s="17"/>
      <c r="C46" s="17" t="s">
        <v>684</v>
      </c>
      <c r="D46" s="566"/>
      <c r="E46" s="565"/>
      <c r="F46" s="565"/>
      <c r="G46" s="567"/>
      <c r="H46" s="565"/>
      <c r="I46" s="565"/>
      <c r="J46" s="565"/>
      <c r="K46" s="565"/>
      <c r="L46" s="565"/>
      <c r="M46" s="428">
        <f>SUM(M44:M45)</f>
        <v>700.00400417467495</v>
      </c>
    </row>
    <row r="47" spans="1:13" customFormat="1" ht="13" x14ac:dyDescent="0.3">
      <c r="A47" s="569"/>
      <c r="B47" s="17"/>
      <c r="C47" s="17"/>
      <c r="D47" s="566"/>
      <c r="E47" s="565"/>
      <c r="F47" s="565"/>
      <c r="G47" s="567"/>
      <c r="H47" s="565"/>
      <c r="I47" s="565"/>
      <c r="J47" s="565"/>
      <c r="K47" s="565"/>
      <c r="L47" s="565"/>
      <c r="M47" s="568"/>
    </row>
    <row r="48" spans="1:13" customFormat="1" ht="13" x14ac:dyDescent="0.3">
      <c r="A48" s="569"/>
      <c r="B48" s="17"/>
      <c r="C48" s="17"/>
      <c r="D48" s="566"/>
      <c r="E48" s="565"/>
      <c r="F48" s="565"/>
      <c r="G48" s="567"/>
      <c r="H48" s="565"/>
      <c r="I48" s="565"/>
      <c r="J48" s="565"/>
      <c r="K48" s="565"/>
      <c r="L48" s="565"/>
      <c r="M48" s="568"/>
    </row>
    <row r="49" spans="1:13" ht="13" x14ac:dyDescent="0.25">
      <c r="A49" s="26">
        <f>A43+1</f>
        <v>16</v>
      </c>
      <c r="B49" s="17" t="s">
        <v>791</v>
      </c>
      <c r="C49" s="17" t="s">
        <v>792</v>
      </c>
      <c r="D49" s="16" t="s">
        <v>151</v>
      </c>
      <c r="E49" s="658"/>
      <c r="F49" s="658"/>
      <c r="G49" s="658"/>
      <c r="H49" s="658"/>
      <c r="I49" s="658"/>
      <c r="J49" s="658"/>
      <c r="K49" s="658"/>
      <c r="L49" s="658">
        <v>1</v>
      </c>
      <c r="M49" s="428">
        <f>PRODUCT(E49:L49)</f>
        <v>1</v>
      </c>
    </row>
    <row r="50" spans="1:13" ht="26" x14ac:dyDescent="0.25">
      <c r="A50" s="26">
        <f>A49+1</f>
        <v>17</v>
      </c>
      <c r="B50" s="17" t="s">
        <v>793</v>
      </c>
      <c r="C50" s="560" t="s">
        <v>794</v>
      </c>
      <c r="D50" s="16" t="s">
        <v>398</v>
      </c>
      <c r="E50" s="658"/>
      <c r="F50" s="658"/>
      <c r="G50" s="658"/>
      <c r="H50" s="658"/>
      <c r="I50" s="658"/>
      <c r="J50" s="658"/>
      <c r="K50" s="658"/>
      <c r="L50" s="658">
        <v>1</v>
      </c>
      <c r="M50" s="428">
        <f>PRODUCT(E50:L50)</f>
        <v>1</v>
      </c>
    </row>
    <row r="51" spans="1:13" ht="13" x14ac:dyDescent="0.25">
      <c r="A51" s="26"/>
      <c r="B51" s="17"/>
      <c r="C51" s="560"/>
      <c r="D51" s="16"/>
      <c r="E51" s="658"/>
      <c r="F51" s="658"/>
      <c r="G51" s="658"/>
      <c r="H51" s="658"/>
      <c r="I51" s="658"/>
      <c r="J51" s="658"/>
      <c r="K51" s="658"/>
      <c r="L51" s="658"/>
      <c r="M51" s="428"/>
    </row>
    <row r="52" spans="1:13" ht="39" x14ac:dyDescent="0.25">
      <c r="A52" s="26">
        <f>A50+1</f>
        <v>18</v>
      </c>
      <c r="B52" s="17" t="s">
        <v>977</v>
      </c>
      <c r="C52" s="560" t="s">
        <v>978</v>
      </c>
      <c r="D52" s="16"/>
      <c r="E52" s="658"/>
      <c r="F52" s="658"/>
      <c r="G52" s="658"/>
      <c r="H52" s="658"/>
      <c r="I52" s="658"/>
      <c r="J52" s="658"/>
      <c r="K52" s="658"/>
      <c r="L52" s="658"/>
      <c r="M52" s="428"/>
    </row>
    <row r="53" spans="1:13" ht="13" x14ac:dyDescent="0.25">
      <c r="A53" s="26"/>
      <c r="B53" s="17"/>
      <c r="C53" s="132" t="s">
        <v>233</v>
      </c>
      <c r="D53" s="391" t="s">
        <v>679</v>
      </c>
      <c r="E53" s="47">
        <v>3.6749999999999998</v>
      </c>
      <c r="F53" s="47">
        <v>1.38</v>
      </c>
      <c r="G53" s="47"/>
      <c r="H53" s="47"/>
      <c r="I53" s="47"/>
      <c r="J53" s="47"/>
      <c r="K53" s="47"/>
      <c r="L53" s="47">
        <v>1</v>
      </c>
      <c r="M53" s="428">
        <f>PRODUCT(E53:L53)</f>
        <v>5.0714999999999995</v>
      </c>
    </row>
    <row r="54" spans="1:13" ht="13" x14ac:dyDescent="0.3">
      <c r="A54" s="26"/>
      <c r="B54" s="17"/>
      <c r="C54" s="392"/>
      <c r="D54" s="389"/>
      <c r="E54" s="47"/>
      <c r="F54" s="47"/>
      <c r="G54" s="47"/>
      <c r="H54" s="47"/>
      <c r="I54" s="47"/>
      <c r="J54" s="47"/>
      <c r="K54" s="47"/>
      <c r="L54" s="47"/>
      <c r="M54" s="428">
        <f t="shared" ref="M54:M56" si="12">PRODUCT(E54:L54)</f>
        <v>0</v>
      </c>
    </row>
    <row r="55" spans="1:13" ht="13" x14ac:dyDescent="0.25">
      <c r="A55" s="26"/>
      <c r="B55" s="17"/>
      <c r="C55" s="132" t="s">
        <v>865</v>
      </c>
      <c r="D55" s="391" t="s">
        <v>679</v>
      </c>
      <c r="E55" s="47">
        <v>6.0149999999999997</v>
      </c>
      <c r="F55" s="47">
        <v>6.49</v>
      </c>
      <c r="G55" s="47"/>
      <c r="H55" s="47"/>
      <c r="I55" s="47"/>
      <c r="J55" s="47"/>
      <c r="K55" s="47"/>
      <c r="L55" s="47">
        <v>1</v>
      </c>
      <c r="M55" s="428">
        <f t="shared" si="12"/>
        <v>39.037349999999996</v>
      </c>
    </row>
    <row r="56" spans="1:13" ht="13" x14ac:dyDescent="0.25">
      <c r="A56" s="26"/>
      <c r="B56" s="17"/>
      <c r="C56" s="132"/>
      <c r="D56" s="391"/>
      <c r="E56" s="47"/>
      <c r="F56" s="47"/>
      <c r="G56" s="47"/>
      <c r="H56" s="47"/>
      <c r="I56" s="47"/>
      <c r="J56" s="47"/>
      <c r="K56" s="47"/>
      <c r="L56" s="47"/>
      <c r="M56" s="428">
        <f t="shared" si="12"/>
        <v>0</v>
      </c>
    </row>
    <row r="57" spans="1:13" ht="13" x14ac:dyDescent="0.25">
      <c r="A57" s="26"/>
      <c r="B57" s="17"/>
      <c r="C57" s="132" t="s">
        <v>800</v>
      </c>
      <c r="D57" s="391"/>
      <c r="E57" s="47"/>
      <c r="F57" s="47"/>
      <c r="G57" s="47"/>
      <c r="H57" s="47"/>
      <c r="I57" s="47"/>
      <c r="J57" s="47"/>
      <c r="K57" s="47"/>
      <c r="L57" s="47"/>
      <c r="M57" s="428">
        <f>SUM(M53:M56)</f>
        <v>44.108849999999997</v>
      </c>
    </row>
    <row r="58" spans="1:13" ht="13" x14ac:dyDescent="0.25">
      <c r="A58" s="26"/>
      <c r="B58" s="17"/>
      <c r="C58" s="132"/>
      <c r="D58" s="391"/>
      <c r="E58" s="47"/>
      <c r="F58" s="47"/>
      <c r="G58" s="47"/>
      <c r="H58" s="47"/>
      <c r="I58" s="47"/>
      <c r="J58" s="47"/>
      <c r="K58" s="47"/>
      <c r="L58" s="47"/>
      <c r="M58" s="428"/>
    </row>
    <row r="59" spans="1:13" ht="24" x14ac:dyDescent="0.25">
      <c r="A59" s="26">
        <v>19</v>
      </c>
      <c r="B59" s="560" t="s">
        <v>979</v>
      </c>
      <c r="C59" s="713" t="s">
        <v>980</v>
      </c>
      <c r="D59" s="16" t="s">
        <v>95</v>
      </c>
      <c r="E59" s="16"/>
      <c r="F59" s="47"/>
      <c r="G59" s="47"/>
      <c r="H59" s="47"/>
      <c r="I59" s="47"/>
      <c r="J59" s="47"/>
      <c r="K59" s="47"/>
      <c r="L59" s="47">
        <v>1</v>
      </c>
      <c r="M59" s="428">
        <f t="shared" ref="M59:M88" si="13">PRODUCT(E59:L59)</f>
        <v>1</v>
      </c>
    </row>
    <row r="60" spans="1:13" ht="24" x14ac:dyDescent="0.25">
      <c r="A60" s="26">
        <v>20</v>
      </c>
      <c r="B60" s="560" t="s">
        <v>981</v>
      </c>
      <c r="C60" s="713" t="s">
        <v>982</v>
      </c>
      <c r="D60" s="16" t="s">
        <v>95</v>
      </c>
      <c r="E60" s="16"/>
      <c r="F60" s="47"/>
      <c r="G60" s="47"/>
      <c r="H60" s="47"/>
      <c r="I60" s="47"/>
      <c r="J60" s="47"/>
      <c r="K60" s="47"/>
      <c r="L60" s="47">
        <v>1</v>
      </c>
      <c r="M60" s="428">
        <f t="shared" si="13"/>
        <v>1</v>
      </c>
    </row>
    <row r="61" spans="1:13" ht="13" x14ac:dyDescent="0.25">
      <c r="A61" s="26">
        <v>21</v>
      </c>
      <c r="B61" s="560" t="s">
        <v>984</v>
      </c>
      <c r="C61" s="713" t="s">
        <v>983</v>
      </c>
      <c r="D61" s="16" t="s">
        <v>95</v>
      </c>
      <c r="E61" s="16"/>
      <c r="F61" s="47"/>
      <c r="G61" s="47"/>
      <c r="H61" s="47"/>
      <c r="I61" s="47"/>
      <c r="J61" s="47"/>
      <c r="K61" s="47"/>
      <c r="L61" s="47">
        <v>1</v>
      </c>
      <c r="M61" s="428">
        <f t="shared" si="13"/>
        <v>1</v>
      </c>
    </row>
    <row r="62" spans="1:13" ht="24" x14ac:dyDescent="0.25">
      <c r="A62" s="26">
        <v>22</v>
      </c>
      <c r="B62" s="560" t="s">
        <v>1013</v>
      </c>
      <c r="C62" s="713" t="s">
        <v>1014</v>
      </c>
      <c r="D62" s="16" t="s">
        <v>95</v>
      </c>
      <c r="E62" s="16"/>
      <c r="F62" s="47"/>
      <c r="G62" s="47"/>
      <c r="H62" s="47"/>
      <c r="I62" s="47"/>
      <c r="J62" s="47"/>
      <c r="K62" s="47"/>
      <c r="L62" s="47">
        <v>1</v>
      </c>
      <c r="M62" s="428">
        <f t="shared" si="13"/>
        <v>1</v>
      </c>
    </row>
    <row r="63" spans="1:13" ht="13" x14ac:dyDescent="0.25">
      <c r="A63" s="26">
        <v>23</v>
      </c>
      <c r="B63" s="560" t="s">
        <v>985</v>
      </c>
      <c r="C63" s="713"/>
      <c r="D63" s="16"/>
      <c r="E63" s="16"/>
      <c r="F63" s="47"/>
      <c r="G63" s="47"/>
      <c r="H63" s="47"/>
      <c r="I63" s="47"/>
      <c r="J63" s="47"/>
      <c r="K63" s="47"/>
      <c r="L63" s="47"/>
      <c r="M63" s="428">
        <f t="shared" si="13"/>
        <v>0</v>
      </c>
    </row>
    <row r="64" spans="1:13" ht="26" x14ac:dyDescent="0.25">
      <c r="A64" s="26" t="s">
        <v>1</v>
      </c>
      <c r="B64" s="560" t="s">
        <v>986</v>
      </c>
      <c r="C64" s="560" t="s">
        <v>987</v>
      </c>
      <c r="D64" s="16" t="s">
        <v>907</v>
      </c>
      <c r="E64" s="47">
        <v>120</v>
      </c>
      <c r="F64" s="47"/>
      <c r="G64" s="47"/>
      <c r="H64" s="47"/>
      <c r="I64" s="47"/>
      <c r="J64" s="47"/>
      <c r="K64" s="47"/>
      <c r="L64" s="47">
        <v>1</v>
      </c>
      <c r="M64" s="428">
        <f t="shared" si="13"/>
        <v>120</v>
      </c>
    </row>
    <row r="65" spans="1:13" ht="26" x14ac:dyDescent="0.25">
      <c r="A65" s="26" t="s">
        <v>2</v>
      </c>
      <c r="B65" s="560" t="s">
        <v>989</v>
      </c>
      <c r="C65" s="560" t="s">
        <v>988</v>
      </c>
      <c r="D65" s="16" t="s">
        <v>907</v>
      </c>
      <c r="E65" s="47">
        <v>52</v>
      </c>
      <c r="F65" s="47"/>
      <c r="G65" s="47"/>
      <c r="H65" s="47"/>
      <c r="I65" s="47"/>
      <c r="J65" s="47"/>
      <c r="K65" s="47"/>
      <c r="L65" s="47">
        <v>1</v>
      </c>
      <c r="M65" s="428">
        <f t="shared" si="13"/>
        <v>52</v>
      </c>
    </row>
    <row r="66" spans="1:13" ht="26" x14ac:dyDescent="0.25">
      <c r="A66" s="26" t="s">
        <v>3</v>
      </c>
      <c r="B66" s="560" t="s">
        <v>996</v>
      </c>
      <c r="C66" s="560" t="s">
        <v>997</v>
      </c>
      <c r="D66" s="16" t="s">
        <v>907</v>
      </c>
      <c r="E66" s="47">
        <v>46</v>
      </c>
      <c r="F66" s="47"/>
      <c r="G66" s="47"/>
      <c r="H66" s="47"/>
      <c r="I66" s="47"/>
      <c r="J66" s="47"/>
      <c r="K66" s="47"/>
      <c r="L66" s="47">
        <v>1</v>
      </c>
      <c r="M66" s="428">
        <f t="shared" si="13"/>
        <v>46</v>
      </c>
    </row>
    <row r="67" spans="1:13" ht="26" x14ac:dyDescent="0.25">
      <c r="A67" s="26" t="s">
        <v>4</v>
      </c>
      <c r="B67" s="560" t="s">
        <v>998</v>
      </c>
      <c r="C67" s="560" t="s">
        <v>999</v>
      </c>
      <c r="D67" s="16" t="s">
        <v>907</v>
      </c>
      <c r="E67" s="47">
        <v>40</v>
      </c>
      <c r="F67" s="47"/>
      <c r="G67" s="47"/>
      <c r="H67" s="47"/>
      <c r="I67" s="47"/>
      <c r="J67" s="47"/>
      <c r="K67" s="47"/>
      <c r="L67" s="47">
        <v>1</v>
      </c>
      <c r="M67" s="428">
        <f t="shared" si="13"/>
        <v>40</v>
      </c>
    </row>
    <row r="68" spans="1:13" ht="24" x14ac:dyDescent="0.25">
      <c r="A68" s="26">
        <v>24</v>
      </c>
      <c r="B68" s="560" t="s">
        <v>990</v>
      </c>
      <c r="C68" s="713" t="s">
        <v>991</v>
      </c>
      <c r="D68" s="16"/>
      <c r="E68" s="16"/>
      <c r="F68" s="47"/>
      <c r="G68" s="47"/>
      <c r="H68" s="47"/>
      <c r="I68" s="47"/>
      <c r="J68" s="47"/>
      <c r="K68" s="47"/>
      <c r="L68" s="47"/>
      <c r="M68" s="428">
        <f t="shared" si="13"/>
        <v>0</v>
      </c>
    </row>
    <row r="69" spans="1:13" ht="13" x14ac:dyDescent="0.25">
      <c r="A69" s="26" t="s">
        <v>1</v>
      </c>
      <c r="B69" s="560" t="s">
        <v>992</v>
      </c>
      <c r="C69" s="560" t="s">
        <v>994</v>
      </c>
      <c r="D69" s="16" t="s">
        <v>111</v>
      </c>
      <c r="E69" s="16"/>
      <c r="F69" s="47"/>
      <c r="G69" s="47"/>
      <c r="H69" s="47"/>
      <c r="I69" s="47"/>
      <c r="J69" s="47"/>
      <c r="K69" s="47"/>
      <c r="L69" s="47">
        <v>3</v>
      </c>
      <c r="M69" s="428">
        <f t="shared" si="13"/>
        <v>3</v>
      </c>
    </row>
    <row r="70" spans="1:13" ht="13" x14ac:dyDescent="0.25">
      <c r="A70" s="26" t="s">
        <v>3</v>
      </c>
      <c r="B70" s="560" t="s">
        <v>993</v>
      </c>
      <c r="C70" s="560" t="s">
        <v>995</v>
      </c>
      <c r="D70" s="16" t="s">
        <v>111</v>
      </c>
      <c r="E70" s="16"/>
      <c r="F70" s="47"/>
      <c r="G70" s="47"/>
      <c r="H70" s="47"/>
      <c r="I70" s="47"/>
      <c r="J70" s="47"/>
      <c r="K70" s="47"/>
      <c r="L70" s="47">
        <v>4</v>
      </c>
      <c r="M70" s="428">
        <f t="shared" si="13"/>
        <v>4</v>
      </c>
    </row>
    <row r="71" spans="1:13" ht="26" x14ac:dyDescent="0.25">
      <c r="A71" s="26">
        <v>25</v>
      </c>
      <c r="B71" s="560" t="s">
        <v>1000</v>
      </c>
      <c r="C71" s="560" t="s">
        <v>1001</v>
      </c>
      <c r="D71" s="16" t="s">
        <v>111</v>
      </c>
      <c r="E71" s="16"/>
      <c r="F71" s="47"/>
      <c r="G71" s="47"/>
      <c r="H71" s="47"/>
      <c r="I71" s="47"/>
      <c r="J71" s="47"/>
      <c r="K71" s="47"/>
      <c r="L71" s="47">
        <v>1</v>
      </c>
      <c r="M71" s="428">
        <f t="shared" si="13"/>
        <v>1</v>
      </c>
    </row>
    <row r="72" spans="1:13" ht="25" x14ac:dyDescent="0.25">
      <c r="A72" s="517">
        <v>26</v>
      </c>
      <c r="B72" s="714" t="s">
        <v>1002</v>
      </c>
      <c r="C72" s="714" t="s">
        <v>1002</v>
      </c>
      <c r="D72" s="471" t="s">
        <v>111</v>
      </c>
      <c r="E72" s="478"/>
      <c r="F72" s="47"/>
      <c r="G72" s="47"/>
      <c r="H72" s="47"/>
      <c r="I72" s="47"/>
      <c r="J72" s="47"/>
      <c r="K72" s="47"/>
      <c r="L72" s="47">
        <v>1</v>
      </c>
      <c r="M72" s="428">
        <f t="shared" si="13"/>
        <v>1</v>
      </c>
    </row>
    <row r="73" spans="1:13" ht="13" x14ac:dyDescent="0.25">
      <c r="A73" s="26">
        <v>27</v>
      </c>
      <c r="B73" s="719" t="s">
        <v>870</v>
      </c>
      <c r="C73" s="718" t="s">
        <v>870</v>
      </c>
      <c r="D73" s="471" t="s">
        <v>111</v>
      </c>
      <c r="E73" s="478"/>
      <c r="F73" s="47"/>
      <c r="G73" s="47"/>
      <c r="H73" s="47"/>
      <c r="I73" s="47"/>
      <c r="J73" s="47"/>
      <c r="K73" s="47"/>
      <c r="L73" s="47">
        <v>6</v>
      </c>
      <c r="M73" s="428">
        <f t="shared" si="13"/>
        <v>6</v>
      </c>
    </row>
    <row r="74" spans="1:13" ht="25" x14ac:dyDescent="0.25">
      <c r="A74" s="517">
        <v>28</v>
      </c>
      <c r="B74" s="719" t="s">
        <v>871</v>
      </c>
      <c r="C74" s="718" t="s">
        <v>871</v>
      </c>
      <c r="D74" s="471" t="s">
        <v>111</v>
      </c>
      <c r="E74" s="478"/>
      <c r="F74" s="47"/>
      <c r="G74" s="47"/>
      <c r="H74" s="47"/>
      <c r="I74" s="47"/>
      <c r="J74" s="47"/>
      <c r="K74" s="47"/>
      <c r="L74" s="47">
        <v>1</v>
      </c>
      <c r="M74" s="428">
        <f t="shared" si="13"/>
        <v>1</v>
      </c>
    </row>
    <row r="75" spans="1:13" ht="13" x14ac:dyDescent="0.25">
      <c r="A75" s="26">
        <v>29</v>
      </c>
      <c r="B75" s="719" t="s">
        <v>1006</v>
      </c>
      <c r="C75" s="718" t="s">
        <v>872</v>
      </c>
      <c r="D75" s="471" t="s">
        <v>111</v>
      </c>
      <c r="E75" s="478"/>
      <c r="F75" s="47"/>
      <c r="G75" s="47"/>
      <c r="H75" s="47"/>
      <c r="I75" s="47"/>
      <c r="J75" s="47"/>
      <c r="K75" s="47"/>
      <c r="L75" s="47">
        <v>32</v>
      </c>
      <c r="M75" s="428">
        <f t="shared" si="13"/>
        <v>32</v>
      </c>
    </row>
    <row r="76" spans="1:13" ht="25" x14ac:dyDescent="0.25">
      <c r="A76" s="517">
        <v>30</v>
      </c>
      <c r="B76" s="719" t="s">
        <v>1007</v>
      </c>
      <c r="C76" s="718" t="s">
        <v>1003</v>
      </c>
      <c r="D76" s="471" t="s">
        <v>111</v>
      </c>
      <c r="E76" s="478"/>
      <c r="F76" s="47"/>
      <c r="G76" s="47"/>
      <c r="H76" s="47"/>
      <c r="I76" s="47"/>
      <c r="J76" s="47"/>
      <c r="K76" s="47"/>
      <c r="L76" s="47">
        <v>2</v>
      </c>
      <c r="M76" s="428">
        <f t="shared" si="13"/>
        <v>2</v>
      </c>
    </row>
    <row r="77" spans="1:13" ht="37.5" x14ac:dyDescent="0.25">
      <c r="A77" s="517">
        <v>31</v>
      </c>
      <c r="B77" s="719" t="s">
        <v>1008</v>
      </c>
      <c r="C77" s="718" t="s">
        <v>1004</v>
      </c>
      <c r="D77" s="471" t="s">
        <v>111</v>
      </c>
      <c r="E77" s="478"/>
      <c r="F77" s="469"/>
      <c r="G77" s="47"/>
      <c r="H77" s="47"/>
      <c r="I77" s="47"/>
      <c r="J77" s="47"/>
      <c r="K77" s="47"/>
      <c r="L77" s="469">
        <v>4</v>
      </c>
      <c r="M77" s="428">
        <f t="shared" si="13"/>
        <v>4</v>
      </c>
    </row>
    <row r="78" spans="1:13" ht="37.5" x14ac:dyDescent="0.25">
      <c r="A78" s="517">
        <v>32</v>
      </c>
      <c r="B78" s="714" t="s">
        <v>1005</v>
      </c>
      <c r="C78" s="714" t="s">
        <v>1005</v>
      </c>
      <c r="D78" s="471" t="s">
        <v>111</v>
      </c>
      <c r="E78" s="478"/>
      <c r="F78" s="469"/>
      <c r="G78" s="47"/>
      <c r="H78" s="47"/>
      <c r="I78" s="47"/>
      <c r="J78" s="47"/>
      <c r="K78" s="47"/>
      <c r="L78" s="469"/>
      <c r="M78" s="428">
        <f t="shared" si="13"/>
        <v>0</v>
      </c>
    </row>
    <row r="79" spans="1:13" ht="13" x14ac:dyDescent="0.25">
      <c r="A79" s="517" t="s">
        <v>1</v>
      </c>
      <c r="B79" s="714" t="s">
        <v>1009</v>
      </c>
      <c r="C79" s="714" t="s">
        <v>1009</v>
      </c>
      <c r="D79" s="471" t="s">
        <v>111</v>
      </c>
      <c r="E79" s="478"/>
      <c r="F79" s="469"/>
      <c r="G79" s="47"/>
      <c r="H79" s="47"/>
      <c r="I79" s="47"/>
      <c r="J79" s="47"/>
      <c r="K79" s="47"/>
      <c r="L79" s="469">
        <v>3</v>
      </c>
      <c r="M79" s="428">
        <f t="shared" si="13"/>
        <v>3</v>
      </c>
    </row>
    <row r="80" spans="1:13" ht="13" x14ac:dyDescent="0.25">
      <c r="A80" s="517" t="s">
        <v>2</v>
      </c>
      <c r="B80" s="714" t="s">
        <v>1010</v>
      </c>
      <c r="C80" s="714" t="s">
        <v>1010</v>
      </c>
      <c r="D80" s="471" t="s">
        <v>111</v>
      </c>
      <c r="E80" s="478"/>
      <c r="F80" s="469"/>
      <c r="G80" s="47"/>
      <c r="H80" s="47"/>
      <c r="I80" s="47"/>
      <c r="J80" s="47"/>
      <c r="K80" s="47"/>
      <c r="L80" s="469">
        <v>1</v>
      </c>
      <c r="M80" s="428">
        <f t="shared" si="13"/>
        <v>1</v>
      </c>
    </row>
    <row r="81" spans="1:13" ht="13" x14ac:dyDescent="0.25">
      <c r="A81" s="517" t="s">
        <v>3</v>
      </c>
      <c r="B81" s="714" t="s">
        <v>1011</v>
      </c>
      <c r="C81" s="714" t="s">
        <v>1011</v>
      </c>
      <c r="D81" s="471" t="s">
        <v>111</v>
      </c>
      <c r="E81" s="478"/>
      <c r="F81" s="469"/>
      <c r="G81" s="47"/>
      <c r="H81" s="47"/>
      <c r="I81" s="47"/>
      <c r="J81" s="47"/>
      <c r="K81" s="47"/>
      <c r="L81" s="469">
        <v>1</v>
      </c>
      <c r="M81" s="428">
        <f t="shared" si="13"/>
        <v>1</v>
      </c>
    </row>
    <row r="82" spans="1:13" ht="13" x14ac:dyDescent="0.25">
      <c r="A82" s="517" t="s">
        <v>4</v>
      </c>
      <c r="B82" s="714" t="s">
        <v>1012</v>
      </c>
      <c r="C82" s="714" t="s">
        <v>1012</v>
      </c>
      <c r="D82" s="471" t="s">
        <v>111</v>
      </c>
      <c r="E82" s="478"/>
      <c r="F82" s="469"/>
      <c r="G82" s="47"/>
      <c r="H82" s="47"/>
      <c r="I82" s="47"/>
      <c r="J82" s="47"/>
      <c r="K82" s="47"/>
      <c r="L82" s="469">
        <v>1</v>
      </c>
      <c r="M82" s="428">
        <f t="shared" si="13"/>
        <v>1</v>
      </c>
    </row>
    <row r="83" spans="1:13" ht="25" x14ac:dyDescent="0.25">
      <c r="A83" s="517">
        <v>33</v>
      </c>
      <c r="B83" s="714" t="s">
        <v>1016</v>
      </c>
      <c r="C83" s="714" t="s">
        <v>1017</v>
      </c>
      <c r="D83" s="471" t="s">
        <v>111</v>
      </c>
      <c r="E83" s="478"/>
      <c r="F83" s="469"/>
      <c r="G83" s="47"/>
      <c r="H83" s="47"/>
      <c r="I83" s="47"/>
      <c r="J83" s="47"/>
      <c r="K83" s="47"/>
      <c r="L83" s="469">
        <v>3</v>
      </c>
      <c r="M83" s="428">
        <f t="shared" si="13"/>
        <v>3</v>
      </c>
    </row>
    <row r="84" spans="1:13" ht="25" x14ac:dyDescent="0.25">
      <c r="A84" s="517">
        <v>34</v>
      </c>
      <c r="B84" s="714" t="s">
        <v>1018</v>
      </c>
      <c r="C84" s="714" t="s">
        <v>1019</v>
      </c>
      <c r="D84" s="471" t="s">
        <v>111</v>
      </c>
      <c r="E84" s="478"/>
      <c r="F84" s="469"/>
      <c r="G84" s="47"/>
      <c r="H84" s="47"/>
      <c r="I84" s="47"/>
      <c r="J84" s="47"/>
      <c r="K84" s="47"/>
      <c r="L84" s="469">
        <v>12</v>
      </c>
      <c r="M84" s="428">
        <f t="shared" si="13"/>
        <v>12</v>
      </c>
    </row>
    <row r="85" spans="1:13" ht="13" x14ac:dyDescent="0.25">
      <c r="A85" s="517"/>
      <c r="B85" s="714"/>
      <c r="C85" s="714"/>
      <c r="D85" s="471"/>
      <c r="E85" s="478"/>
      <c r="F85" s="469"/>
      <c r="G85" s="47"/>
      <c r="H85" s="47"/>
      <c r="I85" s="47"/>
      <c r="J85" s="47"/>
      <c r="K85" s="47"/>
      <c r="L85" s="469"/>
      <c r="M85" s="428"/>
    </row>
    <row r="86" spans="1:13" ht="13" x14ac:dyDescent="0.25">
      <c r="A86" s="517"/>
      <c r="B86" s="714"/>
      <c r="C86" s="714"/>
      <c r="D86" s="471"/>
      <c r="E86" s="478"/>
      <c r="F86" s="469"/>
      <c r="G86" s="47"/>
      <c r="H86" s="47"/>
      <c r="I86" s="47"/>
      <c r="J86" s="47"/>
      <c r="K86" s="47"/>
      <c r="L86" s="469"/>
      <c r="M86" s="428"/>
    </row>
    <row r="87" spans="1:13" ht="13" x14ac:dyDescent="0.25">
      <c r="A87" s="517"/>
      <c r="B87" s="714"/>
      <c r="C87" s="714"/>
      <c r="D87" s="471"/>
      <c r="E87" s="478"/>
      <c r="F87" s="469"/>
      <c r="G87" s="47"/>
      <c r="H87" s="47"/>
      <c r="I87" s="47"/>
      <c r="J87" s="47"/>
      <c r="K87" s="47"/>
      <c r="L87" s="469"/>
      <c r="M87" s="428"/>
    </row>
    <row r="88" spans="1:13" ht="13" x14ac:dyDescent="0.25">
      <c r="A88" s="517"/>
      <c r="B88" s="714"/>
      <c r="C88" s="714"/>
      <c r="D88" s="471"/>
      <c r="E88" s="478"/>
      <c r="F88" s="469"/>
      <c r="G88" s="47"/>
      <c r="H88" s="47"/>
      <c r="I88" s="47"/>
      <c r="J88" s="47"/>
      <c r="K88" s="47"/>
      <c r="L88" s="47"/>
      <c r="M88" s="428">
        <f t="shared" si="13"/>
        <v>0</v>
      </c>
    </row>
    <row r="89" spans="1:13" ht="13" thickBot="1" x14ac:dyDescent="0.3">
      <c r="A89" s="487"/>
      <c r="B89" s="488"/>
      <c r="C89" s="488"/>
      <c r="D89" s="488"/>
      <c r="E89" s="539"/>
      <c r="F89" s="539"/>
      <c r="G89" s="539"/>
      <c r="H89" s="539"/>
      <c r="I89" s="539"/>
      <c r="J89" s="539"/>
      <c r="K89" s="539"/>
      <c r="L89" s="539"/>
      <c r="M89" s="540"/>
    </row>
  </sheetData>
  <protectedRanges>
    <protectedRange sqref="G1" name="Range1_2"/>
    <protectedRange sqref="J1" name="Range1_6"/>
    <protectedRange password="83C1" sqref="C36" name="McDBoQ180602014_3"/>
    <protectedRange sqref="D5" name="Range1_3"/>
    <protectedRange sqref="D6" name="Range1_4"/>
  </protectedRanges>
  <mergeCells count="8">
    <mergeCell ref="A4:C4"/>
    <mergeCell ref="A1:M1"/>
    <mergeCell ref="A2:A3"/>
    <mergeCell ref="B2:B3"/>
    <mergeCell ref="C2:C3"/>
    <mergeCell ref="D2:D3"/>
    <mergeCell ref="E2:H2"/>
    <mergeCell ref="I2:M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0"/>
  <sheetViews>
    <sheetView topLeftCell="A277" zoomScale="72" workbookViewId="0">
      <selection activeCell="C299" sqref="C299"/>
    </sheetView>
  </sheetViews>
  <sheetFormatPr defaultColWidth="8.81640625" defaultRowHeight="13" x14ac:dyDescent="0.3"/>
  <cols>
    <col min="1" max="1" width="9" style="592" bestFit="1" customWidth="1"/>
    <col min="2" max="2" width="14.54296875" style="15" customWidth="1"/>
    <col min="3" max="3" width="47.54296875" style="15" customWidth="1"/>
    <col min="4" max="4" width="12.81640625" style="15" bestFit="1" customWidth="1"/>
    <col min="5" max="5" width="16.54296875" style="456" customWidth="1"/>
    <col min="6" max="6" width="11.453125" style="456" customWidth="1"/>
    <col min="7" max="7" width="9.453125" style="456" bestFit="1" customWidth="1"/>
    <col min="8" max="8" width="8.81640625" style="456"/>
    <col min="9" max="12" width="9" style="456" bestFit="1" customWidth="1"/>
    <col min="13" max="13" width="11.453125" style="456" bestFit="1" customWidth="1"/>
    <col min="14" max="16384" width="8.81640625" style="15"/>
  </cols>
  <sheetData>
    <row r="1" spans="1:13" ht="24.65" customHeight="1" thickBot="1" x14ac:dyDescent="0.35">
      <c r="A1" s="784" t="s">
        <v>668</v>
      </c>
      <c r="B1" s="784"/>
      <c r="C1" s="784"/>
      <c r="D1" s="784"/>
      <c r="E1" s="784"/>
      <c r="F1" s="784"/>
      <c r="G1" s="784"/>
      <c r="H1" s="784"/>
      <c r="I1" s="784"/>
      <c r="J1" s="784"/>
      <c r="K1" s="784"/>
      <c r="L1" s="784"/>
      <c r="M1" s="784"/>
    </row>
    <row r="2" spans="1:13" ht="16" thickBot="1" x14ac:dyDescent="0.35">
      <c r="A2" s="785" t="s">
        <v>669</v>
      </c>
      <c r="B2" s="786" t="s">
        <v>670</v>
      </c>
      <c r="C2" s="786" t="s">
        <v>671</v>
      </c>
      <c r="D2" s="787" t="s">
        <v>672</v>
      </c>
      <c r="E2" s="785" t="s">
        <v>673</v>
      </c>
      <c r="F2" s="785"/>
      <c r="G2" s="785"/>
      <c r="H2" s="785"/>
      <c r="I2" s="785" t="s">
        <v>674</v>
      </c>
      <c r="J2" s="785"/>
      <c r="K2" s="785"/>
      <c r="L2" s="785"/>
      <c r="M2" s="785"/>
    </row>
    <row r="3" spans="1:13" ht="16" thickBot="1" x14ac:dyDescent="0.35">
      <c r="A3" s="785"/>
      <c r="B3" s="786"/>
      <c r="C3" s="786"/>
      <c r="D3" s="787"/>
      <c r="E3" s="380" t="s">
        <v>675</v>
      </c>
      <c r="F3" s="380" t="s">
        <v>162</v>
      </c>
      <c r="G3" s="380" t="s">
        <v>676</v>
      </c>
      <c r="H3" s="381"/>
      <c r="I3" s="380" t="s">
        <v>675</v>
      </c>
      <c r="J3" s="380" t="s">
        <v>162</v>
      </c>
      <c r="K3" s="380" t="s">
        <v>676</v>
      </c>
      <c r="L3" s="380" t="s">
        <v>677</v>
      </c>
      <c r="M3" s="380" t="s">
        <v>678</v>
      </c>
    </row>
    <row r="4" spans="1:13" ht="14.5" x14ac:dyDescent="0.3">
      <c r="A4" s="779" t="s">
        <v>30</v>
      </c>
      <c r="B4" s="780"/>
      <c r="C4" s="781"/>
      <c r="D4" s="382"/>
      <c r="E4" s="383"/>
      <c r="F4" s="383"/>
      <c r="G4" s="383"/>
      <c r="H4" s="384"/>
      <c r="I4" s="383"/>
      <c r="J4" s="383"/>
      <c r="K4" s="383"/>
      <c r="L4" s="383"/>
      <c r="M4" s="385"/>
    </row>
    <row r="5" spans="1:13" ht="96" x14ac:dyDescent="0.3">
      <c r="A5" s="587">
        <v>1</v>
      </c>
      <c r="B5" s="387" t="s">
        <v>28</v>
      </c>
      <c r="C5" s="388" t="s">
        <v>62</v>
      </c>
      <c r="D5" s="389" t="s">
        <v>679</v>
      </c>
      <c r="E5" s="47"/>
      <c r="F5" s="47"/>
      <c r="G5" s="47"/>
      <c r="H5" s="47"/>
      <c r="I5" s="47"/>
      <c r="J5" s="47"/>
      <c r="K5" s="47"/>
      <c r="L5" s="47"/>
      <c r="M5" s="437"/>
    </row>
    <row r="6" spans="1:13" x14ac:dyDescent="0.3">
      <c r="A6" s="589"/>
      <c r="B6" s="390"/>
      <c r="C6" s="390" t="s">
        <v>680</v>
      </c>
      <c r="D6" s="391" t="s">
        <v>679</v>
      </c>
      <c r="E6" s="47">
        <v>6483</v>
      </c>
      <c r="F6" s="47">
        <f>2000+3495+640</f>
        <v>6135</v>
      </c>
      <c r="G6" s="47"/>
      <c r="H6" s="47"/>
      <c r="I6" s="47">
        <f t="shared" ref="I6:J9" si="0">E6/304.8</f>
        <v>21.269685039370078</v>
      </c>
      <c r="J6" s="47">
        <f t="shared" si="0"/>
        <v>20.127952755905511</v>
      </c>
      <c r="K6" s="47"/>
      <c r="L6" s="47">
        <v>1</v>
      </c>
      <c r="M6" s="437">
        <f>L6*J6*I6</f>
        <v>428.11521560543116</v>
      </c>
    </row>
    <row r="7" spans="1:13" x14ac:dyDescent="0.3">
      <c r="A7" s="589"/>
      <c r="B7" s="390"/>
      <c r="C7" s="390" t="s">
        <v>681</v>
      </c>
      <c r="D7" s="391" t="s">
        <v>679</v>
      </c>
      <c r="E7" s="47">
        <v>2505</v>
      </c>
      <c r="F7" s="47">
        <v>2250</v>
      </c>
      <c r="G7" s="47"/>
      <c r="H7" s="47"/>
      <c r="I7" s="47">
        <f t="shared" si="0"/>
        <v>8.2185039370078741</v>
      </c>
      <c r="J7" s="47">
        <f t="shared" si="0"/>
        <v>7.3818897637795269</v>
      </c>
      <c r="K7" s="47"/>
      <c r="L7" s="47">
        <v>1</v>
      </c>
      <c r="M7" s="437">
        <f>L7*J7*I7</f>
        <v>60.668090086180165</v>
      </c>
    </row>
    <row r="8" spans="1:13" x14ac:dyDescent="0.3">
      <c r="A8" s="589"/>
      <c r="B8" s="390"/>
      <c r="C8" s="390" t="s">
        <v>682</v>
      </c>
      <c r="D8" s="391" t="s">
        <v>679</v>
      </c>
      <c r="E8" s="47">
        <f>1695+925+650+2730+5815+2470+3890+620</f>
        <v>18795</v>
      </c>
      <c r="F8" s="47">
        <f>300+2530+2000+1730+370</f>
        <v>6930</v>
      </c>
      <c r="G8" s="47"/>
      <c r="H8" s="47"/>
      <c r="I8" s="47">
        <f t="shared" si="0"/>
        <v>61.663385826771652</v>
      </c>
      <c r="J8" s="47">
        <f t="shared" si="0"/>
        <v>22.736220472440944</v>
      </c>
      <c r="K8" s="47"/>
      <c r="L8" s="47">
        <v>1</v>
      </c>
      <c r="M8" s="437">
        <f>L8*J8*I8</f>
        <v>1401.9923352346705</v>
      </c>
    </row>
    <row r="9" spans="1:13" x14ac:dyDescent="0.3">
      <c r="A9" s="589"/>
      <c r="B9" s="390"/>
      <c r="C9" s="390" t="s">
        <v>683</v>
      </c>
      <c r="D9" s="391" t="s">
        <v>679</v>
      </c>
      <c r="E9" s="47">
        <f>1335+1010+3230+1780</f>
        <v>7355</v>
      </c>
      <c r="F9" s="47">
        <f>2430+387</f>
        <v>2817</v>
      </c>
      <c r="G9" s="47"/>
      <c r="H9" s="47"/>
      <c r="I9" s="47">
        <f t="shared" si="0"/>
        <v>24.130577427821521</v>
      </c>
      <c r="J9" s="47">
        <f t="shared" si="0"/>
        <v>9.2421259842519685</v>
      </c>
      <c r="K9" s="47"/>
      <c r="L9" s="47">
        <v>1</v>
      </c>
      <c r="M9" s="437">
        <f>L9*J9*I9</f>
        <v>223.01783666067331</v>
      </c>
    </row>
    <row r="10" spans="1:13" x14ac:dyDescent="0.3">
      <c r="A10" s="589"/>
      <c r="B10" s="390"/>
      <c r="C10" s="390"/>
      <c r="D10" s="390"/>
      <c r="E10" s="47"/>
      <c r="F10" s="47"/>
      <c r="G10" s="47"/>
      <c r="H10" s="47"/>
      <c r="I10" s="47"/>
      <c r="J10" s="47"/>
      <c r="K10" s="47"/>
      <c r="L10" s="47"/>
      <c r="M10" s="437"/>
    </row>
    <row r="11" spans="1:13" x14ac:dyDescent="0.3">
      <c r="A11" s="589"/>
      <c r="B11" s="390"/>
      <c r="C11" s="392" t="s">
        <v>684</v>
      </c>
      <c r="D11" s="389" t="s">
        <v>679</v>
      </c>
      <c r="E11" s="558"/>
      <c r="F11" s="558"/>
      <c r="G11" s="558"/>
      <c r="H11" s="558"/>
      <c r="I11" s="558"/>
      <c r="J11" s="558"/>
      <c r="K11" s="558"/>
      <c r="L11" s="558"/>
      <c r="M11" s="428">
        <f>SUM(M6:M9)</f>
        <v>2113.7934775869553</v>
      </c>
    </row>
    <row r="12" spans="1:13" x14ac:dyDescent="0.3">
      <c r="A12" s="589"/>
      <c r="B12" s="390"/>
      <c r="C12" s="390"/>
      <c r="D12" s="390"/>
      <c r="E12" s="47"/>
      <c r="F12" s="47"/>
      <c r="G12" s="47"/>
      <c r="H12" s="47"/>
      <c r="I12" s="47"/>
      <c r="J12" s="47"/>
      <c r="K12" s="47"/>
      <c r="L12" s="47"/>
      <c r="M12" s="437"/>
    </row>
    <row r="13" spans="1:13" ht="36" x14ac:dyDescent="0.3">
      <c r="A13" s="587">
        <v>2</v>
      </c>
      <c r="B13" s="393" t="s">
        <v>29</v>
      </c>
      <c r="C13" s="394" t="s">
        <v>14</v>
      </c>
      <c r="D13" s="389" t="s">
        <v>679</v>
      </c>
      <c r="E13" s="47"/>
      <c r="F13" s="47"/>
      <c r="G13" s="47"/>
      <c r="H13" s="47"/>
      <c r="I13" s="47"/>
      <c r="J13" s="47"/>
      <c r="K13" s="47"/>
      <c r="L13" s="47"/>
      <c r="M13" s="437"/>
    </row>
    <row r="14" spans="1:13" x14ac:dyDescent="0.3">
      <c r="A14" s="589"/>
      <c r="B14" s="390"/>
      <c r="C14" s="390" t="s">
        <v>685</v>
      </c>
      <c r="D14" s="391" t="s">
        <v>679</v>
      </c>
      <c r="E14" s="47">
        <v>5700</v>
      </c>
      <c r="F14" s="47"/>
      <c r="G14" s="47">
        <v>3000</v>
      </c>
      <c r="H14" s="47"/>
      <c r="I14" s="47">
        <f>E14/304.8</f>
        <v>18.700787401574804</v>
      </c>
      <c r="J14" s="47"/>
      <c r="K14" s="47">
        <f>G14/304.8</f>
        <v>9.8425196850393704</v>
      </c>
      <c r="L14" s="47">
        <v>1</v>
      </c>
      <c r="M14" s="437">
        <f>L14*K14*I14</f>
        <v>184.06286812573626</v>
      </c>
    </row>
    <row r="15" spans="1:13" x14ac:dyDescent="0.3">
      <c r="A15" s="589"/>
      <c r="B15" s="390"/>
      <c r="C15" s="390" t="s">
        <v>686</v>
      </c>
      <c r="D15" s="391" t="s">
        <v>679</v>
      </c>
      <c r="E15" s="47">
        <v>10000</v>
      </c>
      <c r="F15" s="47"/>
      <c r="G15" s="47">
        <v>2450</v>
      </c>
      <c r="H15" s="47"/>
      <c r="I15" s="47">
        <f t="shared" ref="I15" si="1">E15/304.8</f>
        <v>32.808398950131235</v>
      </c>
      <c r="J15" s="47"/>
      <c r="K15" s="47">
        <f>G15/304.8</f>
        <v>8.0380577427821525</v>
      </c>
      <c r="L15" s="47">
        <v>1</v>
      </c>
      <c r="M15" s="437">
        <f>L15*K15*I15</f>
        <v>263.71580520938824</v>
      </c>
    </row>
    <row r="16" spans="1:13" x14ac:dyDescent="0.3">
      <c r="A16" s="589"/>
      <c r="B16" s="390"/>
      <c r="C16" s="390"/>
      <c r="D16" s="391"/>
      <c r="E16" s="47"/>
      <c r="F16" s="47"/>
      <c r="G16" s="47"/>
      <c r="H16" s="47"/>
      <c r="I16" s="47"/>
      <c r="J16" s="47"/>
      <c r="K16" s="47"/>
      <c r="L16" s="47"/>
      <c r="M16" s="437"/>
    </row>
    <row r="17" spans="1:13" x14ac:dyDescent="0.3">
      <c r="A17" s="589"/>
      <c r="B17" s="390"/>
      <c r="C17" s="392" t="s">
        <v>684</v>
      </c>
      <c r="D17" s="389" t="s">
        <v>679</v>
      </c>
      <c r="E17" s="558"/>
      <c r="F17" s="558"/>
      <c r="G17" s="558"/>
      <c r="H17" s="558"/>
      <c r="I17" s="558"/>
      <c r="J17" s="558"/>
      <c r="K17" s="558"/>
      <c r="L17" s="558"/>
      <c r="M17" s="428">
        <f>SUM(M14:M15)</f>
        <v>447.77867333512449</v>
      </c>
    </row>
    <row r="18" spans="1:13" x14ac:dyDescent="0.3">
      <c r="A18" s="589"/>
      <c r="B18" s="390"/>
      <c r="C18" s="390"/>
      <c r="D18" s="390"/>
      <c r="E18" s="47"/>
      <c r="F18" s="47"/>
      <c r="G18" s="47"/>
      <c r="H18" s="47"/>
      <c r="I18" s="47"/>
      <c r="J18" s="47"/>
      <c r="K18" s="47"/>
      <c r="L18" s="47"/>
      <c r="M18" s="437"/>
    </row>
    <row r="19" spans="1:13" x14ac:dyDescent="0.3">
      <c r="A19" s="782" t="s">
        <v>31</v>
      </c>
      <c r="B19" s="783"/>
      <c r="C19" s="783"/>
      <c r="D19" s="390"/>
      <c r="E19" s="47"/>
      <c r="F19" s="47"/>
      <c r="G19" s="47"/>
      <c r="H19" s="47"/>
      <c r="I19" s="47"/>
      <c r="J19" s="47"/>
      <c r="K19" s="47"/>
      <c r="L19" s="47"/>
      <c r="M19" s="437"/>
    </row>
    <row r="20" spans="1:13" ht="36" x14ac:dyDescent="0.3">
      <c r="A20" s="434">
        <v>3</v>
      </c>
      <c r="B20" s="395" t="s">
        <v>27</v>
      </c>
      <c r="C20" s="396" t="s">
        <v>46</v>
      </c>
      <c r="D20" s="397" t="s">
        <v>403</v>
      </c>
      <c r="E20" s="47"/>
      <c r="F20" s="47"/>
      <c r="G20" s="47"/>
      <c r="H20" s="47"/>
      <c r="I20" s="47"/>
      <c r="J20" s="47"/>
      <c r="K20" s="47"/>
      <c r="L20" s="47"/>
      <c r="M20" s="437"/>
    </row>
    <row r="21" spans="1:13" x14ac:dyDescent="0.3">
      <c r="A21" s="589"/>
      <c r="B21" s="390"/>
      <c r="C21" s="390" t="s">
        <v>687</v>
      </c>
      <c r="D21" s="397" t="s">
        <v>403</v>
      </c>
      <c r="E21" s="47"/>
      <c r="F21" s="47"/>
      <c r="G21" s="47"/>
      <c r="H21" s="47"/>
      <c r="I21" s="47"/>
      <c r="J21" s="47"/>
      <c r="K21" s="47"/>
      <c r="L21" s="47"/>
      <c r="M21" s="437">
        <v>1</v>
      </c>
    </row>
    <row r="22" spans="1:13" x14ac:dyDescent="0.3">
      <c r="A22" s="589"/>
      <c r="B22" s="390"/>
      <c r="C22" s="390" t="s">
        <v>688</v>
      </c>
      <c r="D22" s="397" t="s">
        <v>403</v>
      </c>
      <c r="E22" s="47"/>
      <c r="F22" s="47"/>
      <c r="G22" s="47"/>
      <c r="H22" s="47"/>
      <c r="I22" s="47"/>
      <c r="J22" s="47"/>
      <c r="K22" s="47"/>
      <c r="L22" s="47"/>
      <c r="M22" s="437">
        <v>1</v>
      </c>
    </row>
    <row r="23" spans="1:13" x14ac:dyDescent="0.3">
      <c r="A23" s="589"/>
      <c r="B23" s="390"/>
      <c r="C23" s="390" t="s">
        <v>689</v>
      </c>
      <c r="D23" s="397" t="s">
        <v>403</v>
      </c>
      <c r="E23" s="47"/>
      <c r="F23" s="47"/>
      <c r="G23" s="47"/>
      <c r="H23" s="47"/>
      <c r="I23" s="47"/>
      <c r="J23" s="47"/>
      <c r="K23" s="47"/>
      <c r="L23" s="47"/>
      <c r="M23" s="437">
        <v>1</v>
      </c>
    </row>
    <row r="24" spans="1:13" x14ac:dyDescent="0.3">
      <c r="A24" s="589"/>
      <c r="B24" s="390"/>
      <c r="C24" s="390" t="s">
        <v>690</v>
      </c>
      <c r="D24" s="397" t="s">
        <v>403</v>
      </c>
      <c r="E24" s="47"/>
      <c r="F24" s="47"/>
      <c r="G24" s="47"/>
      <c r="H24" s="47"/>
      <c r="I24" s="47"/>
      <c r="J24" s="47"/>
      <c r="K24" s="47"/>
      <c r="L24" s="47"/>
      <c r="M24" s="437">
        <v>1</v>
      </c>
    </row>
    <row r="25" spans="1:13" x14ac:dyDescent="0.3">
      <c r="A25" s="589"/>
      <c r="B25" s="390"/>
      <c r="C25" s="390" t="s">
        <v>691</v>
      </c>
      <c r="D25" s="397" t="s">
        <v>403</v>
      </c>
      <c r="E25" s="47"/>
      <c r="F25" s="47"/>
      <c r="G25" s="47"/>
      <c r="H25" s="47"/>
      <c r="I25" s="47"/>
      <c r="J25" s="47"/>
      <c r="K25" s="47"/>
      <c r="L25" s="47"/>
      <c r="M25" s="437">
        <v>1</v>
      </c>
    </row>
    <row r="26" spans="1:13" x14ac:dyDescent="0.3">
      <c r="A26" s="589"/>
      <c r="B26" s="390"/>
      <c r="C26" s="390"/>
      <c r="D26" s="390"/>
      <c r="E26" s="47"/>
      <c r="F26" s="47"/>
      <c r="G26" s="47"/>
      <c r="H26" s="47"/>
      <c r="I26" s="47"/>
      <c r="J26" s="47"/>
      <c r="K26" s="47"/>
      <c r="L26" s="47"/>
      <c r="M26" s="437"/>
    </row>
    <row r="27" spans="1:13" x14ac:dyDescent="0.3">
      <c r="A27" s="589"/>
      <c r="B27" s="390"/>
      <c r="C27" s="392" t="s">
        <v>684</v>
      </c>
      <c r="D27" s="398" t="s">
        <v>403</v>
      </c>
      <c r="E27" s="558"/>
      <c r="F27" s="558"/>
      <c r="G27" s="558"/>
      <c r="H27" s="558"/>
      <c r="I27" s="558"/>
      <c r="J27" s="558"/>
      <c r="K27" s="558"/>
      <c r="L27" s="558"/>
      <c r="M27" s="428">
        <f>SUM(M21:M25)</f>
        <v>5</v>
      </c>
    </row>
    <row r="28" spans="1:13" x14ac:dyDescent="0.3">
      <c r="A28" s="589"/>
      <c r="B28" s="390"/>
      <c r="C28" s="390"/>
      <c r="D28" s="390"/>
      <c r="E28" s="47"/>
      <c r="F28" s="47"/>
      <c r="G28" s="47"/>
      <c r="H28" s="47"/>
      <c r="I28" s="47"/>
      <c r="J28" s="47"/>
      <c r="K28" s="47"/>
      <c r="L28" s="47"/>
      <c r="M28" s="437"/>
    </row>
    <row r="29" spans="1:13" ht="24" x14ac:dyDescent="0.3">
      <c r="A29" s="434">
        <v>4</v>
      </c>
      <c r="B29" s="395" t="s">
        <v>44</v>
      </c>
      <c r="C29" s="399" t="s">
        <v>43</v>
      </c>
      <c r="D29" s="390"/>
      <c r="E29" s="47"/>
      <c r="F29" s="47"/>
      <c r="G29" s="47"/>
      <c r="H29" s="47"/>
      <c r="I29" s="47"/>
      <c r="J29" s="47"/>
      <c r="K29" s="47"/>
      <c r="L29" s="47"/>
      <c r="M29" s="437"/>
    </row>
    <row r="30" spans="1:13" x14ac:dyDescent="0.3">
      <c r="A30" s="589"/>
      <c r="B30" s="390"/>
      <c r="C30" s="400">
        <v>45087</v>
      </c>
      <c r="D30" s="397" t="s">
        <v>403</v>
      </c>
      <c r="E30" s="47"/>
      <c r="F30" s="47"/>
      <c r="G30" s="47"/>
      <c r="H30" s="47"/>
      <c r="I30" s="47"/>
      <c r="J30" s="47"/>
      <c r="K30" s="47"/>
      <c r="L30" s="47"/>
      <c r="M30" s="437">
        <v>1</v>
      </c>
    </row>
    <row r="31" spans="1:13" x14ac:dyDescent="0.3">
      <c r="A31" s="589"/>
      <c r="B31" s="390"/>
      <c r="C31" s="401">
        <v>45090</v>
      </c>
      <c r="D31" s="397" t="s">
        <v>403</v>
      </c>
      <c r="E31" s="47"/>
      <c r="F31" s="47"/>
      <c r="G31" s="47"/>
      <c r="H31" s="47"/>
      <c r="I31" s="47"/>
      <c r="J31" s="47"/>
      <c r="K31" s="47"/>
      <c r="L31" s="47"/>
      <c r="M31" s="437">
        <v>1</v>
      </c>
    </row>
    <row r="32" spans="1:13" x14ac:dyDescent="0.3">
      <c r="A32" s="589"/>
      <c r="B32" s="390"/>
      <c r="C32" s="390"/>
      <c r="D32" s="397" t="s">
        <v>403</v>
      </c>
      <c r="E32" s="47"/>
      <c r="F32" s="47"/>
      <c r="G32" s="47"/>
      <c r="H32" s="47"/>
      <c r="I32" s="47"/>
      <c r="J32" s="47"/>
      <c r="K32" s="47"/>
      <c r="L32" s="47"/>
      <c r="M32" s="437">
        <v>3</v>
      </c>
    </row>
    <row r="33" spans="1:13" x14ac:dyDescent="0.3">
      <c r="A33" s="589"/>
      <c r="B33" s="390"/>
      <c r="C33" s="390"/>
      <c r="D33" s="390"/>
      <c r="E33" s="47"/>
      <c r="F33" s="47"/>
      <c r="G33" s="47"/>
      <c r="H33" s="47"/>
      <c r="I33" s="47"/>
      <c r="J33" s="47"/>
      <c r="K33" s="47"/>
      <c r="L33" s="47"/>
      <c r="M33" s="437">
        <v>4</v>
      </c>
    </row>
    <row r="34" spans="1:13" x14ac:dyDescent="0.3">
      <c r="A34" s="589"/>
      <c r="B34" s="390"/>
      <c r="C34" s="392" t="s">
        <v>684</v>
      </c>
      <c r="D34" s="398" t="s">
        <v>403</v>
      </c>
      <c r="E34" s="558"/>
      <c r="F34" s="558"/>
      <c r="G34" s="558"/>
      <c r="H34" s="558"/>
      <c r="I34" s="558"/>
      <c r="J34" s="558"/>
      <c r="K34" s="558"/>
      <c r="L34" s="558"/>
      <c r="M34" s="428">
        <f>SUM(M30:M33)</f>
        <v>9</v>
      </c>
    </row>
    <row r="35" spans="1:13" x14ac:dyDescent="0.3">
      <c r="A35" s="589"/>
      <c r="B35" s="390"/>
      <c r="C35" s="390"/>
      <c r="D35" s="390"/>
      <c r="E35" s="47"/>
      <c r="F35" s="47"/>
      <c r="G35" s="47"/>
      <c r="H35" s="47"/>
      <c r="I35" s="47"/>
      <c r="J35" s="47"/>
      <c r="K35" s="47"/>
      <c r="L35" s="47"/>
      <c r="M35" s="437"/>
    </row>
    <row r="36" spans="1:13" s="580" customFormat="1" ht="36" x14ac:dyDescent="0.25">
      <c r="A36" s="587">
        <v>5</v>
      </c>
      <c r="B36" s="395" t="s">
        <v>291</v>
      </c>
      <c r="C36" s="577" t="s">
        <v>292</v>
      </c>
      <c r="D36" s="578"/>
      <c r="E36" s="47"/>
      <c r="F36" s="47"/>
      <c r="G36" s="47"/>
      <c r="H36" s="47"/>
      <c r="I36" s="47"/>
      <c r="J36" s="47"/>
      <c r="K36" s="47"/>
      <c r="L36" s="47">
        <v>5</v>
      </c>
      <c r="M36" s="428">
        <f>PRODUCT(I36:L36)</f>
        <v>5</v>
      </c>
    </row>
    <row r="37" spans="1:13" x14ac:dyDescent="0.3">
      <c r="A37" s="589"/>
      <c r="B37" s="390"/>
      <c r="C37" s="390"/>
      <c r="D37" s="390"/>
      <c r="E37" s="47"/>
      <c r="F37" s="47"/>
      <c r="G37" s="47"/>
      <c r="H37" s="47"/>
      <c r="I37" s="47"/>
      <c r="J37" s="47"/>
      <c r="K37" s="47"/>
      <c r="L37" s="47"/>
      <c r="M37" s="437"/>
    </row>
    <row r="38" spans="1:13" x14ac:dyDescent="0.3">
      <c r="A38" s="782" t="s">
        <v>32</v>
      </c>
      <c r="B38" s="783"/>
      <c r="C38" s="783"/>
      <c r="D38" s="390"/>
      <c r="E38" s="47"/>
      <c r="F38" s="47"/>
      <c r="G38" s="47"/>
      <c r="H38" s="47"/>
      <c r="I38" s="47"/>
      <c r="J38" s="47"/>
      <c r="K38" s="47"/>
      <c r="L38" s="47"/>
      <c r="M38" s="437"/>
    </row>
    <row r="39" spans="1:13" ht="120" x14ac:dyDescent="0.3">
      <c r="A39" s="587">
        <v>1</v>
      </c>
      <c r="B39" s="402" t="s">
        <v>0</v>
      </c>
      <c r="C39" s="151" t="s">
        <v>571</v>
      </c>
      <c r="D39" s="389" t="s">
        <v>679</v>
      </c>
      <c r="E39" s="47"/>
      <c r="F39" s="47"/>
      <c r="G39" s="47"/>
      <c r="H39" s="47"/>
      <c r="I39" s="47"/>
      <c r="J39" s="47"/>
      <c r="K39" s="47"/>
      <c r="L39" s="47"/>
      <c r="M39" s="437"/>
    </row>
    <row r="40" spans="1:13" x14ac:dyDescent="0.3">
      <c r="A40" s="589"/>
      <c r="B40" s="390"/>
      <c r="C40" s="390"/>
      <c r="D40" s="390"/>
      <c r="E40" s="47"/>
      <c r="F40" s="47"/>
      <c r="G40" s="47"/>
      <c r="H40" s="47"/>
      <c r="I40" s="47"/>
      <c r="J40" s="47"/>
      <c r="K40" s="47"/>
      <c r="L40" s="47"/>
      <c r="M40" s="437"/>
    </row>
    <row r="41" spans="1:13" x14ac:dyDescent="0.3">
      <c r="A41" s="429" t="s">
        <v>692</v>
      </c>
      <c r="B41" s="390"/>
      <c r="C41" s="151" t="s">
        <v>64</v>
      </c>
      <c r="D41" s="391" t="s">
        <v>679</v>
      </c>
      <c r="E41" s="47">
        <v>6483</v>
      </c>
      <c r="F41" s="47">
        <f>2000+3495+640</f>
        <v>6135</v>
      </c>
      <c r="G41" s="47"/>
      <c r="H41" s="47"/>
      <c r="I41" s="47">
        <f>E41/304.8</f>
        <v>21.269685039370078</v>
      </c>
      <c r="J41" s="47">
        <f>F41/304.8</f>
        <v>20.127952755905511</v>
      </c>
      <c r="K41" s="47"/>
      <c r="L41" s="47">
        <v>1</v>
      </c>
      <c r="M41" s="428">
        <f>L41*J41*I41</f>
        <v>428.11521560543116</v>
      </c>
    </row>
    <row r="42" spans="1:13" x14ac:dyDescent="0.3">
      <c r="A42" s="429"/>
      <c r="B42" s="390"/>
      <c r="C42" s="151"/>
      <c r="D42" s="391"/>
      <c r="E42" s="47"/>
      <c r="F42" s="47"/>
      <c r="G42" s="47"/>
      <c r="H42" s="47"/>
      <c r="I42" s="47"/>
      <c r="J42" s="47"/>
      <c r="K42" s="47"/>
      <c r="L42" s="47"/>
      <c r="M42" s="437"/>
    </row>
    <row r="43" spans="1:13" x14ac:dyDescent="0.3">
      <c r="A43" s="429" t="s">
        <v>693</v>
      </c>
      <c r="B43" s="390"/>
      <c r="C43" s="151" t="s">
        <v>65</v>
      </c>
      <c r="D43" s="391"/>
      <c r="E43" s="47"/>
      <c r="F43" s="47"/>
      <c r="G43" s="47"/>
      <c r="H43" s="47"/>
      <c r="I43" s="47"/>
      <c r="J43" s="47"/>
      <c r="K43" s="47"/>
      <c r="L43" s="47"/>
      <c r="M43" s="437"/>
    </row>
    <row r="44" spans="1:13" x14ac:dyDescent="0.3">
      <c r="A44" s="429"/>
      <c r="B44" s="390"/>
      <c r="C44" s="151" t="s">
        <v>694</v>
      </c>
      <c r="D44" s="391" t="s">
        <v>679</v>
      </c>
      <c r="E44" s="47">
        <v>6483</v>
      </c>
      <c r="F44" s="47"/>
      <c r="G44" s="47">
        <v>600</v>
      </c>
      <c r="H44" s="47"/>
      <c r="I44" s="47">
        <f t="shared" ref="I44:I57" si="2">E44/304.8</f>
        <v>21.269685039370078</v>
      </c>
      <c r="J44" s="47"/>
      <c r="K44" s="47">
        <f t="shared" ref="K44:K57" si="3">G44/304.8</f>
        <v>1.9685039370078738</v>
      </c>
      <c r="L44" s="47">
        <v>1</v>
      </c>
      <c r="M44" s="437">
        <f>L44*K44*I44</f>
        <v>41.869458738917473</v>
      </c>
    </row>
    <row r="45" spans="1:13" x14ac:dyDescent="0.3">
      <c r="A45" s="429"/>
      <c r="B45" s="390"/>
      <c r="C45" s="151" t="s">
        <v>695</v>
      </c>
      <c r="D45" s="391" t="s">
        <v>679</v>
      </c>
      <c r="E45" s="47">
        <f>2000+3495</f>
        <v>5495</v>
      </c>
      <c r="F45" s="47"/>
      <c r="G45" s="47">
        <v>600</v>
      </c>
      <c r="H45" s="47"/>
      <c r="I45" s="47">
        <f t="shared" si="2"/>
        <v>18.028215223097114</v>
      </c>
      <c r="J45" s="47"/>
      <c r="K45" s="47">
        <f t="shared" si="3"/>
        <v>1.9685039370078738</v>
      </c>
      <c r="L45" s="47">
        <v>1</v>
      </c>
      <c r="M45" s="437">
        <f t="shared" ref="M45:M57" si="4">L45*K45*I45</f>
        <v>35.488612643891955</v>
      </c>
    </row>
    <row r="46" spans="1:13" x14ac:dyDescent="0.3">
      <c r="A46" s="429"/>
      <c r="B46" s="390"/>
      <c r="C46" s="151" t="s">
        <v>696</v>
      </c>
      <c r="D46" s="391" t="s">
        <v>679</v>
      </c>
      <c r="E46" s="47">
        <v>390</v>
      </c>
      <c r="F46" s="47"/>
      <c r="G46" s="47">
        <v>600</v>
      </c>
      <c r="H46" s="47"/>
      <c r="I46" s="47">
        <f t="shared" si="2"/>
        <v>1.2795275590551181</v>
      </c>
      <c r="J46" s="47"/>
      <c r="K46" s="47">
        <f t="shared" si="3"/>
        <v>1.9685039370078738</v>
      </c>
      <c r="L46" s="47">
        <v>1</v>
      </c>
      <c r="M46" s="437">
        <f t="shared" si="4"/>
        <v>2.5187550375100747</v>
      </c>
    </row>
    <row r="47" spans="1:13" x14ac:dyDescent="0.3">
      <c r="A47" s="429"/>
      <c r="B47" s="390"/>
      <c r="C47" s="151" t="s">
        <v>696</v>
      </c>
      <c r="D47" s="391" t="s">
        <v>679</v>
      </c>
      <c r="E47" s="47">
        <v>680</v>
      </c>
      <c r="F47" s="47"/>
      <c r="G47" s="47">
        <v>600</v>
      </c>
      <c r="H47" s="47"/>
      <c r="I47" s="47">
        <f t="shared" si="2"/>
        <v>2.2309711286089238</v>
      </c>
      <c r="J47" s="47"/>
      <c r="K47" s="47">
        <f t="shared" si="3"/>
        <v>1.9685039370078738</v>
      </c>
      <c r="L47" s="47">
        <v>1</v>
      </c>
      <c r="M47" s="437">
        <f t="shared" si="4"/>
        <v>4.3916754500175665</v>
      </c>
    </row>
    <row r="48" spans="1:13" x14ac:dyDescent="0.3">
      <c r="A48" s="429"/>
      <c r="B48" s="390"/>
      <c r="C48" s="151" t="s">
        <v>697</v>
      </c>
      <c r="D48" s="391" t="s">
        <v>679</v>
      </c>
      <c r="E48" s="47">
        <v>5450</v>
      </c>
      <c r="F48" s="47"/>
      <c r="G48" s="47">
        <v>600</v>
      </c>
      <c r="H48" s="47"/>
      <c r="I48" s="47">
        <f t="shared" si="2"/>
        <v>17.880577427821521</v>
      </c>
      <c r="J48" s="47"/>
      <c r="K48" s="47">
        <f t="shared" si="3"/>
        <v>1.9685039370078738</v>
      </c>
      <c r="L48" s="47">
        <v>1</v>
      </c>
      <c r="M48" s="437">
        <f t="shared" si="4"/>
        <v>35.197987062640784</v>
      </c>
    </row>
    <row r="49" spans="1:13" x14ac:dyDescent="0.3">
      <c r="A49" s="429"/>
      <c r="B49" s="390"/>
      <c r="C49" s="151" t="s">
        <v>696</v>
      </c>
      <c r="D49" s="391" t="s">
        <v>679</v>
      </c>
      <c r="E49" s="47">
        <v>640</v>
      </c>
      <c r="F49" s="47"/>
      <c r="G49" s="47">
        <v>600</v>
      </c>
      <c r="H49" s="47"/>
      <c r="I49" s="47">
        <f t="shared" si="2"/>
        <v>2.0997375328083989</v>
      </c>
      <c r="J49" s="47"/>
      <c r="K49" s="47">
        <f t="shared" si="3"/>
        <v>1.9685039370078738</v>
      </c>
      <c r="L49" s="47">
        <v>1</v>
      </c>
      <c r="M49" s="437">
        <f t="shared" si="4"/>
        <v>4.1333416000165331</v>
      </c>
    </row>
    <row r="50" spans="1:13" x14ac:dyDescent="0.3">
      <c r="A50" s="429"/>
      <c r="B50" s="390"/>
      <c r="C50" s="151" t="s">
        <v>696</v>
      </c>
      <c r="D50" s="391" t="s">
        <v>679</v>
      </c>
      <c r="E50" s="47">
        <v>570</v>
      </c>
      <c r="F50" s="47"/>
      <c r="G50" s="47">
        <v>600</v>
      </c>
      <c r="H50" s="47"/>
      <c r="I50" s="47">
        <f t="shared" si="2"/>
        <v>1.8700787401574803</v>
      </c>
      <c r="J50" s="47"/>
      <c r="K50" s="47">
        <f t="shared" si="3"/>
        <v>1.9685039370078738</v>
      </c>
      <c r="L50" s="47">
        <v>1</v>
      </c>
      <c r="M50" s="437">
        <f t="shared" si="4"/>
        <v>3.6812573625147249</v>
      </c>
    </row>
    <row r="51" spans="1:13" x14ac:dyDescent="0.3">
      <c r="A51" s="429"/>
      <c r="B51" s="390"/>
      <c r="C51" s="151" t="s">
        <v>698</v>
      </c>
      <c r="D51" s="391" t="s">
        <v>679</v>
      </c>
      <c r="E51" s="47">
        <v>5387</v>
      </c>
      <c r="F51" s="47"/>
      <c r="G51" s="47">
        <v>600</v>
      </c>
      <c r="H51" s="47"/>
      <c r="I51" s="47">
        <f t="shared" si="2"/>
        <v>17.673884514435695</v>
      </c>
      <c r="J51" s="47"/>
      <c r="K51" s="47">
        <f t="shared" si="3"/>
        <v>1.9685039370078738</v>
      </c>
      <c r="L51" s="47">
        <v>1</v>
      </c>
      <c r="M51" s="437">
        <f t="shared" si="4"/>
        <v>34.791111248889159</v>
      </c>
    </row>
    <row r="52" spans="1:13" x14ac:dyDescent="0.3">
      <c r="A52" s="429"/>
      <c r="B52" s="390"/>
      <c r="C52" s="151" t="s">
        <v>699</v>
      </c>
      <c r="D52" s="391" t="s">
        <v>679</v>
      </c>
      <c r="E52" s="47">
        <v>150</v>
      </c>
      <c r="F52" s="47"/>
      <c r="G52" s="47">
        <v>600</v>
      </c>
      <c r="H52" s="47"/>
      <c r="I52" s="47">
        <f t="shared" si="2"/>
        <v>0.49212598425196846</v>
      </c>
      <c r="J52" s="47"/>
      <c r="K52" s="47">
        <f t="shared" si="3"/>
        <v>1.9685039370078738</v>
      </c>
      <c r="L52" s="47">
        <v>1</v>
      </c>
      <c r="M52" s="437">
        <f t="shared" si="4"/>
        <v>0.96875193750387489</v>
      </c>
    </row>
    <row r="53" spans="1:13" x14ac:dyDescent="0.3">
      <c r="A53" s="429"/>
      <c r="B53" s="390"/>
      <c r="C53" s="151"/>
      <c r="D53" s="391" t="s">
        <v>679</v>
      </c>
      <c r="E53" s="47">
        <v>2610</v>
      </c>
      <c r="F53" s="47"/>
      <c r="G53" s="47">
        <v>600</v>
      </c>
      <c r="H53" s="47"/>
      <c r="I53" s="47">
        <f t="shared" si="2"/>
        <v>8.5629921259842519</v>
      </c>
      <c r="J53" s="47"/>
      <c r="K53" s="47">
        <f t="shared" si="3"/>
        <v>1.9685039370078738</v>
      </c>
      <c r="L53" s="47">
        <v>1</v>
      </c>
      <c r="M53" s="437">
        <f t="shared" si="4"/>
        <v>16.856283712567425</v>
      </c>
    </row>
    <row r="54" spans="1:13" x14ac:dyDescent="0.3">
      <c r="A54" s="429"/>
      <c r="B54" s="390"/>
      <c r="C54" s="151"/>
      <c r="D54" s="391" t="s">
        <v>679</v>
      </c>
      <c r="E54" s="47">
        <v>3340</v>
      </c>
      <c r="F54" s="47"/>
      <c r="G54" s="47">
        <v>600</v>
      </c>
      <c r="H54" s="47"/>
      <c r="I54" s="47">
        <f t="shared" si="2"/>
        <v>10.958005249343831</v>
      </c>
      <c r="J54" s="47"/>
      <c r="K54" s="47">
        <f t="shared" si="3"/>
        <v>1.9685039370078738</v>
      </c>
      <c r="L54" s="47">
        <v>1</v>
      </c>
      <c r="M54" s="437">
        <f t="shared" si="4"/>
        <v>21.57087647508628</v>
      </c>
    </row>
    <row r="55" spans="1:13" x14ac:dyDescent="0.3">
      <c r="A55" s="429"/>
      <c r="B55" s="390"/>
      <c r="C55" s="151"/>
      <c r="D55" s="391" t="s">
        <v>679</v>
      </c>
      <c r="E55" s="47">
        <v>150</v>
      </c>
      <c r="F55" s="47"/>
      <c r="G55" s="47">
        <v>600</v>
      </c>
      <c r="H55" s="47"/>
      <c r="I55" s="47">
        <f t="shared" si="2"/>
        <v>0.49212598425196846</v>
      </c>
      <c r="J55" s="47"/>
      <c r="K55" s="47">
        <f t="shared" si="3"/>
        <v>1.9685039370078738</v>
      </c>
      <c r="L55" s="47">
        <v>1</v>
      </c>
      <c r="M55" s="437">
        <f t="shared" si="4"/>
        <v>0.96875193750387489</v>
      </c>
    </row>
    <row r="56" spans="1:13" x14ac:dyDescent="0.3">
      <c r="A56" s="429"/>
      <c r="B56" s="390"/>
      <c r="C56" s="151"/>
      <c r="D56" s="391" t="s">
        <v>679</v>
      </c>
      <c r="E56" s="47">
        <v>3160</v>
      </c>
      <c r="F56" s="47"/>
      <c r="G56" s="47">
        <v>600</v>
      </c>
      <c r="H56" s="47"/>
      <c r="I56" s="47">
        <f t="shared" si="2"/>
        <v>10.36745406824147</v>
      </c>
      <c r="J56" s="47"/>
      <c r="K56" s="47">
        <f t="shared" si="3"/>
        <v>1.9685039370078738</v>
      </c>
      <c r="L56" s="47">
        <v>1</v>
      </c>
      <c r="M56" s="437">
        <f t="shared" si="4"/>
        <v>20.408374150081631</v>
      </c>
    </row>
    <row r="57" spans="1:13" x14ac:dyDescent="0.3">
      <c r="A57" s="429"/>
      <c r="B57" s="390"/>
      <c r="C57" s="151"/>
      <c r="D57" s="391" t="s">
        <v>679</v>
      </c>
      <c r="E57" s="47">
        <v>2430</v>
      </c>
      <c r="F57" s="47"/>
      <c r="G57" s="47">
        <v>600</v>
      </c>
      <c r="H57" s="47"/>
      <c r="I57" s="47">
        <f t="shared" si="2"/>
        <v>7.9724409448818898</v>
      </c>
      <c r="J57" s="47"/>
      <c r="K57" s="47">
        <f t="shared" si="3"/>
        <v>1.9685039370078738</v>
      </c>
      <c r="L57" s="47">
        <v>1</v>
      </c>
      <c r="M57" s="437">
        <f t="shared" si="4"/>
        <v>15.693781387562774</v>
      </c>
    </row>
    <row r="58" spans="1:13" x14ac:dyDescent="0.3">
      <c r="A58" s="429"/>
      <c r="B58" s="390"/>
      <c r="C58" s="151"/>
      <c r="D58" s="391"/>
      <c r="E58" s="47"/>
      <c r="F58" s="47"/>
      <c r="G58" s="47"/>
      <c r="H58" s="47"/>
      <c r="I58" s="47"/>
      <c r="J58" s="47"/>
      <c r="K58" s="47"/>
      <c r="L58" s="47"/>
      <c r="M58" s="437"/>
    </row>
    <row r="59" spans="1:13" x14ac:dyDescent="0.3">
      <c r="A59" s="429"/>
      <c r="B59" s="390"/>
      <c r="C59" s="392" t="s">
        <v>684</v>
      </c>
      <c r="D59" s="389" t="s">
        <v>679</v>
      </c>
      <c r="E59" s="558"/>
      <c r="F59" s="558"/>
      <c r="G59" s="558"/>
      <c r="H59" s="558"/>
      <c r="I59" s="558"/>
      <c r="J59" s="558"/>
      <c r="K59" s="558"/>
      <c r="L59" s="558"/>
      <c r="M59" s="428">
        <f>SUM(M44:M57)</f>
        <v>238.53901874470412</v>
      </c>
    </row>
    <row r="60" spans="1:13" x14ac:dyDescent="0.3">
      <c r="A60" s="429"/>
      <c r="B60" s="390"/>
      <c r="C60" s="151"/>
      <c r="D60" s="391"/>
      <c r="E60" s="47"/>
      <c r="F60" s="47"/>
      <c r="G60" s="47"/>
      <c r="H60" s="47"/>
      <c r="I60" s="47"/>
      <c r="J60" s="47"/>
      <c r="K60" s="47"/>
      <c r="L60" s="47"/>
      <c r="M60" s="437"/>
    </row>
    <row r="61" spans="1:13" x14ac:dyDescent="0.3">
      <c r="A61" s="429" t="s">
        <v>700</v>
      </c>
      <c r="B61" s="390"/>
      <c r="C61" s="151" t="s">
        <v>72</v>
      </c>
      <c r="D61" s="391" t="s">
        <v>679</v>
      </c>
      <c r="E61" s="47">
        <v>2400</v>
      </c>
      <c r="F61" s="47">
        <v>3500</v>
      </c>
      <c r="G61" s="47"/>
      <c r="H61" s="47"/>
      <c r="I61" s="47">
        <f>E61/304.8</f>
        <v>7.8740157480314954</v>
      </c>
      <c r="J61" s="47">
        <f>F61/304.8</f>
        <v>11.482939632545932</v>
      </c>
      <c r="K61" s="47"/>
      <c r="L61" s="47">
        <v>1</v>
      </c>
      <c r="M61" s="428">
        <f>L61*J61*I61</f>
        <v>90.416847500361669</v>
      </c>
    </row>
    <row r="62" spans="1:13" x14ac:dyDescent="0.3">
      <c r="A62" s="429"/>
      <c r="B62" s="390"/>
      <c r="C62" s="151"/>
      <c r="D62" s="391"/>
      <c r="E62" s="47"/>
      <c r="F62" s="47"/>
      <c r="G62" s="47"/>
      <c r="H62" s="47"/>
      <c r="I62" s="47"/>
      <c r="J62" s="47"/>
      <c r="K62" s="47"/>
      <c r="L62" s="47"/>
      <c r="M62" s="437"/>
    </row>
    <row r="63" spans="1:13" x14ac:dyDescent="0.3">
      <c r="A63" s="429" t="s">
        <v>701</v>
      </c>
      <c r="B63" s="390"/>
      <c r="C63" s="151" t="s">
        <v>73</v>
      </c>
      <c r="D63" s="391" t="s">
        <v>679</v>
      </c>
      <c r="E63" s="47">
        <v>2505</v>
      </c>
      <c r="F63" s="47"/>
      <c r="G63" s="47">
        <v>600</v>
      </c>
      <c r="H63" s="47"/>
      <c r="I63" s="47">
        <f>E63/304.8</f>
        <v>8.2185039370078741</v>
      </c>
      <c r="J63" s="47"/>
      <c r="K63" s="47">
        <f>G63/304.8</f>
        <v>1.9685039370078738</v>
      </c>
      <c r="L63" s="47">
        <v>1</v>
      </c>
      <c r="M63" s="437">
        <f>L63*K63*I63</f>
        <v>16.17815735631471</v>
      </c>
    </row>
    <row r="64" spans="1:13" x14ac:dyDescent="0.3">
      <c r="A64" s="429"/>
      <c r="B64" s="390"/>
      <c r="C64" s="390" t="s">
        <v>702</v>
      </c>
      <c r="D64" s="391" t="s">
        <v>679</v>
      </c>
      <c r="E64" s="47">
        <v>3500</v>
      </c>
      <c r="F64" s="47"/>
      <c r="G64" s="47">
        <v>600</v>
      </c>
      <c r="H64" s="47"/>
      <c r="I64" s="47">
        <f t="shared" ref="I64:I68" si="5">E64/304.8</f>
        <v>11.482939632545932</v>
      </c>
      <c r="J64" s="47"/>
      <c r="K64" s="47">
        <f t="shared" ref="K64:K68" si="6">G64/304.8</f>
        <v>1.9685039370078738</v>
      </c>
      <c r="L64" s="47">
        <v>1</v>
      </c>
      <c r="M64" s="437">
        <f t="shared" ref="M64:M68" si="7">L64*K64*I64</f>
        <v>22.604211875090417</v>
      </c>
    </row>
    <row r="65" spans="1:13" x14ac:dyDescent="0.3">
      <c r="A65" s="429"/>
      <c r="B65" s="390"/>
      <c r="C65" s="390" t="s">
        <v>696</v>
      </c>
      <c r="D65" s="391" t="s">
        <v>679</v>
      </c>
      <c r="E65" s="47">
        <v>1020</v>
      </c>
      <c r="F65" s="47"/>
      <c r="G65" s="47">
        <v>600</v>
      </c>
      <c r="H65" s="47"/>
      <c r="I65" s="47">
        <f t="shared" si="5"/>
        <v>3.3464566929133857</v>
      </c>
      <c r="J65" s="47"/>
      <c r="K65" s="47">
        <f t="shared" si="6"/>
        <v>1.9685039370078738</v>
      </c>
      <c r="L65" s="47">
        <v>1</v>
      </c>
      <c r="M65" s="437">
        <f t="shared" si="7"/>
        <v>6.5875131750263494</v>
      </c>
    </row>
    <row r="66" spans="1:13" x14ac:dyDescent="0.3">
      <c r="A66" s="429"/>
      <c r="B66" s="390"/>
      <c r="C66" s="390" t="s">
        <v>696</v>
      </c>
      <c r="D66" s="391" t="s">
        <v>679</v>
      </c>
      <c r="E66" s="47">
        <v>390</v>
      </c>
      <c r="F66" s="47"/>
      <c r="G66" s="47">
        <v>600</v>
      </c>
      <c r="H66" s="47"/>
      <c r="I66" s="47">
        <f t="shared" si="5"/>
        <v>1.2795275590551181</v>
      </c>
      <c r="J66" s="47"/>
      <c r="K66" s="47">
        <f t="shared" si="6"/>
        <v>1.9685039370078738</v>
      </c>
      <c r="L66" s="47">
        <v>1</v>
      </c>
      <c r="M66" s="437">
        <f t="shared" si="7"/>
        <v>2.5187550375100747</v>
      </c>
    </row>
    <row r="67" spans="1:13" x14ac:dyDescent="0.3">
      <c r="A67" s="429"/>
      <c r="B67" s="390"/>
      <c r="C67" s="390"/>
      <c r="D67" s="391" t="s">
        <v>679</v>
      </c>
      <c r="E67" s="47">
        <v>1005</v>
      </c>
      <c r="F67" s="47"/>
      <c r="G67" s="47">
        <v>600</v>
      </c>
      <c r="H67" s="47"/>
      <c r="I67" s="47">
        <f t="shared" si="5"/>
        <v>3.2972440944881889</v>
      </c>
      <c r="J67" s="47"/>
      <c r="K67" s="47">
        <f t="shared" si="6"/>
        <v>1.9685039370078738</v>
      </c>
      <c r="L67" s="47">
        <v>1</v>
      </c>
      <c r="M67" s="437">
        <f t="shared" si="7"/>
        <v>6.4906379812759623</v>
      </c>
    </row>
    <row r="68" spans="1:13" x14ac:dyDescent="0.3">
      <c r="A68" s="429"/>
      <c r="B68" s="390"/>
      <c r="C68" s="390" t="s">
        <v>697</v>
      </c>
      <c r="D68" s="391" t="s">
        <v>679</v>
      </c>
      <c r="E68" s="47">
        <v>3100</v>
      </c>
      <c r="F68" s="47"/>
      <c r="G68" s="47">
        <v>600</v>
      </c>
      <c r="H68" s="47"/>
      <c r="I68" s="47">
        <f t="shared" si="5"/>
        <v>10.170603674540683</v>
      </c>
      <c r="J68" s="47"/>
      <c r="K68" s="47">
        <f t="shared" si="6"/>
        <v>1.9685039370078738</v>
      </c>
      <c r="L68" s="47">
        <v>1</v>
      </c>
      <c r="M68" s="437">
        <f t="shared" si="7"/>
        <v>20.020873375080082</v>
      </c>
    </row>
    <row r="69" spans="1:13" x14ac:dyDescent="0.3">
      <c r="A69" s="429"/>
      <c r="B69" s="390"/>
      <c r="C69" s="390"/>
      <c r="D69" s="390"/>
      <c r="E69" s="47"/>
      <c r="F69" s="47"/>
      <c r="G69" s="47"/>
      <c r="H69" s="47"/>
      <c r="I69" s="47"/>
      <c r="J69" s="47"/>
      <c r="K69" s="47"/>
      <c r="L69" s="47"/>
      <c r="M69" s="437"/>
    </row>
    <row r="70" spans="1:13" x14ac:dyDescent="0.3">
      <c r="A70" s="429"/>
      <c r="B70" s="390"/>
      <c r="C70" s="392" t="s">
        <v>684</v>
      </c>
      <c r="D70" s="389" t="s">
        <v>679</v>
      </c>
      <c r="E70" s="558"/>
      <c r="F70" s="558"/>
      <c r="G70" s="558"/>
      <c r="H70" s="558"/>
      <c r="I70" s="558"/>
      <c r="J70" s="558"/>
      <c r="K70" s="558"/>
      <c r="L70" s="558"/>
      <c r="M70" s="428">
        <f>SUM(M63:M68)</f>
        <v>74.4001488002976</v>
      </c>
    </row>
    <row r="71" spans="1:13" x14ac:dyDescent="0.3">
      <c r="A71" s="429"/>
      <c r="B71" s="390"/>
      <c r="C71" s="151"/>
      <c r="D71" s="391"/>
      <c r="E71" s="47"/>
      <c r="F71" s="47"/>
      <c r="G71" s="47"/>
      <c r="H71" s="47"/>
      <c r="I71" s="47"/>
      <c r="J71" s="47"/>
      <c r="K71" s="47"/>
      <c r="L71" s="47"/>
      <c r="M71" s="437"/>
    </row>
    <row r="72" spans="1:13" x14ac:dyDescent="0.3">
      <c r="A72" s="429"/>
      <c r="B72" s="390"/>
      <c r="C72" s="390"/>
      <c r="D72" s="390"/>
      <c r="E72" s="47"/>
      <c r="F72" s="47"/>
      <c r="G72" s="47"/>
      <c r="H72" s="47"/>
      <c r="I72" s="47"/>
      <c r="J72" s="47"/>
      <c r="K72" s="47"/>
      <c r="L72" s="47"/>
      <c r="M72" s="437"/>
    </row>
    <row r="73" spans="1:13" x14ac:dyDescent="0.3">
      <c r="A73" s="587" t="s">
        <v>703</v>
      </c>
      <c r="B73" s="402"/>
      <c r="C73" s="151" t="s">
        <v>689</v>
      </c>
      <c r="D73" s="391" t="s">
        <v>679</v>
      </c>
      <c r="E73" s="47">
        <v>2400</v>
      </c>
      <c r="F73" s="47">
        <v>2410</v>
      </c>
      <c r="G73" s="47"/>
      <c r="H73" s="47"/>
      <c r="I73" s="47">
        <f>E73/304.8</f>
        <v>7.8740157480314954</v>
      </c>
      <c r="J73" s="47">
        <f>F73/304.8</f>
        <v>7.9068241469816272</v>
      </c>
      <c r="K73" s="47"/>
      <c r="L73" s="47">
        <v>1</v>
      </c>
      <c r="M73" s="437">
        <f>L73*J73*I73</f>
        <v>62.25845785024903</v>
      </c>
    </row>
    <row r="74" spans="1:13" x14ac:dyDescent="0.3">
      <c r="A74" s="587"/>
      <c r="B74" s="402"/>
      <c r="C74" s="151" t="s">
        <v>73</v>
      </c>
      <c r="D74" s="391" t="s">
        <v>679</v>
      </c>
      <c r="E74" s="47">
        <v>2400</v>
      </c>
      <c r="F74" s="47"/>
      <c r="G74" s="47">
        <v>600</v>
      </c>
      <c r="H74" s="47"/>
      <c r="I74" s="47">
        <f>E74/304.8</f>
        <v>7.8740157480314954</v>
      </c>
      <c r="J74" s="47"/>
      <c r="K74" s="47">
        <f>G74/304.8</f>
        <v>1.9685039370078738</v>
      </c>
      <c r="L74" s="47">
        <v>2</v>
      </c>
      <c r="M74" s="437">
        <f>L74*K74*I74</f>
        <v>31.000062000123997</v>
      </c>
    </row>
    <row r="75" spans="1:13" x14ac:dyDescent="0.3">
      <c r="A75" s="587"/>
      <c r="B75" s="402"/>
      <c r="C75" s="151"/>
      <c r="D75" s="391" t="s">
        <v>679</v>
      </c>
      <c r="E75" s="47">
        <v>2410</v>
      </c>
      <c r="F75" s="47"/>
      <c r="G75" s="47">
        <v>600</v>
      </c>
      <c r="H75" s="47"/>
      <c r="I75" s="47">
        <f>E75/304.8</f>
        <v>7.9068241469816272</v>
      </c>
      <c r="J75" s="47"/>
      <c r="K75" s="47">
        <f>G75/304.8</f>
        <v>1.9685039370078738</v>
      </c>
      <c r="L75" s="47">
        <v>2</v>
      </c>
      <c r="M75" s="437">
        <f>L75*K75*I75</f>
        <v>31.129228925124515</v>
      </c>
    </row>
    <row r="76" spans="1:13" x14ac:dyDescent="0.3">
      <c r="A76" s="587"/>
      <c r="B76" s="402"/>
      <c r="C76" s="151"/>
      <c r="D76" s="391"/>
      <c r="E76" s="47"/>
      <c r="F76" s="47"/>
      <c r="G76" s="47"/>
      <c r="H76" s="47"/>
      <c r="I76" s="47"/>
      <c r="J76" s="47"/>
      <c r="K76" s="47"/>
      <c r="L76" s="47"/>
      <c r="M76" s="437"/>
    </row>
    <row r="77" spans="1:13" x14ac:dyDescent="0.3">
      <c r="A77" s="587"/>
      <c r="B77" s="402"/>
      <c r="C77" s="392" t="s">
        <v>684</v>
      </c>
      <c r="D77" s="389" t="s">
        <v>679</v>
      </c>
      <c r="E77" s="558"/>
      <c r="F77" s="558"/>
      <c r="G77" s="558"/>
      <c r="H77" s="558"/>
      <c r="I77" s="558"/>
      <c r="J77" s="558"/>
      <c r="K77" s="558"/>
      <c r="L77" s="558"/>
      <c r="M77" s="428">
        <f>SUM(M73:M76)</f>
        <v>124.38774877549756</v>
      </c>
    </row>
    <row r="78" spans="1:13" x14ac:dyDescent="0.3">
      <c r="A78" s="587"/>
      <c r="B78" s="402"/>
      <c r="C78" s="151"/>
      <c r="D78" s="391"/>
      <c r="E78" s="47"/>
      <c r="F78" s="47"/>
      <c r="G78" s="47"/>
      <c r="H78" s="47"/>
      <c r="I78" s="47"/>
      <c r="J78" s="47"/>
      <c r="K78" s="47"/>
      <c r="L78" s="47"/>
      <c r="M78" s="437"/>
    </row>
    <row r="79" spans="1:13" ht="144" x14ac:dyDescent="0.3">
      <c r="A79" s="587">
        <v>2</v>
      </c>
      <c r="B79" s="402" t="s">
        <v>20</v>
      </c>
      <c r="C79" s="151" t="s">
        <v>572</v>
      </c>
      <c r="D79" s="390"/>
      <c r="E79" s="47"/>
      <c r="F79" s="47"/>
      <c r="G79" s="47"/>
      <c r="H79" s="47"/>
      <c r="I79" s="47"/>
      <c r="J79" s="47"/>
      <c r="K79" s="47"/>
      <c r="L79" s="47"/>
      <c r="M79" s="437"/>
    </row>
    <row r="80" spans="1:13" x14ac:dyDescent="0.3">
      <c r="A80" s="589"/>
      <c r="B80" s="390"/>
      <c r="C80" s="390"/>
      <c r="D80" s="390"/>
      <c r="E80" s="47"/>
      <c r="F80" s="47"/>
      <c r="G80" s="47"/>
      <c r="H80" s="47"/>
      <c r="I80" s="47"/>
      <c r="J80" s="47"/>
      <c r="K80" s="47"/>
      <c r="L80" s="47"/>
      <c r="M80" s="437"/>
    </row>
    <row r="81" spans="1:14" x14ac:dyDescent="0.3">
      <c r="A81" s="589"/>
      <c r="B81" s="390"/>
      <c r="C81" s="151" t="s">
        <v>704</v>
      </c>
      <c r="D81" s="391" t="s">
        <v>679</v>
      </c>
      <c r="E81" s="47">
        <v>6483</v>
      </c>
      <c r="F81" s="47"/>
      <c r="G81" s="47">
        <v>3810</v>
      </c>
      <c r="H81" s="47"/>
      <c r="I81" s="47">
        <f t="shared" ref="I81:I88" si="8">E81/304.8</f>
        <v>21.269685039370078</v>
      </c>
      <c r="J81" s="47"/>
      <c r="K81" s="47">
        <f t="shared" ref="K81:K88" si="9">G81/304.8</f>
        <v>12.5</v>
      </c>
      <c r="L81" s="47">
        <v>1</v>
      </c>
      <c r="M81" s="437">
        <f>L81*K81*I81</f>
        <v>265.87106299212599</v>
      </c>
    </row>
    <row r="82" spans="1:14" x14ac:dyDescent="0.3">
      <c r="A82" s="589"/>
      <c r="B82" s="390"/>
      <c r="C82" s="390" t="s">
        <v>705</v>
      </c>
      <c r="D82" s="391" t="s">
        <v>679</v>
      </c>
      <c r="E82" s="47">
        <v>1500</v>
      </c>
      <c r="F82" s="47"/>
      <c r="G82" s="47">
        <v>2400</v>
      </c>
      <c r="H82" s="47"/>
      <c r="I82" s="47">
        <f t="shared" si="8"/>
        <v>4.9212598425196852</v>
      </c>
      <c r="J82" s="47"/>
      <c r="K82" s="47">
        <f t="shared" si="9"/>
        <v>7.8740157480314954</v>
      </c>
      <c r="L82" s="47">
        <v>-1</v>
      </c>
      <c r="M82" s="437">
        <f t="shared" ref="M82:M88" si="10">L82*K82*I82</f>
        <v>-38.750077500155001</v>
      </c>
    </row>
    <row r="83" spans="1:14" x14ac:dyDescent="0.3">
      <c r="A83" s="589"/>
      <c r="B83" s="390"/>
      <c r="C83" s="390"/>
      <c r="D83" s="391" t="s">
        <v>679</v>
      </c>
      <c r="E83" s="47">
        <v>900</v>
      </c>
      <c r="F83" s="47"/>
      <c r="G83" s="47">
        <v>2400</v>
      </c>
      <c r="H83" s="47"/>
      <c r="I83" s="47">
        <f t="shared" si="8"/>
        <v>2.9527559055118111</v>
      </c>
      <c r="J83" s="47"/>
      <c r="K83" s="47">
        <f t="shared" si="9"/>
        <v>7.8740157480314954</v>
      </c>
      <c r="L83" s="47">
        <v>-1</v>
      </c>
      <c r="M83" s="437">
        <f t="shared" si="10"/>
        <v>-23.250046500092999</v>
      </c>
    </row>
    <row r="84" spans="1:14" x14ac:dyDescent="0.3">
      <c r="A84" s="589"/>
      <c r="B84" s="390"/>
      <c r="C84" s="390" t="s">
        <v>706</v>
      </c>
      <c r="D84" s="391" t="s">
        <v>679</v>
      </c>
      <c r="E84" s="47">
        <v>3600</v>
      </c>
      <c r="F84" s="47"/>
      <c r="G84" s="47">
        <v>2400</v>
      </c>
      <c r="H84" s="47"/>
      <c r="I84" s="47">
        <f t="shared" si="8"/>
        <v>11.811023622047244</v>
      </c>
      <c r="J84" s="47"/>
      <c r="K84" s="47">
        <f t="shared" si="9"/>
        <v>7.8740157480314954</v>
      </c>
      <c r="L84" s="47">
        <v>1</v>
      </c>
      <c r="M84" s="437">
        <f t="shared" si="10"/>
        <v>93.000186000371997</v>
      </c>
    </row>
    <row r="85" spans="1:14" x14ac:dyDescent="0.3">
      <c r="A85" s="589"/>
      <c r="B85" s="390"/>
      <c r="C85" s="390" t="s">
        <v>707</v>
      </c>
      <c r="D85" s="391" t="s">
        <v>679</v>
      </c>
      <c r="E85" s="47">
        <v>3000</v>
      </c>
      <c r="F85" s="47"/>
      <c r="G85" s="47">
        <v>1000</v>
      </c>
      <c r="H85" s="47"/>
      <c r="I85" s="47">
        <f t="shared" si="8"/>
        <v>9.8425196850393704</v>
      </c>
      <c r="J85" s="47"/>
      <c r="K85" s="47">
        <f t="shared" si="9"/>
        <v>3.2808398950131235</v>
      </c>
      <c r="L85" s="47">
        <v>1</v>
      </c>
      <c r="M85" s="437">
        <f t="shared" si="10"/>
        <v>32.291731250129168</v>
      </c>
    </row>
    <row r="86" spans="1:14" x14ac:dyDescent="0.3">
      <c r="A86" s="589"/>
      <c r="B86" s="390"/>
      <c r="C86" s="390" t="s">
        <v>708</v>
      </c>
      <c r="D86" s="391" t="s">
        <v>679</v>
      </c>
      <c r="E86" s="47">
        <v>2200</v>
      </c>
      <c r="F86" s="47"/>
      <c r="G86" s="47">
        <v>1600</v>
      </c>
      <c r="H86" s="47"/>
      <c r="I86" s="47">
        <f t="shared" si="8"/>
        <v>7.2178477690288707</v>
      </c>
      <c r="J86" s="47"/>
      <c r="K86" s="47">
        <f t="shared" si="9"/>
        <v>5.2493438320209975</v>
      </c>
      <c r="L86" s="47">
        <v>1</v>
      </c>
      <c r="M86" s="437">
        <f t="shared" si="10"/>
        <v>37.888964666818218</v>
      </c>
    </row>
    <row r="87" spans="1:14" x14ac:dyDescent="0.3">
      <c r="A87" s="589"/>
      <c r="B87" s="390"/>
      <c r="C87" s="390" t="s">
        <v>709</v>
      </c>
      <c r="D87" s="391" t="s">
        <v>679</v>
      </c>
      <c r="E87" s="47">
        <v>1460</v>
      </c>
      <c r="F87" s="47"/>
      <c r="G87" s="47">
        <v>4200</v>
      </c>
      <c r="H87" s="47"/>
      <c r="I87" s="47">
        <f t="shared" si="8"/>
        <v>4.7900262467191599</v>
      </c>
      <c r="J87" s="47"/>
      <c r="K87" s="47">
        <f t="shared" si="9"/>
        <v>13.779527559055117</v>
      </c>
      <c r="L87" s="47">
        <v>2</v>
      </c>
      <c r="M87" s="437">
        <f t="shared" si="10"/>
        <v>132.00859735052802</v>
      </c>
    </row>
    <row r="88" spans="1:14" x14ac:dyDescent="0.3">
      <c r="A88" s="589"/>
      <c r="B88" s="390"/>
      <c r="C88" s="390" t="s">
        <v>710</v>
      </c>
      <c r="D88" s="391" t="s">
        <v>679</v>
      </c>
      <c r="E88" s="47">
        <v>1300</v>
      </c>
      <c r="F88" s="47"/>
      <c r="G88" s="47">
        <v>2000</v>
      </c>
      <c r="H88" s="47"/>
      <c r="I88" s="47">
        <f t="shared" si="8"/>
        <v>4.2650918635170605</v>
      </c>
      <c r="J88" s="47"/>
      <c r="K88" s="47">
        <f t="shared" si="9"/>
        <v>6.5616797900262469</v>
      </c>
      <c r="L88" s="47">
        <v>1</v>
      </c>
      <c r="M88" s="437">
        <f t="shared" si="10"/>
        <v>27.986167083445281</v>
      </c>
    </row>
    <row r="89" spans="1:14" x14ac:dyDescent="0.3">
      <c r="A89" s="589"/>
      <c r="B89" s="390"/>
      <c r="C89" s="390"/>
      <c r="D89" s="390"/>
      <c r="E89" s="47"/>
      <c r="F89" s="47"/>
      <c r="G89" s="47"/>
      <c r="H89" s="47"/>
      <c r="I89" s="47"/>
      <c r="J89" s="47"/>
      <c r="K89" s="47"/>
      <c r="L89" s="47"/>
      <c r="M89" s="437"/>
    </row>
    <row r="90" spans="1:14" x14ac:dyDescent="0.3">
      <c r="A90" s="589"/>
      <c r="B90" s="390"/>
      <c r="C90" s="392" t="s">
        <v>684</v>
      </c>
      <c r="D90" s="389" t="s">
        <v>679</v>
      </c>
      <c r="E90" s="558"/>
      <c r="F90" s="558"/>
      <c r="G90" s="558"/>
      <c r="H90" s="558"/>
      <c r="I90" s="558"/>
      <c r="J90" s="558"/>
      <c r="K90" s="558"/>
      <c r="L90" s="558"/>
      <c r="M90" s="428">
        <f>SUM(M81:M88)</f>
        <v>527.04658534317059</v>
      </c>
    </row>
    <row r="91" spans="1:14" x14ac:dyDescent="0.3">
      <c r="A91" s="589"/>
      <c r="B91" s="390"/>
      <c r="C91" s="390"/>
      <c r="D91" s="390"/>
      <c r="E91" s="47"/>
      <c r="F91" s="47"/>
      <c r="G91" s="47"/>
      <c r="H91" s="47"/>
      <c r="I91" s="47"/>
      <c r="J91" s="47"/>
      <c r="K91" s="47"/>
      <c r="L91" s="47"/>
      <c r="M91" s="437"/>
    </row>
    <row r="92" spans="1:14" ht="24" x14ac:dyDescent="0.3">
      <c r="A92" s="587">
        <v>3</v>
      </c>
      <c r="B92" s="402" t="s">
        <v>20</v>
      </c>
      <c r="C92" s="151" t="s">
        <v>66</v>
      </c>
      <c r="D92" s="390"/>
      <c r="E92" s="47"/>
      <c r="F92" s="47"/>
      <c r="G92" s="47"/>
      <c r="H92" s="47"/>
      <c r="I92" s="47"/>
      <c r="J92" s="47"/>
      <c r="K92" s="47"/>
      <c r="L92" s="47"/>
      <c r="M92" s="437"/>
    </row>
    <row r="93" spans="1:14" x14ac:dyDescent="0.3">
      <c r="A93" s="587"/>
      <c r="B93" s="402"/>
      <c r="C93" s="403" t="s">
        <v>711</v>
      </c>
      <c r="D93" s="391" t="s">
        <v>679</v>
      </c>
      <c r="E93" s="47">
        <v>2500</v>
      </c>
      <c r="F93" s="47"/>
      <c r="G93" s="652">
        <v>1500</v>
      </c>
      <c r="H93" s="47"/>
      <c r="I93" s="47">
        <f t="shared" ref="I93:I99" si="11">E93/304.8</f>
        <v>8.2020997375328086</v>
      </c>
      <c r="J93" s="47"/>
      <c r="K93" s="47">
        <f t="shared" ref="K93:K99" si="12">G93/304.8</f>
        <v>4.9212598425196852</v>
      </c>
      <c r="L93" s="47">
        <v>1</v>
      </c>
      <c r="M93" s="437">
        <f>L93*K93*I93</f>
        <v>40.364664062661461</v>
      </c>
      <c r="N93" s="15" t="s">
        <v>712</v>
      </c>
    </row>
    <row r="94" spans="1:14" x14ac:dyDescent="0.3">
      <c r="A94" s="589"/>
      <c r="B94" s="390"/>
      <c r="C94" s="390"/>
      <c r="D94" s="391" t="s">
        <v>679</v>
      </c>
      <c r="E94" s="47">
        <v>3340</v>
      </c>
      <c r="F94" s="47"/>
      <c r="G94" s="652">
        <v>1500</v>
      </c>
      <c r="H94" s="47"/>
      <c r="I94" s="47">
        <f t="shared" si="11"/>
        <v>10.958005249343831</v>
      </c>
      <c r="J94" s="47"/>
      <c r="K94" s="47">
        <f t="shared" si="12"/>
        <v>4.9212598425196852</v>
      </c>
      <c r="L94" s="47">
        <v>1</v>
      </c>
      <c r="M94" s="437">
        <f t="shared" ref="M94:M99" si="13">L94*K94*I94</f>
        <v>53.927191187715707</v>
      </c>
    </row>
    <row r="95" spans="1:14" x14ac:dyDescent="0.3">
      <c r="A95" s="589"/>
      <c r="B95" s="390"/>
      <c r="C95" s="390" t="s">
        <v>713</v>
      </c>
      <c r="D95" s="391" t="s">
        <v>679</v>
      </c>
      <c r="E95" s="47"/>
      <c r="F95" s="47"/>
      <c r="G95" s="47"/>
      <c r="H95" s="47"/>
      <c r="I95" s="47">
        <f t="shared" si="11"/>
        <v>0</v>
      </c>
      <c r="J95" s="47"/>
      <c r="K95" s="47">
        <f t="shared" si="12"/>
        <v>0</v>
      </c>
      <c r="L95" s="47"/>
      <c r="M95" s="437">
        <f t="shared" si="13"/>
        <v>0</v>
      </c>
    </row>
    <row r="96" spans="1:14" x14ac:dyDescent="0.3">
      <c r="A96" s="589"/>
      <c r="B96" s="390"/>
      <c r="C96" s="390"/>
      <c r="D96" s="391" t="s">
        <v>679</v>
      </c>
      <c r="E96" s="47">
        <v>3300</v>
      </c>
      <c r="F96" s="47"/>
      <c r="G96" s="47">
        <v>1100</v>
      </c>
      <c r="H96" s="47"/>
      <c r="I96" s="47">
        <f t="shared" si="11"/>
        <v>10.826771653543307</v>
      </c>
      <c r="J96" s="47"/>
      <c r="K96" s="47">
        <f t="shared" si="12"/>
        <v>3.6089238845144354</v>
      </c>
      <c r="L96" s="47">
        <v>1</v>
      </c>
      <c r="M96" s="437">
        <f t="shared" si="13"/>
        <v>39.07299481265629</v>
      </c>
    </row>
    <row r="97" spans="1:14" x14ac:dyDescent="0.3">
      <c r="A97" s="589"/>
      <c r="B97" s="390"/>
      <c r="C97" s="390" t="s">
        <v>689</v>
      </c>
      <c r="D97" s="391" t="s">
        <v>679</v>
      </c>
      <c r="E97" s="47">
        <v>0</v>
      </c>
      <c r="F97" s="47"/>
      <c r="G97" s="47"/>
      <c r="H97" s="47"/>
      <c r="I97" s="47">
        <f t="shared" si="11"/>
        <v>0</v>
      </c>
      <c r="J97" s="47"/>
      <c r="K97" s="47">
        <f t="shared" si="12"/>
        <v>0</v>
      </c>
      <c r="L97" s="47"/>
      <c r="M97" s="437">
        <f t="shared" si="13"/>
        <v>0</v>
      </c>
      <c r="N97" s="15" t="s">
        <v>714</v>
      </c>
    </row>
    <row r="98" spans="1:14" x14ac:dyDescent="0.3">
      <c r="A98" s="589"/>
      <c r="B98" s="390"/>
      <c r="C98" s="390"/>
      <c r="D98" s="391" t="s">
        <v>679</v>
      </c>
      <c r="E98" s="47">
        <v>0</v>
      </c>
      <c r="F98" s="47"/>
      <c r="G98" s="47"/>
      <c r="H98" s="47"/>
      <c r="I98" s="47">
        <f t="shared" si="11"/>
        <v>0</v>
      </c>
      <c r="J98" s="47"/>
      <c r="K98" s="47">
        <f t="shared" si="12"/>
        <v>0</v>
      </c>
      <c r="L98" s="47"/>
      <c r="M98" s="437">
        <f t="shared" si="13"/>
        <v>0</v>
      </c>
    </row>
    <row r="99" spans="1:14" x14ac:dyDescent="0.3">
      <c r="A99" s="589"/>
      <c r="B99" s="390"/>
      <c r="C99" s="390"/>
      <c r="D99" s="390"/>
      <c r="E99" s="47">
        <v>4240</v>
      </c>
      <c r="F99" s="47"/>
      <c r="G99" s="47">
        <v>1100</v>
      </c>
      <c r="H99" s="47"/>
      <c r="I99" s="47">
        <f t="shared" si="11"/>
        <v>13.910761154855642</v>
      </c>
      <c r="J99" s="47"/>
      <c r="K99" s="47">
        <f t="shared" si="12"/>
        <v>3.6089238845144354</v>
      </c>
      <c r="L99" s="47">
        <v>1</v>
      </c>
      <c r="M99" s="437">
        <f t="shared" si="13"/>
        <v>50.202878183534139</v>
      </c>
    </row>
    <row r="100" spans="1:14" x14ac:dyDescent="0.3">
      <c r="A100" s="589"/>
      <c r="B100" s="390"/>
      <c r="C100" s="392" t="s">
        <v>684</v>
      </c>
      <c r="D100" s="389" t="s">
        <v>679</v>
      </c>
      <c r="E100" s="558"/>
      <c r="F100" s="558"/>
      <c r="G100" s="558"/>
      <c r="H100" s="558"/>
      <c r="I100" s="558"/>
      <c r="J100" s="558"/>
      <c r="K100" s="558"/>
      <c r="L100" s="558"/>
      <c r="M100" s="428">
        <f>SUM(M93:M99)</f>
        <v>183.56772824656758</v>
      </c>
    </row>
    <row r="101" spans="1:14" x14ac:dyDescent="0.3">
      <c r="A101" s="589"/>
      <c r="B101" s="390"/>
      <c r="C101" s="390"/>
      <c r="D101" s="390"/>
      <c r="E101" s="47"/>
      <c r="F101" s="47"/>
      <c r="G101" s="47"/>
      <c r="H101" s="47"/>
      <c r="I101" s="47"/>
      <c r="J101" s="47"/>
      <c r="K101" s="47"/>
      <c r="L101" s="47"/>
      <c r="M101" s="437"/>
    </row>
    <row r="102" spans="1:14" ht="72" x14ac:dyDescent="0.3">
      <c r="A102" s="587">
        <v>4</v>
      </c>
      <c r="B102" s="393" t="s">
        <v>21</v>
      </c>
      <c r="C102" s="132" t="s">
        <v>573</v>
      </c>
      <c r="D102" s="390"/>
      <c r="E102" s="47"/>
      <c r="F102" s="47"/>
      <c r="G102" s="47"/>
      <c r="H102" s="47"/>
      <c r="I102" s="47"/>
      <c r="J102" s="47"/>
      <c r="K102" s="47"/>
      <c r="L102" s="47"/>
      <c r="M102" s="437"/>
    </row>
    <row r="103" spans="1:14" x14ac:dyDescent="0.3">
      <c r="A103" s="589"/>
      <c r="B103" s="390"/>
      <c r="C103" s="390"/>
      <c r="D103" s="390"/>
      <c r="E103" s="47"/>
      <c r="F103" s="47"/>
      <c r="G103" s="47"/>
      <c r="H103" s="47"/>
      <c r="I103" s="47"/>
      <c r="J103" s="47"/>
      <c r="K103" s="47"/>
      <c r="L103" s="47"/>
      <c r="M103" s="437"/>
    </row>
    <row r="104" spans="1:14" x14ac:dyDescent="0.3">
      <c r="A104" s="587"/>
      <c r="B104" s="402"/>
      <c r="C104" s="151" t="s">
        <v>704</v>
      </c>
      <c r="D104" s="391" t="s">
        <v>679</v>
      </c>
      <c r="E104" s="47">
        <v>6483</v>
      </c>
      <c r="F104" s="47"/>
      <c r="G104" s="47">
        <v>3810</v>
      </c>
      <c r="H104" s="47"/>
      <c r="I104" s="47">
        <f t="shared" ref="I104:I113" si="14">E104/304.8</f>
        <v>21.269685039370078</v>
      </c>
      <c r="J104" s="47"/>
      <c r="K104" s="47">
        <f t="shared" ref="K104:K113" si="15">G104/304.8</f>
        <v>12.5</v>
      </c>
      <c r="L104" s="47">
        <v>2</v>
      </c>
      <c r="M104" s="437">
        <f>L104*K104*I104</f>
        <v>531.74212598425197</v>
      </c>
    </row>
    <row r="105" spans="1:14" ht="14.15" customHeight="1" x14ac:dyDescent="0.3">
      <c r="A105" s="589"/>
      <c r="B105" s="390"/>
      <c r="C105" s="390" t="s">
        <v>705</v>
      </c>
      <c r="D105" s="391" t="s">
        <v>679</v>
      </c>
      <c r="E105" s="47">
        <v>1500</v>
      </c>
      <c r="F105" s="47"/>
      <c r="G105" s="47">
        <v>2400</v>
      </c>
      <c r="H105" s="47"/>
      <c r="I105" s="47">
        <f t="shared" si="14"/>
        <v>4.9212598425196852</v>
      </c>
      <c r="J105" s="47"/>
      <c r="K105" s="47">
        <f t="shared" si="15"/>
        <v>7.8740157480314954</v>
      </c>
      <c r="L105" s="47">
        <v>-2</v>
      </c>
      <c r="M105" s="437">
        <f t="shared" ref="M105:M126" si="16">L105*K105*I105</f>
        <v>-77.500155000310002</v>
      </c>
    </row>
    <row r="106" spans="1:14" ht="14.15" customHeight="1" x14ac:dyDescent="0.3">
      <c r="A106" s="589"/>
      <c r="B106" s="390"/>
      <c r="C106" s="390"/>
      <c r="D106" s="391" t="s">
        <v>679</v>
      </c>
      <c r="E106" s="47">
        <v>900</v>
      </c>
      <c r="F106" s="47"/>
      <c r="G106" s="47">
        <v>2400</v>
      </c>
      <c r="H106" s="47"/>
      <c r="I106" s="47">
        <f t="shared" si="14"/>
        <v>2.9527559055118111</v>
      </c>
      <c r="J106" s="47"/>
      <c r="K106" s="47">
        <f t="shared" si="15"/>
        <v>7.8740157480314954</v>
      </c>
      <c r="L106" s="47">
        <v>-2</v>
      </c>
      <c r="M106" s="437">
        <f t="shared" si="16"/>
        <v>-46.500093000185998</v>
      </c>
    </row>
    <row r="107" spans="1:14" ht="14.15" customHeight="1" x14ac:dyDescent="0.3">
      <c r="A107" s="589"/>
      <c r="B107" s="390"/>
      <c r="C107" s="390" t="s">
        <v>715</v>
      </c>
      <c r="D107" s="391" t="s">
        <v>679</v>
      </c>
      <c r="E107" s="47">
        <v>180</v>
      </c>
      <c r="F107" s="47"/>
      <c r="G107" s="47">
        <v>2400</v>
      </c>
      <c r="H107" s="47"/>
      <c r="I107" s="47">
        <f t="shared" si="14"/>
        <v>0.59055118110236215</v>
      </c>
      <c r="J107" s="47"/>
      <c r="K107" s="47">
        <f t="shared" si="15"/>
        <v>7.8740157480314954</v>
      </c>
      <c r="L107" s="47">
        <v>2</v>
      </c>
      <c r="M107" s="437">
        <f t="shared" si="16"/>
        <v>9.3000186000371983</v>
      </c>
    </row>
    <row r="108" spans="1:14" ht="14.15" customHeight="1" x14ac:dyDescent="0.3">
      <c r="A108" s="589"/>
      <c r="B108" s="390"/>
      <c r="C108" s="390"/>
      <c r="D108" s="391" t="s">
        <v>679</v>
      </c>
      <c r="E108" s="47">
        <v>180</v>
      </c>
      <c r="F108" s="47"/>
      <c r="G108" s="47">
        <v>1500</v>
      </c>
      <c r="H108" s="47"/>
      <c r="I108" s="47">
        <f t="shared" si="14"/>
        <v>0.59055118110236215</v>
      </c>
      <c r="J108" s="47"/>
      <c r="K108" s="47">
        <f t="shared" si="15"/>
        <v>4.9212598425196852</v>
      </c>
      <c r="L108" s="47">
        <v>1</v>
      </c>
      <c r="M108" s="437">
        <f t="shared" si="16"/>
        <v>2.9062558125116249</v>
      </c>
    </row>
    <row r="109" spans="1:14" ht="14.15" customHeight="1" x14ac:dyDescent="0.3">
      <c r="A109" s="589"/>
      <c r="B109" s="390"/>
      <c r="C109" s="390"/>
      <c r="D109" s="391" t="s">
        <v>679</v>
      </c>
      <c r="E109" s="47">
        <v>180</v>
      </c>
      <c r="F109" s="47"/>
      <c r="G109" s="47">
        <v>2400</v>
      </c>
      <c r="H109" s="47"/>
      <c r="I109" s="47">
        <f t="shared" si="14"/>
        <v>0.59055118110236215</v>
      </c>
      <c r="J109" s="47"/>
      <c r="K109" s="47">
        <f t="shared" si="15"/>
        <v>7.8740157480314954</v>
      </c>
      <c r="L109" s="47">
        <v>2</v>
      </c>
      <c r="M109" s="437">
        <f t="shared" si="16"/>
        <v>9.3000186000371983</v>
      </c>
    </row>
    <row r="110" spans="1:14" ht="14.15" customHeight="1" x14ac:dyDescent="0.3">
      <c r="A110" s="589"/>
      <c r="B110" s="390"/>
      <c r="C110" s="390"/>
      <c r="D110" s="391" t="s">
        <v>679</v>
      </c>
      <c r="E110" s="47">
        <v>180</v>
      </c>
      <c r="F110" s="47"/>
      <c r="G110" s="47">
        <v>900</v>
      </c>
      <c r="H110" s="47"/>
      <c r="I110" s="47">
        <f t="shared" si="14"/>
        <v>0.59055118110236215</v>
      </c>
      <c r="J110" s="47"/>
      <c r="K110" s="47">
        <f t="shared" si="15"/>
        <v>2.9527559055118111</v>
      </c>
      <c r="L110" s="47">
        <v>1</v>
      </c>
      <c r="M110" s="437">
        <f t="shared" si="16"/>
        <v>1.7437534875069749</v>
      </c>
    </row>
    <row r="111" spans="1:14" ht="14.15" customHeight="1" x14ac:dyDescent="0.3">
      <c r="A111" s="589"/>
      <c r="B111" s="390"/>
      <c r="C111" s="390" t="s">
        <v>706</v>
      </c>
      <c r="D111" s="391" t="s">
        <v>679</v>
      </c>
      <c r="E111" s="47">
        <v>3600</v>
      </c>
      <c r="F111" s="47"/>
      <c r="G111" s="47">
        <v>2400</v>
      </c>
      <c r="H111" s="47"/>
      <c r="I111" s="47">
        <f t="shared" si="14"/>
        <v>11.811023622047244</v>
      </c>
      <c r="J111" s="47"/>
      <c r="K111" s="47">
        <f t="shared" si="15"/>
        <v>7.8740157480314954</v>
      </c>
      <c r="L111" s="47">
        <v>1</v>
      </c>
      <c r="M111" s="437">
        <f t="shared" si="16"/>
        <v>93.000186000371997</v>
      </c>
    </row>
    <row r="112" spans="1:14" ht="14.15" customHeight="1" x14ac:dyDescent="0.3">
      <c r="A112" s="589"/>
      <c r="B112" s="390"/>
      <c r="C112" s="390" t="s">
        <v>707</v>
      </c>
      <c r="D112" s="391" t="s">
        <v>679</v>
      </c>
      <c r="E112" s="47">
        <v>3000</v>
      </c>
      <c r="F112" s="47"/>
      <c r="G112" s="47">
        <v>1000</v>
      </c>
      <c r="H112" s="47"/>
      <c r="I112" s="47">
        <f t="shared" si="14"/>
        <v>9.8425196850393704</v>
      </c>
      <c r="J112" s="47"/>
      <c r="K112" s="47">
        <f t="shared" si="15"/>
        <v>3.2808398950131235</v>
      </c>
      <c r="L112" s="47">
        <v>1</v>
      </c>
      <c r="M112" s="437">
        <f t="shared" si="16"/>
        <v>32.291731250129168</v>
      </c>
    </row>
    <row r="113" spans="1:13" ht="14.15" customHeight="1" x14ac:dyDescent="0.3">
      <c r="A113" s="589"/>
      <c r="B113" s="390"/>
      <c r="C113" s="390" t="s">
        <v>708</v>
      </c>
      <c r="D113" s="391" t="s">
        <v>679</v>
      </c>
      <c r="E113" s="47">
        <v>2200</v>
      </c>
      <c r="F113" s="47"/>
      <c r="G113" s="47">
        <v>1600</v>
      </c>
      <c r="H113" s="47"/>
      <c r="I113" s="47">
        <f t="shared" si="14"/>
        <v>7.2178477690288707</v>
      </c>
      <c r="J113" s="47"/>
      <c r="K113" s="47">
        <f t="shared" si="15"/>
        <v>5.2493438320209975</v>
      </c>
      <c r="L113" s="47">
        <v>2</v>
      </c>
      <c r="M113" s="437">
        <f t="shared" si="16"/>
        <v>75.777929333636436</v>
      </c>
    </row>
    <row r="114" spans="1:13" ht="14.15" customHeight="1" x14ac:dyDescent="0.3">
      <c r="A114" s="589"/>
      <c r="B114" s="390"/>
      <c r="C114" s="390"/>
      <c r="D114" s="391"/>
      <c r="E114" s="47"/>
      <c r="F114" s="47"/>
      <c r="G114" s="47"/>
      <c r="H114" s="47"/>
      <c r="I114" s="47"/>
      <c r="J114" s="47"/>
      <c r="K114" s="47"/>
      <c r="L114" s="47"/>
      <c r="M114" s="437">
        <f t="shared" si="16"/>
        <v>0</v>
      </c>
    </row>
    <row r="115" spans="1:13" ht="14.15" customHeight="1" x14ac:dyDescent="0.3">
      <c r="A115" s="589"/>
      <c r="B115" s="390"/>
      <c r="C115" s="403" t="s">
        <v>716</v>
      </c>
      <c r="D115" s="391" t="s">
        <v>679</v>
      </c>
      <c r="E115" s="47">
        <v>180</v>
      </c>
      <c r="F115" s="47"/>
      <c r="G115" s="47">
        <v>1200</v>
      </c>
      <c r="H115" s="47"/>
      <c r="I115" s="47">
        <f t="shared" ref="I115:I126" si="17">E115/304.8</f>
        <v>0.59055118110236215</v>
      </c>
      <c r="J115" s="47"/>
      <c r="K115" s="47">
        <f t="shared" ref="K115:K126" si="18">G115/304.8</f>
        <v>3.9370078740157477</v>
      </c>
      <c r="L115" s="47">
        <v>1</v>
      </c>
      <c r="M115" s="437">
        <f t="shared" si="16"/>
        <v>2.3250046500092996</v>
      </c>
    </row>
    <row r="116" spans="1:13" ht="14.15" customHeight="1" x14ac:dyDescent="0.3">
      <c r="A116" s="589"/>
      <c r="B116" s="390"/>
      <c r="C116" s="403" t="s">
        <v>711</v>
      </c>
      <c r="D116" s="391" t="s">
        <v>679</v>
      </c>
      <c r="E116" s="47">
        <v>2420</v>
      </c>
      <c r="F116" s="47"/>
      <c r="G116" s="47">
        <v>1200</v>
      </c>
      <c r="H116" s="47"/>
      <c r="I116" s="47">
        <f t="shared" si="17"/>
        <v>7.939632545931758</v>
      </c>
      <c r="J116" s="47"/>
      <c r="K116" s="47">
        <f t="shared" si="18"/>
        <v>3.9370078740157477</v>
      </c>
      <c r="L116" s="47">
        <v>1</v>
      </c>
      <c r="M116" s="437">
        <f t="shared" si="16"/>
        <v>31.25839585012503</v>
      </c>
    </row>
    <row r="117" spans="1:13" ht="14.15" customHeight="1" x14ac:dyDescent="0.3">
      <c r="A117" s="589"/>
      <c r="B117" s="390"/>
      <c r="C117" s="390"/>
      <c r="D117" s="391" t="s">
        <v>679</v>
      </c>
      <c r="E117" s="47">
        <v>3300</v>
      </c>
      <c r="F117" s="47"/>
      <c r="G117" s="47">
        <v>1200</v>
      </c>
      <c r="H117" s="47"/>
      <c r="I117" s="47">
        <f t="shared" si="17"/>
        <v>10.826771653543307</v>
      </c>
      <c r="J117" s="47"/>
      <c r="K117" s="47">
        <f t="shared" si="18"/>
        <v>3.9370078740157477</v>
      </c>
      <c r="L117" s="47">
        <v>1</v>
      </c>
      <c r="M117" s="437">
        <f t="shared" si="16"/>
        <v>42.6250852501705</v>
      </c>
    </row>
    <row r="118" spans="1:13" ht="14.15" customHeight="1" x14ac:dyDescent="0.3">
      <c r="A118" s="589"/>
      <c r="B118" s="390"/>
      <c r="C118" s="390" t="s">
        <v>715</v>
      </c>
      <c r="D118" s="391" t="s">
        <v>679</v>
      </c>
      <c r="E118" s="47">
        <v>180</v>
      </c>
      <c r="F118" s="47"/>
      <c r="G118" s="47">
        <v>1200</v>
      </c>
      <c r="H118" s="47"/>
      <c r="I118" s="47">
        <f t="shared" si="17"/>
        <v>0.59055118110236215</v>
      </c>
      <c r="J118" s="47"/>
      <c r="K118" s="47">
        <f t="shared" si="18"/>
        <v>3.9370078740157477</v>
      </c>
      <c r="L118" s="47">
        <v>1</v>
      </c>
      <c r="M118" s="437">
        <f t="shared" si="16"/>
        <v>2.3250046500092996</v>
      </c>
    </row>
    <row r="119" spans="1:13" ht="14.15" customHeight="1" x14ac:dyDescent="0.3">
      <c r="A119" s="589"/>
      <c r="B119" s="390"/>
      <c r="C119" s="390"/>
      <c r="D119" s="391" t="s">
        <v>679</v>
      </c>
      <c r="E119" s="47">
        <v>3100</v>
      </c>
      <c r="F119" s="47"/>
      <c r="G119" s="47">
        <v>1200</v>
      </c>
      <c r="H119" s="47"/>
      <c r="I119" s="47">
        <f t="shared" si="17"/>
        <v>10.170603674540683</v>
      </c>
      <c r="J119" s="47"/>
      <c r="K119" s="47">
        <f t="shared" si="18"/>
        <v>3.9370078740157477</v>
      </c>
      <c r="L119" s="47">
        <v>1</v>
      </c>
      <c r="M119" s="437">
        <f t="shared" si="16"/>
        <v>40.041746750160165</v>
      </c>
    </row>
    <row r="120" spans="1:13" ht="14.15" customHeight="1" x14ac:dyDescent="0.3">
      <c r="A120" s="589"/>
      <c r="B120" s="390"/>
      <c r="C120" s="390"/>
      <c r="D120" s="391" t="s">
        <v>679</v>
      </c>
      <c r="E120" s="47">
        <v>2400</v>
      </c>
      <c r="F120" s="47"/>
      <c r="G120" s="47">
        <v>1200</v>
      </c>
      <c r="H120" s="47"/>
      <c r="I120" s="47">
        <f t="shared" si="17"/>
        <v>7.8740157480314954</v>
      </c>
      <c r="J120" s="47"/>
      <c r="K120" s="47">
        <f t="shared" si="18"/>
        <v>3.9370078740157477</v>
      </c>
      <c r="L120" s="47">
        <v>1</v>
      </c>
      <c r="M120" s="437">
        <f t="shared" si="16"/>
        <v>31.000062000123997</v>
      </c>
    </row>
    <row r="121" spans="1:13" ht="14.15" customHeight="1" x14ac:dyDescent="0.3">
      <c r="A121" s="589"/>
      <c r="B121" s="390"/>
      <c r="C121" s="390" t="s">
        <v>713</v>
      </c>
      <c r="D121" s="391" t="s">
        <v>679</v>
      </c>
      <c r="E121" s="47"/>
      <c r="F121" s="47"/>
      <c r="G121" s="47"/>
      <c r="H121" s="47"/>
      <c r="I121" s="47">
        <f t="shared" si="17"/>
        <v>0</v>
      </c>
      <c r="J121" s="47"/>
      <c r="K121" s="47">
        <f t="shared" si="18"/>
        <v>0</v>
      </c>
      <c r="L121" s="47"/>
      <c r="M121" s="437">
        <f t="shared" si="16"/>
        <v>0</v>
      </c>
    </row>
    <row r="122" spans="1:13" ht="14.15" customHeight="1" x14ac:dyDescent="0.3">
      <c r="A122" s="589"/>
      <c r="B122" s="390"/>
      <c r="C122" s="390"/>
      <c r="D122" s="391" t="s">
        <v>679</v>
      </c>
      <c r="E122" s="47">
        <v>3300</v>
      </c>
      <c r="F122" s="47"/>
      <c r="G122" s="47">
        <v>1100</v>
      </c>
      <c r="H122" s="47"/>
      <c r="I122" s="47">
        <f t="shared" si="17"/>
        <v>10.826771653543307</v>
      </c>
      <c r="J122" s="47"/>
      <c r="K122" s="47">
        <f t="shared" si="18"/>
        <v>3.6089238845144354</v>
      </c>
      <c r="L122" s="47">
        <v>2</v>
      </c>
      <c r="M122" s="437">
        <f t="shared" si="16"/>
        <v>78.145989625312581</v>
      </c>
    </row>
    <row r="123" spans="1:13" ht="14.15" customHeight="1" x14ac:dyDescent="0.3">
      <c r="A123" s="589"/>
      <c r="B123" s="390"/>
      <c r="C123" s="390" t="s">
        <v>689</v>
      </c>
      <c r="D123" s="391" t="s">
        <v>679</v>
      </c>
      <c r="E123" s="47"/>
      <c r="F123" s="47"/>
      <c r="G123" s="47"/>
      <c r="H123" s="47"/>
      <c r="I123" s="47">
        <f t="shared" si="17"/>
        <v>0</v>
      </c>
      <c r="J123" s="47"/>
      <c r="K123" s="47">
        <f t="shared" si="18"/>
        <v>0</v>
      </c>
      <c r="L123" s="47"/>
      <c r="M123" s="437">
        <f t="shared" si="16"/>
        <v>0</v>
      </c>
    </row>
    <row r="124" spans="1:13" ht="14.15" customHeight="1" x14ac:dyDescent="0.3">
      <c r="A124" s="589"/>
      <c r="B124" s="390"/>
      <c r="C124" s="390"/>
      <c r="D124" s="391" t="s">
        <v>679</v>
      </c>
      <c r="E124" s="47"/>
      <c r="F124" s="47"/>
      <c r="G124" s="47"/>
      <c r="H124" s="47"/>
      <c r="I124" s="47">
        <f t="shared" si="17"/>
        <v>0</v>
      </c>
      <c r="J124" s="47"/>
      <c r="K124" s="47">
        <f t="shared" si="18"/>
        <v>0</v>
      </c>
      <c r="L124" s="47"/>
      <c r="M124" s="437">
        <f t="shared" si="16"/>
        <v>0</v>
      </c>
    </row>
    <row r="125" spans="1:13" ht="14.15" customHeight="1" x14ac:dyDescent="0.3">
      <c r="A125" s="589"/>
      <c r="B125" s="390"/>
      <c r="C125" s="390" t="s">
        <v>717</v>
      </c>
      <c r="D125" s="391" t="s">
        <v>679</v>
      </c>
      <c r="E125" s="47">
        <v>300</v>
      </c>
      <c r="F125" s="47"/>
      <c r="G125" s="47">
        <v>900</v>
      </c>
      <c r="H125" s="47"/>
      <c r="I125" s="47">
        <f t="shared" si="17"/>
        <v>0.98425196850393692</v>
      </c>
      <c r="J125" s="47"/>
      <c r="K125" s="47">
        <f t="shared" si="18"/>
        <v>2.9527559055118111</v>
      </c>
      <c r="L125" s="47">
        <v>1</v>
      </c>
      <c r="M125" s="437">
        <f t="shared" si="16"/>
        <v>2.9062558125116249</v>
      </c>
    </row>
    <row r="126" spans="1:13" x14ac:dyDescent="0.3">
      <c r="A126" s="589"/>
      <c r="B126" s="390"/>
      <c r="C126" s="390"/>
      <c r="D126" s="391"/>
      <c r="E126" s="47">
        <v>4200</v>
      </c>
      <c r="F126" s="47"/>
      <c r="G126" s="47">
        <v>1100</v>
      </c>
      <c r="H126" s="47"/>
      <c r="I126" s="47">
        <f t="shared" si="17"/>
        <v>13.779527559055117</v>
      </c>
      <c r="J126" s="47"/>
      <c r="K126" s="47">
        <f t="shared" si="18"/>
        <v>3.6089238845144354</v>
      </c>
      <c r="L126" s="47">
        <v>2</v>
      </c>
      <c r="M126" s="437">
        <f t="shared" si="16"/>
        <v>99.458532250397809</v>
      </c>
    </row>
    <row r="127" spans="1:13" x14ac:dyDescent="0.3">
      <c r="A127" s="589"/>
      <c r="B127" s="390"/>
      <c r="C127" s="392" t="s">
        <v>684</v>
      </c>
      <c r="D127" s="389" t="s">
        <v>679</v>
      </c>
      <c r="E127" s="558"/>
      <c r="F127" s="558"/>
      <c r="G127" s="558"/>
      <c r="H127" s="558"/>
      <c r="I127" s="558"/>
      <c r="J127" s="558"/>
      <c r="K127" s="558"/>
      <c r="L127" s="558"/>
      <c r="M127" s="428">
        <f>SUM(M104:M126)</f>
        <v>962.14784790680687</v>
      </c>
    </row>
    <row r="128" spans="1:13" x14ac:dyDescent="0.3">
      <c r="A128" s="589"/>
      <c r="B128" s="390"/>
      <c r="C128" s="390"/>
      <c r="D128" s="390"/>
      <c r="E128" s="47"/>
      <c r="F128" s="47"/>
      <c r="G128" s="47"/>
      <c r="H128" s="47"/>
      <c r="I128" s="47"/>
      <c r="J128" s="47"/>
      <c r="K128" s="47"/>
      <c r="L128" s="47"/>
      <c r="M128" s="437"/>
    </row>
    <row r="129" spans="1:13" ht="72" x14ac:dyDescent="0.3">
      <c r="A129" s="587">
        <v>5</v>
      </c>
      <c r="B129" s="393" t="s">
        <v>22</v>
      </c>
      <c r="C129" s="132" t="s">
        <v>574</v>
      </c>
      <c r="D129" s="390"/>
      <c r="E129" s="47"/>
      <c r="F129" s="47"/>
      <c r="G129" s="47"/>
      <c r="H129" s="47"/>
      <c r="I129" s="47"/>
      <c r="J129" s="47"/>
      <c r="K129" s="47"/>
      <c r="L129" s="47"/>
      <c r="M129" s="437"/>
    </row>
    <row r="130" spans="1:13" x14ac:dyDescent="0.3">
      <c r="A130" s="589"/>
      <c r="B130" s="390"/>
      <c r="C130" s="132" t="s">
        <v>277</v>
      </c>
      <c r="D130" s="391" t="s">
        <v>679</v>
      </c>
      <c r="E130" s="47">
        <v>6483</v>
      </c>
      <c r="F130" s="47">
        <f>2000+3495+640</f>
        <v>6135</v>
      </c>
      <c r="G130" s="47"/>
      <c r="H130" s="47"/>
      <c r="I130" s="47">
        <f t="shared" ref="I130:J134" si="19">E130/304.8</f>
        <v>21.269685039370078</v>
      </c>
      <c r="J130" s="47">
        <f t="shared" si="19"/>
        <v>20.127952755905511</v>
      </c>
      <c r="K130" s="47"/>
      <c r="L130" s="47">
        <v>1</v>
      </c>
      <c r="M130" s="594">
        <f>L130*J130*I130</f>
        <v>428.11521560543116</v>
      </c>
    </row>
    <row r="131" spans="1:13" x14ac:dyDescent="0.3">
      <c r="A131" s="589"/>
      <c r="B131" s="390"/>
      <c r="C131" s="390"/>
      <c r="D131" s="390"/>
      <c r="E131" s="47"/>
      <c r="F131" s="47"/>
      <c r="G131" s="47"/>
      <c r="H131" s="47"/>
      <c r="I131" s="47"/>
      <c r="J131" s="47"/>
      <c r="K131" s="47"/>
      <c r="L131" s="47"/>
      <c r="M131" s="437"/>
    </row>
    <row r="132" spans="1:13" x14ac:dyDescent="0.3">
      <c r="A132" s="589"/>
      <c r="B132" s="390"/>
      <c r="C132" s="390" t="s">
        <v>718</v>
      </c>
      <c r="D132" s="391" t="s">
        <v>679</v>
      </c>
      <c r="E132" s="47">
        <f>1695+925+650+2730+5815+2470+3890+620</f>
        <v>18795</v>
      </c>
      <c r="F132" s="47">
        <f>300+2530+2000+1730+370</f>
        <v>6930</v>
      </c>
      <c r="G132" s="47"/>
      <c r="H132" s="47"/>
      <c r="I132" s="47">
        <f t="shared" si="19"/>
        <v>61.663385826771652</v>
      </c>
      <c r="J132" s="47">
        <f t="shared" si="19"/>
        <v>22.736220472440944</v>
      </c>
      <c r="K132" s="47"/>
      <c r="L132" s="47">
        <v>1</v>
      </c>
      <c r="M132" s="594">
        <f>L132*J132*I132</f>
        <v>1401.9923352346705</v>
      </c>
    </row>
    <row r="133" spans="1:13" x14ac:dyDescent="0.3">
      <c r="A133" s="589"/>
      <c r="B133" s="390"/>
      <c r="C133" s="390"/>
      <c r="D133" s="390"/>
      <c r="E133" s="47"/>
      <c r="F133" s="47"/>
      <c r="G133" s="47"/>
      <c r="H133" s="47"/>
      <c r="I133" s="47"/>
      <c r="J133" s="47"/>
      <c r="K133" s="47"/>
      <c r="L133" s="47"/>
      <c r="M133" s="437"/>
    </row>
    <row r="134" spans="1:13" x14ac:dyDescent="0.3">
      <c r="A134" s="589"/>
      <c r="B134" s="390"/>
      <c r="C134" s="390" t="s">
        <v>719</v>
      </c>
      <c r="D134" s="391" t="s">
        <v>679</v>
      </c>
      <c r="E134" s="47">
        <v>2200</v>
      </c>
      <c r="F134" s="47">
        <v>400</v>
      </c>
      <c r="G134" s="47"/>
      <c r="H134" s="47"/>
      <c r="I134" s="47">
        <f t="shared" si="19"/>
        <v>7.2178477690288707</v>
      </c>
      <c r="J134" s="47">
        <f t="shared" si="19"/>
        <v>1.3123359580052494</v>
      </c>
      <c r="K134" s="47"/>
      <c r="L134" s="47">
        <v>1</v>
      </c>
      <c r="M134" s="428">
        <f>L134*J134*I134</f>
        <v>9.4722411667045545</v>
      </c>
    </row>
    <row r="135" spans="1:13" x14ac:dyDescent="0.3">
      <c r="A135" s="589"/>
      <c r="B135" s="390"/>
      <c r="C135" s="390"/>
      <c r="D135" s="390"/>
      <c r="E135" s="47"/>
      <c r="F135" s="47"/>
      <c r="G135" s="47"/>
      <c r="H135" s="47"/>
      <c r="I135" s="47"/>
      <c r="J135" s="47"/>
      <c r="K135" s="47"/>
      <c r="L135" s="47"/>
      <c r="M135" s="437"/>
    </row>
    <row r="136" spans="1:13" x14ac:dyDescent="0.3">
      <c r="A136" s="589"/>
      <c r="B136" s="390"/>
      <c r="C136" s="392" t="s">
        <v>684</v>
      </c>
      <c r="D136" s="389" t="s">
        <v>679</v>
      </c>
      <c r="E136" s="558"/>
      <c r="F136" s="558"/>
      <c r="G136" s="558"/>
      <c r="H136" s="558"/>
      <c r="I136" s="558"/>
      <c r="J136" s="558"/>
      <c r="K136" s="558"/>
      <c r="L136" s="558"/>
      <c r="M136" s="430"/>
    </row>
    <row r="137" spans="1:13" x14ac:dyDescent="0.3">
      <c r="A137" s="589"/>
      <c r="B137" s="390"/>
      <c r="C137" s="390"/>
      <c r="D137" s="390"/>
      <c r="E137" s="47"/>
      <c r="F137" s="47"/>
      <c r="G137" s="47"/>
      <c r="H137" s="47"/>
      <c r="I137" s="47"/>
      <c r="J137" s="47"/>
      <c r="K137" s="47"/>
      <c r="L137" s="47"/>
      <c r="M137" s="437"/>
    </row>
    <row r="138" spans="1:13" ht="108" x14ac:dyDescent="0.3">
      <c r="A138" s="587">
        <v>6</v>
      </c>
      <c r="B138" s="393" t="s">
        <v>23</v>
      </c>
      <c r="C138" s="132" t="s">
        <v>12</v>
      </c>
      <c r="D138" s="390"/>
      <c r="E138" s="47"/>
      <c r="F138" s="47"/>
      <c r="G138" s="47"/>
      <c r="H138" s="47"/>
      <c r="I138" s="47"/>
      <c r="J138" s="47"/>
      <c r="K138" s="47"/>
      <c r="L138" s="47"/>
      <c r="M138" s="437"/>
    </row>
    <row r="139" spans="1:13" x14ac:dyDescent="0.3">
      <c r="A139" s="589"/>
      <c r="B139" s="390"/>
      <c r="C139" s="390" t="s">
        <v>720</v>
      </c>
      <c r="D139" s="391" t="s">
        <v>679</v>
      </c>
      <c r="E139" s="47">
        <v>6483</v>
      </c>
      <c r="F139" s="47">
        <f>2000+3495+640</f>
        <v>6135</v>
      </c>
      <c r="G139" s="47"/>
      <c r="H139" s="47"/>
      <c r="I139" s="47">
        <f t="shared" ref="I139:J142" si="20">E139/304.8</f>
        <v>21.269685039370078</v>
      </c>
      <c r="J139" s="47">
        <f t="shared" si="20"/>
        <v>20.127952755905511</v>
      </c>
      <c r="K139" s="47"/>
      <c r="L139" s="47">
        <v>1</v>
      </c>
      <c r="M139" s="428">
        <f>L139*J139*I139</f>
        <v>428.11521560543116</v>
      </c>
    </row>
    <row r="140" spans="1:13" x14ac:dyDescent="0.3">
      <c r="A140" s="589"/>
      <c r="B140" s="390"/>
      <c r="C140" s="390"/>
      <c r="D140" s="390"/>
      <c r="E140" s="47"/>
      <c r="F140" s="47"/>
      <c r="G140" s="47"/>
      <c r="H140" s="47"/>
      <c r="I140" s="47"/>
      <c r="J140" s="47"/>
      <c r="K140" s="47"/>
      <c r="L140" s="47"/>
      <c r="M140" s="437"/>
    </row>
    <row r="141" spans="1:13" x14ac:dyDescent="0.3">
      <c r="A141" s="589"/>
      <c r="B141" s="390"/>
      <c r="C141" s="390" t="s">
        <v>721</v>
      </c>
      <c r="D141" s="391" t="s">
        <v>679</v>
      </c>
      <c r="E141" s="47">
        <v>3200</v>
      </c>
      <c r="F141" s="47">
        <v>2200</v>
      </c>
      <c r="G141" s="47"/>
      <c r="H141" s="47"/>
      <c r="I141" s="47">
        <f t="shared" si="20"/>
        <v>10.498687664041995</v>
      </c>
      <c r="J141" s="47">
        <f t="shared" si="20"/>
        <v>7.2178477690288707</v>
      </c>
      <c r="K141" s="47"/>
      <c r="L141" s="47">
        <v>1</v>
      </c>
      <c r="M141" s="437">
        <f>L141*J141*I141</f>
        <v>75.777929333636436</v>
      </c>
    </row>
    <row r="142" spans="1:13" x14ac:dyDescent="0.3">
      <c r="A142" s="589"/>
      <c r="B142" s="390"/>
      <c r="C142" s="390" t="s">
        <v>689</v>
      </c>
      <c r="D142" s="391" t="s">
        <v>679</v>
      </c>
      <c r="E142" s="47">
        <v>2200</v>
      </c>
      <c r="F142" s="47">
        <v>2210</v>
      </c>
      <c r="G142" s="47"/>
      <c r="H142" s="47"/>
      <c r="I142" s="47">
        <f t="shared" si="20"/>
        <v>7.2178477690288707</v>
      </c>
      <c r="J142" s="47">
        <f t="shared" si="20"/>
        <v>7.2506561679790025</v>
      </c>
      <c r="K142" s="47"/>
      <c r="L142" s="47">
        <v>1</v>
      </c>
      <c r="M142" s="437">
        <f>L142*J142*I142</f>
        <v>52.334132446042666</v>
      </c>
    </row>
    <row r="143" spans="1:13" x14ac:dyDescent="0.3">
      <c r="A143" s="589"/>
      <c r="B143" s="390"/>
      <c r="C143" s="390"/>
      <c r="D143" s="390"/>
      <c r="E143" s="47"/>
      <c r="F143" s="47"/>
      <c r="G143" s="47"/>
      <c r="H143" s="47"/>
      <c r="I143" s="47"/>
      <c r="J143" s="47"/>
      <c r="K143" s="47"/>
      <c r="L143" s="47"/>
      <c r="M143" s="437"/>
    </row>
    <row r="144" spans="1:13" x14ac:dyDescent="0.3">
      <c r="A144" s="589"/>
      <c r="B144" s="390"/>
      <c r="C144" s="392" t="s">
        <v>684</v>
      </c>
      <c r="D144" s="389" t="s">
        <v>679</v>
      </c>
      <c r="E144" s="558"/>
      <c r="F144" s="558"/>
      <c r="G144" s="558"/>
      <c r="H144" s="558"/>
      <c r="I144" s="558"/>
      <c r="J144" s="558"/>
      <c r="K144" s="558"/>
      <c r="L144" s="558"/>
      <c r="M144" s="428">
        <f>SUM(M141:M143)</f>
        <v>128.1120617796791</v>
      </c>
    </row>
    <row r="145" spans="1:13" x14ac:dyDescent="0.3">
      <c r="A145" s="589"/>
      <c r="B145" s="390"/>
      <c r="C145" s="390"/>
      <c r="D145" s="390"/>
      <c r="E145" s="47"/>
      <c r="F145" s="47"/>
      <c r="G145" s="47"/>
      <c r="H145" s="47"/>
      <c r="I145" s="47"/>
      <c r="J145" s="47"/>
      <c r="K145" s="47"/>
      <c r="L145" s="47"/>
      <c r="M145" s="437"/>
    </row>
    <row r="146" spans="1:13" ht="48" x14ac:dyDescent="0.3">
      <c r="A146" s="587">
        <v>7</v>
      </c>
      <c r="B146" s="245" t="s">
        <v>300</v>
      </c>
      <c r="C146" s="126" t="s">
        <v>304</v>
      </c>
      <c r="D146" s="390"/>
      <c r="E146" s="47"/>
      <c r="F146" s="47"/>
      <c r="G146" s="47"/>
      <c r="H146" s="47"/>
      <c r="I146" s="47"/>
      <c r="J146" s="47"/>
      <c r="K146" s="47"/>
      <c r="L146" s="47"/>
      <c r="M146" s="428">
        <f>L146*J146*I146</f>
        <v>0</v>
      </c>
    </row>
    <row r="147" spans="1:13" ht="72" x14ac:dyDescent="0.3">
      <c r="A147" s="587">
        <v>8</v>
      </c>
      <c r="B147" s="379" t="s">
        <v>305</v>
      </c>
      <c r="C147" s="128" t="s">
        <v>306</v>
      </c>
      <c r="D147" s="390"/>
      <c r="E147" s="47"/>
      <c r="F147" s="47"/>
      <c r="G147" s="47"/>
      <c r="H147" s="47"/>
      <c r="I147" s="47"/>
      <c r="J147" s="47"/>
      <c r="K147" s="47"/>
      <c r="L147" s="47"/>
      <c r="M147" s="428">
        <f>L147*J147*I147</f>
        <v>0</v>
      </c>
    </row>
    <row r="148" spans="1:13" ht="14.5" x14ac:dyDescent="0.35">
      <c r="A148" s="587"/>
      <c r="B148" s="379"/>
      <c r="C148" s="581" t="s">
        <v>799</v>
      </c>
      <c r="D148" s="390"/>
      <c r="E148" s="47"/>
      <c r="F148" s="47"/>
      <c r="G148" s="47"/>
      <c r="H148" s="47"/>
      <c r="I148" s="47"/>
      <c r="J148" s="47"/>
      <c r="K148" s="47"/>
      <c r="L148" s="47"/>
      <c r="M148" s="47"/>
    </row>
    <row r="149" spans="1:13" s="9" customFormat="1" x14ac:dyDescent="0.3">
      <c r="A149" s="590"/>
      <c r="B149" s="570"/>
      <c r="C149" s="570" t="s">
        <v>743</v>
      </c>
      <c r="D149" s="574" t="s">
        <v>679</v>
      </c>
      <c r="E149" s="469">
        <v>6850</v>
      </c>
      <c r="F149" s="469">
        <v>4510</v>
      </c>
      <c r="G149" s="469"/>
      <c r="H149" s="469"/>
      <c r="I149" s="469">
        <f t="shared" ref="I149:J153" si="21">E149/304.8</f>
        <v>22.473753280839894</v>
      </c>
      <c r="J149" s="469">
        <f t="shared" si="21"/>
        <v>14.796587926509186</v>
      </c>
      <c r="K149" s="469"/>
      <c r="L149" s="469">
        <v>1</v>
      </c>
      <c r="M149" s="470">
        <f>L149*J149*I149</f>
        <v>332.53486645862176</v>
      </c>
    </row>
    <row r="150" spans="1:13" s="9" customFormat="1" x14ac:dyDescent="0.3">
      <c r="A150" s="590"/>
      <c r="B150" s="570"/>
      <c r="C150" s="570" t="s">
        <v>744</v>
      </c>
      <c r="D150" s="574" t="s">
        <v>679</v>
      </c>
      <c r="E150" s="469">
        <v>1500</v>
      </c>
      <c r="F150" s="469">
        <v>1900</v>
      </c>
      <c r="G150" s="469"/>
      <c r="H150" s="469"/>
      <c r="I150" s="469">
        <f t="shared" si="21"/>
        <v>4.9212598425196852</v>
      </c>
      <c r="J150" s="469">
        <f t="shared" si="21"/>
        <v>6.2335958005249346</v>
      </c>
      <c r="K150" s="469"/>
      <c r="L150" s="469">
        <v>-1</v>
      </c>
      <c r="M150" s="470">
        <f t="shared" ref="M150:M157" si="22">L150*J150*I150</f>
        <v>-30.677144687622711</v>
      </c>
    </row>
    <row r="151" spans="1:13" s="9" customFormat="1" x14ac:dyDescent="0.3">
      <c r="A151" s="590"/>
      <c r="B151" s="570"/>
      <c r="C151" s="570" t="s">
        <v>745</v>
      </c>
      <c r="D151" s="574" t="s">
        <v>679</v>
      </c>
      <c r="E151" s="469">
        <f>6850-1500</f>
        <v>5350</v>
      </c>
      <c r="F151" s="469">
        <v>1500</v>
      </c>
      <c r="G151" s="469"/>
      <c r="H151" s="469"/>
      <c r="I151" s="469">
        <f t="shared" si="21"/>
        <v>17.552493438320209</v>
      </c>
      <c r="J151" s="469">
        <f t="shared" si="21"/>
        <v>4.9212598425196852</v>
      </c>
      <c r="K151" s="469"/>
      <c r="L151" s="469">
        <v>1</v>
      </c>
      <c r="M151" s="470">
        <f t="shared" si="22"/>
        <v>86.380381094095512</v>
      </c>
    </row>
    <row r="152" spans="1:13" s="9" customFormat="1" x14ac:dyDescent="0.3">
      <c r="A152" s="590"/>
      <c r="B152" s="570"/>
      <c r="C152" s="570"/>
      <c r="D152" s="574" t="s">
        <v>679</v>
      </c>
      <c r="E152" s="469">
        <v>1900</v>
      </c>
      <c r="F152" s="469">
        <v>1500</v>
      </c>
      <c r="G152" s="469"/>
      <c r="H152" s="469"/>
      <c r="I152" s="469">
        <f t="shared" si="21"/>
        <v>6.2335958005249346</v>
      </c>
      <c r="J152" s="469">
        <f t="shared" si="21"/>
        <v>4.9212598425196852</v>
      </c>
      <c r="K152" s="469"/>
      <c r="L152" s="469">
        <v>2</v>
      </c>
      <c r="M152" s="470">
        <f t="shared" si="22"/>
        <v>61.354289375245422</v>
      </c>
    </row>
    <row r="153" spans="1:13" s="9" customFormat="1" x14ac:dyDescent="0.3">
      <c r="A153" s="590"/>
      <c r="B153" s="570"/>
      <c r="C153" s="570"/>
      <c r="D153" s="574" t="s">
        <v>679</v>
      </c>
      <c r="E153" s="535">
        <v>1500</v>
      </c>
      <c r="F153" s="535">
        <v>1600</v>
      </c>
      <c r="G153" s="472"/>
      <c r="H153" s="472"/>
      <c r="I153" s="535">
        <f t="shared" si="21"/>
        <v>4.9212598425196852</v>
      </c>
      <c r="J153" s="535">
        <f t="shared" si="21"/>
        <v>5.2493438320209975</v>
      </c>
      <c r="K153" s="472"/>
      <c r="L153" s="469">
        <v>1</v>
      </c>
      <c r="M153" s="470">
        <f t="shared" si="22"/>
        <v>25.833385000103334</v>
      </c>
    </row>
    <row r="154" spans="1:13" s="9" customFormat="1" x14ac:dyDescent="0.3">
      <c r="A154" s="590"/>
      <c r="B154" s="570"/>
      <c r="C154" s="570" t="s">
        <v>798</v>
      </c>
      <c r="D154" s="574" t="s">
        <v>679</v>
      </c>
      <c r="E154" s="469"/>
      <c r="F154" s="469"/>
      <c r="G154" s="469"/>
      <c r="H154" s="469"/>
      <c r="I154" s="469"/>
      <c r="J154" s="469"/>
      <c r="K154" s="469"/>
      <c r="L154" s="469"/>
      <c r="M154" s="470">
        <f t="shared" si="22"/>
        <v>0</v>
      </c>
    </row>
    <row r="155" spans="1:13" s="9" customFormat="1" x14ac:dyDescent="0.3">
      <c r="A155" s="590"/>
      <c r="B155" s="570"/>
      <c r="C155" s="570" t="s">
        <v>796</v>
      </c>
      <c r="D155" s="574" t="s">
        <v>112</v>
      </c>
      <c r="E155" s="469">
        <f>2730+5815+2470+3890</f>
        <v>14905</v>
      </c>
      <c r="F155" s="469">
        <v>4200</v>
      </c>
      <c r="G155" s="469"/>
      <c r="H155" s="469"/>
      <c r="I155" s="469">
        <f t="shared" ref="I155:J159" si="23">E155/304.8</f>
        <v>48.900918635170605</v>
      </c>
      <c r="J155" s="469">
        <f t="shared" si="23"/>
        <v>13.779527559055117</v>
      </c>
      <c r="K155" s="469"/>
      <c r="L155" s="469">
        <v>1</v>
      </c>
      <c r="M155" s="470">
        <f t="shared" si="22"/>
        <v>673.83155599644533</v>
      </c>
    </row>
    <row r="156" spans="1:13" s="9" customFormat="1" x14ac:dyDescent="0.3">
      <c r="A156" s="590"/>
      <c r="B156" s="570"/>
      <c r="C156" s="570" t="s">
        <v>797</v>
      </c>
      <c r="D156" s="574" t="s">
        <v>112</v>
      </c>
      <c r="E156" s="469">
        <f>1700+925+650</f>
        <v>3275</v>
      </c>
      <c r="F156" s="469">
        <v>3800</v>
      </c>
      <c r="G156" s="469"/>
      <c r="H156" s="469"/>
      <c r="I156" s="469">
        <f t="shared" si="23"/>
        <v>10.744750656167978</v>
      </c>
      <c r="J156" s="469">
        <f t="shared" si="23"/>
        <v>12.467191601049869</v>
      </c>
      <c r="K156" s="469"/>
      <c r="L156" s="469">
        <v>1</v>
      </c>
      <c r="M156" s="470">
        <f t="shared" si="22"/>
        <v>133.95686513595248</v>
      </c>
    </row>
    <row r="157" spans="1:13" s="459" customFormat="1" ht="12.5" x14ac:dyDescent="0.25">
      <c r="A157" s="482"/>
      <c r="B157" s="483"/>
      <c r="C157" s="483" t="s">
        <v>973</v>
      </c>
      <c r="D157" s="484" t="s">
        <v>679</v>
      </c>
      <c r="E157" s="657">
        <v>6850</v>
      </c>
      <c r="F157" s="657">
        <v>2000</v>
      </c>
      <c r="G157" s="658"/>
      <c r="H157" s="658"/>
      <c r="I157" s="657">
        <f t="shared" si="23"/>
        <v>22.473753280839894</v>
      </c>
      <c r="J157" s="657">
        <f t="shared" si="23"/>
        <v>6.5616797900262469</v>
      </c>
      <c r="K157" s="658"/>
      <c r="L157" s="658">
        <v>1</v>
      </c>
      <c r="M157" s="659">
        <f t="shared" si="22"/>
        <v>147.46557270892319</v>
      </c>
    </row>
    <row r="158" spans="1:13" s="459" customFormat="1" ht="12.5" x14ac:dyDescent="0.25">
      <c r="A158" s="482"/>
      <c r="B158" s="483"/>
      <c r="C158" s="483" t="s">
        <v>744</v>
      </c>
      <c r="D158" s="484" t="s">
        <v>679</v>
      </c>
      <c r="E158" s="657">
        <v>1500</v>
      </c>
      <c r="F158" s="657">
        <v>1900</v>
      </c>
      <c r="G158" s="658"/>
      <c r="H158" s="658"/>
      <c r="I158" s="657">
        <f t="shared" si="23"/>
        <v>4.9212598425196852</v>
      </c>
      <c r="J158" s="657">
        <f t="shared" si="23"/>
        <v>6.2335958005249346</v>
      </c>
      <c r="K158" s="658"/>
      <c r="L158" s="658">
        <v>-1</v>
      </c>
      <c r="M158" s="659">
        <f>L158*J158*I158</f>
        <v>-30.677144687622711</v>
      </c>
    </row>
    <row r="159" spans="1:13" s="459" customFormat="1" ht="12.5" x14ac:dyDescent="0.25">
      <c r="A159" s="482"/>
      <c r="B159" s="483"/>
      <c r="C159" s="483" t="s">
        <v>745</v>
      </c>
      <c r="D159" s="484" t="s">
        <v>679</v>
      </c>
      <c r="E159" s="657">
        <f>6850-1500</f>
        <v>5350</v>
      </c>
      <c r="F159" s="657">
        <v>1600</v>
      </c>
      <c r="G159" s="658"/>
      <c r="H159" s="658"/>
      <c r="I159" s="657">
        <f t="shared" si="23"/>
        <v>17.552493438320209</v>
      </c>
      <c r="J159" s="657">
        <f t="shared" si="23"/>
        <v>5.2493438320209975</v>
      </c>
      <c r="K159" s="658"/>
      <c r="L159" s="658">
        <v>1</v>
      </c>
      <c r="M159" s="659">
        <f t="shared" ref="M159" si="24">L159*J159*I159</f>
        <v>92.139073167035221</v>
      </c>
    </row>
    <row r="160" spans="1:13" s="459" customFormat="1" ht="12.5" x14ac:dyDescent="0.25">
      <c r="A160" s="482"/>
      <c r="B160" s="483"/>
      <c r="C160" s="483"/>
      <c r="D160" s="484" t="s">
        <v>679</v>
      </c>
      <c r="E160" s="657"/>
      <c r="F160" s="657"/>
      <c r="G160" s="658"/>
      <c r="H160" s="658"/>
      <c r="I160" s="657"/>
      <c r="J160" s="657"/>
      <c r="K160" s="658"/>
      <c r="L160" s="658"/>
      <c r="M160" s="659"/>
    </row>
    <row r="161" spans="1:13" s="9" customFormat="1" x14ac:dyDescent="0.3">
      <c r="A161" s="590"/>
      <c r="B161" s="570"/>
      <c r="C161" s="570"/>
      <c r="D161" s="574"/>
      <c r="E161" s="469"/>
      <c r="F161" s="469"/>
      <c r="G161" s="469"/>
      <c r="H161" s="469"/>
      <c r="I161" s="469"/>
      <c r="J161" s="469"/>
      <c r="K161" s="469"/>
      <c r="L161" s="469"/>
      <c r="M161" s="470"/>
    </row>
    <row r="162" spans="1:13" s="9" customFormat="1" x14ac:dyDescent="0.3">
      <c r="A162" s="590"/>
      <c r="B162" s="570"/>
      <c r="C162" s="570"/>
      <c r="D162" s="574"/>
      <c r="E162" s="469"/>
      <c r="F162" s="469"/>
      <c r="G162" s="469"/>
      <c r="H162" s="469"/>
      <c r="I162" s="469"/>
      <c r="J162" s="469"/>
      <c r="K162" s="469"/>
      <c r="L162" s="469"/>
      <c r="M162" s="470"/>
    </row>
    <row r="163" spans="1:13" s="9" customFormat="1" x14ac:dyDescent="0.3">
      <c r="A163" s="590"/>
      <c r="B163" s="570"/>
      <c r="C163" s="565" t="s">
        <v>800</v>
      </c>
      <c r="D163" s="566" t="s">
        <v>112</v>
      </c>
      <c r="E163" s="477"/>
      <c r="F163" s="477"/>
      <c r="G163" s="477"/>
      <c r="H163" s="477"/>
      <c r="I163" s="477"/>
      <c r="J163" s="477"/>
      <c r="K163" s="477"/>
      <c r="L163" s="477"/>
      <c r="M163" s="494">
        <f>SUM(M149:M161)</f>
        <v>1492.1416995611767</v>
      </c>
    </row>
    <row r="164" spans="1:13" s="9" customFormat="1" x14ac:dyDescent="0.3">
      <c r="A164" s="590"/>
      <c r="B164" s="570"/>
      <c r="C164" s="565"/>
      <c r="D164" s="566"/>
      <c r="E164" s="477"/>
      <c r="F164" s="477"/>
      <c r="G164" s="477"/>
      <c r="H164" s="477"/>
      <c r="I164" s="477"/>
      <c r="J164" s="477"/>
      <c r="K164" s="477"/>
      <c r="L164" s="477"/>
      <c r="M164" s="595"/>
    </row>
    <row r="165" spans="1:13" x14ac:dyDescent="0.3">
      <c r="A165" s="782" t="s">
        <v>33</v>
      </c>
      <c r="B165" s="783"/>
      <c r="C165" s="783"/>
      <c r="D165" s="390"/>
      <c r="E165" s="47"/>
      <c r="F165" s="47"/>
      <c r="G165" s="47"/>
      <c r="H165" s="47"/>
      <c r="I165" s="47"/>
      <c r="J165" s="47"/>
      <c r="K165" s="47"/>
      <c r="L165" s="47"/>
      <c r="M165" s="437"/>
    </row>
    <row r="166" spans="1:13" ht="108" x14ac:dyDescent="0.3">
      <c r="A166" s="587">
        <v>1</v>
      </c>
      <c r="B166" s="393" t="s">
        <v>24</v>
      </c>
      <c r="C166" s="132" t="s">
        <v>575</v>
      </c>
      <c r="D166" s="390"/>
      <c r="E166" s="47"/>
      <c r="F166" s="47"/>
      <c r="G166" s="47"/>
      <c r="H166" s="47"/>
      <c r="I166" s="47"/>
      <c r="J166" s="47"/>
      <c r="K166" s="47"/>
      <c r="L166" s="47"/>
      <c r="M166" s="437"/>
    </row>
    <row r="167" spans="1:13" x14ac:dyDescent="0.3">
      <c r="A167" s="589"/>
      <c r="B167" s="390"/>
      <c r="C167" s="132" t="s">
        <v>63</v>
      </c>
      <c r="D167" s="391" t="s">
        <v>679</v>
      </c>
      <c r="E167" s="47">
        <v>6483</v>
      </c>
      <c r="F167" s="47">
        <f>2000+3495+640</f>
        <v>6135</v>
      </c>
      <c r="G167" s="47"/>
      <c r="H167" s="47"/>
      <c r="I167" s="47">
        <f t="shared" ref="I167:J174" si="25">E167/304.8</f>
        <v>21.269685039370078</v>
      </c>
      <c r="J167" s="47">
        <f t="shared" si="25"/>
        <v>20.127952755905511</v>
      </c>
      <c r="K167" s="47"/>
      <c r="L167" s="47">
        <v>1</v>
      </c>
      <c r="M167" s="653">
        <f>L167*J167*I167</f>
        <v>428.11521560543116</v>
      </c>
    </row>
    <row r="168" spans="1:13" x14ac:dyDescent="0.3">
      <c r="A168" s="589"/>
      <c r="B168" s="390"/>
      <c r="C168" s="390" t="s">
        <v>859</v>
      </c>
      <c r="D168" s="391" t="s">
        <v>679</v>
      </c>
      <c r="E168" s="47">
        <v>5840</v>
      </c>
      <c r="F168" s="47">
        <v>200</v>
      </c>
      <c r="G168" s="47"/>
      <c r="H168" s="47"/>
      <c r="I168" s="47">
        <f t="shared" si="25"/>
        <v>19.16010498687664</v>
      </c>
      <c r="J168" s="47">
        <f t="shared" si="25"/>
        <v>0.65616797900262469</v>
      </c>
      <c r="K168" s="47"/>
      <c r="L168" s="47">
        <v>-1</v>
      </c>
      <c r="M168" s="653">
        <f>L168*J168*I168</f>
        <v>-12.572247366716956</v>
      </c>
    </row>
    <row r="169" spans="1:13" x14ac:dyDescent="0.3">
      <c r="A169" s="589"/>
      <c r="B169" s="390"/>
      <c r="C169" s="390"/>
      <c r="D169" s="390"/>
      <c r="E169" s="47"/>
      <c r="F169" s="47"/>
      <c r="G169" s="47"/>
      <c r="H169" s="47"/>
      <c r="I169" s="47"/>
      <c r="J169" s="47"/>
      <c r="K169" s="47"/>
      <c r="L169" s="47"/>
      <c r="M169" s="437"/>
    </row>
    <row r="170" spans="1:13" x14ac:dyDescent="0.3">
      <c r="A170" s="589"/>
      <c r="B170" s="390"/>
      <c r="C170" s="392" t="s">
        <v>684</v>
      </c>
      <c r="D170" s="389" t="s">
        <v>679</v>
      </c>
      <c r="E170" s="558"/>
      <c r="F170" s="558"/>
      <c r="G170" s="558"/>
      <c r="H170" s="558"/>
      <c r="I170" s="558"/>
      <c r="J170" s="558"/>
      <c r="K170" s="558"/>
      <c r="L170" s="558"/>
      <c r="M170" s="428">
        <f>SUM(M167:M169)</f>
        <v>415.5429682387142</v>
      </c>
    </row>
    <row r="171" spans="1:13" x14ac:dyDescent="0.3">
      <c r="A171" s="589"/>
      <c r="B171" s="390"/>
      <c r="C171" s="390"/>
      <c r="D171" s="390"/>
      <c r="E171" s="47"/>
      <c r="F171" s="47"/>
      <c r="G171" s="47"/>
      <c r="H171" s="47"/>
      <c r="I171" s="47"/>
      <c r="J171" s="47"/>
      <c r="K171" s="47"/>
      <c r="L171" s="47"/>
      <c r="M171" s="437"/>
    </row>
    <row r="172" spans="1:13" x14ac:dyDescent="0.3">
      <c r="A172" s="589"/>
      <c r="B172" s="390"/>
      <c r="C172" s="132" t="s">
        <v>233</v>
      </c>
      <c r="D172" s="391" t="s">
        <v>679</v>
      </c>
      <c r="E172" s="47">
        <v>3200</v>
      </c>
      <c r="F172" s="47">
        <v>2200</v>
      </c>
      <c r="G172" s="47"/>
      <c r="H172" s="47"/>
      <c r="I172" s="47">
        <f t="shared" si="25"/>
        <v>10.498687664041995</v>
      </c>
      <c r="J172" s="47">
        <f t="shared" si="25"/>
        <v>7.2178477690288707</v>
      </c>
      <c r="K172" s="47"/>
      <c r="L172" s="47">
        <v>1</v>
      </c>
      <c r="M172" s="437">
        <f>L172*J172*I172</f>
        <v>75.777929333636436</v>
      </c>
    </row>
    <row r="173" spans="1:13" x14ac:dyDescent="0.3">
      <c r="A173" s="589"/>
      <c r="B173" s="390"/>
      <c r="C173" s="390" t="s">
        <v>722</v>
      </c>
      <c r="D173" s="391" t="s">
        <v>679</v>
      </c>
      <c r="E173" s="47">
        <v>7000</v>
      </c>
      <c r="F173" s="47">
        <v>2500</v>
      </c>
      <c r="G173" s="47"/>
      <c r="H173" s="47"/>
      <c r="I173" s="47">
        <f t="shared" si="25"/>
        <v>22.965879265091864</v>
      </c>
      <c r="J173" s="47">
        <f t="shared" si="25"/>
        <v>8.2020997375328086</v>
      </c>
      <c r="K173" s="47"/>
      <c r="L173" s="47">
        <v>1</v>
      </c>
      <c r="M173" s="437">
        <f t="shared" ref="M173:M174" si="26">L173*J173*I173</f>
        <v>188.36843229242015</v>
      </c>
    </row>
    <row r="174" spans="1:13" x14ac:dyDescent="0.3">
      <c r="A174" s="589"/>
      <c r="B174" s="390"/>
      <c r="C174" s="390"/>
      <c r="D174" s="391" t="s">
        <v>679</v>
      </c>
      <c r="E174" s="47">
        <v>1300</v>
      </c>
      <c r="F174" s="47">
        <v>1800</v>
      </c>
      <c r="G174" s="47"/>
      <c r="H174" s="47"/>
      <c r="I174" s="47">
        <f t="shared" si="25"/>
        <v>4.2650918635170605</v>
      </c>
      <c r="J174" s="47">
        <f t="shared" si="25"/>
        <v>5.9055118110236222</v>
      </c>
      <c r="K174" s="47"/>
      <c r="L174" s="47">
        <v>1</v>
      </c>
      <c r="M174" s="437">
        <f t="shared" si="26"/>
        <v>25.187550375100752</v>
      </c>
    </row>
    <row r="175" spans="1:13" x14ac:dyDescent="0.3">
      <c r="A175" s="589"/>
      <c r="B175" s="390"/>
      <c r="C175" s="390"/>
      <c r="D175" s="390"/>
      <c r="E175" s="47"/>
      <c r="F175" s="47"/>
      <c r="G175" s="47"/>
      <c r="H175" s="47"/>
      <c r="I175" s="47"/>
      <c r="J175" s="47"/>
      <c r="K175" s="47"/>
      <c r="L175" s="47"/>
      <c r="M175" s="437"/>
    </row>
    <row r="176" spans="1:13" x14ac:dyDescent="0.3">
      <c r="A176" s="589"/>
      <c r="B176" s="390"/>
      <c r="C176" s="392" t="s">
        <v>684</v>
      </c>
      <c r="D176" s="389" t="s">
        <v>679</v>
      </c>
      <c r="E176" s="558"/>
      <c r="F176" s="558"/>
      <c r="G176" s="558"/>
      <c r="H176" s="558"/>
      <c r="I176" s="558"/>
      <c r="J176" s="558"/>
      <c r="K176" s="558"/>
      <c r="L176" s="558"/>
      <c r="M176" s="428">
        <f>SUM(M172:M175)</f>
        <v>289.33391200115733</v>
      </c>
    </row>
    <row r="177" spans="1:13" x14ac:dyDescent="0.3">
      <c r="A177" s="589"/>
      <c r="B177" s="390"/>
      <c r="C177" s="390"/>
      <c r="D177" s="390"/>
      <c r="E177" s="47"/>
      <c r="F177" s="47"/>
      <c r="G177" s="47"/>
      <c r="H177" s="47"/>
      <c r="I177" s="47"/>
      <c r="J177" s="47"/>
      <c r="K177" s="47"/>
      <c r="L177" s="47"/>
      <c r="M177" s="437"/>
    </row>
    <row r="178" spans="1:13" ht="96" x14ac:dyDescent="0.3">
      <c r="A178" s="587">
        <v>2</v>
      </c>
      <c r="B178" s="379" t="s">
        <v>74</v>
      </c>
      <c r="C178" s="132" t="s">
        <v>47</v>
      </c>
      <c r="D178" s="390"/>
      <c r="E178" s="47"/>
      <c r="F178" s="47"/>
      <c r="G178" s="47"/>
      <c r="H178" s="47"/>
      <c r="I178" s="47"/>
      <c r="J178" s="47"/>
      <c r="K178" s="47"/>
      <c r="L178" s="47"/>
      <c r="M178" s="437"/>
    </row>
    <row r="179" spans="1:13" x14ac:dyDescent="0.3">
      <c r="A179" s="589"/>
      <c r="B179" s="390"/>
      <c r="C179" s="390" t="s">
        <v>718</v>
      </c>
      <c r="D179" s="391" t="s">
        <v>679</v>
      </c>
      <c r="E179" s="47">
        <f>1695+925+650+2730+5815+2470+3890+620</f>
        <v>18795</v>
      </c>
      <c r="F179" s="47">
        <v>6800</v>
      </c>
      <c r="G179" s="47"/>
      <c r="H179" s="47"/>
      <c r="I179" s="47">
        <f>E179/304.8</f>
        <v>61.663385826771652</v>
      </c>
      <c r="J179" s="47">
        <f>F179/304.8</f>
        <v>22.309711286089239</v>
      </c>
      <c r="K179" s="47"/>
      <c r="L179" s="47">
        <v>1</v>
      </c>
      <c r="M179" s="437">
        <f>L179*J179*I179</f>
        <v>1375.6923347180027</v>
      </c>
    </row>
    <row r="180" spans="1:13" x14ac:dyDescent="0.3">
      <c r="A180" s="589"/>
      <c r="B180" s="390"/>
      <c r="C180" s="390" t="s">
        <v>723</v>
      </c>
      <c r="D180" s="391" t="s">
        <v>679</v>
      </c>
      <c r="E180" s="47">
        <v>9780</v>
      </c>
      <c r="F180" s="47">
        <v>1925</v>
      </c>
      <c r="G180" s="47"/>
      <c r="H180" s="47"/>
      <c r="I180" s="47">
        <f>E180/304.8</f>
        <v>32.086614173228348</v>
      </c>
      <c r="J180" s="47">
        <f>F180/304.8</f>
        <v>6.3156167979002626</v>
      </c>
      <c r="K180" s="47"/>
      <c r="L180" s="47">
        <v>-1</v>
      </c>
      <c r="M180" s="437">
        <f>L180*J180*I180</f>
        <v>-202.64675946018559</v>
      </c>
    </row>
    <row r="181" spans="1:13" x14ac:dyDescent="0.3">
      <c r="A181" s="589"/>
      <c r="B181" s="390"/>
      <c r="C181" s="390"/>
      <c r="D181" s="390"/>
      <c r="E181" s="47"/>
      <c r="F181" s="47"/>
      <c r="G181" s="47"/>
      <c r="H181" s="47"/>
      <c r="I181" s="47"/>
      <c r="J181" s="47"/>
      <c r="K181" s="47"/>
      <c r="L181" s="47"/>
      <c r="M181" s="437"/>
    </row>
    <row r="182" spans="1:13" x14ac:dyDescent="0.3">
      <c r="A182" s="589"/>
      <c r="B182" s="390"/>
      <c r="C182" s="392" t="s">
        <v>684</v>
      </c>
      <c r="D182" s="389" t="s">
        <v>679</v>
      </c>
      <c r="E182" s="558"/>
      <c r="F182" s="558"/>
      <c r="G182" s="558"/>
      <c r="H182" s="558"/>
      <c r="I182" s="558"/>
      <c r="J182" s="558"/>
      <c r="K182" s="558"/>
      <c r="L182" s="558"/>
      <c r="M182" s="428">
        <f>SUM(M179:M180)</f>
        <v>1173.0455752578171</v>
      </c>
    </row>
    <row r="183" spans="1:13" x14ac:dyDescent="0.3">
      <c r="A183" s="589"/>
      <c r="B183" s="390"/>
      <c r="C183" s="390"/>
      <c r="D183" s="390"/>
      <c r="E183" s="47"/>
      <c r="F183" s="47"/>
      <c r="G183" s="47"/>
      <c r="H183" s="47"/>
      <c r="I183" s="47"/>
      <c r="J183" s="47"/>
      <c r="K183" s="47"/>
      <c r="L183" s="47"/>
      <c r="M183" s="437"/>
    </row>
    <row r="184" spans="1:13" ht="96" x14ac:dyDescent="0.3">
      <c r="A184" s="587">
        <v>3</v>
      </c>
      <c r="B184" s="393" t="s">
        <v>59</v>
      </c>
      <c r="C184" s="132" t="s">
        <v>47</v>
      </c>
      <c r="D184" s="390"/>
      <c r="E184" s="47"/>
      <c r="F184" s="47"/>
      <c r="G184" s="47"/>
      <c r="H184" s="47"/>
      <c r="I184" s="47"/>
      <c r="J184" s="47"/>
      <c r="K184" s="47"/>
      <c r="L184" s="47"/>
      <c r="M184" s="437"/>
    </row>
    <row r="185" spans="1:13" x14ac:dyDescent="0.3">
      <c r="A185" s="589"/>
      <c r="B185" s="390"/>
      <c r="C185" s="390" t="s">
        <v>724</v>
      </c>
      <c r="D185" s="391" t="s">
        <v>679</v>
      </c>
      <c r="E185" s="47">
        <v>9780</v>
      </c>
      <c r="F185" s="47">
        <v>1925</v>
      </c>
      <c r="G185" s="47"/>
      <c r="H185" s="47"/>
      <c r="I185" s="47">
        <f>E185/304.8</f>
        <v>32.086614173228348</v>
      </c>
      <c r="J185" s="47">
        <f>F185/304.8</f>
        <v>6.3156167979002626</v>
      </c>
      <c r="K185" s="47"/>
      <c r="L185" s="47">
        <v>1</v>
      </c>
      <c r="M185" s="428">
        <f>L185*J185*I185</f>
        <v>202.64675946018559</v>
      </c>
    </row>
    <row r="186" spans="1:13" x14ac:dyDescent="0.3">
      <c r="A186" s="589"/>
      <c r="B186" s="390"/>
      <c r="C186" s="390"/>
      <c r="D186" s="390"/>
      <c r="E186" s="47"/>
      <c r="F186" s="47"/>
      <c r="G186" s="47"/>
      <c r="H186" s="47"/>
      <c r="I186" s="47"/>
      <c r="J186" s="47"/>
      <c r="K186" s="47"/>
      <c r="L186" s="47"/>
      <c r="M186" s="437"/>
    </row>
    <row r="187" spans="1:13" x14ac:dyDescent="0.3">
      <c r="A187" s="589"/>
      <c r="B187" s="390"/>
      <c r="C187" s="390"/>
      <c r="D187" s="390"/>
      <c r="E187" s="47"/>
      <c r="F187" s="47"/>
      <c r="G187" s="47"/>
      <c r="H187" s="47"/>
      <c r="I187" s="47"/>
      <c r="J187" s="47"/>
      <c r="K187" s="47"/>
      <c r="L187" s="47"/>
      <c r="M187" s="437"/>
    </row>
    <row r="188" spans="1:13" ht="72" x14ac:dyDescent="0.3">
      <c r="A188" s="587">
        <v>4</v>
      </c>
      <c r="B188" s="379" t="s">
        <v>84</v>
      </c>
      <c r="C188" s="132" t="s">
        <v>83</v>
      </c>
      <c r="D188" s="390"/>
      <c r="E188" s="47"/>
      <c r="F188" s="47"/>
      <c r="G188" s="47"/>
      <c r="H188" s="47"/>
      <c r="I188" s="47"/>
      <c r="J188" s="47"/>
      <c r="K188" s="47"/>
      <c r="L188" s="47"/>
      <c r="M188" s="437"/>
    </row>
    <row r="189" spans="1:13" x14ac:dyDescent="0.3">
      <c r="A189" s="587"/>
      <c r="B189" s="379"/>
      <c r="C189" s="132"/>
      <c r="D189" s="390"/>
      <c r="E189" s="47"/>
      <c r="F189" s="47"/>
      <c r="G189" s="47"/>
      <c r="H189" s="47"/>
      <c r="I189" s="47"/>
      <c r="J189" s="47"/>
      <c r="K189" s="47"/>
      <c r="L189" s="47"/>
      <c r="M189" s="437"/>
    </row>
    <row r="190" spans="1:13" x14ac:dyDescent="0.3">
      <c r="A190" s="589"/>
      <c r="B190" s="390"/>
      <c r="C190" s="390" t="s">
        <v>725</v>
      </c>
      <c r="D190" s="113" t="s">
        <v>45</v>
      </c>
      <c r="E190" s="47">
        <v>2000</v>
      </c>
      <c r="F190" s="47"/>
      <c r="G190" s="47"/>
      <c r="H190" s="47"/>
      <c r="I190" s="47">
        <f>E190/304.8</f>
        <v>6.5616797900262469</v>
      </c>
      <c r="J190" s="47"/>
      <c r="K190" s="47"/>
      <c r="L190" s="47">
        <v>1</v>
      </c>
      <c r="M190" s="437">
        <f>L190*I190</f>
        <v>6.5616797900262469</v>
      </c>
    </row>
    <row r="191" spans="1:13" x14ac:dyDescent="0.3">
      <c r="A191" s="589"/>
      <c r="B191" s="390"/>
      <c r="C191" s="390" t="s">
        <v>726</v>
      </c>
      <c r="D191" s="113" t="s">
        <v>45</v>
      </c>
      <c r="E191" s="47">
        <v>1695</v>
      </c>
      <c r="F191" s="47"/>
      <c r="G191" s="47"/>
      <c r="H191" s="47"/>
      <c r="I191" s="47">
        <f t="shared" ref="I191:I196" si="27">E191/304.8</f>
        <v>5.5610236220472435</v>
      </c>
      <c r="J191" s="47"/>
      <c r="K191" s="47"/>
      <c r="L191" s="47">
        <v>1</v>
      </c>
      <c r="M191" s="437">
        <f t="shared" ref="M191:M196" si="28">L191*I191</f>
        <v>5.5610236220472435</v>
      </c>
    </row>
    <row r="192" spans="1:13" x14ac:dyDescent="0.3">
      <c r="A192" s="589"/>
      <c r="B192" s="390"/>
      <c r="C192" s="390" t="s">
        <v>727</v>
      </c>
      <c r="D192" s="113" t="s">
        <v>45</v>
      </c>
      <c r="E192" s="47">
        <f>2730+5815+2470+3890</f>
        <v>14905</v>
      </c>
      <c r="F192" s="47"/>
      <c r="G192" s="47"/>
      <c r="H192" s="47"/>
      <c r="I192" s="47">
        <f t="shared" si="27"/>
        <v>48.900918635170605</v>
      </c>
      <c r="J192" s="47"/>
      <c r="K192" s="47"/>
      <c r="L192" s="47">
        <v>1</v>
      </c>
      <c r="M192" s="437">
        <f t="shared" si="28"/>
        <v>48.900918635170605</v>
      </c>
    </row>
    <row r="193" spans="1:13" x14ac:dyDescent="0.3">
      <c r="A193" s="589"/>
      <c r="B193" s="390"/>
      <c r="C193" s="390" t="s">
        <v>728</v>
      </c>
      <c r="D193" s="113" t="s">
        <v>45</v>
      </c>
      <c r="E193" s="47">
        <v>900</v>
      </c>
      <c r="F193" s="47"/>
      <c r="G193" s="47"/>
      <c r="H193" s="47"/>
      <c r="I193" s="47">
        <f t="shared" si="27"/>
        <v>2.9527559055118111</v>
      </c>
      <c r="J193" s="47"/>
      <c r="K193" s="47"/>
      <c r="L193" s="47">
        <v>1</v>
      </c>
      <c r="M193" s="437">
        <f t="shared" si="28"/>
        <v>2.9527559055118111</v>
      </c>
    </row>
    <row r="194" spans="1:13" x14ac:dyDescent="0.3">
      <c r="A194" s="589"/>
      <c r="B194" s="390"/>
      <c r="C194" s="390" t="s">
        <v>728</v>
      </c>
      <c r="D194" s="113" t="s">
        <v>45</v>
      </c>
      <c r="E194" s="47">
        <v>395</v>
      </c>
      <c r="F194" s="47"/>
      <c r="G194" s="47"/>
      <c r="H194" s="47"/>
      <c r="I194" s="47">
        <f t="shared" si="27"/>
        <v>1.2959317585301837</v>
      </c>
      <c r="J194" s="47"/>
      <c r="K194" s="47"/>
      <c r="L194" s="47">
        <v>1</v>
      </c>
      <c r="M194" s="437">
        <f t="shared" si="28"/>
        <v>1.2959317585301837</v>
      </c>
    </row>
    <row r="195" spans="1:13" x14ac:dyDescent="0.3">
      <c r="A195" s="589"/>
      <c r="B195" s="390"/>
      <c r="C195" s="390" t="s">
        <v>729</v>
      </c>
      <c r="D195" s="113" t="s">
        <v>45</v>
      </c>
      <c r="E195" s="47">
        <v>3400</v>
      </c>
      <c r="F195" s="47"/>
      <c r="G195" s="47"/>
      <c r="H195" s="47"/>
      <c r="I195" s="47">
        <f t="shared" si="27"/>
        <v>11.15485564304462</v>
      </c>
      <c r="J195" s="47"/>
      <c r="K195" s="47"/>
      <c r="L195" s="47">
        <v>1</v>
      </c>
      <c r="M195" s="437">
        <f t="shared" si="28"/>
        <v>11.15485564304462</v>
      </c>
    </row>
    <row r="196" spans="1:13" x14ac:dyDescent="0.3">
      <c r="A196" s="589"/>
      <c r="B196" s="390"/>
      <c r="C196" s="390" t="s">
        <v>730</v>
      </c>
      <c r="D196" s="113" t="s">
        <v>45</v>
      </c>
      <c r="E196" s="47">
        <v>10816</v>
      </c>
      <c r="F196" s="47"/>
      <c r="G196" s="47"/>
      <c r="H196" s="47"/>
      <c r="I196" s="47">
        <f t="shared" si="27"/>
        <v>35.485564304461938</v>
      </c>
      <c r="J196" s="47"/>
      <c r="K196" s="47"/>
      <c r="L196" s="47">
        <v>1</v>
      </c>
      <c r="M196" s="437">
        <f t="shared" si="28"/>
        <v>35.485564304461938</v>
      </c>
    </row>
    <row r="197" spans="1:13" x14ac:dyDescent="0.3">
      <c r="A197" s="589"/>
      <c r="B197" s="390"/>
      <c r="C197" s="390"/>
      <c r="D197" s="113"/>
      <c r="E197" s="47"/>
      <c r="F197" s="47"/>
      <c r="G197" s="47"/>
      <c r="H197" s="47"/>
      <c r="I197" s="47"/>
      <c r="J197" s="47"/>
      <c r="K197" s="47"/>
      <c r="L197" s="47"/>
      <c r="M197" s="437"/>
    </row>
    <row r="198" spans="1:13" x14ac:dyDescent="0.3">
      <c r="A198" s="589"/>
      <c r="B198" s="390"/>
      <c r="C198" s="392" t="s">
        <v>684</v>
      </c>
      <c r="D198" s="404" t="s">
        <v>45</v>
      </c>
      <c r="E198" s="558"/>
      <c r="F198" s="558"/>
      <c r="G198" s="558"/>
      <c r="H198" s="558"/>
      <c r="I198" s="558"/>
      <c r="J198" s="558"/>
      <c r="K198" s="558"/>
      <c r="L198" s="558"/>
      <c r="M198" s="428">
        <f>SUM(M190:M196)</f>
        <v>111.91272965879267</v>
      </c>
    </row>
    <row r="199" spans="1:13" x14ac:dyDescent="0.3">
      <c r="A199" s="589"/>
      <c r="B199" s="390"/>
      <c r="C199" s="390"/>
      <c r="D199" s="113"/>
      <c r="E199" s="47"/>
      <c r="F199" s="47"/>
      <c r="G199" s="47"/>
      <c r="H199" s="47"/>
      <c r="I199" s="47"/>
      <c r="J199" s="47"/>
      <c r="K199" s="47"/>
      <c r="L199" s="47"/>
      <c r="M199" s="437"/>
    </row>
    <row r="200" spans="1:13" ht="24" x14ac:dyDescent="0.3">
      <c r="A200" s="587">
        <v>5</v>
      </c>
      <c r="B200" s="393" t="s">
        <v>88</v>
      </c>
      <c r="C200" s="132" t="s">
        <v>576</v>
      </c>
      <c r="D200" s="132"/>
      <c r="E200" s="47"/>
      <c r="F200" s="47"/>
      <c r="G200" s="47"/>
      <c r="H200" s="47"/>
      <c r="I200" s="47"/>
      <c r="J200" s="47"/>
      <c r="K200" s="47"/>
      <c r="L200" s="47"/>
      <c r="M200" s="437"/>
    </row>
    <row r="201" spans="1:13" ht="24" x14ac:dyDescent="0.3">
      <c r="A201" s="587"/>
      <c r="B201" s="405"/>
      <c r="C201" s="132" t="s">
        <v>13</v>
      </c>
      <c r="D201" s="132" t="s">
        <v>278</v>
      </c>
      <c r="E201" s="47"/>
      <c r="F201" s="47"/>
      <c r="G201" s="47"/>
      <c r="H201" s="47"/>
      <c r="I201" s="47"/>
      <c r="J201" s="47"/>
      <c r="K201" s="47"/>
      <c r="L201" s="47"/>
      <c r="M201" s="437"/>
    </row>
    <row r="202" spans="1:13" x14ac:dyDescent="0.3">
      <c r="A202" s="589"/>
      <c r="B202" s="390"/>
      <c r="C202" s="390"/>
      <c r="D202" s="113" t="s">
        <v>45</v>
      </c>
      <c r="E202" s="47">
        <v>2596</v>
      </c>
      <c r="F202" s="47"/>
      <c r="G202" s="47"/>
      <c r="H202" s="47"/>
      <c r="I202" s="47">
        <f t="shared" ref="I202:I205" si="29">E202/304.8</f>
        <v>8.5170603674540679</v>
      </c>
      <c r="J202" s="47"/>
      <c r="K202" s="47"/>
      <c r="L202" s="47">
        <v>1</v>
      </c>
      <c r="M202" s="437">
        <f t="shared" ref="M202:M205" si="30">L202*I202</f>
        <v>8.5170603674540679</v>
      </c>
    </row>
    <row r="203" spans="1:13" x14ac:dyDescent="0.3">
      <c r="A203" s="589"/>
      <c r="B203" s="390"/>
      <c r="C203" s="390"/>
      <c r="D203" s="113" t="s">
        <v>45</v>
      </c>
      <c r="E203" s="47">
        <v>3314</v>
      </c>
      <c r="F203" s="47"/>
      <c r="G203" s="47"/>
      <c r="H203" s="47"/>
      <c r="I203" s="47">
        <f t="shared" si="29"/>
        <v>10.87270341207349</v>
      </c>
      <c r="J203" s="47"/>
      <c r="K203" s="47"/>
      <c r="L203" s="47">
        <v>1</v>
      </c>
      <c r="M203" s="437">
        <f t="shared" si="30"/>
        <v>10.87270341207349</v>
      </c>
    </row>
    <row r="204" spans="1:13" x14ac:dyDescent="0.3">
      <c r="A204" s="589"/>
      <c r="B204" s="390"/>
      <c r="C204" s="390" t="s">
        <v>860</v>
      </c>
      <c r="D204" s="113" t="s">
        <v>45</v>
      </c>
      <c r="E204" s="47">
        <v>5900</v>
      </c>
      <c r="F204" s="47"/>
      <c r="G204" s="47"/>
      <c r="H204" s="47"/>
      <c r="I204" s="47">
        <f t="shared" si="29"/>
        <v>19.356955380577428</v>
      </c>
      <c r="J204" s="47"/>
      <c r="K204" s="47"/>
      <c r="L204" s="47">
        <v>1</v>
      </c>
      <c r="M204" s="437">
        <f t="shared" si="30"/>
        <v>19.356955380577428</v>
      </c>
    </row>
    <row r="205" spans="1:13" x14ac:dyDescent="0.3">
      <c r="A205" s="589"/>
      <c r="B205" s="390"/>
      <c r="C205" s="390" t="s">
        <v>861</v>
      </c>
      <c r="D205" s="113" t="s">
        <v>45</v>
      </c>
      <c r="E205" s="47">
        <v>5634</v>
      </c>
      <c r="F205" s="47"/>
      <c r="G205" s="47"/>
      <c r="H205" s="47"/>
      <c r="I205" s="47">
        <f t="shared" si="29"/>
        <v>18.484251968503937</v>
      </c>
      <c r="J205" s="47"/>
      <c r="K205" s="47"/>
      <c r="L205" s="47">
        <v>1</v>
      </c>
      <c r="M205" s="437">
        <f t="shared" si="30"/>
        <v>18.484251968503937</v>
      </c>
    </row>
    <row r="206" spans="1:13" x14ac:dyDescent="0.3">
      <c r="A206" s="589"/>
      <c r="B206" s="390"/>
      <c r="C206" s="392" t="s">
        <v>684</v>
      </c>
      <c r="D206" s="404" t="s">
        <v>45</v>
      </c>
      <c r="E206" s="558"/>
      <c r="F206" s="558"/>
      <c r="G206" s="558"/>
      <c r="H206" s="558"/>
      <c r="I206" s="558"/>
      <c r="J206" s="558"/>
      <c r="K206" s="558"/>
      <c r="L206" s="558"/>
      <c r="M206" s="428">
        <f>SUM(M202:M205)</f>
        <v>57.230971128608928</v>
      </c>
    </row>
    <row r="207" spans="1:13" x14ac:dyDescent="0.3">
      <c r="A207" s="589"/>
      <c r="B207" s="390"/>
      <c r="C207" s="390"/>
      <c r="D207" s="113"/>
      <c r="E207" s="47"/>
      <c r="F207" s="47"/>
      <c r="G207" s="47"/>
      <c r="H207" s="47"/>
      <c r="I207" s="47"/>
      <c r="J207" s="47"/>
      <c r="K207" s="47"/>
      <c r="L207" s="47"/>
      <c r="M207" s="437"/>
    </row>
    <row r="208" spans="1:13" ht="60" x14ac:dyDescent="0.3">
      <c r="A208" s="587">
        <v>6</v>
      </c>
      <c r="B208" s="379" t="s">
        <v>90</v>
      </c>
      <c r="C208" s="406" t="s">
        <v>577</v>
      </c>
      <c r="D208" s="113"/>
      <c r="E208" s="47"/>
      <c r="F208" s="47"/>
      <c r="G208" s="47"/>
      <c r="H208" s="47"/>
      <c r="I208" s="47"/>
      <c r="J208" s="47"/>
      <c r="K208" s="47"/>
      <c r="L208" s="47"/>
      <c r="M208" s="437"/>
    </row>
    <row r="209" spans="1:13" x14ac:dyDescent="0.3">
      <c r="A209" s="587"/>
      <c r="B209" s="405"/>
      <c r="C209" s="132" t="s">
        <v>76</v>
      </c>
      <c r="D209" s="113"/>
      <c r="E209" s="47"/>
      <c r="F209" s="47"/>
      <c r="G209" s="47"/>
      <c r="H209" s="47"/>
      <c r="I209" s="47"/>
      <c r="J209" s="47"/>
      <c r="K209" s="47"/>
      <c r="L209" s="47"/>
      <c r="M209" s="437"/>
    </row>
    <row r="210" spans="1:13" x14ac:dyDescent="0.3">
      <c r="A210" s="587"/>
      <c r="B210" s="405"/>
      <c r="C210" s="132" t="s">
        <v>91</v>
      </c>
      <c r="D210" s="113"/>
      <c r="E210" s="47"/>
      <c r="F210" s="47"/>
      <c r="G210" s="47"/>
      <c r="H210" s="47"/>
      <c r="I210" s="47"/>
      <c r="J210" s="47"/>
      <c r="K210" s="47"/>
      <c r="L210" s="47"/>
      <c r="M210" s="437"/>
    </row>
    <row r="211" spans="1:13" x14ac:dyDescent="0.3">
      <c r="A211" s="587"/>
      <c r="B211" s="405"/>
      <c r="C211" s="132" t="s">
        <v>235</v>
      </c>
      <c r="D211" s="113"/>
      <c r="E211" s="47"/>
      <c r="F211" s="47"/>
      <c r="G211" s="47"/>
      <c r="H211" s="47"/>
      <c r="I211" s="47"/>
      <c r="J211" s="47"/>
      <c r="K211" s="47"/>
      <c r="L211" s="47"/>
      <c r="M211" s="437"/>
    </row>
    <row r="212" spans="1:13" x14ac:dyDescent="0.3">
      <c r="A212" s="589"/>
      <c r="B212" s="390"/>
      <c r="C212" s="390" t="s">
        <v>862</v>
      </c>
      <c r="D212" s="113" t="s">
        <v>45</v>
      </c>
      <c r="E212" s="47">
        <v>1535</v>
      </c>
      <c r="F212" s="47"/>
      <c r="G212" s="47"/>
      <c r="H212" s="47"/>
      <c r="I212" s="47">
        <f t="shared" ref="I212:I213" si="31">E212/304.8</f>
        <v>5.0360892388451441</v>
      </c>
      <c r="J212" s="47"/>
      <c r="K212" s="47"/>
      <c r="L212" s="47">
        <v>4</v>
      </c>
      <c r="M212" s="437">
        <f t="shared" ref="M212:M213" si="32">L212*I212</f>
        <v>20.144356955380577</v>
      </c>
    </row>
    <row r="213" spans="1:13" x14ac:dyDescent="0.3">
      <c r="A213" s="589"/>
      <c r="B213" s="390"/>
      <c r="C213" s="390" t="s">
        <v>863</v>
      </c>
      <c r="D213" s="113" t="s">
        <v>45</v>
      </c>
      <c r="E213" s="47">
        <v>2000</v>
      </c>
      <c r="F213" s="47"/>
      <c r="G213" s="47"/>
      <c r="H213" s="47"/>
      <c r="I213" s="47">
        <f t="shared" si="31"/>
        <v>6.5616797900262469</v>
      </c>
      <c r="J213" s="47"/>
      <c r="K213" s="47"/>
      <c r="L213" s="47">
        <v>4</v>
      </c>
      <c r="M213" s="437">
        <f t="shared" si="32"/>
        <v>26.246719160104988</v>
      </c>
    </row>
    <row r="214" spans="1:13" x14ac:dyDescent="0.3">
      <c r="A214" s="589"/>
      <c r="B214" s="390"/>
      <c r="C214" s="390"/>
      <c r="D214" s="113"/>
      <c r="E214" s="47"/>
      <c r="F214" s="47"/>
      <c r="G214" s="47"/>
      <c r="H214" s="47"/>
      <c r="I214" s="47"/>
      <c r="J214" s="47"/>
      <c r="K214" s="47"/>
      <c r="L214" s="47"/>
      <c r="M214" s="437">
        <f t="shared" ref="M214" si="33">L214*I214</f>
        <v>0</v>
      </c>
    </row>
    <row r="215" spans="1:13" x14ac:dyDescent="0.3">
      <c r="A215" s="589"/>
      <c r="B215" s="390"/>
      <c r="C215" s="390"/>
      <c r="D215" s="113"/>
      <c r="E215" s="47"/>
      <c r="F215" s="47"/>
      <c r="G215" s="47"/>
      <c r="H215" s="47"/>
      <c r="I215" s="47"/>
      <c r="J215" s="47"/>
      <c r="K215" s="47"/>
      <c r="L215" s="47"/>
      <c r="M215" s="437"/>
    </row>
    <row r="216" spans="1:13" x14ac:dyDescent="0.3">
      <c r="A216" s="589"/>
      <c r="B216" s="390"/>
      <c r="C216" s="392" t="s">
        <v>684</v>
      </c>
      <c r="D216" s="404" t="s">
        <v>45</v>
      </c>
      <c r="E216" s="558"/>
      <c r="F216" s="558"/>
      <c r="G216" s="558"/>
      <c r="H216" s="558"/>
      <c r="I216" s="558"/>
      <c r="J216" s="558"/>
      <c r="K216" s="558"/>
      <c r="L216" s="558"/>
      <c r="M216" s="428">
        <f>SUM(M212:M215)</f>
        <v>46.391076115485561</v>
      </c>
    </row>
    <row r="217" spans="1:13" x14ac:dyDescent="0.3">
      <c r="A217" s="589"/>
      <c r="B217" s="390"/>
      <c r="C217" s="390"/>
      <c r="D217" s="113"/>
      <c r="E217" s="47"/>
      <c r="F217" s="47"/>
      <c r="G217" s="47"/>
      <c r="H217" s="47"/>
      <c r="I217" s="47"/>
      <c r="J217" s="47"/>
      <c r="K217" s="47"/>
      <c r="L217" s="47"/>
      <c r="M217" s="437"/>
    </row>
    <row r="218" spans="1:13" x14ac:dyDescent="0.3">
      <c r="A218" s="589"/>
      <c r="B218" s="390"/>
      <c r="C218" s="390"/>
      <c r="D218" s="390"/>
      <c r="E218" s="47"/>
      <c r="F218" s="47"/>
      <c r="G218" s="47"/>
      <c r="H218" s="47"/>
      <c r="I218" s="47"/>
      <c r="J218" s="47"/>
      <c r="K218" s="47"/>
      <c r="L218" s="47"/>
      <c r="M218" s="437"/>
    </row>
    <row r="219" spans="1:13" ht="84" x14ac:dyDescent="0.3">
      <c r="A219" s="587">
        <v>7</v>
      </c>
      <c r="B219" s="393" t="s">
        <v>25</v>
      </c>
      <c r="C219" s="406" t="s">
        <v>578</v>
      </c>
      <c r="D219" s="390"/>
      <c r="E219" s="47"/>
      <c r="F219" s="47"/>
      <c r="G219" s="47"/>
      <c r="H219" s="47"/>
      <c r="I219" s="47"/>
      <c r="J219" s="47"/>
      <c r="K219" s="47"/>
      <c r="L219" s="47"/>
      <c r="M219" s="437"/>
    </row>
    <row r="220" spans="1:13" x14ac:dyDescent="0.3">
      <c r="A220" s="587"/>
      <c r="B220" s="393"/>
      <c r="C220" s="407"/>
      <c r="D220" s="390"/>
      <c r="E220" s="47"/>
      <c r="F220" s="47"/>
      <c r="G220" s="47"/>
      <c r="H220" s="47"/>
      <c r="I220" s="47"/>
      <c r="J220" s="47"/>
      <c r="K220" s="47"/>
      <c r="L220" s="47"/>
      <c r="M220" s="437"/>
    </row>
    <row r="221" spans="1:13" x14ac:dyDescent="0.3">
      <c r="A221" s="589"/>
      <c r="B221" s="390"/>
      <c r="C221" s="390" t="s">
        <v>696</v>
      </c>
      <c r="D221" s="391" t="s">
        <v>679</v>
      </c>
      <c r="E221" s="47">
        <v>1020</v>
      </c>
      <c r="F221" s="47"/>
      <c r="G221" s="47">
        <v>2800</v>
      </c>
      <c r="H221" s="47"/>
      <c r="I221" s="47">
        <f t="shared" ref="I221:I227" si="34">E221/304.8</f>
        <v>3.3464566929133857</v>
      </c>
      <c r="J221" s="47"/>
      <c r="K221" s="47">
        <f t="shared" ref="K221:K227" si="35">G221/304.8</f>
        <v>9.1863517060367457</v>
      </c>
      <c r="L221" s="47">
        <v>1</v>
      </c>
      <c r="M221" s="437">
        <f t="shared" ref="M221:M227" si="36">L221*K221*I221</f>
        <v>30.741728150122967</v>
      </c>
    </row>
    <row r="222" spans="1:13" x14ac:dyDescent="0.3">
      <c r="A222" s="589"/>
      <c r="B222" s="390"/>
      <c r="C222" s="390"/>
      <c r="D222" s="391" t="s">
        <v>679</v>
      </c>
      <c r="E222" s="47">
        <v>390</v>
      </c>
      <c r="F222" s="47"/>
      <c r="G222" s="47">
        <v>2800</v>
      </c>
      <c r="H222" s="47"/>
      <c r="I222" s="47">
        <f t="shared" si="34"/>
        <v>1.2795275590551181</v>
      </c>
      <c r="J222" s="47"/>
      <c r="K222" s="47">
        <f t="shared" si="35"/>
        <v>9.1863517060367457</v>
      </c>
      <c r="L222" s="47">
        <v>1</v>
      </c>
      <c r="M222" s="437">
        <f t="shared" si="36"/>
        <v>11.754190175047016</v>
      </c>
    </row>
    <row r="223" spans="1:13" x14ac:dyDescent="0.3">
      <c r="A223" s="589"/>
      <c r="B223" s="390"/>
      <c r="C223" s="390"/>
      <c r="D223" s="391" t="s">
        <v>679</v>
      </c>
      <c r="E223" s="47">
        <f>2500-1020</f>
        <v>1480</v>
      </c>
      <c r="F223" s="47"/>
      <c r="G223" s="47">
        <v>2800</v>
      </c>
      <c r="H223" s="47"/>
      <c r="I223" s="47">
        <f t="shared" si="34"/>
        <v>4.8556430446194225</v>
      </c>
      <c r="J223" s="47"/>
      <c r="K223" s="47">
        <f t="shared" si="35"/>
        <v>9.1863517060367457</v>
      </c>
      <c r="L223" s="47">
        <v>1</v>
      </c>
      <c r="M223" s="437">
        <f t="shared" si="36"/>
        <v>44.605644766845089</v>
      </c>
    </row>
    <row r="224" spans="1:13" x14ac:dyDescent="0.3">
      <c r="A224" s="589"/>
      <c r="B224" s="390"/>
      <c r="C224" s="390" t="s">
        <v>697</v>
      </c>
      <c r="D224" s="391" t="s">
        <v>679</v>
      </c>
      <c r="E224" s="47">
        <f>2765+900</f>
        <v>3665</v>
      </c>
      <c r="F224" s="47"/>
      <c r="G224" s="47">
        <v>2800</v>
      </c>
      <c r="H224" s="47"/>
      <c r="I224" s="47">
        <f t="shared" si="34"/>
        <v>12.024278215223097</v>
      </c>
      <c r="J224" s="47"/>
      <c r="K224" s="47">
        <f t="shared" si="35"/>
        <v>9.1863517060367457</v>
      </c>
      <c r="L224" s="47">
        <v>1</v>
      </c>
      <c r="M224" s="437">
        <f t="shared" si="36"/>
        <v>110.45924869627517</v>
      </c>
    </row>
    <row r="225" spans="1:13" x14ac:dyDescent="0.3">
      <c r="A225" s="589"/>
      <c r="B225" s="390"/>
      <c r="C225" s="390"/>
      <c r="D225" s="391" t="s">
        <v>679</v>
      </c>
      <c r="E225" s="47">
        <v>800</v>
      </c>
      <c r="F225" s="47"/>
      <c r="G225" s="47">
        <v>2400</v>
      </c>
      <c r="H225" s="47"/>
      <c r="I225" s="47">
        <f t="shared" si="34"/>
        <v>2.6246719160104988</v>
      </c>
      <c r="J225" s="47"/>
      <c r="K225" s="47">
        <f t="shared" si="35"/>
        <v>7.8740157480314954</v>
      </c>
      <c r="L225" s="47">
        <v>-1</v>
      </c>
      <c r="M225" s="437">
        <f t="shared" si="36"/>
        <v>-20.666708000082664</v>
      </c>
    </row>
    <row r="226" spans="1:13" x14ac:dyDescent="0.3">
      <c r="A226" s="589"/>
      <c r="B226" s="390"/>
      <c r="C226" s="390"/>
      <c r="D226" s="391" t="s">
        <v>679</v>
      </c>
      <c r="E226" s="47"/>
      <c r="F226" s="47"/>
      <c r="G226" s="47"/>
      <c r="H226" s="47"/>
      <c r="I226" s="47">
        <f t="shared" si="34"/>
        <v>0</v>
      </c>
      <c r="J226" s="47"/>
      <c r="K226" s="47">
        <f t="shared" si="35"/>
        <v>0</v>
      </c>
      <c r="L226" s="47"/>
      <c r="M226" s="437">
        <f t="shared" si="36"/>
        <v>0</v>
      </c>
    </row>
    <row r="227" spans="1:13" x14ac:dyDescent="0.3">
      <c r="A227" s="589"/>
      <c r="B227" s="390"/>
      <c r="C227" s="390" t="s">
        <v>731</v>
      </c>
      <c r="D227" s="391" t="s">
        <v>679</v>
      </c>
      <c r="E227" s="47">
        <v>3200</v>
      </c>
      <c r="F227" s="47"/>
      <c r="G227" s="47">
        <v>800</v>
      </c>
      <c r="H227" s="47"/>
      <c r="I227" s="47">
        <f t="shared" si="34"/>
        <v>10.498687664041995</v>
      </c>
      <c r="J227" s="47"/>
      <c r="K227" s="47">
        <f t="shared" si="35"/>
        <v>2.6246719160104988</v>
      </c>
      <c r="L227" s="47">
        <v>1</v>
      </c>
      <c r="M227" s="437">
        <f t="shared" si="36"/>
        <v>27.555610666776889</v>
      </c>
    </row>
    <row r="228" spans="1:13" x14ac:dyDescent="0.3">
      <c r="A228" s="589"/>
      <c r="B228" s="390"/>
      <c r="C228" s="390"/>
      <c r="D228" s="390"/>
      <c r="E228" s="47"/>
      <c r="F228" s="47"/>
      <c r="G228" s="47"/>
      <c r="H228" s="47"/>
      <c r="I228" s="47"/>
      <c r="J228" s="47"/>
      <c r="K228" s="47"/>
      <c r="L228" s="47"/>
      <c r="M228" s="437"/>
    </row>
    <row r="229" spans="1:13" x14ac:dyDescent="0.3">
      <c r="A229" s="589"/>
      <c r="B229" s="390"/>
      <c r="C229" s="392" t="s">
        <v>684</v>
      </c>
      <c r="D229" s="389" t="s">
        <v>679</v>
      </c>
      <c r="E229" s="558"/>
      <c r="F229" s="558"/>
      <c r="G229" s="558"/>
      <c r="H229" s="558"/>
      <c r="I229" s="558"/>
      <c r="J229" s="558"/>
      <c r="K229" s="558"/>
      <c r="L229" s="558"/>
      <c r="M229" s="428">
        <f>SUM(M221:M227)</f>
        <v>204.44971445498447</v>
      </c>
    </row>
    <row r="230" spans="1:13" x14ac:dyDescent="0.3">
      <c r="A230" s="589"/>
      <c r="B230" s="390"/>
      <c r="C230" s="390"/>
      <c r="D230" s="390"/>
      <c r="E230" s="47"/>
      <c r="F230" s="47"/>
      <c r="G230" s="47"/>
      <c r="H230" s="47"/>
      <c r="I230" s="47"/>
      <c r="J230" s="47"/>
      <c r="K230" s="47"/>
      <c r="L230" s="47"/>
      <c r="M230" s="437"/>
    </row>
    <row r="231" spans="1:13" ht="96" x14ac:dyDescent="0.3">
      <c r="A231" s="587">
        <v>8</v>
      </c>
      <c r="B231" s="379" t="s">
        <v>77</v>
      </c>
      <c r="C231" s="406" t="s">
        <v>579</v>
      </c>
      <c r="D231" s="390"/>
      <c r="E231" s="47"/>
      <c r="F231" s="47"/>
      <c r="G231" s="47"/>
      <c r="H231" s="47"/>
      <c r="I231" s="47"/>
      <c r="J231" s="47"/>
      <c r="K231" s="47"/>
      <c r="L231" s="47"/>
      <c r="M231" s="437"/>
    </row>
    <row r="232" spans="1:13" x14ac:dyDescent="0.3">
      <c r="A232" s="587"/>
      <c r="B232" s="393"/>
      <c r="C232" s="408"/>
      <c r="D232" s="390"/>
      <c r="E232" s="47"/>
      <c r="F232" s="47"/>
      <c r="G232" s="47"/>
      <c r="H232" s="47"/>
      <c r="I232" s="47"/>
      <c r="J232" s="47"/>
      <c r="K232" s="47"/>
      <c r="L232" s="47"/>
      <c r="M232" s="437"/>
    </row>
    <row r="233" spans="1:13" x14ac:dyDescent="0.3">
      <c r="A233" s="587"/>
      <c r="B233" s="405"/>
      <c r="C233" s="390" t="s">
        <v>732</v>
      </c>
      <c r="D233" s="391" t="s">
        <v>679</v>
      </c>
      <c r="E233" s="47">
        <v>6433</v>
      </c>
      <c r="F233" s="47"/>
      <c r="G233" s="47">
        <v>2440</v>
      </c>
      <c r="H233" s="47"/>
      <c r="I233" s="47">
        <f t="shared" ref="I233:I250" si="37">E233/304.8</f>
        <v>21.105643044619423</v>
      </c>
      <c r="J233" s="47"/>
      <c r="K233" s="47">
        <f t="shared" ref="K233:K250" si="38">G233/304.8</f>
        <v>8.0052493438320216</v>
      </c>
      <c r="L233" s="47">
        <v>1</v>
      </c>
      <c r="M233" s="437">
        <f t="shared" ref="M233:M250" si="39">L233*K233*I233</f>
        <v>168.9559351340925</v>
      </c>
    </row>
    <row r="234" spans="1:13" x14ac:dyDescent="0.3">
      <c r="A234" s="589"/>
      <c r="B234" s="390"/>
      <c r="C234" s="390" t="s">
        <v>733</v>
      </c>
      <c r="D234" s="391" t="s">
        <v>679</v>
      </c>
      <c r="E234" s="47">
        <v>1500</v>
      </c>
      <c r="F234" s="47"/>
      <c r="G234" s="47">
        <v>2440</v>
      </c>
      <c r="H234" s="47"/>
      <c r="I234" s="47">
        <f t="shared" si="37"/>
        <v>4.9212598425196852</v>
      </c>
      <c r="J234" s="47"/>
      <c r="K234" s="47">
        <f t="shared" si="38"/>
        <v>8.0052493438320216</v>
      </c>
      <c r="L234" s="47">
        <v>-1</v>
      </c>
      <c r="M234" s="437">
        <f t="shared" si="39"/>
        <v>-39.395912125157587</v>
      </c>
    </row>
    <row r="235" spans="1:13" x14ac:dyDescent="0.3">
      <c r="A235" s="589"/>
      <c r="B235" s="390"/>
      <c r="C235" s="390" t="s">
        <v>733</v>
      </c>
      <c r="D235" s="391" t="s">
        <v>679</v>
      </c>
      <c r="E235" s="47">
        <v>900</v>
      </c>
      <c r="F235" s="47"/>
      <c r="G235" s="47">
        <v>2440</v>
      </c>
      <c r="H235" s="47"/>
      <c r="I235" s="47">
        <f t="shared" si="37"/>
        <v>2.9527559055118111</v>
      </c>
      <c r="J235" s="47"/>
      <c r="K235" s="47">
        <f t="shared" si="38"/>
        <v>8.0052493438320216</v>
      </c>
      <c r="L235" s="47">
        <v>-1</v>
      </c>
      <c r="M235" s="437">
        <f t="shared" si="39"/>
        <v>-23.637547275094551</v>
      </c>
    </row>
    <row r="236" spans="1:13" x14ac:dyDescent="0.3">
      <c r="A236" s="589"/>
      <c r="B236" s="390"/>
      <c r="C236" s="390" t="s">
        <v>734</v>
      </c>
      <c r="D236" s="391" t="s">
        <v>679</v>
      </c>
      <c r="E236" s="47">
        <v>5375</v>
      </c>
      <c r="F236" s="47"/>
      <c r="G236" s="47">
        <v>2440</v>
      </c>
      <c r="H236" s="47"/>
      <c r="I236" s="47">
        <f t="shared" si="37"/>
        <v>17.634514435695536</v>
      </c>
      <c r="J236" s="47"/>
      <c r="K236" s="47">
        <f t="shared" si="38"/>
        <v>8.0052493438320216</v>
      </c>
      <c r="L236" s="47">
        <v>1</v>
      </c>
      <c r="M236" s="437">
        <f t="shared" si="39"/>
        <v>141.16868511514801</v>
      </c>
    </row>
    <row r="237" spans="1:13" x14ac:dyDescent="0.3">
      <c r="A237" s="589"/>
      <c r="B237" s="390"/>
      <c r="C237" s="390" t="s">
        <v>696</v>
      </c>
      <c r="D237" s="391" t="s">
        <v>679</v>
      </c>
      <c r="E237" s="47">
        <v>390</v>
      </c>
      <c r="F237" s="47"/>
      <c r="G237" s="47">
        <v>2440</v>
      </c>
      <c r="H237" s="47"/>
      <c r="I237" s="47">
        <f t="shared" si="37"/>
        <v>1.2795275590551181</v>
      </c>
      <c r="J237" s="47"/>
      <c r="K237" s="47">
        <f t="shared" si="38"/>
        <v>8.0052493438320216</v>
      </c>
      <c r="L237" s="47">
        <v>1</v>
      </c>
      <c r="M237" s="437">
        <f t="shared" si="39"/>
        <v>10.242937152540971</v>
      </c>
    </row>
    <row r="238" spans="1:13" x14ac:dyDescent="0.3">
      <c r="A238" s="589"/>
      <c r="B238" s="390"/>
      <c r="C238" s="390" t="s">
        <v>696</v>
      </c>
      <c r="D238" s="391" t="s">
        <v>679</v>
      </c>
      <c r="E238" s="47">
        <v>640</v>
      </c>
      <c r="F238" s="47"/>
      <c r="G238" s="47">
        <v>2440</v>
      </c>
      <c r="H238" s="47"/>
      <c r="I238" s="47">
        <f t="shared" si="37"/>
        <v>2.0997375328083989</v>
      </c>
      <c r="J238" s="47"/>
      <c r="K238" s="47">
        <f t="shared" si="38"/>
        <v>8.0052493438320216</v>
      </c>
      <c r="L238" s="47">
        <v>1</v>
      </c>
      <c r="M238" s="437">
        <f t="shared" si="39"/>
        <v>16.808922506733904</v>
      </c>
    </row>
    <row r="239" spans="1:13" x14ac:dyDescent="0.3">
      <c r="A239" s="589"/>
      <c r="B239" s="390"/>
      <c r="C239" s="390" t="s">
        <v>697</v>
      </c>
      <c r="D239" s="391" t="s">
        <v>679</v>
      </c>
      <c r="E239" s="47">
        <v>5511</v>
      </c>
      <c r="F239" s="47"/>
      <c r="G239" s="47">
        <v>2440</v>
      </c>
      <c r="H239" s="47"/>
      <c r="I239" s="47">
        <f t="shared" si="37"/>
        <v>18.080708661417322</v>
      </c>
      <c r="J239" s="47"/>
      <c r="K239" s="47">
        <f t="shared" si="38"/>
        <v>8.0052493438320216</v>
      </c>
      <c r="L239" s="47">
        <v>1</v>
      </c>
      <c r="M239" s="437">
        <f t="shared" si="39"/>
        <v>144.74058114782898</v>
      </c>
    </row>
    <row r="240" spans="1:13" x14ac:dyDescent="0.3">
      <c r="A240" s="589"/>
      <c r="B240" s="390"/>
      <c r="C240" s="390" t="s">
        <v>696</v>
      </c>
      <c r="D240" s="391" t="s">
        <v>679</v>
      </c>
      <c r="E240" s="47">
        <v>640</v>
      </c>
      <c r="F240" s="47"/>
      <c r="G240" s="47">
        <v>2440</v>
      </c>
      <c r="H240" s="47"/>
      <c r="I240" s="47">
        <f t="shared" si="37"/>
        <v>2.0997375328083989</v>
      </c>
      <c r="J240" s="47"/>
      <c r="K240" s="47">
        <f t="shared" si="38"/>
        <v>8.0052493438320216</v>
      </c>
      <c r="L240" s="47">
        <v>1</v>
      </c>
      <c r="M240" s="437">
        <f t="shared" si="39"/>
        <v>16.808922506733904</v>
      </c>
    </row>
    <row r="241" spans="1:14" x14ac:dyDescent="0.3">
      <c r="A241" s="589"/>
      <c r="B241" s="390"/>
      <c r="C241" s="390" t="s">
        <v>696</v>
      </c>
      <c r="D241" s="391" t="s">
        <v>679</v>
      </c>
      <c r="E241" s="47">
        <v>570</v>
      </c>
      <c r="F241" s="47"/>
      <c r="G241" s="47">
        <v>2440</v>
      </c>
      <c r="H241" s="47"/>
      <c r="I241" s="47">
        <f t="shared" si="37"/>
        <v>1.8700787401574803</v>
      </c>
      <c r="J241" s="47"/>
      <c r="K241" s="47">
        <f t="shared" si="38"/>
        <v>8.0052493438320216</v>
      </c>
      <c r="L241" s="47">
        <v>1</v>
      </c>
      <c r="M241" s="437">
        <f t="shared" si="39"/>
        <v>14.970446607559882</v>
      </c>
    </row>
    <row r="242" spans="1:14" x14ac:dyDescent="0.3">
      <c r="A242" s="589"/>
      <c r="B242" s="390"/>
      <c r="C242" s="390" t="s">
        <v>698</v>
      </c>
      <c r="D242" s="391" t="s">
        <v>679</v>
      </c>
      <c r="E242" s="47">
        <v>5368</v>
      </c>
      <c r="F242" s="47"/>
      <c r="G242" s="47">
        <v>2440</v>
      </c>
      <c r="H242" s="47"/>
      <c r="I242" s="47">
        <f t="shared" si="37"/>
        <v>17.611548556430446</v>
      </c>
      <c r="J242" s="47"/>
      <c r="K242" s="47">
        <f t="shared" si="38"/>
        <v>8.0052493438320216</v>
      </c>
      <c r="L242" s="47">
        <v>1</v>
      </c>
      <c r="M242" s="437">
        <f t="shared" si="39"/>
        <v>140.9848375252306</v>
      </c>
    </row>
    <row r="243" spans="1:14" x14ac:dyDescent="0.3">
      <c r="A243" s="589"/>
      <c r="B243" s="390"/>
      <c r="C243" s="390" t="s">
        <v>733</v>
      </c>
      <c r="D243" s="391" t="s">
        <v>679</v>
      </c>
      <c r="E243" s="47">
        <v>2000</v>
      </c>
      <c r="F243" s="47"/>
      <c r="G243" s="47">
        <v>2440</v>
      </c>
      <c r="H243" s="47"/>
      <c r="I243" s="47">
        <f t="shared" si="37"/>
        <v>6.5616797900262469</v>
      </c>
      <c r="J243" s="47"/>
      <c r="K243" s="47">
        <f t="shared" si="38"/>
        <v>8.0052493438320216</v>
      </c>
      <c r="L243" s="47">
        <v>-1</v>
      </c>
      <c r="M243" s="437">
        <f t="shared" si="39"/>
        <v>-52.527882833543451</v>
      </c>
    </row>
    <row r="244" spans="1:14" x14ac:dyDescent="0.3">
      <c r="A244" s="589"/>
      <c r="B244" s="390"/>
      <c r="C244" s="390" t="s">
        <v>715</v>
      </c>
      <c r="D244" s="391" t="s">
        <v>679</v>
      </c>
      <c r="E244" s="47">
        <v>200</v>
      </c>
      <c r="F244" s="47"/>
      <c r="G244" s="47">
        <v>1500</v>
      </c>
      <c r="H244" s="47"/>
      <c r="I244" s="47">
        <f t="shared" si="37"/>
        <v>0.65616797900262469</v>
      </c>
      <c r="J244" s="47"/>
      <c r="K244" s="47">
        <f t="shared" si="38"/>
        <v>4.9212598425196852</v>
      </c>
      <c r="L244" s="47">
        <v>1</v>
      </c>
      <c r="M244" s="437">
        <f t="shared" si="39"/>
        <v>3.2291731250129168</v>
      </c>
    </row>
    <row r="245" spans="1:14" x14ac:dyDescent="0.3">
      <c r="A245" s="589"/>
      <c r="B245" s="390"/>
      <c r="C245" s="390" t="s">
        <v>735</v>
      </c>
      <c r="D245" s="391" t="s">
        <v>679</v>
      </c>
      <c r="E245" s="47">
        <v>2570</v>
      </c>
      <c r="F245" s="47"/>
      <c r="G245" s="47">
        <v>1500</v>
      </c>
      <c r="H245" s="47"/>
      <c r="I245" s="47">
        <f t="shared" si="37"/>
        <v>8.4317585301837266</v>
      </c>
      <c r="J245" s="47"/>
      <c r="K245" s="47">
        <f t="shared" si="38"/>
        <v>4.9212598425196852</v>
      </c>
      <c r="L245" s="47">
        <v>1</v>
      </c>
      <c r="M245" s="437">
        <f t="shared" si="39"/>
        <v>41.49487465641598</v>
      </c>
    </row>
    <row r="246" spans="1:14" x14ac:dyDescent="0.3">
      <c r="A246" s="589"/>
      <c r="B246" s="390"/>
      <c r="C246" s="390" t="s">
        <v>735</v>
      </c>
      <c r="D246" s="391" t="s">
        <v>679</v>
      </c>
      <c r="E246" s="47">
        <v>3358</v>
      </c>
      <c r="F246" s="47"/>
      <c r="G246" s="47">
        <v>1500</v>
      </c>
      <c r="H246" s="47"/>
      <c r="I246" s="47">
        <f t="shared" si="37"/>
        <v>11.017060367454068</v>
      </c>
      <c r="J246" s="47"/>
      <c r="K246" s="47">
        <f t="shared" si="38"/>
        <v>4.9212598425196852</v>
      </c>
      <c r="L246" s="47">
        <v>1</v>
      </c>
      <c r="M246" s="437">
        <f t="shared" si="39"/>
        <v>54.21781676896687</v>
      </c>
    </row>
    <row r="247" spans="1:14" x14ac:dyDescent="0.3">
      <c r="A247" s="589"/>
      <c r="B247" s="390"/>
      <c r="C247" s="390" t="s">
        <v>735</v>
      </c>
      <c r="D247" s="391" t="s">
        <v>679</v>
      </c>
      <c r="E247" s="47">
        <v>200</v>
      </c>
      <c r="F247" s="47"/>
      <c r="G247" s="47">
        <v>1500</v>
      </c>
      <c r="H247" s="47"/>
      <c r="I247" s="47">
        <f t="shared" si="37"/>
        <v>0.65616797900262469</v>
      </c>
      <c r="J247" s="47"/>
      <c r="K247" s="47">
        <f t="shared" si="38"/>
        <v>4.9212598425196852</v>
      </c>
      <c r="L247" s="47">
        <v>1</v>
      </c>
      <c r="M247" s="437">
        <f t="shared" si="39"/>
        <v>3.2291731250129168</v>
      </c>
    </row>
    <row r="248" spans="1:14" x14ac:dyDescent="0.3">
      <c r="A248" s="589"/>
      <c r="B248" s="390"/>
      <c r="C248" s="390" t="s">
        <v>735</v>
      </c>
      <c r="D248" s="391" t="s">
        <v>679</v>
      </c>
      <c r="E248" s="47">
        <v>3170</v>
      </c>
      <c r="F248" s="47"/>
      <c r="G248" s="47">
        <v>1500</v>
      </c>
      <c r="H248" s="47"/>
      <c r="I248" s="47">
        <f t="shared" si="37"/>
        <v>10.400262467191601</v>
      </c>
      <c r="J248" s="47"/>
      <c r="K248" s="47">
        <f t="shared" si="38"/>
        <v>4.9212598425196852</v>
      </c>
      <c r="L248" s="47">
        <v>1</v>
      </c>
      <c r="M248" s="437">
        <f t="shared" si="39"/>
        <v>51.182394031454727</v>
      </c>
    </row>
    <row r="249" spans="1:14" x14ac:dyDescent="0.3">
      <c r="A249" s="589"/>
      <c r="B249" s="390"/>
      <c r="C249" s="390" t="s">
        <v>735</v>
      </c>
      <c r="D249" s="391" t="s">
        <v>679</v>
      </c>
      <c r="E249" s="47">
        <v>2370</v>
      </c>
      <c r="F249" s="47"/>
      <c r="G249" s="47">
        <v>1500</v>
      </c>
      <c r="H249" s="47"/>
      <c r="I249" s="47">
        <f t="shared" si="37"/>
        <v>7.7755905511811019</v>
      </c>
      <c r="J249" s="47"/>
      <c r="K249" s="47">
        <f t="shared" si="38"/>
        <v>4.9212598425196852</v>
      </c>
      <c r="L249" s="47">
        <v>1</v>
      </c>
      <c r="M249" s="437">
        <f t="shared" si="39"/>
        <v>38.26570153140306</v>
      </c>
      <c r="N249" s="15" t="s">
        <v>736</v>
      </c>
    </row>
    <row r="250" spans="1:14" x14ac:dyDescent="0.3">
      <c r="A250" s="589"/>
      <c r="B250" s="390"/>
      <c r="C250" s="390" t="s">
        <v>735</v>
      </c>
      <c r="D250" s="391" t="s">
        <v>679</v>
      </c>
      <c r="E250" s="47">
        <v>200</v>
      </c>
      <c r="F250" s="47"/>
      <c r="G250" s="47">
        <v>1500</v>
      </c>
      <c r="H250" s="47"/>
      <c r="I250" s="47">
        <f t="shared" si="37"/>
        <v>0.65616797900262469</v>
      </c>
      <c r="J250" s="47"/>
      <c r="K250" s="47">
        <f t="shared" si="38"/>
        <v>4.9212598425196852</v>
      </c>
      <c r="L250" s="47">
        <v>1</v>
      </c>
      <c r="M250" s="437">
        <f t="shared" si="39"/>
        <v>3.2291731250129168</v>
      </c>
    </row>
    <row r="251" spans="1:14" x14ac:dyDescent="0.3">
      <c r="A251" s="589"/>
      <c r="B251" s="390"/>
      <c r="C251" s="390"/>
      <c r="D251" s="391"/>
      <c r="E251" s="47"/>
      <c r="F251" s="47"/>
      <c r="G251" s="47"/>
      <c r="H251" s="47"/>
      <c r="I251" s="47"/>
      <c r="J251" s="47"/>
      <c r="K251" s="47"/>
      <c r="L251" s="47"/>
      <c r="M251" s="437"/>
    </row>
    <row r="252" spans="1:14" x14ac:dyDescent="0.3">
      <c r="A252" s="589"/>
      <c r="B252" s="390"/>
      <c r="C252" s="392" t="s">
        <v>684</v>
      </c>
      <c r="D252" s="389" t="s">
        <v>679</v>
      </c>
      <c r="E252" s="558"/>
      <c r="F252" s="558"/>
      <c r="G252" s="558"/>
      <c r="H252" s="558"/>
      <c r="I252" s="558"/>
      <c r="J252" s="558"/>
      <c r="K252" s="558"/>
      <c r="L252" s="558"/>
      <c r="M252" s="428">
        <f>SUM(M233:M250)</f>
        <v>733.96823182535252</v>
      </c>
    </row>
    <row r="253" spans="1:14" x14ac:dyDescent="0.3">
      <c r="A253" s="589"/>
      <c r="B253" s="390"/>
      <c r="C253" s="390"/>
      <c r="D253" s="390"/>
      <c r="E253" s="47"/>
      <c r="F253" s="47"/>
      <c r="G253" s="47"/>
      <c r="H253" s="47"/>
      <c r="I253" s="47"/>
      <c r="J253" s="47"/>
      <c r="K253" s="47"/>
      <c r="L253" s="47"/>
      <c r="M253" s="437"/>
    </row>
    <row r="254" spans="1:14" ht="60" x14ac:dyDescent="0.3">
      <c r="A254" s="587">
        <v>9</v>
      </c>
      <c r="B254" s="393" t="s">
        <v>26</v>
      </c>
      <c r="C254" s="132" t="s">
        <v>580</v>
      </c>
      <c r="D254" s="113" t="s">
        <v>45</v>
      </c>
      <c r="E254" s="47"/>
      <c r="F254" s="47"/>
      <c r="G254" s="47"/>
      <c r="H254" s="47"/>
      <c r="I254" s="47"/>
      <c r="J254" s="47"/>
      <c r="K254" s="47"/>
      <c r="L254" s="47"/>
      <c r="M254" s="437"/>
    </row>
    <row r="255" spans="1:14" x14ac:dyDescent="0.3">
      <c r="A255" s="589"/>
      <c r="B255" s="390"/>
      <c r="C255" s="390"/>
      <c r="D255" s="390"/>
      <c r="E255" s="47"/>
      <c r="F255" s="47"/>
      <c r="G255" s="47"/>
      <c r="H255" s="47"/>
      <c r="I255" s="47"/>
      <c r="J255" s="47"/>
      <c r="K255" s="47"/>
      <c r="L255" s="47"/>
      <c r="M255" s="437"/>
    </row>
    <row r="256" spans="1:14" x14ac:dyDescent="0.3">
      <c r="A256" s="589"/>
      <c r="B256" s="390"/>
      <c r="C256" s="390" t="s">
        <v>737</v>
      </c>
      <c r="D256" s="113" t="s">
        <v>45</v>
      </c>
      <c r="E256" s="47">
        <v>2440</v>
      </c>
      <c r="F256" s="47"/>
      <c r="G256" s="47"/>
      <c r="H256" s="47"/>
      <c r="I256" s="47">
        <f>E256/304.8</f>
        <v>8.0052493438320216</v>
      </c>
      <c r="J256" s="47"/>
      <c r="K256" s="47"/>
      <c r="L256" s="47">
        <v>1</v>
      </c>
      <c r="M256" s="437">
        <f>L256*I256</f>
        <v>8.0052493438320216</v>
      </c>
    </row>
    <row r="257" spans="1:13" x14ac:dyDescent="0.3">
      <c r="A257" s="589"/>
      <c r="B257" s="390"/>
      <c r="C257" s="390" t="s">
        <v>696</v>
      </c>
      <c r="D257" s="113" t="s">
        <v>45</v>
      </c>
      <c r="E257" s="47">
        <v>2440</v>
      </c>
      <c r="F257" s="47"/>
      <c r="G257" s="47"/>
      <c r="H257" s="47"/>
      <c r="I257" s="47">
        <f t="shared" ref="I257:I259" si="40">E257/304.8</f>
        <v>8.0052493438320216</v>
      </c>
      <c r="J257" s="47"/>
      <c r="K257" s="47"/>
      <c r="L257" s="47">
        <v>1</v>
      </c>
      <c r="M257" s="437">
        <f t="shared" ref="M257:M259" si="41">L257*I257</f>
        <v>8.0052493438320216</v>
      </c>
    </row>
    <row r="258" spans="1:13" x14ac:dyDescent="0.3">
      <c r="A258" s="589"/>
      <c r="B258" s="390"/>
      <c r="C258" s="390" t="s">
        <v>696</v>
      </c>
      <c r="D258" s="113" t="s">
        <v>45</v>
      </c>
      <c r="E258" s="47">
        <v>2440</v>
      </c>
      <c r="F258" s="47"/>
      <c r="G258" s="47"/>
      <c r="H258" s="47"/>
      <c r="I258" s="47">
        <f t="shared" si="40"/>
        <v>8.0052493438320216</v>
      </c>
      <c r="J258" s="47"/>
      <c r="K258" s="47"/>
      <c r="L258" s="47">
        <v>1</v>
      </c>
      <c r="M258" s="437">
        <f t="shared" si="41"/>
        <v>8.0052493438320216</v>
      </c>
    </row>
    <row r="259" spans="1:13" x14ac:dyDescent="0.3">
      <c r="A259" s="589"/>
      <c r="B259" s="390"/>
      <c r="C259" s="390" t="s">
        <v>738</v>
      </c>
      <c r="D259" s="113" t="s">
        <v>45</v>
      </c>
      <c r="E259" s="47">
        <v>1500</v>
      </c>
      <c r="F259" s="47"/>
      <c r="G259" s="47"/>
      <c r="H259" s="47"/>
      <c r="I259" s="47">
        <f t="shared" si="40"/>
        <v>4.9212598425196852</v>
      </c>
      <c r="J259" s="47"/>
      <c r="K259" s="47"/>
      <c r="L259" s="47">
        <v>5</v>
      </c>
      <c r="M259" s="437">
        <f t="shared" si="41"/>
        <v>24.606299212598426</v>
      </c>
    </row>
    <row r="260" spans="1:13" x14ac:dyDescent="0.3">
      <c r="A260" s="589"/>
      <c r="B260" s="390"/>
      <c r="C260" s="390"/>
      <c r="D260" s="113"/>
      <c r="E260" s="47"/>
      <c r="F260" s="47"/>
      <c r="G260" s="47"/>
      <c r="H260" s="47"/>
      <c r="I260" s="47"/>
      <c r="J260" s="47"/>
      <c r="K260" s="47"/>
      <c r="L260" s="47"/>
      <c r="M260" s="437"/>
    </row>
    <row r="261" spans="1:13" x14ac:dyDescent="0.3">
      <c r="A261" s="589"/>
      <c r="B261" s="390"/>
      <c r="C261" s="392" t="s">
        <v>684</v>
      </c>
      <c r="D261" s="113" t="s">
        <v>45</v>
      </c>
      <c r="E261" s="47"/>
      <c r="F261" s="47"/>
      <c r="G261" s="47"/>
      <c r="H261" s="47"/>
      <c r="I261" s="47"/>
      <c r="J261" s="47"/>
      <c r="K261" s="47"/>
      <c r="L261" s="47"/>
      <c r="M261" s="428">
        <f>SUM(M256:M260)</f>
        <v>48.622047244094489</v>
      </c>
    </row>
    <row r="262" spans="1:13" x14ac:dyDescent="0.3">
      <c r="A262" s="589"/>
      <c r="B262" s="390"/>
      <c r="C262" s="392"/>
      <c r="D262" s="113"/>
      <c r="E262" s="47"/>
      <c r="F262" s="47"/>
      <c r="G262" s="47"/>
      <c r="H262" s="47"/>
      <c r="I262" s="47"/>
      <c r="J262" s="47"/>
      <c r="K262" s="47"/>
      <c r="L262" s="47"/>
      <c r="M262" s="437"/>
    </row>
    <row r="263" spans="1:13" ht="60" x14ac:dyDescent="0.3">
      <c r="A263" s="587">
        <v>10</v>
      </c>
      <c r="B263" s="405" t="s">
        <v>293</v>
      </c>
      <c r="C263" s="132" t="s">
        <v>581</v>
      </c>
      <c r="D263" s="113"/>
      <c r="E263" s="47"/>
      <c r="F263" s="47"/>
      <c r="G263" s="47"/>
      <c r="H263" s="47"/>
      <c r="I263" s="47"/>
      <c r="J263" s="47"/>
      <c r="K263" s="47"/>
      <c r="L263" s="47"/>
      <c r="M263" s="437"/>
    </row>
    <row r="264" spans="1:13" x14ac:dyDescent="0.3">
      <c r="A264" s="589"/>
      <c r="B264" s="390"/>
      <c r="C264" s="390"/>
      <c r="D264" s="390"/>
      <c r="E264" s="47"/>
      <c r="F264" s="47"/>
      <c r="G264" s="47"/>
      <c r="H264" s="47"/>
      <c r="I264" s="47"/>
      <c r="J264" s="47"/>
      <c r="K264" s="47"/>
      <c r="L264" s="47"/>
      <c r="M264" s="437"/>
    </row>
    <row r="265" spans="1:13" x14ac:dyDescent="0.3">
      <c r="A265" s="782" t="s">
        <v>42</v>
      </c>
      <c r="B265" s="783"/>
      <c r="C265" s="783"/>
      <c r="D265" s="390"/>
      <c r="E265" s="47"/>
      <c r="F265" s="47"/>
      <c r="G265" s="47"/>
      <c r="H265" s="47"/>
      <c r="I265" s="47"/>
      <c r="J265" s="47"/>
      <c r="K265" s="47"/>
      <c r="L265" s="47"/>
      <c r="M265" s="437"/>
    </row>
    <row r="266" spans="1:13" x14ac:dyDescent="0.3">
      <c r="A266" s="587"/>
      <c r="B266" s="405"/>
      <c r="C266" s="132"/>
      <c r="D266" s="390"/>
      <c r="E266" s="47"/>
      <c r="F266" s="47"/>
      <c r="G266" s="47"/>
      <c r="H266" s="47"/>
      <c r="I266" s="47"/>
      <c r="J266" s="47"/>
      <c r="K266" s="47"/>
      <c r="L266" s="47"/>
      <c r="M266" s="437"/>
    </row>
    <row r="267" spans="1:13" ht="120" x14ac:dyDescent="0.3">
      <c r="A267" s="587">
        <v>1</v>
      </c>
      <c r="B267" s="393" t="s">
        <v>35</v>
      </c>
      <c r="C267" s="132" t="s">
        <v>210</v>
      </c>
      <c r="D267" s="390"/>
      <c r="E267" s="47"/>
      <c r="F267" s="47"/>
      <c r="G267" s="47"/>
      <c r="H267" s="47"/>
      <c r="I267" s="47"/>
      <c r="J267" s="47"/>
      <c r="K267" s="47"/>
      <c r="L267" s="47"/>
      <c r="M267" s="437"/>
    </row>
    <row r="268" spans="1:13" x14ac:dyDescent="0.3">
      <c r="A268" s="587"/>
      <c r="B268" s="245" t="s">
        <v>1</v>
      </c>
      <c r="C268" s="132" t="s">
        <v>209</v>
      </c>
      <c r="D268" s="390"/>
      <c r="E268" s="47"/>
      <c r="F268" s="47"/>
      <c r="G268" s="47"/>
      <c r="H268" s="47"/>
      <c r="I268" s="47"/>
      <c r="J268" s="47"/>
      <c r="K268" s="47"/>
      <c r="L268" s="47"/>
      <c r="M268" s="437"/>
    </row>
    <row r="269" spans="1:13" x14ac:dyDescent="0.3">
      <c r="A269" s="587"/>
      <c r="B269" s="245"/>
      <c r="C269" s="132" t="s">
        <v>739</v>
      </c>
      <c r="D269" s="391" t="s">
        <v>679</v>
      </c>
      <c r="E269" s="47">
        <v>12080</v>
      </c>
      <c r="F269" s="47"/>
      <c r="G269" s="47">
        <v>3810</v>
      </c>
      <c r="H269" s="47"/>
      <c r="I269" s="47">
        <f t="shared" ref="I269:I275" si="42">E269/304.8</f>
        <v>39.632545931758528</v>
      </c>
      <c r="J269" s="47"/>
      <c r="K269" s="47">
        <f t="shared" ref="K269:K275" si="43">G269/304.8</f>
        <v>12.5</v>
      </c>
      <c r="L269" s="47">
        <v>1</v>
      </c>
      <c r="M269" s="437">
        <f>L269*K269*I269</f>
        <v>495.40682414698159</v>
      </c>
    </row>
    <row r="270" spans="1:13" x14ac:dyDescent="0.3">
      <c r="A270" s="587"/>
      <c r="B270" s="245"/>
      <c r="C270" s="132" t="s">
        <v>864</v>
      </c>
      <c r="D270" s="391" t="s">
        <v>679</v>
      </c>
      <c r="E270" s="47">
        <v>1300</v>
      </c>
      <c r="F270" s="47"/>
      <c r="G270" s="47">
        <v>2400</v>
      </c>
      <c r="H270" s="47"/>
      <c r="I270" s="47">
        <f t="shared" ref="I270" si="44">E270/304.8</f>
        <v>4.2650918635170605</v>
      </c>
      <c r="J270" s="47"/>
      <c r="K270" s="47">
        <f t="shared" ref="K270" si="45">G270/304.8</f>
        <v>7.8740157480314954</v>
      </c>
      <c r="L270" s="47">
        <v>-1</v>
      </c>
      <c r="M270" s="437">
        <f t="shared" ref="M270:M275" si="46">L270*K270*I270</f>
        <v>-33.583400500134331</v>
      </c>
    </row>
    <row r="271" spans="1:13" x14ac:dyDescent="0.3">
      <c r="A271" s="587"/>
      <c r="B271" s="245"/>
      <c r="C271" s="132"/>
      <c r="D271" s="391" t="s">
        <v>679</v>
      </c>
      <c r="E271" s="47"/>
      <c r="F271" s="47"/>
      <c r="G271" s="47"/>
      <c r="H271" s="47"/>
      <c r="I271" s="47">
        <f t="shared" si="42"/>
        <v>0</v>
      </c>
      <c r="J271" s="47"/>
      <c r="K271" s="47">
        <f t="shared" si="43"/>
        <v>0</v>
      </c>
      <c r="L271" s="47"/>
      <c r="M271" s="437">
        <f t="shared" si="46"/>
        <v>0</v>
      </c>
    </row>
    <row r="272" spans="1:13" x14ac:dyDescent="0.3">
      <c r="A272" s="587"/>
      <c r="B272" s="245"/>
      <c r="C272" s="132" t="s">
        <v>696</v>
      </c>
      <c r="D272" s="391" t="s">
        <v>679</v>
      </c>
      <c r="E272" s="47">
        <v>700</v>
      </c>
      <c r="F272" s="47"/>
      <c r="G272" s="47">
        <v>3810</v>
      </c>
      <c r="H272" s="47"/>
      <c r="I272" s="47">
        <f t="shared" si="42"/>
        <v>2.2965879265091864</v>
      </c>
      <c r="J272" s="47"/>
      <c r="K272" s="47">
        <f t="shared" si="43"/>
        <v>12.5</v>
      </c>
      <c r="L272" s="47">
        <v>1</v>
      </c>
      <c r="M272" s="437">
        <f t="shared" si="46"/>
        <v>28.707349081364832</v>
      </c>
    </row>
    <row r="273" spans="1:13" x14ac:dyDescent="0.3">
      <c r="A273" s="587"/>
      <c r="B273" s="245"/>
      <c r="C273" s="132" t="s">
        <v>696</v>
      </c>
      <c r="D273" s="391" t="s">
        <v>679</v>
      </c>
      <c r="E273" s="47">
        <v>395</v>
      </c>
      <c r="F273" s="47"/>
      <c r="G273" s="47">
        <v>3810</v>
      </c>
      <c r="H273" s="47"/>
      <c r="I273" s="47">
        <f t="shared" si="42"/>
        <v>1.2959317585301837</v>
      </c>
      <c r="J273" s="47"/>
      <c r="K273" s="47">
        <f t="shared" si="43"/>
        <v>12.5</v>
      </c>
      <c r="L273" s="47">
        <v>1</v>
      </c>
      <c r="M273" s="437">
        <f t="shared" si="46"/>
        <v>16.199146981627297</v>
      </c>
    </row>
    <row r="274" spans="1:13" x14ac:dyDescent="0.3">
      <c r="A274" s="587"/>
      <c r="B274" s="245"/>
      <c r="C274" s="132" t="s">
        <v>740</v>
      </c>
      <c r="D274" s="391" t="s">
        <v>679</v>
      </c>
      <c r="E274" s="47">
        <f>250+3130+270</f>
        <v>3650</v>
      </c>
      <c r="F274" s="47"/>
      <c r="G274" s="47">
        <v>3810</v>
      </c>
      <c r="H274" s="47"/>
      <c r="I274" s="47">
        <f t="shared" si="42"/>
        <v>11.975065616797901</v>
      </c>
      <c r="J274" s="47"/>
      <c r="K274" s="47">
        <f t="shared" si="43"/>
        <v>12.5</v>
      </c>
      <c r="L274" s="47">
        <v>1</v>
      </c>
      <c r="M274" s="437">
        <f t="shared" si="46"/>
        <v>149.68832020997377</v>
      </c>
    </row>
    <row r="275" spans="1:13" x14ac:dyDescent="0.3">
      <c r="A275" s="587"/>
      <c r="B275" s="245"/>
      <c r="C275" s="132" t="s">
        <v>741</v>
      </c>
      <c r="D275" s="391" t="s">
        <v>679</v>
      </c>
      <c r="E275" s="47">
        <v>3130</v>
      </c>
      <c r="F275" s="47"/>
      <c r="G275" s="47">
        <v>2450</v>
      </c>
      <c r="H275" s="47"/>
      <c r="I275" s="47">
        <f t="shared" si="42"/>
        <v>10.269028871391075</v>
      </c>
      <c r="J275" s="47"/>
      <c r="K275" s="47">
        <f t="shared" si="43"/>
        <v>8.0380577427821525</v>
      </c>
      <c r="L275" s="47">
        <v>-1</v>
      </c>
      <c r="M275" s="437">
        <f t="shared" si="46"/>
        <v>-82.543047030538503</v>
      </c>
    </row>
    <row r="276" spans="1:13" x14ac:dyDescent="0.3">
      <c r="A276" s="587"/>
      <c r="B276" s="245"/>
      <c r="C276" s="132"/>
      <c r="D276" s="391"/>
      <c r="E276" s="47"/>
      <c r="F276" s="47"/>
      <c r="G276" s="47"/>
      <c r="H276" s="47"/>
      <c r="I276" s="47"/>
      <c r="J276" s="47"/>
      <c r="K276" s="47"/>
      <c r="L276" s="47"/>
      <c r="M276" s="437"/>
    </row>
    <row r="277" spans="1:13" x14ac:dyDescent="0.3">
      <c r="A277" s="587"/>
      <c r="B277" s="245"/>
      <c r="C277" s="392" t="s">
        <v>684</v>
      </c>
      <c r="D277" s="389" t="s">
        <v>679</v>
      </c>
      <c r="E277" s="47"/>
      <c r="F277" s="47"/>
      <c r="G277" s="47"/>
      <c r="H277" s="47"/>
      <c r="I277" s="47"/>
      <c r="J277" s="47"/>
      <c r="K277" s="47"/>
      <c r="L277" s="47"/>
      <c r="M277" s="428">
        <f>SUM(M269:M276)</f>
        <v>573.87519288927456</v>
      </c>
    </row>
    <row r="278" spans="1:13" x14ac:dyDescent="0.3">
      <c r="A278" s="587"/>
      <c r="B278" s="245"/>
      <c r="C278" s="392"/>
      <c r="D278" s="389"/>
      <c r="E278" s="47"/>
      <c r="F278" s="47"/>
      <c r="G278" s="47"/>
      <c r="H278" s="47"/>
      <c r="I278" s="47"/>
      <c r="J278" s="47"/>
      <c r="K278" s="47"/>
      <c r="L278" s="47"/>
      <c r="M278" s="430"/>
    </row>
    <row r="279" spans="1:13" x14ac:dyDescent="0.3">
      <c r="A279" s="587"/>
      <c r="B279" s="245" t="s">
        <v>2</v>
      </c>
      <c r="C279" s="132" t="s">
        <v>202</v>
      </c>
      <c r="D279" s="391" t="s">
        <v>679</v>
      </c>
      <c r="E279" s="47">
        <f>1695+925+650+2730+5815+2470+3890+620</f>
        <v>18795</v>
      </c>
      <c r="F279" s="47"/>
      <c r="G279" s="47">
        <f>370+1730+2000+2530</f>
        <v>6630</v>
      </c>
      <c r="H279" s="47"/>
      <c r="I279" s="47">
        <f t="shared" ref="I279" si="47">E279/304.8</f>
        <v>61.663385826771652</v>
      </c>
      <c r="J279" s="47"/>
      <c r="K279" s="47">
        <f t="shared" ref="K279" si="48">G279/304.8</f>
        <v>21.751968503937007</v>
      </c>
      <c r="L279" s="47">
        <v>1</v>
      </c>
      <c r="M279" s="428">
        <f>L279*K279*I279</f>
        <v>1341.3000263500526</v>
      </c>
    </row>
    <row r="280" spans="1:13" x14ac:dyDescent="0.3">
      <c r="A280" s="589"/>
      <c r="B280" s="390"/>
      <c r="C280" s="390"/>
      <c r="D280" s="390"/>
      <c r="E280" s="47"/>
      <c r="F280" s="47"/>
      <c r="G280" s="47"/>
      <c r="H280" s="47"/>
      <c r="I280" s="47"/>
      <c r="J280" s="47"/>
      <c r="K280" s="47"/>
      <c r="L280" s="47"/>
      <c r="M280" s="437"/>
    </row>
    <row r="281" spans="1:13" ht="96" x14ac:dyDescent="0.3">
      <c r="A281" s="588">
        <v>2</v>
      </c>
      <c r="B281" s="409" t="s">
        <v>36</v>
      </c>
      <c r="C281" s="410" t="s">
        <v>49</v>
      </c>
      <c r="D281" s="390"/>
      <c r="E281" s="47"/>
      <c r="F281" s="47"/>
      <c r="G281" s="47"/>
      <c r="H281" s="47"/>
      <c r="I281" s="47"/>
      <c r="J281" s="47"/>
      <c r="K281" s="47"/>
      <c r="L281" s="47"/>
      <c r="M281" s="437"/>
    </row>
    <row r="282" spans="1:13" x14ac:dyDescent="0.3">
      <c r="A282" s="589"/>
      <c r="B282" s="390"/>
      <c r="C282" s="390" t="s">
        <v>742</v>
      </c>
      <c r="D282" s="391" t="s">
        <v>679</v>
      </c>
      <c r="E282" s="47">
        <v>10000</v>
      </c>
      <c r="F282" s="47"/>
      <c r="G282" s="47">
        <v>1410</v>
      </c>
      <c r="H282" s="47"/>
      <c r="I282" s="47">
        <f t="shared" ref="I282:J287" si="49">E282/304.8</f>
        <v>32.808398950131235</v>
      </c>
      <c r="J282" s="47"/>
      <c r="K282" s="47">
        <f t="shared" ref="K282" si="50">G282/304.8</f>
        <v>4.6259842519685037</v>
      </c>
      <c r="L282" s="47">
        <v>1</v>
      </c>
      <c r="M282" s="437">
        <f t="shared" ref="M282" si="51">L282*K282*I282</f>
        <v>151.77113687560708</v>
      </c>
    </row>
    <row r="283" spans="1:13" x14ac:dyDescent="0.3">
      <c r="A283" s="589"/>
      <c r="B283" s="390"/>
      <c r="C283" s="390" t="s">
        <v>743</v>
      </c>
      <c r="D283" s="391" t="s">
        <v>679</v>
      </c>
      <c r="E283" s="47">
        <v>6850</v>
      </c>
      <c r="F283" s="47">
        <v>4510</v>
      </c>
      <c r="G283" s="47"/>
      <c r="H283" s="47"/>
      <c r="I283" s="47">
        <f t="shared" si="49"/>
        <v>22.473753280839894</v>
      </c>
      <c r="J283" s="47">
        <f t="shared" si="49"/>
        <v>14.796587926509186</v>
      </c>
      <c r="K283" s="47"/>
      <c r="L283" s="47">
        <v>1</v>
      </c>
      <c r="M283" s="47">
        <f>L283*J283*I283</f>
        <v>332.53486645862176</v>
      </c>
    </row>
    <row r="284" spans="1:13" x14ac:dyDescent="0.3">
      <c r="A284" s="589"/>
      <c r="B284" s="390"/>
      <c r="C284" s="390" t="s">
        <v>744</v>
      </c>
      <c r="D284" s="391" t="s">
        <v>679</v>
      </c>
      <c r="E284" s="47">
        <v>1500</v>
      </c>
      <c r="F284" s="47">
        <v>1900</v>
      </c>
      <c r="G284" s="47"/>
      <c r="H284" s="47"/>
      <c r="I284" s="47">
        <f t="shared" si="49"/>
        <v>4.9212598425196852</v>
      </c>
      <c r="J284" s="47">
        <f t="shared" si="49"/>
        <v>6.2335958005249346</v>
      </c>
      <c r="K284" s="47"/>
      <c r="L284" s="47">
        <v>-1</v>
      </c>
      <c r="M284" s="47">
        <f>L284*J284*I284</f>
        <v>-30.677144687622711</v>
      </c>
    </row>
    <row r="285" spans="1:13" x14ac:dyDescent="0.3">
      <c r="A285" s="589"/>
      <c r="B285" s="390"/>
      <c r="C285" s="390" t="s">
        <v>745</v>
      </c>
      <c r="D285" s="391" t="s">
        <v>679</v>
      </c>
      <c r="E285" s="47">
        <f>6850-1500</f>
        <v>5350</v>
      </c>
      <c r="F285" s="47">
        <v>1600</v>
      </c>
      <c r="G285" s="47"/>
      <c r="H285" s="47"/>
      <c r="I285" s="47">
        <f t="shared" si="49"/>
        <v>17.552493438320209</v>
      </c>
      <c r="J285" s="47">
        <f t="shared" si="49"/>
        <v>5.2493438320209975</v>
      </c>
      <c r="K285" s="47"/>
      <c r="L285" s="47">
        <v>1</v>
      </c>
      <c r="M285" s="47">
        <f t="shared" ref="M285:M287" si="52">L285*J285*I285</f>
        <v>92.139073167035221</v>
      </c>
    </row>
    <row r="286" spans="1:13" x14ac:dyDescent="0.3">
      <c r="A286" s="589"/>
      <c r="B286" s="390"/>
      <c r="C286" s="390"/>
      <c r="D286" s="391" t="s">
        <v>679</v>
      </c>
      <c r="E286" s="47">
        <v>1900</v>
      </c>
      <c r="F286" s="47">
        <v>1600</v>
      </c>
      <c r="G286" s="47"/>
      <c r="H286" s="47"/>
      <c r="I286" s="47">
        <f t="shared" si="49"/>
        <v>6.2335958005249346</v>
      </c>
      <c r="J286" s="47">
        <f t="shared" si="49"/>
        <v>5.2493438320209975</v>
      </c>
      <c r="K286" s="47"/>
      <c r="L286" s="47">
        <v>2</v>
      </c>
      <c r="M286" s="47">
        <f t="shared" si="52"/>
        <v>65.444575333595111</v>
      </c>
    </row>
    <row r="287" spans="1:13" x14ac:dyDescent="0.3">
      <c r="A287" s="589"/>
      <c r="B287" s="390"/>
      <c r="C287" s="390"/>
      <c r="D287" s="391" t="s">
        <v>679</v>
      </c>
      <c r="E287" s="596">
        <v>1500</v>
      </c>
      <c r="F287" s="596">
        <v>1600</v>
      </c>
      <c r="G287" s="47"/>
      <c r="H287" s="47"/>
      <c r="I287" s="596">
        <f t="shared" si="49"/>
        <v>4.9212598425196852</v>
      </c>
      <c r="J287" s="596">
        <f t="shared" si="49"/>
        <v>5.2493438320209975</v>
      </c>
      <c r="K287" s="47"/>
      <c r="L287" s="47">
        <v>1</v>
      </c>
      <c r="M287" s="596">
        <f t="shared" si="52"/>
        <v>25.833385000103334</v>
      </c>
    </row>
    <row r="288" spans="1:13" x14ac:dyDescent="0.3">
      <c r="A288" s="589"/>
      <c r="B288" s="390"/>
      <c r="C288" s="390"/>
      <c r="D288" s="391"/>
      <c r="E288" s="47"/>
      <c r="F288" s="47"/>
      <c r="G288" s="47"/>
      <c r="H288" s="47"/>
      <c r="I288" s="47"/>
      <c r="J288" s="47"/>
      <c r="K288" s="47"/>
      <c r="L288" s="47"/>
      <c r="M288" s="437"/>
    </row>
    <row r="289" spans="1:13" x14ac:dyDescent="0.3">
      <c r="A289" s="587"/>
      <c r="B289" s="245"/>
      <c r="C289" s="392" t="s">
        <v>684</v>
      </c>
      <c r="D289" s="389" t="s">
        <v>679</v>
      </c>
      <c r="E289" s="47"/>
      <c r="F289" s="47"/>
      <c r="G289" s="47"/>
      <c r="H289" s="47"/>
      <c r="I289" s="47"/>
      <c r="J289" s="47"/>
      <c r="K289" s="47"/>
      <c r="L289" s="47"/>
      <c r="M289" s="428">
        <f>SUM(M282:M288)</f>
        <v>637.04589214733983</v>
      </c>
    </row>
    <row r="290" spans="1:13" x14ac:dyDescent="0.3">
      <c r="A290" s="236"/>
      <c r="B290" s="411"/>
      <c r="C290" s="412"/>
      <c r="D290" s="583"/>
      <c r="E290" s="47"/>
      <c r="F290" s="47"/>
      <c r="G290" s="47"/>
      <c r="H290" s="47"/>
      <c r="I290" s="47"/>
      <c r="J290" s="47"/>
      <c r="K290" s="47"/>
      <c r="L290" s="47"/>
      <c r="M290" s="430"/>
    </row>
    <row r="291" spans="1:13" ht="48" x14ac:dyDescent="0.3">
      <c r="A291" s="140">
        <v>3</v>
      </c>
      <c r="B291" s="393" t="s">
        <v>37</v>
      </c>
      <c r="C291" s="139" t="s">
        <v>50</v>
      </c>
      <c r="D291" s="390"/>
      <c r="E291" s="47"/>
      <c r="F291" s="47"/>
      <c r="G291" s="47"/>
      <c r="H291" s="47"/>
      <c r="I291" s="47"/>
      <c r="J291" s="47"/>
      <c r="K291" s="47"/>
      <c r="L291" s="47"/>
      <c r="M291" s="437"/>
    </row>
    <row r="292" spans="1:13" x14ac:dyDescent="0.3">
      <c r="A292" s="140"/>
      <c r="B292" s="393" t="s">
        <v>1</v>
      </c>
      <c r="C292" s="132" t="s">
        <v>233</v>
      </c>
      <c r="D292" s="391" t="s">
        <v>679</v>
      </c>
      <c r="E292" s="47">
        <v>3675</v>
      </c>
      <c r="F292" s="47">
        <v>1380</v>
      </c>
      <c r="G292" s="47"/>
      <c r="H292" s="47"/>
      <c r="I292" s="47">
        <f>E292/304.8</f>
        <v>12.057086614173228</v>
      </c>
      <c r="J292" s="47">
        <f>F292/304.8</f>
        <v>4.5275590551181102</v>
      </c>
      <c r="K292" s="47"/>
      <c r="L292" s="47">
        <v>1</v>
      </c>
      <c r="M292" s="428">
        <f>L292*J292*I292</f>
        <v>54.589171678343355</v>
      </c>
    </row>
    <row r="293" spans="1:13" x14ac:dyDescent="0.3">
      <c r="A293" s="140"/>
      <c r="B293" s="245"/>
      <c r="C293" s="392"/>
      <c r="D293" s="389"/>
      <c r="E293" s="47"/>
      <c r="F293" s="47"/>
      <c r="G293" s="47"/>
      <c r="H293" s="47"/>
      <c r="I293" s="47"/>
      <c r="J293" s="47"/>
      <c r="K293" s="47"/>
      <c r="L293" s="47"/>
      <c r="M293" s="430"/>
    </row>
    <row r="294" spans="1:13" x14ac:dyDescent="0.3">
      <c r="A294" s="140"/>
      <c r="B294" s="393" t="s">
        <v>2</v>
      </c>
      <c r="C294" s="132" t="s">
        <v>865</v>
      </c>
      <c r="D294" s="391" t="s">
        <v>679</v>
      </c>
      <c r="E294" s="47">
        <v>6015</v>
      </c>
      <c r="F294" s="47">
        <v>6490</v>
      </c>
      <c r="G294" s="47"/>
      <c r="H294" s="47"/>
      <c r="I294" s="47">
        <f t="shared" ref="I294" si="53">E294/304.8</f>
        <v>19.734251968503937</v>
      </c>
      <c r="J294" s="47">
        <f t="shared" ref="J294" si="54">F294/304.8</f>
        <v>21.292650918635172</v>
      </c>
      <c r="K294" s="47"/>
      <c r="L294" s="47">
        <v>1</v>
      </c>
      <c r="M294" s="653">
        <f>L294*J294*I294</f>
        <v>420.19453830574332</v>
      </c>
    </row>
    <row r="295" spans="1:13" x14ac:dyDescent="0.3">
      <c r="A295" s="140"/>
      <c r="B295" s="393"/>
      <c r="C295" s="132" t="s">
        <v>866</v>
      </c>
      <c r="D295" s="391" t="s">
        <v>679</v>
      </c>
      <c r="E295" s="47">
        <v>3200</v>
      </c>
      <c r="F295" s="47">
        <v>1050</v>
      </c>
      <c r="G295" s="47"/>
      <c r="H295" s="47"/>
      <c r="I295" s="47">
        <f t="shared" ref="I295:I296" si="55">E295/304.8</f>
        <v>10.498687664041995</v>
      </c>
      <c r="J295" s="47">
        <f t="shared" ref="J295:J296" si="56">F295/304.8</f>
        <v>3.4448818897637792</v>
      </c>
      <c r="K295" s="47"/>
      <c r="L295" s="47">
        <v>-1</v>
      </c>
      <c r="M295" s="653">
        <f t="shared" ref="M295:M296" si="57">L295*J295*I295</f>
        <v>-36.166739000144666</v>
      </c>
    </row>
    <row r="296" spans="1:13" x14ac:dyDescent="0.3">
      <c r="A296" s="140"/>
      <c r="B296" s="393"/>
      <c r="C296" s="132"/>
      <c r="D296" s="391" t="s">
        <v>679</v>
      </c>
      <c r="E296" s="47">
        <v>1000</v>
      </c>
      <c r="F296" s="47">
        <v>1400</v>
      </c>
      <c r="G296" s="47"/>
      <c r="H296" s="47"/>
      <c r="I296" s="47">
        <f t="shared" si="55"/>
        <v>3.2808398950131235</v>
      </c>
      <c r="J296" s="47">
        <f t="shared" si="56"/>
        <v>4.5931758530183728</v>
      </c>
      <c r="K296" s="47"/>
      <c r="L296" s="47">
        <v>-1</v>
      </c>
      <c r="M296" s="653">
        <f t="shared" si="57"/>
        <v>-15.069474583393612</v>
      </c>
    </row>
    <row r="297" spans="1:13" x14ac:dyDescent="0.3">
      <c r="A297" s="589"/>
      <c r="B297" s="390"/>
      <c r="C297" s="390"/>
      <c r="D297" s="391"/>
      <c r="E297" s="47"/>
      <c r="F297" s="47"/>
      <c r="G297" s="47"/>
      <c r="H297" s="47"/>
      <c r="I297" s="47"/>
      <c r="J297" s="47"/>
      <c r="K297" s="47"/>
      <c r="L297" s="47"/>
      <c r="M297" s="437"/>
    </row>
    <row r="298" spans="1:13" x14ac:dyDescent="0.3">
      <c r="A298" s="587"/>
      <c r="B298" s="245"/>
      <c r="C298" s="392" t="s">
        <v>684</v>
      </c>
      <c r="D298" s="389" t="s">
        <v>679</v>
      </c>
      <c r="E298" s="47"/>
      <c r="F298" s="47"/>
      <c r="G298" s="47"/>
      <c r="H298" s="47"/>
      <c r="I298" s="47"/>
      <c r="J298" s="47"/>
      <c r="K298" s="47"/>
      <c r="L298" s="47"/>
      <c r="M298" s="428">
        <f>SUM(M294:M297)</f>
        <v>368.95832472220502</v>
      </c>
    </row>
    <row r="299" spans="1:13" x14ac:dyDescent="0.3">
      <c r="A299" s="236"/>
      <c r="B299" s="411"/>
      <c r="C299" s="412"/>
      <c r="D299" s="583"/>
      <c r="E299" s="47"/>
      <c r="F299" s="47"/>
      <c r="G299" s="47"/>
      <c r="H299" s="47"/>
      <c r="I299" s="47"/>
      <c r="J299" s="47"/>
      <c r="K299" s="47"/>
      <c r="L299" s="47"/>
      <c r="M299" s="430"/>
    </row>
    <row r="300" spans="1:13" x14ac:dyDescent="0.3">
      <c r="A300" s="140"/>
      <c r="B300" s="393" t="s">
        <v>3</v>
      </c>
      <c r="C300" s="132" t="s">
        <v>867</v>
      </c>
      <c r="D300" s="391" t="s">
        <v>679</v>
      </c>
      <c r="E300" s="652">
        <v>5160</v>
      </c>
      <c r="F300" s="652">
        <v>2800</v>
      </c>
      <c r="G300" s="652"/>
      <c r="H300" s="652"/>
      <c r="I300" s="652">
        <f t="shared" ref="I300" si="58">E300/304.8</f>
        <v>16.929133858267715</v>
      </c>
      <c r="J300" s="652">
        <f t="shared" ref="J300" si="59">F300/304.8</f>
        <v>9.1863517060367457</v>
      </c>
      <c r="K300" s="652"/>
      <c r="L300" s="652">
        <v>1</v>
      </c>
      <c r="M300" s="653">
        <f>L300*J300*I300</f>
        <v>155.51697770062205</v>
      </c>
    </row>
    <row r="301" spans="1:13" x14ac:dyDescent="0.3">
      <c r="A301" s="589"/>
      <c r="B301" s="390"/>
      <c r="C301" s="390"/>
      <c r="D301" s="391"/>
      <c r="E301" s="47"/>
      <c r="F301" s="47"/>
      <c r="G301" s="47"/>
      <c r="H301" s="47"/>
      <c r="I301" s="47"/>
      <c r="J301" s="47"/>
      <c r="K301" s="47"/>
      <c r="L301" s="47"/>
      <c r="M301" s="437"/>
    </row>
    <row r="302" spans="1:13" x14ac:dyDescent="0.3">
      <c r="A302" s="587"/>
      <c r="B302" s="245"/>
      <c r="C302" s="392" t="s">
        <v>684</v>
      </c>
      <c r="D302" s="389" t="s">
        <v>679</v>
      </c>
      <c r="E302" s="47"/>
      <c r="F302" s="47"/>
      <c r="G302" s="47"/>
      <c r="H302" s="47"/>
      <c r="I302" s="47"/>
      <c r="J302" s="47"/>
      <c r="K302" s="47"/>
      <c r="L302" s="47"/>
      <c r="M302" s="428">
        <f>SUM(M300:M301)</f>
        <v>155.51697770062205</v>
      </c>
    </row>
    <row r="303" spans="1:13" x14ac:dyDescent="0.3">
      <c r="A303" s="140"/>
      <c r="B303" s="245"/>
      <c r="C303" s="392"/>
      <c r="D303" s="389"/>
      <c r="E303" s="47"/>
      <c r="F303" s="47"/>
      <c r="G303" s="47"/>
      <c r="H303" s="47"/>
      <c r="I303" s="47"/>
      <c r="J303" s="47"/>
      <c r="K303" s="47"/>
      <c r="L303" s="47"/>
      <c r="M303" s="430"/>
    </row>
    <row r="304" spans="1:13" x14ac:dyDescent="0.3">
      <c r="A304" s="588">
        <v>3</v>
      </c>
      <c r="B304" s="584" t="s">
        <v>801</v>
      </c>
      <c r="C304" s="413" t="s">
        <v>801</v>
      </c>
      <c r="D304" s="585" t="s">
        <v>111</v>
      </c>
      <c r="E304" s="47"/>
      <c r="F304" s="47"/>
      <c r="G304" s="47"/>
      <c r="H304" s="47"/>
      <c r="I304" s="47"/>
      <c r="J304" s="47"/>
      <c r="K304" s="47"/>
      <c r="L304" s="47"/>
      <c r="M304" s="430"/>
    </row>
    <row r="305" spans="1:13" x14ac:dyDescent="0.3">
      <c r="A305" s="579"/>
      <c r="B305" s="390"/>
      <c r="C305" s="124" t="s">
        <v>60</v>
      </c>
      <c r="D305" s="113" t="s">
        <v>61</v>
      </c>
      <c r="E305" s="227"/>
      <c r="F305" s="229"/>
      <c r="G305" s="47"/>
      <c r="H305" s="47"/>
      <c r="I305" s="47"/>
      <c r="J305" s="47"/>
      <c r="K305" s="47"/>
      <c r="L305" s="47">
        <v>2</v>
      </c>
      <c r="M305" s="428">
        <f t="shared" ref="M305:M306" si="60">L305</f>
        <v>2</v>
      </c>
    </row>
    <row r="306" spans="1:13" x14ac:dyDescent="0.3">
      <c r="A306" s="579"/>
      <c r="B306" s="390"/>
      <c r="C306" s="124" t="s">
        <v>302</v>
      </c>
      <c r="D306" s="113" t="s">
        <v>61</v>
      </c>
      <c r="E306" s="227"/>
      <c r="F306" s="229"/>
      <c r="G306" s="47"/>
      <c r="H306" s="47"/>
      <c r="I306" s="47"/>
      <c r="J306" s="47"/>
      <c r="K306" s="47"/>
      <c r="L306" s="47">
        <v>2</v>
      </c>
      <c r="M306" s="428">
        <f t="shared" si="60"/>
        <v>2</v>
      </c>
    </row>
    <row r="307" spans="1:13" x14ac:dyDescent="0.3">
      <c r="A307" s="579"/>
      <c r="B307" s="390"/>
      <c r="C307" s="414"/>
      <c r="D307" s="391"/>
      <c r="E307" s="47"/>
      <c r="F307" s="47"/>
      <c r="G307" s="47"/>
      <c r="H307" s="47"/>
      <c r="I307" s="47"/>
      <c r="J307" s="47"/>
      <c r="K307" s="47"/>
      <c r="L307" s="47"/>
      <c r="M307" s="437"/>
    </row>
    <row r="308" spans="1:13" ht="48" x14ac:dyDescent="0.3">
      <c r="A308" s="140">
        <v>5</v>
      </c>
      <c r="B308" s="129" t="s">
        <v>86</v>
      </c>
      <c r="C308" s="124" t="s">
        <v>52</v>
      </c>
      <c r="D308" s="391"/>
      <c r="E308" s="47"/>
      <c r="F308" s="47"/>
      <c r="G308" s="47"/>
      <c r="H308" s="47"/>
      <c r="I308" s="47"/>
      <c r="J308" s="47"/>
      <c r="K308" s="47"/>
      <c r="L308" s="47">
        <v>0</v>
      </c>
      <c r="M308" s="437">
        <v>0</v>
      </c>
    </row>
    <row r="309" spans="1:13" x14ac:dyDescent="0.3">
      <c r="A309" s="579"/>
      <c r="B309" s="390"/>
      <c r="C309" s="414"/>
      <c r="D309" s="391"/>
      <c r="E309" s="47"/>
      <c r="F309" s="47"/>
      <c r="G309" s="47"/>
      <c r="H309" s="47"/>
      <c r="I309" s="47"/>
      <c r="J309" s="47"/>
      <c r="K309" s="47"/>
      <c r="L309" s="47"/>
      <c r="M309" s="437"/>
    </row>
    <row r="310" spans="1:13" ht="48" x14ac:dyDescent="0.3">
      <c r="A310" s="579">
        <v>6</v>
      </c>
      <c r="B310" s="379" t="s">
        <v>79</v>
      </c>
      <c r="C310" s="132" t="s">
        <v>53</v>
      </c>
      <c r="D310" s="391"/>
      <c r="E310" s="47"/>
      <c r="F310" s="47"/>
      <c r="G310" s="47"/>
      <c r="H310" s="47"/>
      <c r="I310" s="47"/>
      <c r="J310" s="47"/>
      <c r="K310" s="47"/>
      <c r="L310" s="47"/>
      <c r="M310" s="437"/>
    </row>
    <row r="311" spans="1:13" x14ac:dyDescent="0.3">
      <c r="A311" s="589"/>
      <c r="B311" s="390"/>
      <c r="C311" s="390" t="s">
        <v>742</v>
      </c>
      <c r="D311" s="391" t="s">
        <v>679</v>
      </c>
      <c r="E311" s="47">
        <v>10000</v>
      </c>
      <c r="F311" s="47"/>
      <c r="G311" s="47">
        <v>1410</v>
      </c>
      <c r="H311" s="47"/>
      <c r="I311" s="47">
        <f t="shared" ref="I311:J319" si="61">E311/304.8</f>
        <v>32.808398950131235</v>
      </c>
      <c r="J311" s="47"/>
      <c r="K311" s="47">
        <f t="shared" ref="K311" si="62">G311/304.8</f>
        <v>4.6259842519685037</v>
      </c>
      <c r="L311" s="47">
        <v>1</v>
      </c>
      <c r="M311" s="437">
        <f t="shared" ref="M311" si="63">L311*K311*I311</f>
        <v>151.77113687560708</v>
      </c>
    </row>
    <row r="312" spans="1:13" x14ac:dyDescent="0.3">
      <c r="A312" s="589"/>
      <c r="B312" s="390"/>
      <c r="C312" s="390" t="s">
        <v>743</v>
      </c>
      <c r="D312" s="391" t="s">
        <v>679</v>
      </c>
      <c r="E312" s="47">
        <v>6850</v>
      </c>
      <c r="F312" s="47">
        <v>4510</v>
      </c>
      <c r="G312" s="47"/>
      <c r="H312" s="47"/>
      <c r="I312" s="47">
        <f t="shared" si="61"/>
        <v>22.473753280839894</v>
      </c>
      <c r="J312" s="47">
        <f t="shared" si="61"/>
        <v>14.796587926509186</v>
      </c>
      <c r="K312" s="47"/>
      <c r="L312" s="47">
        <v>1</v>
      </c>
      <c r="M312" s="47">
        <f>L312*J312*I312</f>
        <v>332.53486645862176</v>
      </c>
    </row>
    <row r="313" spans="1:13" x14ac:dyDescent="0.3">
      <c r="A313" s="589"/>
      <c r="B313" s="390"/>
      <c r="C313" s="390" t="s">
        <v>744</v>
      </c>
      <c r="D313" s="391" t="s">
        <v>679</v>
      </c>
      <c r="E313" s="47">
        <v>1500</v>
      </c>
      <c r="F313" s="47">
        <v>1900</v>
      </c>
      <c r="G313" s="47"/>
      <c r="H313" s="47"/>
      <c r="I313" s="47">
        <f t="shared" si="61"/>
        <v>4.9212598425196852</v>
      </c>
      <c r="J313" s="47">
        <f t="shared" si="61"/>
        <v>6.2335958005249346</v>
      </c>
      <c r="K313" s="47"/>
      <c r="L313" s="47">
        <v>-1</v>
      </c>
      <c r="M313" s="47">
        <f>L313*J313*I313</f>
        <v>-30.677144687622711</v>
      </c>
    </row>
    <row r="314" spans="1:13" x14ac:dyDescent="0.3">
      <c r="A314" s="589"/>
      <c r="B314" s="390"/>
      <c r="C314" s="390" t="s">
        <v>745</v>
      </c>
      <c r="D314" s="391" t="s">
        <v>679</v>
      </c>
      <c r="E314" s="47">
        <f>6850-1500</f>
        <v>5350</v>
      </c>
      <c r="F314" s="47">
        <v>1600</v>
      </c>
      <c r="G314" s="47"/>
      <c r="H314" s="47"/>
      <c r="I314" s="47">
        <f t="shared" si="61"/>
        <v>17.552493438320209</v>
      </c>
      <c r="J314" s="47">
        <f t="shared" si="61"/>
        <v>5.2493438320209975</v>
      </c>
      <c r="K314" s="47"/>
      <c r="L314" s="47">
        <v>1</v>
      </c>
      <c r="M314" s="47">
        <f t="shared" ref="M314:M317" si="64">L314*J314*I314</f>
        <v>92.139073167035221</v>
      </c>
    </row>
    <row r="315" spans="1:13" x14ac:dyDescent="0.3">
      <c r="A315" s="589"/>
      <c r="B315" s="390"/>
      <c r="C315" s="390"/>
      <c r="D315" s="391" t="s">
        <v>679</v>
      </c>
      <c r="E315" s="47">
        <v>1900</v>
      </c>
      <c r="F315" s="47">
        <v>1600</v>
      </c>
      <c r="G315" s="47"/>
      <c r="H315" s="47"/>
      <c r="I315" s="47">
        <f t="shared" si="61"/>
        <v>6.2335958005249346</v>
      </c>
      <c r="J315" s="47">
        <f t="shared" si="61"/>
        <v>5.2493438320209975</v>
      </c>
      <c r="K315" s="47"/>
      <c r="L315" s="47">
        <v>2</v>
      </c>
      <c r="M315" s="47">
        <f t="shared" si="64"/>
        <v>65.444575333595111</v>
      </c>
    </row>
    <row r="316" spans="1:13" x14ac:dyDescent="0.3">
      <c r="A316" s="589"/>
      <c r="B316" s="390"/>
      <c r="C316" s="390"/>
      <c r="D316" s="391" t="s">
        <v>679</v>
      </c>
      <c r="E316" s="596">
        <v>1500</v>
      </c>
      <c r="F316" s="596">
        <v>1600</v>
      </c>
      <c r="G316" s="47"/>
      <c r="H316" s="47"/>
      <c r="I316" s="596">
        <f t="shared" si="61"/>
        <v>4.9212598425196852</v>
      </c>
      <c r="J316" s="596">
        <f t="shared" si="61"/>
        <v>5.2493438320209975</v>
      </c>
      <c r="K316" s="47"/>
      <c r="L316" s="47">
        <v>1</v>
      </c>
      <c r="M316" s="596">
        <f t="shared" si="64"/>
        <v>25.833385000103334</v>
      </c>
    </row>
    <row r="317" spans="1:13" s="459" customFormat="1" ht="12.5" x14ac:dyDescent="0.25">
      <c r="A317" s="482"/>
      <c r="B317" s="483"/>
      <c r="C317" s="483" t="s">
        <v>973</v>
      </c>
      <c r="D317" s="484" t="s">
        <v>679</v>
      </c>
      <c r="E317" s="657">
        <v>6850</v>
      </c>
      <c r="F317" s="657">
        <v>2000</v>
      </c>
      <c r="G317" s="658"/>
      <c r="H317" s="658"/>
      <c r="I317" s="657">
        <f t="shared" si="61"/>
        <v>22.473753280839894</v>
      </c>
      <c r="J317" s="657">
        <f t="shared" si="61"/>
        <v>6.5616797900262469</v>
      </c>
      <c r="K317" s="658"/>
      <c r="L317" s="658">
        <v>1</v>
      </c>
      <c r="M317" s="659">
        <f t="shared" si="64"/>
        <v>147.46557270892319</v>
      </c>
    </row>
    <row r="318" spans="1:13" s="459" customFormat="1" ht="12.5" x14ac:dyDescent="0.25">
      <c r="A318" s="482"/>
      <c r="B318" s="483"/>
      <c r="C318" s="483" t="s">
        <v>744</v>
      </c>
      <c r="D318" s="484" t="s">
        <v>679</v>
      </c>
      <c r="E318" s="657">
        <v>1500</v>
      </c>
      <c r="F318" s="657">
        <v>1900</v>
      </c>
      <c r="G318" s="658"/>
      <c r="H318" s="658"/>
      <c r="I318" s="657">
        <f t="shared" si="61"/>
        <v>4.9212598425196852</v>
      </c>
      <c r="J318" s="657">
        <f t="shared" si="61"/>
        <v>6.2335958005249346</v>
      </c>
      <c r="K318" s="658"/>
      <c r="L318" s="658">
        <v>-1</v>
      </c>
      <c r="M318" s="659">
        <f>L318*J318*I318</f>
        <v>-30.677144687622711</v>
      </c>
    </row>
    <row r="319" spans="1:13" s="459" customFormat="1" ht="12.5" x14ac:dyDescent="0.25">
      <c r="A319" s="482"/>
      <c r="B319" s="483"/>
      <c r="C319" s="483" t="s">
        <v>745</v>
      </c>
      <c r="D319" s="484" t="s">
        <v>679</v>
      </c>
      <c r="E319" s="657">
        <f>6850-1500</f>
        <v>5350</v>
      </c>
      <c r="F319" s="657">
        <v>1600</v>
      </c>
      <c r="G319" s="658"/>
      <c r="H319" s="658"/>
      <c r="I319" s="657">
        <f t="shared" si="61"/>
        <v>17.552493438320209</v>
      </c>
      <c r="J319" s="657">
        <f t="shared" si="61"/>
        <v>5.2493438320209975</v>
      </c>
      <c r="K319" s="658"/>
      <c r="L319" s="658">
        <v>1</v>
      </c>
      <c r="M319" s="659">
        <f t="shared" ref="M319" si="65">L319*J319*I319</f>
        <v>92.139073167035221</v>
      </c>
    </row>
    <row r="320" spans="1:13" s="459" customFormat="1" ht="12.5" x14ac:dyDescent="0.25">
      <c r="A320" s="482"/>
      <c r="B320" s="483"/>
      <c r="C320" s="483"/>
      <c r="D320" s="484" t="s">
        <v>679</v>
      </c>
      <c r="E320" s="657"/>
      <c r="F320" s="657"/>
      <c r="G320" s="658"/>
      <c r="H320" s="658"/>
      <c r="I320" s="657"/>
      <c r="J320" s="657"/>
      <c r="K320" s="658"/>
      <c r="L320" s="658"/>
      <c r="M320" s="659"/>
    </row>
    <row r="321" spans="1:13" x14ac:dyDescent="0.3">
      <c r="A321" s="589"/>
      <c r="B321" s="390"/>
      <c r="C321" s="390"/>
      <c r="D321" s="391"/>
      <c r="E321" s="47"/>
      <c r="F321" s="47"/>
      <c r="G321" s="47"/>
      <c r="H321" s="47"/>
      <c r="I321" s="47"/>
      <c r="J321" s="47"/>
      <c r="K321" s="47"/>
      <c r="L321" s="47"/>
      <c r="M321" s="437"/>
    </row>
    <row r="322" spans="1:13" x14ac:dyDescent="0.3">
      <c r="A322" s="589"/>
      <c r="B322" s="390"/>
      <c r="C322" s="392" t="s">
        <v>684</v>
      </c>
      <c r="D322" s="389" t="s">
        <v>679</v>
      </c>
      <c r="E322" s="47"/>
      <c r="F322" s="47"/>
      <c r="G322" s="47"/>
      <c r="H322" s="47"/>
      <c r="I322" s="47"/>
      <c r="J322" s="47"/>
      <c r="K322" s="47"/>
      <c r="L322" s="47"/>
      <c r="M322" s="428">
        <f>SUM(M311:M321)</f>
        <v>845.97339333567561</v>
      </c>
    </row>
    <row r="323" spans="1:13" x14ac:dyDescent="0.3">
      <c r="A323" s="589"/>
      <c r="B323" s="390"/>
      <c r="C323" s="390"/>
      <c r="D323" s="390"/>
      <c r="E323" s="47"/>
      <c r="F323" s="47"/>
      <c r="G323" s="47"/>
      <c r="H323" s="47"/>
      <c r="I323" s="47"/>
      <c r="J323" s="47"/>
      <c r="K323" s="47"/>
      <c r="L323" s="47"/>
      <c r="M323" s="437"/>
    </row>
    <row r="324" spans="1:13" ht="48" x14ac:dyDescent="0.3">
      <c r="A324" s="589">
        <v>7</v>
      </c>
      <c r="B324" s="415" t="s">
        <v>80</v>
      </c>
      <c r="C324" s="410" t="s">
        <v>54</v>
      </c>
      <c r="D324" s="389"/>
      <c r="E324" s="47"/>
      <c r="F324" s="47"/>
      <c r="G324" s="47"/>
      <c r="H324" s="47"/>
      <c r="I324" s="47"/>
      <c r="J324" s="47"/>
      <c r="K324" s="47"/>
      <c r="L324" s="47"/>
      <c r="M324" s="430"/>
    </row>
    <row r="325" spans="1:13" x14ac:dyDescent="0.3">
      <c r="A325" s="589"/>
      <c r="B325" s="390"/>
      <c r="C325" s="390"/>
      <c r="D325" s="391" t="s">
        <v>679</v>
      </c>
      <c r="E325" s="47">
        <f>1695+925+650+2730+5815+2470+3890+620</f>
        <v>18795</v>
      </c>
      <c r="F325" s="47">
        <f>300+2530+2000+1730+370</f>
        <v>6930</v>
      </c>
      <c r="G325" s="47"/>
      <c r="H325" s="47"/>
      <c r="I325" s="47">
        <f t="shared" ref="I325:J325" si="66">E325/304.8</f>
        <v>61.663385826771652</v>
      </c>
      <c r="J325" s="47">
        <f t="shared" si="66"/>
        <v>22.736220472440944</v>
      </c>
      <c r="K325" s="47"/>
      <c r="L325" s="47">
        <v>1</v>
      </c>
      <c r="M325" s="428">
        <f>L325*J325*I325</f>
        <v>1401.9923352346705</v>
      </c>
    </row>
    <row r="326" spans="1:13" x14ac:dyDescent="0.3">
      <c r="A326" s="589"/>
      <c r="B326" s="390"/>
      <c r="C326" s="390"/>
      <c r="D326" s="390"/>
      <c r="E326" s="47"/>
      <c r="F326" s="47"/>
      <c r="G326" s="47"/>
      <c r="H326" s="47"/>
      <c r="I326" s="47"/>
      <c r="J326" s="47"/>
      <c r="K326" s="47"/>
      <c r="L326" s="47"/>
      <c r="M326" s="437"/>
    </row>
    <row r="327" spans="1:13" s="9" customFormat="1" ht="60" x14ac:dyDescent="0.3">
      <c r="A327" s="589">
        <v>8</v>
      </c>
      <c r="B327" s="586" t="s">
        <v>802</v>
      </c>
      <c r="C327" s="124" t="s">
        <v>69</v>
      </c>
      <c r="D327" s="585"/>
      <c r="E327" s="47"/>
      <c r="F327" s="47"/>
      <c r="G327" s="47"/>
      <c r="H327" s="47"/>
      <c r="I327" s="47"/>
      <c r="J327" s="47"/>
      <c r="K327" s="47"/>
      <c r="L327" s="47"/>
      <c r="M327" s="430"/>
    </row>
    <row r="328" spans="1:13" s="9" customFormat="1" x14ac:dyDescent="0.3">
      <c r="A328" s="589"/>
      <c r="B328" s="576"/>
      <c r="C328" s="576" t="s">
        <v>868</v>
      </c>
      <c r="D328" s="107" t="s">
        <v>679</v>
      </c>
      <c r="E328" s="47">
        <v>12700</v>
      </c>
      <c r="F328" s="47">
        <v>2160</v>
      </c>
      <c r="G328" s="47"/>
      <c r="H328" s="47"/>
      <c r="I328" s="47">
        <f t="shared" ref="I328:J328" si="67">E328/304.8</f>
        <v>41.666666666666664</v>
      </c>
      <c r="J328" s="47">
        <f t="shared" si="67"/>
        <v>7.0866141732283463</v>
      </c>
      <c r="K328" s="47"/>
      <c r="L328" s="47">
        <v>1</v>
      </c>
      <c r="M328" s="653">
        <f>L328*J328*I328</f>
        <v>295.2755905511811</v>
      </c>
    </row>
    <row r="329" spans="1:13" s="9" customFormat="1" x14ac:dyDescent="0.3">
      <c r="A329" s="589"/>
      <c r="B329" s="576"/>
      <c r="C329" s="576" t="s">
        <v>869</v>
      </c>
      <c r="D329" s="107" t="s">
        <v>679</v>
      </c>
      <c r="E329" s="47">
        <v>10000</v>
      </c>
      <c r="F329" s="47">
        <v>2160</v>
      </c>
      <c r="G329" s="47"/>
      <c r="H329" s="47"/>
      <c r="I329" s="47">
        <f t="shared" ref="I329" si="68">E329/304.8</f>
        <v>32.808398950131235</v>
      </c>
      <c r="J329" s="47">
        <f t="shared" ref="J329" si="69">F329/304.8</f>
        <v>7.0866141732283463</v>
      </c>
      <c r="K329" s="47"/>
      <c r="L329" s="47">
        <v>1</v>
      </c>
      <c r="M329" s="653">
        <f>L329*J329*I329</f>
        <v>232.50046500093001</v>
      </c>
    </row>
    <row r="330" spans="1:13" s="9" customFormat="1" x14ac:dyDescent="0.3">
      <c r="A330" s="589"/>
      <c r="B330" s="576"/>
      <c r="C330" s="576"/>
      <c r="D330" s="107"/>
      <c r="E330" s="47"/>
      <c r="F330" s="47"/>
      <c r="G330" s="47"/>
      <c r="H330" s="47"/>
      <c r="I330" s="47"/>
      <c r="J330" s="47"/>
      <c r="K330" s="47"/>
      <c r="L330" s="47"/>
      <c r="M330" s="653"/>
    </row>
    <row r="331" spans="1:13" x14ac:dyDescent="0.3">
      <c r="A331" s="589"/>
      <c r="B331" s="390"/>
      <c r="C331" s="390"/>
      <c r="D331" s="391"/>
      <c r="E331" s="47"/>
      <c r="F331" s="47"/>
      <c r="G331" s="47"/>
      <c r="H331" s="47"/>
      <c r="I331" s="47"/>
      <c r="J331" s="47"/>
      <c r="K331" s="47"/>
      <c r="L331" s="47"/>
      <c r="M331" s="437"/>
    </row>
    <row r="332" spans="1:13" x14ac:dyDescent="0.3">
      <c r="A332" s="589"/>
      <c r="B332" s="390"/>
      <c r="C332" s="392" t="s">
        <v>684</v>
      </c>
      <c r="D332" s="389" t="s">
        <v>679</v>
      </c>
      <c r="E332" s="47"/>
      <c r="F332" s="47"/>
      <c r="G332" s="47"/>
      <c r="H332" s="47"/>
      <c r="I332" s="47"/>
      <c r="J332" s="47"/>
      <c r="K332" s="47"/>
      <c r="L332" s="47"/>
      <c r="M332" s="428">
        <f>SUM(M328:M331)</f>
        <v>527.77605555211107</v>
      </c>
    </row>
    <row r="333" spans="1:13" x14ac:dyDescent="0.3">
      <c r="A333" s="589"/>
      <c r="B333" s="390"/>
      <c r="C333" s="390"/>
      <c r="D333" s="390"/>
      <c r="E333" s="47"/>
      <c r="F333" s="47"/>
      <c r="G333" s="47"/>
      <c r="H333" s="47"/>
      <c r="I333" s="47"/>
      <c r="J333" s="47"/>
      <c r="K333" s="47"/>
      <c r="L333" s="47"/>
      <c r="M333" s="437"/>
    </row>
    <row r="334" spans="1:13" s="9" customFormat="1" x14ac:dyDescent="0.3">
      <c r="A334" s="589"/>
      <c r="B334" s="576"/>
      <c r="C334" s="576"/>
      <c r="D334" s="576"/>
      <c r="E334" s="47"/>
      <c r="F334" s="47"/>
      <c r="G334" s="47"/>
      <c r="H334" s="47"/>
      <c r="I334" s="47"/>
      <c r="J334" s="47"/>
      <c r="K334" s="47"/>
      <c r="L334" s="47"/>
      <c r="M334" s="437"/>
    </row>
    <row r="335" spans="1:13" ht="48" x14ac:dyDescent="0.3">
      <c r="A335" s="140">
        <v>9</v>
      </c>
      <c r="B335" s="129" t="s">
        <v>81</v>
      </c>
      <c r="C335" s="124" t="s">
        <v>82</v>
      </c>
      <c r="D335" s="107" t="s">
        <v>112</v>
      </c>
      <c r="E335" s="47"/>
      <c r="F335" s="47"/>
      <c r="G335" s="47"/>
      <c r="H335" s="47"/>
      <c r="I335" s="47">
        <v>250</v>
      </c>
      <c r="J335" s="47">
        <v>1</v>
      </c>
      <c r="K335" s="47"/>
      <c r="L335" s="47">
        <v>1</v>
      </c>
      <c r="M335" s="428">
        <f>PRODUCT(I335:L335)</f>
        <v>250</v>
      </c>
    </row>
    <row r="336" spans="1:13" x14ac:dyDescent="0.3">
      <c r="A336" s="589"/>
      <c r="B336" s="390"/>
      <c r="C336" s="390"/>
      <c r="D336" s="390"/>
      <c r="E336" s="47"/>
      <c r="F336" s="47"/>
      <c r="G336" s="47"/>
      <c r="H336" s="47"/>
      <c r="I336" s="47"/>
      <c r="J336" s="47"/>
      <c r="K336" s="47"/>
      <c r="L336" s="47"/>
      <c r="M336" s="437"/>
    </row>
    <row r="337" spans="1:13" ht="60" x14ac:dyDescent="0.3">
      <c r="A337" s="102">
        <v>10</v>
      </c>
      <c r="B337" s="129" t="s">
        <v>205</v>
      </c>
      <c r="C337" s="124" t="s">
        <v>206</v>
      </c>
      <c r="D337" s="390"/>
      <c r="E337" s="47"/>
      <c r="F337" s="47"/>
      <c r="G337" s="47"/>
      <c r="H337" s="47"/>
      <c r="I337" s="47"/>
      <c r="J337" s="47"/>
      <c r="K337" s="47"/>
      <c r="L337" s="47">
        <v>0</v>
      </c>
      <c r="M337" s="437">
        <v>0</v>
      </c>
    </row>
    <row r="338" spans="1:13" x14ac:dyDescent="0.3">
      <c r="A338" s="589"/>
      <c r="B338" s="390"/>
      <c r="C338" s="390"/>
      <c r="D338" s="390"/>
      <c r="E338" s="47"/>
      <c r="F338" s="47"/>
      <c r="G338" s="47"/>
      <c r="H338" s="47"/>
      <c r="I338" s="47"/>
      <c r="J338" s="47"/>
      <c r="K338" s="47"/>
      <c r="L338" s="47"/>
      <c r="M338" s="437"/>
    </row>
    <row r="339" spans="1:13" x14ac:dyDescent="0.3">
      <c r="A339" s="589"/>
      <c r="B339" s="390"/>
      <c r="C339" s="390"/>
      <c r="D339" s="390"/>
      <c r="E339" s="47"/>
      <c r="F339" s="47"/>
      <c r="G339" s="47"/>
      <c r="H339" s="47"/>
      <c r="I339" s="47"/>
      <c r="J339" s="47"/>
      <c r="K339" s="47"/>
      <c r="L339" s="47"/>
      <c r="M339" s="437"/>
    </row>
    <row r="340" spans="1:13" ht="13.5" thickBot="1" x14ac:dyDescent="0.35">
      <c r="A340" s="591"/>
      <c r="B340" s="416"/>
      <c r="C340" s="416"/>
      <c r="D340" s="416"/>
      <c r="E340" s="30"/>
      <c r="F340" s="30"/>
      <c r="G340" s="30"/>
      <c r="H340" s="30"/>
      <c r="I340" s="30"/>
      <c r="J340" s="30"/>
      <c r="K340" s="30"/>
      <c r="L340" s="30"/>
      <c r="M340" s="597"/>
    </row>
  </sheetData>
  <protectedRanges>
    <protectedRange sqref="G1" name="Range1"/>
    <protectedRange sqref="J1" name="Range1_6"/>
    <protectedRange sqref="D190:D199 D256:D263 D202:D217" name="Range1_1"/>
    <protectedRange sqref="D254" name="Range1_2"/>
    <protectedRange sqref="F305:F306 D305:D306" name="Range1_4"/>
  </protectedRanges>
  <mergeCells count="12">
    <mergeCell ref="A1:M1"/>
    <mergeCell ref="A2:A3"/>
    <mergeCell ref="B2:B3"/>
    <mergeCell ref="C2:C3"/>
    <mergeCell ref="D2:D3"/>
    <mergeCell ref="E2:H2"/>
    <mergeCell ref="I2:M2"/>
    <mergeCell ref="A4:C4"/>
    <mergeCell ref="A19:C19"/>
    <mergeCell ref="A38:C38"/>
    <mergeCell ref="A165:C165"/>
    <mergeCell ref="A265:C265"/>
  </mergeCells>
  <phoneticPr fontId="54" type="noConversion"/>
  <pageMargins left="0.7" right="0.7" top="0.75" bottom="0.75" header="0.3" footer="0.3"/>
  <pageSetup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44"/>
  <sheetViews>
    <sheetView zoomScale="85" zoomScaleNormal="85" workbookViewId="0">
      <pane xSplit="7" ySplit="12" topLeftCell="H40" activePane="bottomRight" state="frozen"/>
      <selection pane="topRight" activeCell="H1" sqref="H1"/>
      <selection pane="bottomLeft" activeCell="A7" sqref="A7"/>
      <selection pane="bottomRight" activeCell="C13" sqref="C13"/>
    </sheetView>
  </sheetViews>
  <sheetFormatPr defaultColWidth="8.81640625" defaultRowHeight="12" x14ac:dyDescent="0.3"/>
  <cols>
    <col min="1" max="1" width="6.453125" style="55" customWidth="1"/>
    <col min="2" max="2" width="12.81640625" style="68" customWidth="1"/>
    <col min="3" max="3" width="56.54296875" style="69" customWidth="1"/>
    <col min="4" max="4" width="12.54296875" style="55" hidden="1" customWidth="1"/>
    <col min="5" max="5" width="21.453125" style="63" hidden="1" customWidth="1"/>
    <col min="6" max="6" width="8.1796875" style="64" bestFit="1" customWidth="1"/>
    <col min="7" max="7" width="8.453125" style="236" bestFit="1" customWidth="1"/>
    <col min="8" max="8" width="10.453125" style="236" bestFit="1" customWidth="1"/>
    <col min="9" max="9" width="13.54296875" style="64" bestFit="1" customWidth="1"/>
    <col min="10" max="10" width="13.54296875" style="64" customWidth="1"/>
    <col min="11" max="11" width="13.54296875" style="355" customWidth="1"/>
    <col min="12" max="13" width="13.54296875" style="64" customWidth="1"/>
    <col min="14" max="14" width="13.54296875" style="355" customWidth="1"/>
    <col min="15" max="16" width="13.54296875" style="64" customWidth="1"/>
    <col min="17" max="17" width="16.54296875" style="64" bestFit="1" customWidth="1"/>
    <col min="18" max="18" width="8.81640625" style="236"/>
    <col min="19" max="224" width="8.81640625" style="56"/>
    <col min="225" max="225" width="7.81640625" style="56" customWidth="1"/>
    <col min="226" max="226" width="65.54296875" style="56" customWidth="1"/>
    <col min="227" max="228" width="7.54296875" style="56" bestFit="1" customWidth="1"/>
    <col min="229" max="229" width="15.453125" style="56" bestFit="1" customWidth="1"/>
    <col min="230" max="230" width="16.54296875" style="56" customWidth="1"/>
    <col min="231" max="231" width="18.453125" style="56" customWidth="1"/>
    <col min="232" max="232" width="16" style="56" bestFit="1" customWidth="1"/>
    <col min="233" max="480" width="8.81640625" style="56"/>
    <col min="481" max="481" width="7.81640625" style="56" customWidth="1"/>
    <col min="482" max="482" width="65.54296875" style="56" customWidth="1"/>
    <col min="483" max="484" width="7.54296875" style="56" bestFit="1" customWidth="1"/>
    <col min="485" max="485" width="15.453125" style="56" bestFit="1" customWidth="1"/>
    <col min="486" max="486" width="16.54296875" style="56" customWidth="1"/>
    <col min="487" max="487" width="18.453125" style="56" customWidth="1"/>
    <col min="488" max="488" width="16" style="56" bestFit="1" customWidth="1"/>
    <col min="489" max="736" width="8.81640625" style="56"/>
    <col min="737" max="737" width="7.81640625" style="56" customWidth="1"/>
    <col min="738" max="738" width="65.54296875" style="56" customWidth="1"/>
    <col min="739" max="740" width="7.54296875" style="56" bestFit="1" customWidth="1"/>
    <col min="741" max="741" width="15.453125" style="56" bestFit="1" customWidth="1"/>
    <col min="742" max="742" width="16.54296875" style="56" customWidth="1"/>
    <col min="743" max="743" width="18.453125" style="56" customWidth="1"/>
    <col min="744" max="744" width="16" style="56" bestFit="1" customWidth="1"/>
    <col min="745" max="992" width="8.81640625" style="56"/>
    <col min="993" max="993" width="7.81640625" style="56" customWidth="1"/>
    <col min="994" max="994" width="65.54296875" style="56" customWidth="1"/>
    <col min="995" max="996" width="7.54296875" style="56" bestFit="1" customWidth="1"/>
    <col min="997" max="997" width="15.453125" style="56" bestFit="1" customWidth="1"/>
    <col min="998" max="998" width="16.54296875" style="56" customWidth="1"/>
    <col min="999" max="999" width="18.453125" style="56" customWidth="1"/>
    <col min="1000" max="1000" width="16" style="56" bestFit="1" customWidth="1"/>
    <col min="1001" max="1248" width="8.81640625" style="56"/>
    <col min="1249" max="1249" width="7.81640625" style="56" customWidth="1"/>
    <col min="1250" max="1250" width="65.54296875" style="56" customWidth="1"/>
    <col min="1251" max="1252" width="7.54296875" style="56" bestFit="1" customWidth="1"/>
    <col min="1253" max="1253" width="15.453125" style="56" bestFit="1" customWidth="1"/>
    <col min="1254" max="1254" width="16.54296875" style="56" customWidth="1"/>
    <col min="1255" max="1255" width="18.453125" style="56" customWidth="1"/>
    <col min="1256" max="1256" width="16" style="56" bestFit="1" customWidth="1"/>
    <col min="1257" max="1504" width="8.81640625" style="56"/>
    <col min="1505" max="1505" width="7.81640625" style="56" customWidth="1"/>
    <col min="1506" max="1506" width="65.54296875" style="56" customWidth="1"/>
    <col min="1507" max="1508" width="7.54296875" style="56" bestFit="1" customWidth="1"/>
    <col min="1509" max="1509" width="15.453125" style="56" bestFit="1" customWidth="1"/>
    <col min="1510" max="1510" width="16.54296875" style="56" customWidth="1"/>
    <col min="1511" max="1511" width="18.453125" style="56" customWidth="1"/>
    <col min="1512" max="1512" width="16" style="56" bestFit="1" customWidth="1"/>
    <col min="1513" max="1760" width="8.81640625" style="56"/>
    <col min="1761" max="1761" width="7.81640625" style="56" customWidth="1"/>
    <col min="1762" max="1762" width="65.54296875" style="56" customWidth="1"/>
    <col min="1763" max="1764" width="7.54296875" style="56" bestFit="1" customWidth="1"/>
    <col min="1765" max="1765" width="15.453125" style="56" bestFit="1" customWidth="1"/>
    <col min="1766" max="1766" width="16.54296875" style="56" customWidth="1"/>
    <col min="1767" max="1767" width="18.453125" style="56" customWidth="1"/>
    <col min="1768" max="1768" width="16" style="56" bestFit="1" customWidth="1"/>
    <col min="1769" max="2016" width="8.81640625" style="56"/>
    <col min="2017" max="2017" width="7.81640625" style="56" customWidth="1"/>
    <col min="2018" max="2018" width="65.54296875" style="56" customWidth="1"/>
    <col min="2019" max="2020" width="7.54296875" style="56" bestFit="1" customWidth="1"/>
    <col min="2021" max="2021" width="15.453125" style="56" bestFit="1" customWidth="1"/>
    <col min="2022" max="2022" width="16.54296875" style="56" customWidth="1"/>
    <col min="2023" max="2023" width="18.453125" style="56" customWidth="1"/>
    <col min="2024" max="2024" width="16" style="56" bestFit="1" customWidth="1"/>
    <col min="2025" max="2272" width="8.81640625" style="56"/>
    <col min="2273" max="2273" width="7.81640625" style="56" customWidth="1"/>
    <col min="2274" max="2274" width="65.54296875" style="56" customWidth="1"/>
    <col min="2275" max="2276" width="7.54296875" style="56" bestFit="1" customWidth="1"/>
    <col min="2277" max="2277" width="15.453125" style="56" bestFit="1" customWidth="1"/>
    <col min="2278" max="2278" width="16.54296875" style="56" customWidth="1"/>
    <col min="2279" max="2279" width="18.453125" style="56" customWidth="1"/>
    <col min="2280" max="2280" width="16" style="56" bestFit="1" customWidth="1"/>
    <col min="2281" max="2528" width="8.81640625" style="56"/>
    <col min="2529" max="2529" width="7.81640625" style="56" customWidth="1"/>
    <col min="2530" max="2530" width="65.54296875" style="56" customWidth="1"/>
    <col min="2531" max="2532" width="7.54296875" style="56" bestFit="1" customWidth="1"/>
    <col min="2533" max="2533" width="15.453125" style="56" bestFit="1" customWidth="1"/>
    <col min="2534" max="2534" width="16.54296875" style="56" customWidth="1"/>
    <col min="2535" max="2535" width="18.453125" style="56" customWidth="1"/>
    <col min="2536" max="2536" width="16" style="56" bestFit="1" customWidth="1"/>
    <col min="2537" max="2784" width="8.81640625" style="56"/>
    <col min="2785" max="2785" width="7.81640625" style="56" customWidth="1"/>
    <col min="2786" max="2786" width="65.54296875" style="56" customWidth="1"/>
    <col min="2787" max="2788" width="7.54296875" style="56" bestFit="1" customWidth="1"/>
    <col min="2789" max="2789" width="15.453125" style="56" bestFit="1" customWidth="1"/>
    <col min="2790" max="2790" width="16.54296875" style="56" customWidth="1"/>
    <col min="2791" max="2791" width="18.453125" style="56" customWidth="1"/>
    <col min="2792" max="2792" width="16" style="56" bestFit="1" customWidth="1"/>
    <col min="2793" max="3040" width="8.81640625" style="56"/>
    <col min="3041" max="3041" width="7.81640625" style="56" customWidth="1"/>
    <col min="3042" max="3042" width="65.54296875" style="56" customWidth="1"/>
    <col min="3043" max="3044" width="7.54296875" style="56" bestFit="1" customWidth="1"/>
    <col min="3045" max="3045" width="15.453125" style="56" bestFit="1" customWidth="1"/>
    <col min="3046" max="3046" width="16.54296875" style="56" customWidth="1"/>
    <col min="3047" max="3047" width="18.453125" style="56" customWidth="1"/>
    <col min="3048" max="3048" width="16" style="56" bestFit="1" customWidth="1"/>
    <col min="3049" max="3296" width="8.81640625" style="56"/>
    <col min="3297" max="3297" width="7.81640625" style="56" customWidth="1"/>
    <col min="3298" max="3298" width="65.54296875" style="56" customWidth="1"/>
    <col min="3299" max="3300" width="7.54296875" style="56" bestFit="1" customWidth="1"/>
    <col min="3301" max="3301" width="15.453125" style="56" bestFit="1" customWidth="1"/>
    <col min="3302" max="3302" width="16.54296875" style="56" customWidth="1"/>
    <col min="3303" max="3303" width="18.453125" style="56" customWidth="1"/>
    <col min="3304" max="3304" width="16" style="56" bestFit="1" customWidth="1"/>
    <col min="3305" max="3552" width="8.81640625" style="56"/>
    <col min="3553" max="3553" width="7.81640625" style="56" customWidth="1"/>
    <col min="3554" max="3554" width="65.54296875" style="56" customWidth="1"/>
    <col min="3555" max="3556" width="7.54296875" style="56" bestFit="1" customWidth="1"/>
    <col min="3557" max="3557" width="15.453125" style="56" bestFit="1" customWidth="1"/>
    <col min="3558" max="3558" width="16.54296875" style="56" customWidth="1"/>
    <col min="3559" max="3559" width="18.453125" style="56" customWidth="1"/>
    <col min="3560" max="3560" width="16" style="56" bestFit="1" customWidth="1"/>
    <col min="3561" max="3808" width="8.81640625" style="56"/>
    <col min="3809" max="3809" width="7.81640625" style="56" customWidth="1"/>
    <col min="3810" max="3810" width="65.54296875" style="56" customWidth="1"/>
    <col min="3811" max="3812" width="7.54296875" style="56" bestFit="1" customWidth="1"/>
    <col min="3813" max="3813" width="15.453125" style="56" bestFit="1" customWidth="1"/>
    <col min="3814" max="3814" width="16.54296875" style="56" customWidth="1"/>
    <col min="3815" max="3815" width="18.453125" style="56" customWidth="1"/>
    <col min="3816" max="3816" width="16" style="56" bestFit="1" customWidth="1"/>
    <col min="3817" max="4064" width="8.81640625" style="56"/>
    <col min="4065" max="4065" width="7.81640625" style="56" customWidth="1"/>
    <col min="4066" max="4066" width="65.54296875" style="56" customWidth="1"/>
    <col min="4067" max="4068" width="7.54296875" style="56" bestFit="1" customWidth="1"/>
    <col min="4069" max="4069" width="15.453125" style="56" bestFit="1" customWidth="1"/>
    <col min="4070" max="4070" width="16.54296875" style="56" customWidth="1"/>
    <col min="4071" max="4071" width="18.453125" style="56" customWidth="1"/>
    <col min="4072" max="4072" width="16" style="56" bestFit="1" customWidth="1"/>
    <col min="4073" max="4320" width="8.81640625" style="56"/>
    <col min="4321" max="4321" width="7.81640625" style="56" customWidth="1"/>
    <col min="4322" max="4322" width="65.54296875" style="56" customWidth="1"/>
    <col min="4323" max="4324" width="7.54296875" style="56" bestFit="1" customWidth="1"/>
    <col min="4325" max="4325" width="15.453125" style="56" bestFit="1" customWidth="1"/>
    <col min="4326" max="4326" width="16.54296875" style="56" customWidth="1"/>
    <col min="4327" max="4327" width="18.453125" style="56" customWidth="1"/>
    <col min="4328" max="4328" width="16" style="56" bestFit="1" customWidth="1"/>
    <col min="4329" max="4576" width="8.81640625" style="56"/>
    <col min="4577" max="4577" width="7.81640625" style="56" customWidth="1"/>
    <col min="4578" max="4578" width="65.54296875" style="56" customWidth="1"/>
    <col min="4579" max="4580" width="7.54296875" style="56" bestFit="1" customWidth="1"/>
    <col min="4581" max="4581" width="15.453125" style="56" bestFit="1" customWidth="1"/>
    <col min="4582" max="4582" width="16.54296875" style="56" customWidth="1"/>
    <col min="4583" max="4583" width="18.453125" style="56" customWidth="1"/>
    <col min="4584" max="4584" width="16" style="56" bestFit="1" customWidth="1"/>
    <col min="4585" max="4832" width="8.81640625" style="56"/>
    <col min="4833" max="4833" width="7.81640625" style="56" customWidth="1"/>
    <col min="4834" max="4834" width="65.54296875" style="56" customWidth="1"/>
    <col min="4835" max="4836" width="7.54296875" style="56" bestFit="1" customWidth="1"/>
    <col min="4837" max="4837" width="15.453125" style="56" bestFit="1" customWidth="1"/>
    <col min="4838" max="4838" width="16.54296875" style="56" customWidth="1"/>
    <col min="4839" max="4839" width="18.453125" style="56" customWidth="1"/>
    <col min="4840" max="4840" width="16" style="56" bestFit="1" customWidth="1"/>
    <col min="4841" max="5088" width="8.81640625" style="56"/>
    <col min="5089" max="5089" width="7.81640625" style="56" customWidth="1"/>
    <col min="5090" max="5090" width="65.54296875" style="56" customWidth="1"/>
    <col min="5091" max="5092" width="7.54296875" style="56" bestFit="1" customWidth="1"/>
    <col min="5093" max="5093" width="15.453125" style="56" bestFit="1" customWidth="1"/>
    <col min="5094" max="5094" width="16.54296875" style="56" customWidth="1"/>
    <col min="5095" max="5095" width="18.453125" style="56" customWidth="1"/>
    <col min="5096" max="5096" width="16" style="56" bestFit="1" customWidth="1"/>
    <col min="5097" max="5344" width="8.81640625" style="56"/>
    <col min="5345" max="5345" width="7.81640625" style="56" customWidth="1"/>
    <col min="5346" max="5346" width="65.54296875" style="56" customWidth="1"/>
    <col min="5347" max="5348" width="7.54296875" style="56" bestFit="1" customWidth="1"/>
    <col min="5349" max="5349" width="15.453125" style="56" bestFit="1" customWidth="1"/>
    <col min="5350" max="5350" width="16.54296875" style="56" customWidth="1"/>
    <col min="5351" max="5351" width="18.453125" style="56" customWidth="1"/>
    <col min="5352" max="5352" width="16" style="56" bestFit="1" customWidth="1"/>
    <col min="5353" max="5600" width="8.81640625" style="56"/>
    <col min="5601" max="5601" width="7.81640625" style="56" customWidth="1"/>
    <col min="5602" max="5602" width="65.54296875" style="56" customWidth="1"/>
    <col min="5603" max="5604" width="7.54296875" style="56" bestFit="1" customWidth="1"/>
    <col min="5605" max="5605" width="15.453125" style="56" bestFit="1" customWidth="1"/>
    <col min="5606" max="5606" width="16.54296875" style="56" customWidth="1"/>
    <col min="5607" max="5607" width="18.453125" style="56" customWidth="1"/>
    <col min="5608" max="5608" width="16" style="56" bestFit="1" customWidth="1"/>
    <col min="5609" max="5856" width="8.81640625" style="56"/>
    <col min="5857" max="5857" width="7.81640625" style="56" customWidth="1"/>
    <col min="5858" max="5858" width="65.54296875" style="56" customWidth="1"/>
    <col min="5859" max="5860" width="7.54296875" style="56" bestFit="1" customWidth="1"/>
    <col min="5861" max="5861" width="15.453125" style="56" bestFit="1" customWidth="1"/>
    <col min="5862" max="5862" width="16.54296875" style="56" customWidth="1"/>
    <col min="5863" max="5863" width="18.453125" style="56" customWidth="1"/>
    <col min="5864" max="5864" width="16" style="56" bestFit="1" customWidth="1"/>
    <col min="5865" max="6112" width="8.81640625" style="56"/>
    <col min="6113" max="6113" width="7.81640625" style="56" customWidth="1"/>
    <col min="6114" max="6114" width="65.54296875" style="56" customWidth="1"/>
    <col min="6115" max="6116" width="7.54296875" style="56" bestFit="1" customWidth="1"/>
    <col min="6117" max="6117" width="15.453125" style="56" bestFit="1" customWidth="1"/>
    <col min="6118" max="6118" width="16.54296875" style="56" customWidth="1"/>
    <col min="6119" max="6119" width="18.453125" style="56" customWidth="1"/>
    <col min="6120" max="6120" width="16" style="56" bestFit="1" customWidth="1"/>
    <col min="6121" max="6368" width="8.81640625" style="56"/>
    <col min="6369" max="6369" width="7.81640625" style="56" customWidth="1"/>
    <col min="6370" max="6370" width="65.54296875" style="56" customWidth="1"/>
    <col min="6371" max="6372" width="7.54296875" style="56" bestFit="1" customWidth="1"/>
    <col min="6373" max="6373" width="15.453125" style="56" bestFit="1" customWidth="1"/>
    <col min="6374" max="6374" width="16.54296875" style="56" customWidth="1"/>
    <col min="6375" max="6375" width="18.453125" style="56" customWidth="1"/>
    <col min="6376" max="6376" width="16" style="56" bestFit="1" customWidth="1"/>
    <col min="6377" max="6624" width="8.81640625" style="56"/>
    <col min="6625" max="6625" width="7.81640625" style="56" customWidth="1"/>
    <col min="6626" max="6626" width="65.54296875" style="56" customWidth="1"/>
    <col min="6627" max="6628" width="7.54296875" style="56" bestFit="1" customWidth="1"/>
    <col min="6629" max="6629" width="15.453125" style="56" bestFit="1" customWidth="1"/>
    <col min="6630" max="6630" width="16.54296875" style="56" customWidth="1"/>
    <col min="6631" max="6631" width="18.453125" style="56" customWidth="1"/>
    <col min="6632" max="6632" width="16" style="56" bestFit="1" customWidth="1"/>
    <col min="6633" max="6880" width="8.81640625" style="56"/>
    <col min="6881" max="6881" width="7.81640625" style="56" customWidth="1"/>
    <col min="6882" max="6882" width="65.54296875" style="56" customWidth="1"/>
    <col min="6883" max="6884" width="7.54296875" style="56" bestFit="1" customWidth="1"/>
    <col min="6885" max="6885" width="15.453125" style="56" bestFit="1" customWidth="1"/>
    <col min="6886" max="6886" width="16.54296875" style="56" customWidth="1"/>
    <col min="6887" max="6887" width="18.453125" style="56" customWidth="1"/>
    <col min="6888" max="6888" width="16" style="56" bestFit="1" customWidth="1"/>
    <col min="6889" max="7136" width="8.81640625" style="56"/>
    <col min="7137" max="7137" width="7.81640625" style="56" customWidth="1"/>
    <col min="7138" max="7138" width="65.54296875" style="56" customWidth="1"/>
    <col min="7139" max="7140" width="7.54296875" style="56" bestFit="1" customWidth="1"/>
    <col min="7141" max="7141" width="15.453125" style="56" bestFit="1" customWidth="1"/>
    <col min="7142" max="7142" width="16.54296875" style="56" customWidth="1"/>
    <col min="7143" max="7143" width="18.453125" style="56" customWidth="1"/>
    <col min="7144" max="7144" width="16" style="56" bestFit="1" customWidth="1"/>
    <col min="7145" max="7392" width="8.81640625" style="56"/>
    <col min="7393" max="7393" width="7.81640625" style="56" customWidth="1"/>
    <col min="7394" max="7394" width="65.54296875" style="56" customWidth="1"/>
    <col min="7395" max="7396" width="7.54296875" style="56" bestFit="1" customWidth="1"/>
    <col min="7397" max="7397" width="15.453125" style="56" bestFit="1" customWidth="1"/>
    <col min="7398" max="7398" width="16.54296875" style="56" customWidth="1"/>
    <col min="7399" max="7399" width="18.453125" style="56" customWidth="1"/>
    <col min="7400" max="7400" width="16" style="56" bestFit="1" customWidth="1"/>
    <col min="7401" max="7648" width="8.81640625" style="56"/>
    <col min="7649" max="7649" width="7.81640625" style="56" customWidth="1"/>
    <col min="7650" max="7650" width="65.54296875" style="56" customWidth="1"/>
    <col min="7651" max="7652" width="7.54296875" style="56" bestFit="1" customWidth="1"/>
    <col min="7653" max="7653" width="15.453125" style="56" bestFit="1" customWidth="1"/>
    <col min="7654" max="7654" width="16.54296875" style="56" customWidth="1"/>
    <col min="7655" max="7655" width="18.453125" style="56" customWidth="1"/>
    <col min="7656" max="7656" width="16" style="56" bestFit="1" customWidth="1"/>
    <col min="7657" max="7904" width="8.81640625" style="56"/>
    <col min="7905" max="7905" width="7.81640625" style="56" customWidth="1"/>
    <col min="7906" max="7906" width="65.54296875" style="56" customWidth="1"/>
    <col min="7907" max="7908" width="7.54296875" style="56" bestFit="1" customWidth="1"/>
    <col min="7909" max="7909" width="15.453125" style="56" bestFit="1" customWidth="1"/>
    <col min="7910" max="7910" width="16.54296875" style="56" customWidth="1"/>
    <col min="7911" max="7911" width="18.453125" style="56" customWidth="1"/>
    <col min="7912" max="7912" width="16" style="56" bestFit="1" customWidth="1"/>
    <col min="7913" max="8160" width="8.81640625" style="56"/>
    <col min="8161" max="8161" width="7.81640625" style="56" customWidth="1"/>
    <col min="8162" max="8162" width="65.54296875" style="56" customWidth="1"/>
    <col min="8163" max="8164" width="7.54296875" style="56" bestFit="1" customWidth="1"/>
    <col min="8165" max="8165" width="15.453125" style="56" bestFit="1" customWidth="1"/>
    <col min="8166" max="8166" width="16.54296875" style="56" customWidth="1"/>
    <col min="8167" max="8167" width="18.453125" style="56" customWidth="1"/>
    <col min="8168" max="8168" width="16" style="56" bestFit="1" customWidth="1"/>
    <col min="8169" max="8416" width="8.81640625" style="56"/>
    <col min="8417" max="8417" width="7.81640625" style="56" customWidth="1"/>
    <col min="8418" max="8418" width="65.54296875" style="56" customWidth="1"/>
    <col min="8419" max="8420" width="7.54296875" style="56" bestFit="1" customWidth="1"/>
    <col min="8421" max="8421" width="15.453125" style="56" bestFit="1" customWidth="1"/>
    <col min="8422" max="8422" width="16.54296875" style="56" customWidth="1"/>
    <col min="8423" max="8423" width="18.453125" style="56" customWidth="1"/>
    <col min="8424" max="8424" width="16" style="56" bestFit="1" customWidth="1"/>
    <col min="8425" max="8672" width="8.81640625" style="56"/>
    <col min="8673" max="8673" width="7.81640625" style="56" customWidth="1"/>
    <col min="8674" max="8674" width="65.54296875" style="56" customWidth="1"/>
    <col min="8675" max="8676" width="7.54296875" style="56" bestFit="1" customWidth="1"/>
    <col min="8677" max="8677" width="15.453125" style="56" bestFit="1" customWidth="1"/>
    <col min="8678" max="8678" width="16.54296875" style="56" customWidth="1"/>
    <col min="8679" max="8679" width="18.453125" style="56" customWidth="1"/>
    <col min="8680" max="8680" width="16" style="56" bestFit="1" customWidth="1"/>
    <col min="8681" max="8928" width="8.81640625" style="56"/>
    <col min="8929" max="8929" width="7.81640625" style="56" customWidth="1"/>
    <col min="8930" max="8930" width="65.54296875" style="56" customWidth="1"/>
    <col min="8931" max="8932" width="7.54296875" style="56" bestFit="1" customWidth="1"/>
    <col min="8933" max="8933" width="15.453125" style="56" bestFit="1" customWidth="1"/>
    <col min="8934" max="8934" width="16.54296875" style="56" customWidth="1"/>
    <col min="8935" max="8935" width="18.453125" style="56" customWidth="1"/>
    <col min="8936" max="8936" width="16" style="56" bestFit="1" customWidth="1"/>
    <col min="8937" max="9184" width="8.81640625" style="56"/>
    <col min="9185" max="9185" width="7.81640625" style="56" customWidth="1"/>
    <col min="9186" max="9186" width="65.54296875" style="56" customWidth="1"/>
    <col min="9187" max="9188" width="7.54296875" style="56" bestFit="1" customWidth="1"/>
    <col min="9189" max="9189" width="15.453125" style="56" bestFit="1" customWidth="1"/>
    <col min="9190" max="9190" width="16.54296875" style="56" customWidth="1"/>
    <col min="9191" max="9191" width="18.453125" style="56" customWidth="1"/>
    <col min="9192" max="9192" width="16" style="56" bestFit="1" customWidth="1"/>
    <col min="9193" max="9440" width="8.81640625" style="56"/>
    <col min="9441" max="9441" width="7.81640625" style="56" customWidth="1"/>
    <col min="9442" max="9442" width="65.54296875" style="56" customWidth="1"/>
    <col min="9443" max="9444" width="7.54296875" style="56" bestFit="1" customWidth="1"/>
    <col min="9445" max="9445" width="15.453125" style="56" bestFit="1" customWidth="1"/>
    <col min="9446" max="9446" width="16.54296875" style="56" customWidth="1"/>
    <col min="9447" max="9447" width="18.453125" style="56" customWidth="1"/>
    <col min="9448" max="9448" width="16" style="56" bestFit="1" customWidth="1"/>
    <col min="9449" max="9696" width="8.81640625" style="56"/>
    <col min="9697" max="9697" width="7.81640625" style="56" customWidth="1"/>
    <col min="9698" max="9698" width="65.54296875" style="56" customWidth="1"/>
    <col min="9699" max="9700" width="7.54296875" style="56" bestFit="1" customWidth="1"/>
    <col min="9701" max="9701" width="15.453125" style="56" bestFit="1" customWidth="1"/>
    <col min="9702" max="9702" width="16.54296875" style="56" customWidth="1"/>
    <col min="9703" max="9703" width="18.453125" style="56" customWidth="1"/>
    <col min="9704" max="9704" width="16" style="56" bestFit="1" customWidth="1"/>
    <col min="9705" max="9952" width="8.81640625" style="56"/>
    <col min="9953" max="9953" width="7.81640625" style="56" customWidth="1"/>
    <col min="9954" max="9954" width="65.54296875" style="56" customWidth="1"/>
    <col min="9955" max="9956" width="7.54296875" style="56" bestFit="1" customWidth="1"/>
    <col min="9957" max="9957" width="15.453125" style="56" bestFit="1" customWidth="1"/>
    <col min="9958" max="9958" width="16.54296875" style="56" customWidth="1"/>
    <col min="9959" max="9959" width="18.453125" style="56" customWidth="1"/>
    <col min="9960" max="9960" width="16" style="56" bestFit="1" customWidth="1"/>
    <col min="9961" max="10208" width="8.81640625" style="56"/>
    <col min="10209" max="10209" width="7.81640625" style="56" customWidth="1"/>
    <col min="10210" max="10210" width="65.54296875" style="56" customWidth="1"/>
    <col min="10211" max="10212" width="7.54296875" style="56" bestFit="1" customWidth="1"/>
    <col min="10213" max="10213" width="15.453125" style="56" bestFit="1" customWidth="1"/>
    <col min="10214" max="10214" width="16.54296875" style="56" customWidth="1"/>
    <col min="10215" max="10215" width="18.453125" style="56" customWidth="1"/>
    <col min="10216" max="10216" width="16" style="56" bestFit="1" customWidth="1"/>
    <col min="10217" max="10464" width="8.81640625" style="56"/>
    <col min="10465" max="10465" width="7.81640625" style="56" customWidth="1"/>
    <col min="10466" max="10466" width="65.54296875" style="56" customWidth="1"/>
    <col min="10467" max="10468" width="7.54296875" style="56" bestFit="1" customWidth="1"/>
    <col min="10469" max="10469" width="15.453125" style="56" bestFit="1" customWidth="1"/>
    <col min="10470" max="10470" width="16.54296875" style="56" customWidth="1"/>
    <col min="10471" max="10471" width="18.453125" style="56" customWidth="1"/>
    <col min="10472" max="10472" width="16" style="56" bestFit="1" customWidth="1"/>
    <col min="10473" max="10720" width="8.81640625" style="56"/>
    <col min="10721" max="10721" width="7.81640625" style="56" customWidth="1"/>
    <col min="10722" max="10722" width="65.54296875" style="56" customWidth="1"/>
    <col min="10723" max="10724" width="7.54296875" style="56" bestFit="1" customWidth="1"/>
    <col min="10725" max="10725" width="15.453125" style="56" bestFit="1" customWidth="1"/>
    <col min="10726" max="10726" width="16.54296875" style="56" customWidth="1"/>
    <col min="10727" max="10727" width="18.453125" style="56" customWidth="1"/>
    <col min="10728" max="10728" width="16" style="56" bestFit="1" customWidth="1"/>
    <col min="10729" max="10976" width="8.81640625" style="56"/>
    <col min="10977" max="10977" width="7.81640625" style="56" customWidth="1"/>
    <col min="10978" max="10978" width="65.54296875" style="56" customWidth="1"/>
    <col min="10979" max="10980" width="7.54296875" style="56" bestFit="1" customWidth="1"/>
    <col min="10981" max="10981" width="15.453125" style="56" bestFit="1" customWidth="1"/>
    <col min="10982" max="10982" width="16.54296875" style="56" customWidth="1"/>
    <col min="10983" max="10983" width="18.453125" style="56" customWidth="1"/>
    <col min="10984" max="10984" width="16" style="56" bestFit="1" customWidth="1"/>
    <col min="10985" max="11232" width="8.81640625" style="56"/>
    <col min="11233" max="11233" width="7.81640625" style="56" customWidth="1"/>
    <col min="11234" max="11234" width="65.54296875" style="56" customWidth="1"/>
    <col min="11235" max="11236" width="7.54296875" style="56" bestFit="1" customWidth="1"/>
    <col min="11237" max="11237" width="15.453125" style="56" bestFit="1" customWidth="1"/>
    <col min="11238" max="11238" width="16.54296875" style="56" customWidth="1"/>
    <col min="11239" max="11239" width="18.453125" style="56" customWidth="1"/>
    <col min="11240" max="11240" width="16" style="56" bestFit="1" customWidth="1"/>
    <col min="11241" max="11488" width="8.81640625" style="56"/>
    <col min="11489" max="11489" width="7.81640625" style="56" customWidth="1"/>
    <col min="11490" max="11490" width="65.54296875" style="56" customWidth="1"/>
    <col min="11491" max="11492" width="7.54296875" style="56" bestFit="1" customWidth="1"/>
    <col min="11493" max="11493" width="15.453125" style="56" bestFit="1" customWidth="1"/>
    <col min="11494" max="11494" width="16.54296875" style="56" customWidth="1"/>
    <col min="11495" max="11495" width="18.453125" style="56" customWidth="1"/>
    <col min="11496" max="11496" width="16" style="56" bestFit="1" customWidth="1"/>
    <col min="11497" max="11744" width="8.81640625" style="56"/>
    <col min="11745" max="11745" width="7.81640625" style="56" customWidth="1"/>
    <col min="11746" max="11746" width="65.54296875" style="56" customWidth="1"/>
    <col min="11747" max="11748" width="7.54296875" style="56" bestFit="1" customWidth="1"/>
    <col min="11749" max="11749" width="15.453125" style="56" bestFit="1" customWidth="1"/>
    <col min="11750" max="11750" width="16.54296875" style="56" customWidth="1"/>
    <col min="11751" max="11751" width="18.453125" style="56" customWidth="1"/>
    <col min="11752" max="11752" width="16" style="56" bestFit="1" customWidth="1"/>
    <col min="11753" max="12000" width="8.81640625" style="56"/>
    <col min="12001" max="12001" width="7.81640625" style="56" customWidth="1"/>
    <col min="12002" max="12002" width="65.54296875" style="56" customWidth="1"/>
    <col min="12003" max="12004" width="7.54296875" style="56" bestFit="1" customWidth="1"/>
    <col min="12005" max="12005" width="15.453125" style="56" bestFit="1" customWidth="1"/>
    <col min="12006" max="12006" width="16.54296875" style="56" customWidth="1"/>
    <col min="12007" max="12007" width="18.453125" style="56" customWidth="1"/>
    <col min="12008" max="12008" width="16" style="56" bestFit="1" customWidth="1"/>
    <col min="12009" max="12256" width="8.81640625" style="56"/>
    <col min="12257" max="12257" width="7.81640625" style="56" customWidth="1"/>
    <col min="12258" max="12258" width="65.54296875" style="56" customWidth="1"/>
    <col min="12259" max="12260" width="7.54296875" style="56" bestFit="1" customWidth="1"/>
    <col min="12261" max="12261" width="15.453125" style="56" bestFit="1" customWidth="1"/>
    <col min="12262" max="12262" width="16.54296875" style="56" customWidth="1"/>
    <col min="12263" max="12263" width="18.453125" style="56" customWidth="1"/>
    <col min="12264" max="12264" width="16" style="56" bestFit="1" customWidth="1"/>
    <col min="12265" max="12512" width="8.81640625" style="56"/>
    <col min="12513" max="12513" width="7.81640625" style="56" customWidth="1"/>
    <col min="12514" max="12514" width="65.54296875" style="56" customWidth="1"/>
    <col min="12515" max="12516" width="7.54296875" style="56" bestFit="1" customWidth="1"/>
    <col min="12517" max="12517" width="15.453125" style="56" bestFit="1" customWidth="1"/>
    <col min="12518" max="12518" width="16.54296875" style="56" customWidth="1"/>
    <col min="12519" max="12519" width="18.453125" style="56" customWidth="1"/>
    <col min="12520" max="12520" width="16" style="56" bestFit="1" customWidth="1"/>
    <col min="12521" max="12768" width="8.81640625" style="56"/>
    <col min="12769" max="12769" width="7.81640625" style="56" customWidth="1"/>
    <col min="12770" max="12770" width="65.54296875" style="56" customWidth="1"/>
    <col min="12771" max="12772" width="7.54296875" style="56" bestFit="1" customWidth="1"/>
    <col min="12773" max="12773" width="15.453125" style="56" bestFit="1" customWidth="1"/>
    <col min="12774" max="12774" width="16.54296875" style="56" customWidth="1"/>
    <col min="12775" max="12775" width="18.453125" style="56" customWidth="1"/>
    <col min="12776" max="12776" width="16" style="56" bestFit="1" customWidth="1"/>
    <col min="12777" max="13024" width="8.81640625" style="56"/>
    <col min="13025" max="13025" width="7.81640625" style="56" customWidth="1"/>
    <col min="13026" max="13026" width="65.54296875" style="56" customWidth="1"/>
    <col min="13027" max="13028" width="7.54296875" style="56" bestFit="1" customWidth="1"/>
    <col min="13029" max="13029" width="15.453125" style="56" bestFit="1" customWidth="1"/>
    <col min="13030" max="13030" width="16.54296875" style="56" customWidth="1"/>
    <col min="13031" max="13031" width="18.453125" style="56" customWidth="1"/>
    <col min="13032" max="13032" width="16" style="56" bestFit="1" customWidth="1"/>
    <col min="13033" max="13280" width="8.81640625" style="56"/>
    <col min="13281" max="13281" width="7.81640625" style="56" customWidth="1"/>
    <col min="13282" max="13282" width="65.54296875" style="56" customWidth="1"/>
    <col min="13283" max="13284" width="7.54296875" style="56" bestFit="1" customWidth="1"/>
    <col min="13285" max="13285" width="15.453125" style="56" bestFit="1" customWidth="1"/>
    <col min="13286" max="13286" width="16.54296875" style="56" customWidth="1"/>
    <col min="13287" max="13287" width="18.453125" style="56" customWidth="1"/>
    <col min="13288" max="13288" width="16" style="56" bestFit="1" customWidth="1"/>
    <col min="13289" max="13536" width="8.81640625" style="56"/>
    <col min="13537" max="13537" width="7.81640625" style="56" customWidth="1"/>
    <col min="13538" max="13538" width="65.54296875" style="56" customWidth="1"/>
    <col min="13539" max="13540" width="7.54296875" style="56" bestFit="1" customWidth="1"/>
    <col min="13541" max="13541" width="15.453125" style="56" bestFit="1" customWidth="1"/>
    <col min="13542" max="13542" width="16.54296875" style="56" customWidth="1"/>
    <col min="13543" max="13543" width="18.453125" style="56" customWidth="1"/>
    <col min="13544" max="13544" width="16" style="56" bestFit="1" customWidth="1"/>
    <col min="13545" max="13792" width="8.81640625" style="56"/>
    <col min="13793" max="13793" width="7.81640625" style="56" customWidth="1"/>
    <col min="13794" max="13794" width="65.54296875" style="56" customWidth="1"/>
    <col min="13795" max="13796" width="7.54296875" style="56" bestFit="1" customWidth="1"/>
    <col min="13797" max="13797" width="15.453125" style="56" bestFit="1" customWidth="1"/>
    <col min="13798" max="13798" width="16.54296875" style="56" customWidth="1"/>
    <col min="13799" max="13799" width="18.453125" style="56" customWidth="1"/>
    <col min="13800" max="13800" width="16" style="56" bestFit="1" customWidth="1"/>
    <col min="13801" max="14048" width="8.81640625" style="56"/>
    <col min="14049" max="14049" width="7.81640625" style="56" customWidth="1"/>
    <col min="14050" max="14050" width="65.54296875" style="56" customWidth="1"/>
    <col min="14051" max="14052" width="7.54296875" style="56" bestFit="1" customWidth="1"/>
    <col min="14053" max="14053" width="15.453125" style="56" bestFit="1" customWidth="1"/>
    <col min="14054" max="14054" width="16.54296875" style="56" customWidth="1"/>
    <col min="14055" max="14055" width="18.453125" style="56" customWidth="1"/>
    <col min="14056" max="14056" width="16" style="56" bestFit="1" customWidth="1"/>
    <col min="14057" max="14304" width="8.81640625" style="56"/>
    <col min="14305" max="14305" width="7.81640625" style="56" customWidth="1"/>
    <col min="14306" max="14306" width="65.54296875" style="56" customWidth="1"/>
    <col min="14307" max="14308" width="7.54296875" style="56" bestFit="1" customWidth="1"/>
    <col min="14309" max="14309" width="15.453125" style="56" bestFit="1" customWidth="1"/>
    <col min="14310" max="14310" width="16.54296875" style="56" customWidth="1"/>
    <col min="14311" max="14311" width="18.453125" style="56" customWidth="1"/>
    <col min="14312" max="14312" width="16" style="56" bestFit="1" customWidth="1"/>
    <col min="14313" max="14560" width="8.81640625" style="56"/>
    <col min="14561" max="14561" width="7.81640625" style="56" customWidth="1"/>
    <col min="14562" max="14562" width="65.54296875" style="56" customWidth="1"/>
    <col min="14563" max="14564" width="7.54296875" style="56" bestFit="1" customWidth="1"/>
    <col min="14565" max="14565" width="15.453125" style="56" bestFit="1" customWidth="1"/>
    <col min="14566" max="14566" width="16.54296875" style="56" customWidth="1"/>
    <col min="14567" max="14567" width="18.453125" style="56" customWidth="1"/>
    <col min="14568" max="14568" width="16" style="56" bestFit="1" customWidth="1"/>
    <col min="14569" max="14816" width="8.81640625" style="56"/>
    <col min="14817" max="14817" width="7.81640625" style="56" customWidth="1"/>
    <col min="14818" max="14818" width="65.54296875" style="56" customWidth="1"/>
    <col min="14819" max="14820" width="7.54296875" style="56" bestFit="1" customWidth="1"/>
    <col min="14821" max="14821" width="15.453125" style="56" bestFit="1" customWidth="1"/>
    <col min="14822" max="14822" width="16.54296875" style="56" customWidth="1"/>
    <col min="14823" max="14823" width="18.453125" style="56" customWidth="1"/>
    <col min="14824" max="14824" width="16" style="56" bestFit="1" customWidth="1"/>
    <col min="14825" max="15072" width="8.81640625" style="56"/>
    <col min="15073" max="15073" width="7.81640625" style="56" customWidth="1"/>
    <col min="15074" max="15074" width="65.54296875" style="56" customWidth="1"/>
    <col min="15075" max="15076" width="7.54296875" style="56" bestFit="1" customWidth="1"/>
    <col min="15077" max="15077" width="15.453125" style="56" bestFit="1" customWidth="1"/>
    <col min="15078" max="15078" width="16.54296875" style="56" customWidth="1"/>
    <col min="15079" max="15079" width="18.453125" style="56" customWidth="1"/>
    <col min="15080" max="15080" width="16" style="56" bestFit="1" customWidth="1"/>
    <col min="15081" max="15328" width="8.81640625" style="56"/>
    <col min="15329" max="15329" width="7.81640625" style="56" customWidth="1"/>
    <col min="15330" max="15330" width="65.54296875" style="56" customWidth="1"/>
    <col min="15331" max="15332" width="7.54296875" style="56" bestFit="1" customWidth="1"/>
    <col min="15333" max="15333" width="15.453125" style="56" bestFit="1" customWidth="1"/>
    <col min="15334" max="15334" width="16.54296875" style="56" customWidth="1"/>
    <col min="15335" max="15335" width="18.453125" style="56" customWidth="1"/>
    <col min="15336" max="15336" width="16" style="56" bestFit="1" customWidth="1"/>
    <col min="15337" max="15584" width="8.81640625" style="56"/>
    <col min="15585" max="15585" width="7.81640625" style="56" customWidth="1"/>
    <col min="15586" max="15586" width="65.54296875" style="56" customWidth="1"/>
    <col min="15587" max="15588" width="7.54296875" style="56" bestFit="1" customWidth="1"/>
    <col min="15589" max="15589" width="15.453125" style="56" bestFit="1" customWidth="1"/>
    <col min="15590" max="15590" width="16.54296875" style="56" customWidth="1"/>
    <col min="15591" max="15591" width="18.453125" style="56" customWidth="1"/>
    <col min="15592" max="15592" width="16" style="56" bestFit="1" customWidth="1"/>
    <col min="15593" max="15840" width="8.81640625" style="56"/>
    <col min="15841" max="15841" width="7.81640625" style="56" customWidth="1"/>
    <col min="15842" max="15842" width="65.54296875" style="56" customWidth="1"/>
    <col min="15843" max="15844" width="7.54296875" style="56" bestFit="1" customWidth="1"/>
    <col min="15845" max="15845" width="15.453125" style="56" bestFit="1" customWidth="1"/>
    <col min="15846" max="15846" width="16.54296875" style="56" customWidth="1"/>
    <col min="15847" max="15847" width="18.453125" style="56" customWidth="1"/>
    <col min="15848" max="15848" width="16" style="56" bestFit="1" customWidth="1"/>
    <col min="15849" max="16096" width="8.81640625" style="56"/>
    <col min="16097" max="16097" width="7.81640625" style="56" customWidth="1"/>
    <col min="16098" max="16098" width="65.54296875" style="56" customWidth="1"/>
    <col min="16099" max="16100" width="7.54296875" style="56" bestFit="1" customWidth="1"/>
    <col min="16101" max="16101" width="15.453125" style="56" bestFit="1" customWidth="1"/>
    <col min="16102" max="16102" width="16.54296875" style="56" customWidth="1"/>
    <col min="16103" max="16103" width="18.453125" style="56" customWidth="1"/>
    <col min="16104" max="16104" width="16" style="56" bestFit="1" customWidth="1"/>
    <col min="16105" max="16384" width="8.81640625" style="56"/>
  </cols>
  <sheetData>
    <row r="1" spans="1:18" s="356" customFormat="1" ht="18" customHeight="1" x14ac:dyDescent="0.3">
      <c r="A1" s="766" t="s">
        <v>655</v>
      </c>
      <c r="B1" s="767"/>
      <c r="C1" s="767"/>
      <c r="D1" s="767"/>
      <c r="E1" s="767"/>
      <c r="F1" s="767"/>
      <c r="G1" s="767"/>
      <c r="H1" s="767"/>
      <c r="I1" s="767"/>
      <c r="J1" s="767"/>
      <c r="K1" s="767"/>
      <c r="L1" s="767"/>
      <c r="M1" s="767"/>
      <c r="N1" s="767"/>
      <c r="O1" s="767"/>
      <c r="P1" s="767"/>
      <c r="Q1" s="767"/>
      <c r="R1" s="767"/>
    </row>
    <row r="2" spans="1:18" s="356" customFormat="1" ht="18" customHeight="1" x14ac:dyDescent="0.3">
      <c r="A2" s="766" t="s">
        <v>654</v>
      </c>
      <c r="B2" s="767"/>
      <c r="C2" s="767"/>
      <c r="D2" s="767"/>
      <c r="E2" s="767"/>
      <c r="F2" s="767"/>
      <c r="G2" s="767"/>
      <c r="H2" s="767"/>
      <c r="I2" s="767"/>
      <c r="J2" s="767"/>
      <c r="K2" s="767"/>
      <c r="L2" s="767"/>
      <c r="M2" s="767"/>
      <c r="N2" s="767"/>
      <c r="O2" s="767"/>
      <c r="P2" s="767"/>
      <c r="Q2" s="767"/>
      <c r="R2" s="767"/>
    </row>
    <row r="3" spans="1:18" s="356" customFormat="1" ht="18" customHeight="1" x14ac:dyDescent="0.3">
      <c r="A3" s="766" t="s">
        <v>658</v>
      </c>
      <c r="B3" s="767"/>
      <c r="C3" s="767"/>
      <c r="D3" s="767"/>
      <c r="E3" s="767"/>
      <c r="F3" s="767"/>
      <c r="G3" s="767"/>
      <c r="H3" s="767"/>
      <c r="I3" s="767"/>
      <c r="J3" s="767"/>
      <c r="K3" s="767"/>
      <c r="L3" s="767"/>
      <c r="M3" s="767"/>
      <c r="N3" s="767"/>
      <c r="O3" s="767"/>
      <c r="P3" s="767"/>
      <c r="Q3" s="767"/>
      <c r="R3" s="767"/>
    </row>
    <row r="4" spans="1:18" s="356" customFormat="1" ht="18" customHeight="1" x14ac:dyDescent="0.3">
      <c r="A4" s="766" t="s">
        <v>653</v>
      </c>
      <c r="B4" s="767"/>
      <c r="C4" s="767"/>
      <c r="D4" s="767"/>
      <c r="E4" s="767"/>
      <c r="F4" s="767"/>
      <c r="G4" s="767"/>
      <c r="H4" s="767"/>
      <c r="I4" s="767"/>
      <c r="J4" s="767"/>
      <c r="K4" s="767"/>
      <c r="L4" s="767"/>
      <c r="M4" s="767"/>
      <c r="N4" s="767"/>
      <c r="O4" s="767"/>
      <c r="P4" s="767"/>
      <c r="Q4" s="767"/>
      <c r="R4" s="767"/>
    </row>
    <row r="5" spans="1:18" s="356" customFormat="1" ht="18" customHeight="1" x14ac:dyDescent="0.3">
      <c r="A5" s="766" t="s">
        <v>657</v>
      </c>
      <c r="B5" s="767"/>
      <c r="C5" s="767"/>
      <c r="D5" s="767"/>
      <c r="E5" s="767"/>
      <c r="F5" s="767"/>
      <c r="G5" s="767"/>
      <c r="H5" s="767"/>
      <c r="I5" s="767"/>
      <c r="J5" s="767"/>
      <c r="K5" s="767"/>
      <c r="L5" s="767"/>
      <c r="M5" s="767"/>
      <c r="N5" s="767"/>
      <c r="O5" s="767"/>
      <c r="P5" s="767"/>
      <c r="Q5" s="767"/>
      <c r="R5" s="767"/>
    </row>
    <row r="6" spans="1:18" s="356" customFormat="1" ht="18" customHeight="1" x14ac:dyDescent="0.3">
      <c r="A6" s="764" t="s">
        <v>746</v>
      </c>
      <c r="B6" s="765"/>
      <c r="C6" s="765"/>
      <c r="D6" s="765"/>
      <c r="E6" s="765"/>
      <c r="F6" s="765"/>
      <c r="G6" s="765"/>
      <c r="H6" s="765"/>
      <c r="I6" s="765"/>
      <c r="J6" s="765"/>
      <c r="K6" s="765"/>
      <c r="L6" s="765"/>
      <c r="M6" s="765"/>
      <c r="N6" s="765"/>
      <c r="O6" s="765"/>
      <c r="P6" s="765"/>
      <c r="Q6" s="765"/>
      <c r="R6" s="765"/>
    </row>
    <row r="7" spans="1:18" x14ac:dyDescent="0.3">
      <c r="A7" s="771" t="s">
        <v>8</v>
      </c>
      <c r="B7" s="771" t="s">
        <v>19</v>
      </c>
      <c r="C7" s="771" t="s">
        <v>9</v>
      </c>
      <c r="D7" s="771" t="s">
        <v>133</v>
      </c>
      <c r="E7" s="771" t="s">
        <v>17</v>
      </c>
      <c r="F7" s="775" t="s">
        <v>10</v>
      </c>
      <c r="G7" s="768" t="s">
        <v>650</v>
      </c>
      <c r="H7" s="769"/>
      <c r="I7" s="770"/>
      <c r="J7" s="768" t="s">
        <v>651</v>
      </c>
      <c r="K7" s="769"/>
      <c r="L7" s="769"/>
      <c r="M7" s="769"/>
      <c r="N7" s="770"/>
      <c r="O7" s="768" t="s">
        <v>652</v>
      </c>
      <c r="P7" s="769"/>
      <c r="Q7" s="770"/>
      <c r="R7" s="775" t="s">
        <v>10</v>
      </c>
    </row>
    <row r="8" spans="1:18" x14ac:dyDescent="0.3">
      <c r="A8" s="772"/>
      <c r="B8" s="772"/>
      <c r="C8" s="772"/>
      <c r="D8" s="772"/>
      <c r="E8" s="772"/>
      <c r="F8" s="776"/>
      <c r="G8" s="225" t="s">
        <v>16</v>
      </c>
      <c r="H8" s="225" t="s">
        <v>15</v>
      </c>
      <c r="I8" s="225" t="s">
        <v>11</v>
      </c>
      <c r="J8" s="225" t="s">
        <v>645</v>
      </c>
      <c r="K8" s="348" t="s">
        <v>648</v>
      </c>
      <c r="L8" s="225" t="s">
        <v>646</v>
      </c>
      <c r="M8" s="225" t="s">
        <v>647</v>
      </c>
      <c r="N8" s="348" t="s">
        <v>649</v>
      </c>
      <c r="O8" s="225" t="s">
        <v>645</v>
      </c>
      <c r="P8" s="225" t="s">
        <v>646</v>
      </c>
      <c r="Q8" s="225" t="s">
        <v>647</v>
      </c>
      <c r="R8" s="776"/>
    </row>
    <row r="9" spans="1:18" x14ac:dyDescent="0.3">
      <c r="A9" s="102"/>
      <c r="B9" s="117"/>
      <c r="C9" s="124"/>
      <c r="D9" s="102"/>
      <c r="E9" s="118"/>
      <c r="F9" s="140"/>
      <c r="G9" s="140"/>
      <c r="H9" s="140"/>
      <c r="I9" s="140"/>
      <c r="J9" s="140"/>
      <c r="K9" s="351"/>
      <c r="L9" s="140"/>
      <c r="M9" s="140"/>
      <c r="N9" s="351"/>
      <c r="O9" s="140"/>
      <c r="P9" s="140"/>
      <c r="Q9" s="140"/>
      <c r="R9" s="140"/>
    </row>
    <row r="10" spans="1:18" x14ac:dyDescent="0.3">
      <c r="A10" s="102"/>
      <c r="B10" s="117"/>
      <c r="C10" s="124"/>
      <c r="D10" s="102"/>
      <c r="E10" s="118"/>
      <c r="F10" s="140"/>
      <c r="G10" s="140"/>
      <c r="H10" s="140"/>
      <c r="I10" s="140"/>
      <c r="J10" s="140"/>
      <c r="K10" s="351"/>
      <c r="L10" s="140"/>
      <c r="M10" s="140"/>
      <c r="N10" s="351"/>
      <c r="O10" s="140"/>
      <c r="P10" s="140"/>
      <c r="Q10" s="140"/>
      <c r="R10" s="140"/>
    </row>
    <row r="11" spans="1:18" x14ac:dyDescent="0.3">
      <c r="A11" s="103" t="s">
        <v>92</v>
      </c>
      <c r="B11" s="103"/>
      <c r="C11" s="137" t="s">
        <v>93</v>
      </c>
      <c r="D11" s="103"/>
      <c r="E11" s="103"/>
      <c r="F11" s="98"/>
      <c r="G11" s="225"/>
      <c r="H11" s="225"/>
      <c r="I11" s="225"/>
      <c r="J11" s="225"/>
      <c r="K11" s="348"/>
      <c r="L11" s="225"/>
      <c r="M11" s="225"/>
      <c r="N11" s="348"/>
      <c r="O11" s="225"/>
      <c r="P11" s="225"/>
      <c r="Q11" s="225"/>
      <c r="R11" s="140"/>
    </row>
    <row r="12" spans="1:18" x14ac:dyDescent="0.3">
      <c r="A12" s="135"/>
      <c r="B12" s="142"/>
      <c r="C12" s="126"/>
      <c r="D12" s="143"/>
      <c r="E12" s="126"/>
      <c r="F12" s="140"/>
      <c r="G12" s="121"/>
      <c r="H12" s="121"/>
      <c r="I12" s="140"/>
      <c r="J12" s="140"/>
      <c r="K12" s="351"/>
      <c r="L12" s="140"/>
      <c r="M12" s="248"/>
      <c r="N12" s="351"/>
      <c r="O12" s="140"/>
      <c r="P12" s="140"/>
      <c r="Q12" s="140"/>
      <c r="R12" s="140"/>
    </row>
    <row r="13" spans="1:18" ht="120" x14ac:dyDescent="0.3">
      <c r="A13" s="134">
        <v>1</v>
      </c>
      <c r="B13" s="127" t="s">
        <v>94</v>
      </c>
      <c r="C13" s="126" t="s">
        <v>213</v>
      </c>
      <c r="D13" s="144" t="s">
        <v>135</v>
      </c>
      <c r="E13" s="144" t="s">
        <v>242</v>
      </c>
      <c r="F13" s="140" t="s">
        <v>95</v>
      </c>
      <c r="G13" s="121">
        <v>1</v>
      </c>
      <c r="H13" s="121">
        <v>42312</v>
      </c>
      <c r="I13" s="121">
        <f>$G13*H13</f>
        <v>42312</v>
      </c>
      <c r="J13" s="121">
        <v>1</v>
      </c>
      <c r="K13" s="350">
        <v>0.7</v>
      </c>
      <c r="L13" s="121">
        <f>M13-J13</f>
        <v>0</v>
      </c>
      <c r="M13" s="249">
        <f>'Int. MB'!M5</f>
        <v>1</v>
      </c>
      <c r="N13" s="350">
        <v>1</v>
      </c>
      <c r="O13" s="121">
        <f>H13*J13*K13</f>
        <v>29618.399999999998</v>
      </c>
      <c r="P13" s="121">
        <f>Q13-O13</f>
        <v>12693.600000000002</v>
      </c>
      <c r="Q13" s="121">
        <f>H13*M13*N13</f>
        <v>42312</v>
      </c>
      <c r="R13" s="140"/>
    </row>
    <row r="14" spans="1:18" s="57" customFormat="1" x14ac:dyDescent="0.25">
      <c r="A14" s="134"/>
      <c r="B14" s="127"/>
      <c r="C14" s="126"/>
      <c r="D14" s="144"/>
      <c r="E14" s="144"/>
      <c r="F14" s="140"/>
      <c r="G14" s="121"/>
      <c r="H14" s="121"/>
      <c r="I14" s="121"/>
      <c r="J14" s="121">
        <v>0</v>
      </c>
      <c r="K14" s="350"/>
      <c r="L14" s="121">
        <f t="shared" ref="L14:L75" si="0">M14-J14</f>
        <v>0</v>
      </c>
      <c r="M14" s="249"/>
      <c r="N14" s="350"/>
      <c r="O14" s="121">
        <f t="shared" ref="O14:O77" si="1">H14*J14*K14</f>
        <v>0</v>
      </c>
      <c r="P14" s="121">
        <f t="shared" ref="P14:P77" si="2">Q14-O14</f>
        <v>0</v>
      </c>
      <c r="Q14" s="121">
        <f t="shared" ref="Q14:Q77" si="3">H14*M14*N14</f>
        <v>0</v>
      </c>
      <c r="R14" s="140"/>
    </row>
    <row r="15" spans="1:18" ht="120" x14ac:dyDescent="0.3">
      <c r="A15" s="134">
        <v>2</v>
      </c>
      <c r="B15" s="127" t="s">
        <v>96</v>
      </c>
      <c r="C15" s="126" t="s">
        <v>214</v>
      </c>
      <c r="D15" s="144" t="s">
        <v>136</v>
      </c>
      <c r="E15" s="144" t="s">
        <v>243</v>
      </c>
      <c r="F15" s="140" t="s">
        <v>95</v>
      </c>
      <c r="G15" s="121">
        <v>1</v>
      </c>
      <c r="H15" s="121">
        <v>32450</v>
      </c>
      <c r="I15" s="121">
        <f>$G15*H15</f>
        <v>32450</v>
      </c>
      <c r="J15" s="121">
        <v>1</v>
      </c>
      <c r="K15" s="350">
        <v>0.7</v>
      </c>
      <c r="L15" s="121">
        <f t="shared" si="0"/>
        <v>0</v>
      </c>
      <c r="M15" s="249">
        <f>'Int. MB'!M7</f>
        <v>1</v>
      </c>
      <c r="N15" s="350">
        <v>1</v>
      </c>
      <c r="O15" s="121">
        <f t="shared" si="1"/>
        <v>22715</v>
      </c>
      <c r="P15" s="121">
        <f t="shared" si="2"/>
        <v>9735</v>
      </c>
      <c r="Q15" s="121">
        <f t="shared" si="3"/>
        <v>32450</v>
      </c>
      <c r="R15" s="140"/>
    </row>
    <row r="16" spans="1:18" s="57" customFormat="1" x14ac:dyDescent="0.25">
      <c r="A16" s="135"/>
      <c r="B16" s="142"/>
      <c r="C16" s="126"/>
      <c r="D16" s="143"/>
      <c r="E16" s="126"/>
      <c r="F16" s="140"/>
      <c r="G16" s="121"/>
      <c r="H16" s="121"/>
      <c r="I16" s="140"/>
      <c r="J16" s="140">
        <v>0</v>
      </c>
      <c r="K16" s="351"/>
      <c r="L16" s="121">
        <f t="shared" si="0"/>
        <v>0</v>
      </c>
      <c r="M16" s="248"/>
      <c r="N16" s="351"/>
      <c r="O16" s="121">
        <f t="shared" si="1"/>
        <v>0</v>
      </c>
      <c r="P16" s="121">
        <f t="shared" si="2"/>
        <v>0</v>
      </c>
      <c r="Q16" s="121">
        <f t="shared" si="3"/>
        <v>0</v>
      </c>
      <c r="R16" s="140"/>
    </row>
    <row r="17" spans="1:18" x14ac:dyDescent="0.3">
      <c r="A17" s="134"/>
      <c r="B17" s="127"/>
      <c r="C17" s="126"/>
      <c r="D17" s="144"/>
      <c r="E17" s="144"/>
      <c r="F17" s="140"/>
      <c r="G17" s="121"/>
      <c r="H17" s="121"/>
      <c r="I17" s="121"/>
      <c r="J17" s="121">
        <v>0</v>
      </c>
      <c r="K17" s="350"/>
      <c r="L17" s="121">
        <f t="shared" si="0"/>
        <v>0</v>
      </c>
      <c r="M17" s="249"/>
      <c r="N17" s="350"/>
      <c r="O17" s="121">
        <f t="shared" si="1"/>
        <v>0</v>
      </c>
      <c r="P17" s="121">
        <f t="shared" si="2"/>
        <v>0</v>
      </c>
      <c r="Q17" s="121">
        <f t="shared" si="3"/>
        <v>0</v>
      </c>
      <c r="R17" s="140"/>
    </row>
    <row r="18" spans="1:18" s="57" customFormat="1" x14ac:dyDescent="0.25">
      <c r="A18" s="145"/>
      <c r="B18" s="146"/>
      <c r="C18" s="126"/>
      <c r="D18" s="143"/>
      <c r="E18" s="143"/>
      <c r="F18" s="140"/>
      <c r="G18" s="140"/>
      <c r="H18" s="140"/>
      <c r="I18" s="140"/>
      <c r="J18" s="140">
        <v>0</v>
      </c>
      <c r="K18" s="351"/>
      <c r="L18" s="121">
        <f t="shared" si="0"/>
        <v>0</v>
      </c>
      <c r="M18" s="248"/>
      <c r="N18" s="351"/>
      <c r="O18" s="121">
        <f t="shared" si="1"/>
        <v>0</v>
      </c>
      <c r="P18" s="121">
        <f t="shared" si="2"/>
        <v>0</v>
      </c>
      <c r="Q18" s="121">
        <f t="shared" si="3"/>
        <v>0</v>
      </c>
      <c r="R18" s="140"/>
    </row>
    <row r="19" spans="1:18" s="57" customFormat="1" ht="72" x14ac:dyDescent="0.3">
      <c r="A19" s="145">
        <v>5</v>
      </c>
      <c r="B19" s="146" t="s">
        <v>97</v>
      </c>
      <c r="C19" s="147" t="s">
        <v>282</v>
      </c>
      <c r="D19" s="143" t="s">
        <v>134</v>
      </c>
      <c r="E19" s="143" t="s">
        <v>244</v>
      </c>
      <c r="F19" s="140" t="s">
        <v>95</v>
      </c>
      <c r="G19" s="140">
        <v>1</v>
      </c>
      <c r="H19" s="140">
        <v>51234</v>
      </c>
      <c r="I19" s="140">
        <f>$G19*H19</f>
        <v>51234</v>
      </c>
      <c r="J19" s="140">
        <v>1</v>
      </c>
      <c r="K19" s="351">
        <v>0.8</v>
      </c>
      <c r="L19" s="121">
        <f t="shared" si="0"/>
        <v>0</v>
      </c>
      <c r="M19" s="248">
        <f>'Int. MB'!M9</f>
        <v>1</v>
      </c>
      <c r="N19" s="351">
        <v>1</v>
      </c>
      <c r="O19" s="121">
        <f t="shared" si="1"/>
        <v>40987.200000000004</v>
      </c>
      <c r="P19" s="121">
        <f t="shared" si="2"/>
        <v>10246.799999999996</v>
      </c>
      <c r="Q19" s="121">
        <f t="shared" si="3"/>
        <v>51234</v>
      </c>
      <c r="R19" s="140"/>
    </row>
    <row r="20" spans="1:18" x14ac:dyDescent="0.3">
      <c r="A20" s="130"/>
      <c r="B20" s="148"/>
      <c r="C20" s="126"/>
      <c r="D20" s="143"/>
      <c r="E20" s="126"/>
      <c r="F20" s="143"/>
      <c r="G20" s="121"/>
      <c r="H20" s="121"/>
      <c r="I20" s="140"/>
      <c r="J20" s="140">
        <v>0</v>
      </c>
      <c r="K20" s="351"/>
      <c r="L20" s="121">
        <f t="shared" si="0"/>
        <v>0</v>
      </c>
      <c r="M20" s="248"/>
      <c r="N20" s="351"/>
      <c r="O20" s="121">
        <f t="shared" si="1"/>
        <v>0</v>
      </c>
      <c r="P20" s="121">
        <f t="shared" si="2"/>
        <v>0</v>
      </c>
      <c r="Q20" s="121">
        <f t="shared" si="3"/>
        <v>0</v>
      </c>
      <c r="R20" s="140"/>
    </row>
    <row r="21" spans="1:18" x14ac:dyDescent="0.3">
      <c r="A21" s="103" t="s">
        <v>93</v>
      </c>
      <c r="B21" s="103"/>
      <c r="C21" s="137" t="s">
        <v>93</v>
      </c>
      <c r="D21" s="103"/>
      <c r="E21" s="103"/>
      <c r="F21" s="98"/>
      <c r="G21" s="225"/>
      <c r="H21" s="225"/>
      <c r="I21" s="225"/>
      <c r="J21" s="225">
        <v>0</v>
      </c>
      <c r="K21" s="348"/>
      <c r="L21" s="121">
        <f t="shared" si="0"/>
        <v>0</v>
      </c>
      <c r="M21" s="671"/>
      <c r="N21" s="348"/>
      <c r="O21" s="121">
        <f t="shared" si="1"/>
        <v>0</v>
      </c>
      <c r="P21" s="121">
        <f t="shared" si="2"/>
        <v>0</v>
      </c>
      <c r="Q21" s="121">
        <f t="shared" si="3"/>
        <v>0</v>
      </c>
      <c r="R21" s="140"/>
    </row>
    <row r="22" spans="1:18" ht="96" x14ac:dyDescent="0.3">
      <c r="A22" s="788">
        <v>1</v>
      </c>
      <c r="B22" s="789" t="s">
        <v>131</v>
      </c>
      <c r="C22" s="126" t="s">
        <v>215</v>
      </c>
      <c r="D22" s="790" t="s">
        <v>226</v>
      </c>
      <c r="E22" s="790" t="s">
        <v>245</v>
      </c>
      <c r="F22" s="791" t="s">
        <v>95</v>
      </c>
      <c r="G22" s="243">
        <v>1</v>
      </c>
      <c r="H22" s="243">
        <v>43560</v>
      </c>
      <c r="I22" s="243">
        <f>$G22*H22</f>
        <v>43560</v>
      </c>
      <c r="J22" s="121">
        <v>1</v>
      </c>
      <c r="K22" s="350">
        <v>1</v>
      </c>
      <c r="L22" s="121">
        <f t="shared" si="0"/>
        <v>0</v>
      </c>
      <c r="M22" s="249">
        <f>'Int. MB'!M12</f>
        <v>1</v>
      </c>
      <c r="N22" s="350">
        <v>1</v>
      </c>
      <c r="O22" s="121">
        <f t="shared" si="1"/>
        <v>43560</v>
      </c>
      <c r="P22" s="121">
        <f t="shared" si="2"/>
        <v>0</v>
      </c>
      <c r="Q22" s="121">
        <f t="shared" si="3"/>
        <v>43560</v>
      </c>
      <c r="R22" s="140"/>
    </row>
    <row r="23" spans="1:18" ht="24" customHeight="1" x14ac:dyDescent="0.3">
      <c r="A23" s="788"/>
      <c r="B23" s="789"/>
      <c r="C23" s="149" t="s">
        <v>98</v>
      </c>
      <c r="D23" s="790"/>
      <c r="E23" s="790"/>
      <c r="F23" s="791"/>
      <c r="G23" s="243"/>
      <c r="H23" s="243"/>
      <c r="I23" s="243"/>
      <c r="J23" s="121">
        <v>0</v>
      </c>
      <c r="K23" s="350"/>
      <c r="L23" s="121">
        <f t="shared" si="0"/>
        <v>0</v>
      </c>
      <c r="M23" s="249"/>
      <c r="N23" s="350"/>
      <c r="O23" s="121">
        <f t="shared" si="1"/>
        <v>0</v>
      </c>
      <c r="P23" s="121">
        <f t="shared" si="2"/>
        <v>0</v>
      </c>
      <c r="Q23" s="121">
        <f t="shared" si="3"/>
        <v>0</v>
      </c>
      <c r="R23" s="140"/>
    </row>
    <row r="24" spans="1:18" ht="24" customHeight="1" x14ac:dyDescent="0.3">
      <c r="A24" s="788"/>
      <c r="B24" s="789"/>
      <c r="C24" s="150" t="s">
        <v>99</v>
      </c>
      <c r="D24" s="790"/>
      <c r="E24" s="790"/>
      <c r="F24" s="791"/>
      <c r="G24" s="243"/>
      <c r="H24" s="243"/>
      <c r="I24" s="243"/>
      <c r="J24" s="121">
        <v>0</v>
      </c>
      <c r="K24" s="350"/>
      <c r="L24" s="121">
        <f t="shared" si="0"/>
        <v>0</v>
      </c>
      <c r="M24" s="249"/>
      <c r="N24" s="350"/>
      <c r="O24" s="121">
        <f t="shared" si="1"/>
        <v>0</v>
      </c>
      <c r="P24" s="121">
        <f t="shared" si="2"/>
        <v>0</v>
      </c>
      <c r="Q24" s="121">
        <f t="shared" si="3"/>
        <v>0</v>
      </c>
      <c r="R24" s="140"/>
    </row>
    <row r="25" spans="1:18" ht="24" customHeight="1" x14ac:dyDescent="0.3">
      <c r="A25" s="788"/>
      <c r="B25" s="789"/>
      <c r="C25" s="150" t="s">
        <v>100</v>
      </c>
      <c r="D25" s="790"/>
      <c r="E25" s="790"/>
      <c r="F25" s="791"/>
      <c r="G25" s="243"/>
      <c r="H25" s="243"/>
      <c r="I25" s="243"/>
      <c r="J25" s="121">
        <v>0</v>
      </c>
      <c r="K25" s="350"/>
      <c r="L25" s="121">
        <f t="shared" si="0"/>
        <v>0</v>
      </c>
      <c r="M25" s="249"/>
      <c r="N25" s="350"/>
      <c r="O25" s="121">
        <f t="shared" si="1"/>
        <v>0</v>
      </c>
      <c r="P25" s="121">
        <f t="shared" si="2"/>
        <v>0</v>
      </c>
      <c r="Q25" s="121">
        <f t="shared" si="3"/>
        <v>0</v>
      </c>
      <c r="R25" s="140"/>
    </row>
    <row r="26" spans="1:18" x14ac:dyDescent="0.3">
      <c r="A26" s="135"/>
      <c r="B26" s="148"/>
      <c r="C26" s="126"/>
      <c r="D26" s="143"/>
      <c r="E26" s="126"/>
      <c r="F26" s="140"/>
      <c r="G26" s="121"/>
      <c r="H26" s="121"/>
      <c r="I26" s="140"/>
      <c r="J26" s="140">
        <v>0</v>
      </c>
      <c r="K26" s="351"/>
      <c r="L26" s="121">
        <f t="shared" si="0"/>
        <v>0</v>
      </c>
      <c r="M26" s="248"/>
      <c r="N26" s="351"/>
      <c r="O26" s="121">
        <f t="shared" si="1"/>
        <v>0</v>
      </c>
      <c r="P26" s="121">
        <f t="shared" si="2"/>
        <v>0</v>
      </c>
      <c r="Q26" s="121">
        <f t="shared" si="3"/>
        <v>0</v>
      </c>
      <c r="R26" s="140"/>
    </row>
    <row r="27" spans="1:18" ht="108" x14ac:dyDescent="0.3">
      <c r="A27" s="788">
        <v>2</v>
      </c>
      <c r="B27" s="789" t="s">
        <v>101</v>
      </c>
      <c r="C27" s="126" t="s">
        <v>102</v>
      </c>
      <c r="D27" s="790" t="s">
        <v>227</v>
      </c>
      <c r="E27" s="790" t="s">
        <v>246</v>
      </c>
      <c r="F27" s="794" t="s">
        <v>61</v>
      </c>
      <c r="G27" s="243">
        <v>1</v>
      </c>
      <c r="H27" s="243">
        <v>76235</v>
      </c>
      <c r="I27" s="243">
        <f>$G27*H27</f>
        <v>76235</v>
      </c>
      <c r="J27" s="121">
        <v>1</v>
      </c>
      <c r="K27" s="350">
        <v>1</v>
      </c>
      <c r="L27" s="121">
        <f t="shared" si="0"/>
        <v>0</v>
      </c>
      <c r="M27" s="249">
        <f>'Int. MB'!M14</f>
        <v>1</v>
      </c>
      <c r="N27" s="350">
        <v>1</v>
      </c>
      <c r="O27" s="121">
        <f t="shared" si="1"/>
        <v>76235</v>
      </c>
      <c r="P27" s="121">
        <f t="shared" si="2"/>
        <v>0</v>
      </c>
      <c r="Q27" s="121">
        <f t="shared" si="3"/>
        <v>76235</v>
      </c>
      <c r="R27" s="140"/>
    </row>
    <row r="28" spans="1:18" ht="24" customHeight="1" x14ac:dyDescent="0.3">
      <c r="A28" s="788"/>
      <c r="B28" s="789"/>
      <c r="C28" s="149" t="s">
        <v>98</v>
      </c>
      <c r="D28" s="790"/>
      <c r="E28" s="790"/>
      <c r="F28" s="794"/>
      <c r="G28" s="243"/>
      <c r="H28" s="243"/>
      <c r="I28" s="243"/>
      <c r="J28" s="121">
        <v>0</v>
      </c>
      <c r="K28" s="350"/>
      <c r="L28" s="121">
        <f t="shared" si="0"/>
        <v>0</v>
      </c>
      <c r="M28" s="249"/>
      <c r="N28" s="350"/>
      <c r="O28" s="121">
        <f t="shared" si="1"/>
        <v>0</v>
      </c>
      <c r="P28" s="121">
        <f t="shared" si="2"/>
        <v>0</v>
      </c>
      <c r="Q28" s="121">
        <f t="shared" si="3"/>
        <v>0</v>
      </c>
      <c r="R28" s="140"/>
    </row>
    <row r="29" spans="1:18" ht="24" customHeight="1" x14ac:dyDescent="0.3">
      <c r="A29" s="788"/>
      <c r="B29" s="789"/>
      <c r="C29" s="150" t="s">
        <v>99</v>
      </c>
      <c r="D29" s="790"/>
      <c r="E29" s="790"/>
      <c r="F29" s="794"/>
      <c r="G29" s="243"/>
      <c r="H29" s="243"/>
      <c r="I29" s="243"/>
      <c r="J29" s="121">
        <v>0</v>
      </c>
      <c r="K29" s="350"/>
      <c r="L29" s="121">
        <f t="shared" si="0"/>
        <v>0</v>
      </c>
      <c r="M29" s="249"/>
      <c r="N29" s="350"/>
      <c r="O29" s="121">
        <f t="shared" si="1"/>
        <v>0</v>
      </c>
      <c r="P29" s="121">
        <f t="shared" si="2"/>
        <v>0</v>
      </c>
      <c r="Q29" s="121">
        <f t="shared" si="3"/>
        <v>0</v>
      </c>
      <c r="R29" s="140"/>
    </row>
    <row r="30" spans="1:18" ht="24" customHeight="1" x14ac:dyDescent="0.3">
      <c r="A30" s="788"/>
      <c r="B30" s="789"/>
      <c r="C30" s="150" t="s">
        <v>100</v>
      </c>
      <c r="D30" s="790"/>
      <c r="E30" s="790"/>
      <c r="F30" s="794"/>
      <c r="G30" s="243"/>
      <c r="H30" s="243"/>
      <c r="I30" s="243"/>
      <c r="J30" s="121">
        <v>0</v>
      </c>
      <c r="K30" s="350"/>
      <c r="L30" s="121">
        <f t="shared" si="0"/>
        <v>0</v>
      </c>
      <c r="M30" s="249"/>
      <c r="N30" s="350"/>
      <c r="O30" s="121">
        <f t="shared" si="1"/>
        <v>0</v>
      </c>
      <c r="P30" s="121">
        <f t="shared" si="2"/>
        <v>0</v>
      </c>
      <c r="Q30" s="121">
        <f t="shared" si="3"/>
        <v>0</v>
      </c>
      <c r="R30" s="140"/>
    </row>
    <row r="31" spans="1:18" x14ac:dyDescent="0.3">
      <c r="A31" s="134"/>
      <c r="B31" s="143" t="s">
        <v>1</v>
      </c>
      <c r="C31" s="150" t="s">
        <v>132</v>
      </c>
      <c r="D31" s="143"/>
      <c r="E31" s="143"/>
      <c r="F31" s="140" t="s">
        <v>61</v>
      </c>
      <c r="G31" s="121">
        <v>1</v>
      </c>
      <c r="H31" s="121">
        <v>0</v>
      </c>
      <c r="I31" s="121">
        <f t="shared" ref="I31:I33" si="4">$G31*H31</f>
        <v>0</v>
      </c>
      <c r="J31" s="121">
        <v>1</v>
      </c>
      <c r="K31" s="350">
        <v>0.7</v>
      </c>
      <c r="L31" s="121">
        <f t="shared" si="0"/>
        <v>-1</v>
      </c>
      <c r="M31" s="249"/>
      <c r="N31" s="350"/>
      <c r="O31" s="121">
        <f t="shared" si="1"/>
        <v>0</v>
      </c>
      <c r="P31" s="121">
        <f t="shared" si="2"/>
        <v>0</v>
      </c>
      <c r="Q31" s="121">
        <f t="shared" si="3"/>
        <v>0</v>
      </c>
      <c r="R31" s="140"/>
    </row>
    <row r="32" spans="1:18" x14ac:dyDescent="0.3">
      <c r="A32" s="134"/>
      <c r="B32" s="143" t="s">
        <v>2</v>
      </c>
      <c r="C32" s="126" t="s">
        <v>103</v>
      </c>
      <c r="D32" s="143"/>
      <c r="E32" s="143"/>
      <c r="F32" s="140" t="s">
        <v>45</v>
      </c>
      <c r="G32" s="121">
        <v>180</v>
      </c>
      <c r="H32" s="121">
        <v>193</v>
      </c>
      <c r="I32" s="140">
        <f t="shared" si="4"/>
        <v>34740</v>
      </c>
      <c r="J32" s="140">
        <v>180</v>
      </c>
      <c r="K32" s="351">
        <v>1</v>
      </c>
      <c r="L32" s="121">
        <f t="shared" si="0"/>
        <v>0</v>
      </c>
      <c r="M32" s="248">
        <f>'Int. MB'!M16</f>
        <v>180</v>
      </c>
      <c r="N32" s="351">
        <v>1</v>
      </c>
      <c r="O32" s="121">
        <f t="shared" si="1"/>
        <v>34740</v>
      </c>
      <c r="P32" s="121">
        <f t="shared" si="2"/>
        <v>0</v>
      </c>
      <c r="Q32" s="121">
        <f t="shared" si="3"/>
        <v>34740</v>
      </c>
      <c r="R32" s="140"/>
    </row>
    <row r="33" spans="1:18" ht="24" x14ac:dyDescent="0.3">
      <c r="A33" s="134"/>
      <c r="B33" s="143" t="s">
        <v>3</v>
      </c>
      <c r="C33" s="126" t="s">
        <v>104</v>
      </c>
      <c r="D33" s="143"/>
      <c r="E33" s="143" t="s">
        <v>247</v>
      </c>
      <c r="F33" s="140" t="s">
        <v>61</v>
      </c>
      <c r="G33" s="121">
        <v>12</v>
      </c>
      <c r="H33" s="121">
        <v>2833</v>
      </c>
      <c r="I33" s="140">
        <f t="shared" si="4"/>
        <v>33996</v>
      </c>
      <c r="J33" s="140">
        <v>12</v>
      </c>
      <c r="K33" s="351">
        <v>1</v>
      </c>
      <c r="L33" s="121">
        <f t="shared" si="0"/>
        <v>0</v>
      </c>
      <c r="M33" s="248">
        <f>'Int. MB'!M17</f>
        <v>12</v>
      </c>
      <c r="N33" s="351">
        <v>1</v>
      </c>
      <c r="O33" s="121">
        <f t="shared" si="1"/>
        <v>33996</v>
      </c>
      <c r="P33" s="121">
        <f t="shared" si="2"/>
        <v>0</v>
      </c>
      <c r="Q33" s="121">
        <f t="shared" si="3"/>
        <v>33996</v>
      </c>
      <c r="R33" s="140"/>
    </row>
    <row r="34" spans="1:18" x14ac:dyDescent="0.3">
      <c r="A34" s="134"/>
      <c r="B34" s="127"/>
      <c r="C34" s="126"/>
      <c r="D34" s="143"/>
      <c r="E34" s="143"/>
      <c r="F34" s="140"/>
      <c r="G34" s="121"/>
      <c r="H34" s="121"/>
      <c r="I34" s="140"/>
      <c r="J34" s="140">
        <v>0</v>
      </c>
      <c r="K34" s="351"/>
      <c r="L34" s="121">
        <f t="shared" si="0"/>
        <v>0</v>
      </c>
      <c r="M34" s="248"/>
      <c r="N34" s="351"/>
      <c r="O34" s="121">
        <f t="shared" si="1"/>
        <v>0</v>
      </c>
      <c r="P34" s="121">
        <f t="shared" si="2"/>
        <v>0</v>
      </c>
      <c r="Q34" s="121">
        <f t="shared" si="3"/>
        <v>0</v>
      </c>
      <c r="R34" s="140"/>
    </row>
    <row r="35" spans="1:18" x14ac:dyDescent="0.3">
      <c r="A35" s="134"/>
      <c r="B35" s="127"/>
      <c r="C35" s="126"/>
      <c r="D35" s="143"/>
      <c r="E35" s="143"/>
      <c r="F35" s="140"/>
      <c r="G35" s="121"/>
      <c r="H35" s="121"/>
      <c r="I35" s="140"/>
      <c r="J35" s="140">
        <v>0</v>
      </c>
      <c r="K35" s="351"/>
      <c r="L35" s="121">
        <f t="shared" si="0"/>
        <v>0</v>
      </c>
      <c r="M35" s="248"/>
      <c r="N35" s="351"/>
      <c r="O35" s="121">
        <f t="shared" si="1"/>
        <v>0</v>
      </c>
      <c r="P35" s="121">
        <f t="shared" si="2"/>
        <v>0</v>
      </c>
      <c r="Q35" s="121">
        <f t="shared" si="3"/>
        <v>0</v>
      </c>
      <c r="R35" s="140"/>
    </row>
    <row r="36" spans="1:18" ht="96" x14ac:dyDescent="0.3">
      <c r="A36" s="134">
        <v>3</v>
      </c>
      <c r="B36" s="127" t="s">
        <v>253</v>
      </c>
      <c r="C36" s="126" t="s">
        <v>254</v>
      </c>
      <c r="D36" s="143"/>
      <c r="E36" s="143"/>
      <c r="F36" s="140"/>
      <c r="G36" s="121"/>
      <c r="H36" s="121"/>
      <c r="I36" s="140"/>
      <c r="J36" s="140">
        <v>0</v>
      </c>
      <c r="K36" s="351"/>
      <c r="L36" s="121">
        <f t="shared" si="0"/>
        <v>0</v>
      </c>
      <c r="M36" s="248"/>
      <c r="N36" s="351"/>
      <c r="O36" s="121">
        <f t="shared" si="1"/>
        <v>0</v>
      </c>
      <c r="P36" s="121">
        <f t="shared" si="2"/>
        <v>0</v>
      </c>
      <c r="Q36" s="121">
        <f t="shared" si="3"/>
        <v>0</v>
      </c>
      <c r="R36" s="140"/>
    </row>
    <row r="37" spans="1:18" ht="24" x14ac:dyDescent="0.3">
      <c r="A37" s="134"/>
      <c r="B37" s="127"/>
      <c r="C37" s="149" t="s">
        <v>98</v>
      </c>
      <c r="D37" s="143"/>
      <c r="E37" s="143"/>
      <c r="F37" s="140"/>
      <c r="G37" s="121"/>
      <c r="H37" s="121"/>
      <c r="I37" s="140"/>
      <c r="J37" s="140">
        <v>0</v>
      </c>
      <c r="K37" s="351"/>
      <c r="L37" s="121">
        <f t="shared" si="0"/>
        <v>0</v>
      </c>
      <c r="M37" s="248"/>
      <c r="N37" s="351"/>
      <c r="O37" s="121">
        <f t="shared" si="1"/>
        <v>0</v>
      </c>
      <c r="P37" s="121">
        <f t="shared" si="2"/>
        <v>0</v>
      </c>
      <c r="Q37" s="121">
        <f t="shared" si="3"/>
        <v>0</v>
      </c>
      <c r="R37" s="140"/>
    </row>
    <row r="38" spans="1:18" x14ac:dyDescent="0.3">
      <c r="A38" s="134"/>
      <c r="B38" s="127"/>
      <c r="C38" s="149" t="s">
        <v>255</v>
      </c>
      <c r="D38" s="143"/>
      <c r="E38" s="143"/>
      <c r="F38" s="140"/>
      <c r="G38" s="121"/>
      <c r="H38" s="121"/>
      <c r="I38" s="140"/>
      <c r="J38" s="140">
        <v>0</v>
      </c>
      <c r="K38" s="351"/>
      <c r="L38" s="121">
        <f t="shared" si="0"/>
        <v>0</v>
      </c>
      <c r="M38" s="248"/>
      <c r="N38" s="351"/>
      <c r="O38" s="121">
        <f t="shared" si="1"/>
        <v>0</v>
      </c>
      <c r="P38" s="121">
        <f t="shared" si="2"/>
        <v>0</v>
      </c>
      <c r="Q38" s="121">
        <f t="shared" si="3"/>
        <v>0</v>
      </c>
      <c r="R38" s="140"/>
    </row>
    <row r="39" spans="1:18" x14ac:dyDescent="0.3">
      <c r="A39" s="134"/>
      <c r="B39" s="127"/>
      <c r="C39" s="150" t="s">
        <v>99</v>
      </c>
      <c r="D39" s="143"/>
      <c r="E39" s="143"/>
      <c r="F39" s="140"/>
      <c r="G39" s="121"/>
      <c r="H39" s="121"/>
      <c r="I39" s="140"/>
      <c r="J39" s="140">
        <v>0</v>
      </c>
      <c r="K39" s="351"/>
      <c r="L39" s="121">
        <f t="shared" si="0"/>
        <v>0</v>
      </c>
      <c r="M39" s="248"/>
      <c r="N39" s="351"/>
      <c r="O39" s="121">
        <f t="shared" si="1"/>
        <v>0</v>
      </c>
      <c r="P39" s="121">
        <f t="shared" si="2"/>
        <v>0</v>
      </c>
      <c r="Q39" s="121">
        <f t="shared" si="3"/>
        <v>0</v>
      </c>
      <c r="R39" s="140"/>
    </row>
    <row r="40" spans="1:18" x14ac:dyDescent="0.3">
      <c r="A40" s="134"/>
      <c r="B40" s="127"/>
      <c r="C40" s="126" t="s">
        <v>256</v>
      </c>
      <c r="D40" s="143"/>
      <c r="E40" s="143"/>
      <c r="F40" s="143"/>
      <c r="G40" s="121"/>
      <c r="H40" s="121"/>
      <c r="I40" s="140"/>
      <c r="J40" s="140">
        <v>0</v>
      </c>
      <c r="K40" s="351"/>
      <c r="L40" s="121">
        <f t="shared" si="0"/>
        <v>0</v>
      </c>
      <c r="M40" s="248"/>
      <c r="N40" s="351"/>
      <c r="O40" s="121">
        <f t="shared" si="1"/>
        <v>0</v>
      </c>
      <c r="P40" s="121">
        <f t="shared" si="2"/>
        <v>0</v>
      </c>
      <c r="Q40" s="121">
        <f t="shared" si="3"/>
        <v>0</v>
      </c>
      <c r="R40" s="140"/>
    </row>
    <row r="41" spans="1:18" x14ac:dyDescent="0.3">
      <c r="A41" s="134"/>
      <c r="B41" s="127" t="s">
        <v>1</v>
      </c>
      <c r="C41" s="126" t="s">
        <v>257</v>
      </c>
      <c r="D41" s="143"/>
      <c r="E41" s="143" t="s">
        <v>270</v>
      </c>
      <c r="F41" s="143" t="s">
        <v>45</v>
      </c>
      <c r="G41" s="121">
        <v>50</v>
      </c>
      <c r="H41" s="121">
        <v>2931</v>
      </c>
      <c r="I41" s="140">
        <f t="shared" ref="I41:I46" si="5">$G41*H41</f>
        <v>146550</v>
      </c>
      <c r="J41" s="140">
        <v>50</v>
      </c>
      <c r="K41" s="351">
        <v>0.7</v>
      </c>
      <c r="L41" s="121">
        <f t="shared" si="0"/>
        <v>-1</v>
      </c>
      <c r="M41" s="248">
        <f>'Int. MB'!M20</f>
        <v>49</v>
      </c>
      <c r="N41" s="351">
        <v>1</v>
      </c>
      <c r="O41" s="121">
        <f t="shared" si="1"/>
        <v>102585</v>
      </c>
      <c r="P41" s="121">
        <f t="shared" si="2"/>
        <v>41034</v>
      </c>
      <c r="Q41" s="121">
        <f t="shared" si="3"/>
        <v>143619</v>
      </c>
      <c r="R41" s="140"/>
    </row>
    <row r="42" spans="1:18" ht="72" x14ac:dyDescent="0.3">
      <c r="A42" s="134"/>
      <c r="B42" s="127" t="s">
        <v>2</v>
      </c>
      <c r="C42" s="126" t="s">
        <v>258</v>
      </c>
      <c r="D42" s="143"/>
      <c r="E42" s="143"/>
      <c r="F42" s="143" t="s">
        <v>55</v>
      </c>
      <c r="G42" s="121">
        <v>120</v>
      </c>
      <c r="H42" s="121">
        <v>1155</v>
      </c>
      <c r="I42" s="140">
        <f t="shared" si="5"/>
        <v>138600</v>
      </c>
      <c r="J42" s="140">
        <v>120</v>
      </c>
      <c r="K42" s="351">
        <v>1</v>
      </c>
      <c r="L42" s="121">
        <f t="shared" si="0"/>
        <v>-70</v>
      </c>
      <c r="M42" s="248">
        <f>'Int. MB'!M21</f>
        <v>50</v>
      </c>
      <c r="N42" s="351">
        <v>1</v>
      </c>
      <c r="O42" s="121">
        <f t="shared" si="1"/>
        <v>138600</v>
      </c>
      <c r="P42" s="121">
        <f t="shared" si="2"/>
        <v>-80850</v>
      </c>
      <c r="Q42" s="121">
        <f t="shared" si="3"/>
        <v>57750</v>
      </c>
      <c r="R42" s="140"/>
    </row>
    <row r="43" spans="1:18" x14ac:dyDescent="0.3">
      <c r="A43" s="134"/>
      <c r="B43" s="127" t="s">
        <v>3</v>
      </c>
      <c r="C43" s="126" t="s">
        <v>259</v>
      </c>
      <c r="D43" s="143"/>
      <c r="E43" s="143" t="s">
        <v>271</v>
      </c>
      <c r="F43" s="143" t="s">
        <v>45</v>
      </c>
      <c r="G43" s="121">
        <v>30</v>
      </c>
      <c r="H43" s="121">
        <v>1645</v>
      </c>
      <c r="I43" s="140">
        <f t="shared" si="5"/>
        <v>49350</v>
      </c>
      <c r="J43" s="140">
        <v>30</v>
      </c>
      <c r="K43" s="351">
        <v>1</v>
      </c>
      <c r="L43" s="121">
        <f t="shared" si="0"/>
        <v>-14</v>
      </c>
      <c r="M43" s="248">
        <f>'Int. MB'!M22</f>
        <v>16</v>
      </c>
      <c r="N43" s="351">
        <v>1</v>
      </c>
      <c r="O43" s="121">
        <f t="shared" si="1"/>
        <v>49350</v>
      </c>
      <c r="P43" s="121">
        <f t="shared" si="2"/>
        <v>-23030</v>
      </c>
      <c r="Q43" s="121">
        <f t="shared" si="3"/>
        <v>26320</v>
      </c>
      <c r="R43" s="140"/>
    </row>
    <row r="44" spans="1:18" x14ac:dyDescent="0.3">
      <c r="A44" s="134"/>
      <c r="B44" s="127" t="s">
        <v>4</v>
      </c>
      <c r="C44" s="126" t="s">
        <v>260</v>
      </c>
      <c r="D44" s="143"/>
      <c r="E44" s="143"/>
      <c r="F44" s="143" t="s">
        <v>45</v>
      </c>
      <c r="G44" s="121">
        <v>30</v>
      </c>
      <c r="H44" s="121">
        <v>560</v>
      </c>
      <c r="I44" s="140">
        <f t="shared" si="5"/>
        <v>16800</v>
      </c>
      <c r="J44" s="140">
        <v>30</v>
      </c>
      <c r="K44" s="351">
        <v>1</v>
      </c>
      <c r="L44" s="121">
        <f t="shared" si="0"/>
        <v>-14</v>
      </c>
      <c r="M44" s="248">
        <f>'Int. MB'!M23</f>
        <v>16</v>
      </c>
      <c r="N44" s="351">
        <v>1</v>
      </c>
      <c r="O44" s="121">
        <f t="shared" si="1"/>
        <v>16800</v>
      </c>
      <c r="P44" s="121">
        <f t="shared" si="2"/>
        <v>-7840</v>
      </c>
      <c r="Q44" s="121">
        <f t="shared" si="3"/>
        <v>8960</v>
      </c>
      <c r="R44" s="140"/>
    </row>
    <row r="45" spans="1:18" x14ac:dyDescent="0.3">
      <c r="A45" s="134"/>
      <c r="B45" s="127" t="s">
        <v>261</v>
      </c>
      <c r="C45" s="126" t="s">
        <v>262</v>
      </c>
      <c r="D45" s="143"/>
      <c r="E45" s="143" t="s">
        <v>274</v>
      </c>
      <c r="F45" s="143" t="s">
        <v>111</v>
      </c>
      <c r="G45" s="121">
        <v>1</v>
      </c>
      <c r="H45" s="121">
        <v>6540</v>
      </c>
      <c r="I45" s="140">
        <f t="shared" si="5"/>
        <v>6540</v>
      </c>
      <c r="J45" s="140">
        <v>1</v>
      </c>
      <c r="K45" s="351">
        <v>1</v>
      </c>
      <c r="L45" s="121">
        <f t="shared" si="0"/>
        <v>0</v>
      </c>
      <c r="M45" s="248">
        <f>'Int. MB'!M24</f>
        <v>1</v>
      </c>
      <c r="N45" s="351">
        <v>1</v>
      </c>
      <c r="O45" s="121">
        <f t="shared" si="1"/>
        <v>6540</v>
      </c>
      <c r="P45" s="121">
        <f t="shared" si="2"/>
        <v>0</v>
      </c>
      <c r="Q45" s="121">
        <f t="shared" si="3"/>
        <v>6540</v>
      </c>
      <c r="R45" s="140"/>
    </row>
    <row r="46" spans="1:18" x14ac:dyDescent="0.3">
      <c r="A46" s="134"/>
      <c r="B46" s="127" t="s">
        <v>263</v>
      </c>
      <c r="C46" s="128" t="s">
        <v>264</v>
      </c>
      <c r="D46" s="143"/>
      <c r="E46" s="143"/>
      <c r="F46" s="143" t="s">
        <v>45</v>
      </c>
      <c r="G46" s="121">
        <v>30</v>
      </c>
      <c r="H46" s="121">
        <v>232</v>
      </c>
      <c r="I46" s="140">
        <f t="shared" si="5"/>
        <v>6960</v>
      </c>
      <c r="J46" s="140">
        <v>30</v>
      </c>
      <c r="K46" s="351">
        <v>1</v>
      </c>
      <c r="L46" s="121">
        <f t="shared" si="0"/>
        <v>-14</v>
      </c>
      <c r="M46" s="248">
        <f>'Int. MB'!M25</f>
        <v>16</v>
      </c>
      <c r="N46" s="351">
        <v>1</v>
      </c>
      <c r="O46" s="121">
        <f t="shared" si="1"/>
        <v>6960</v>
      </c>
      <c r="P46" s="121">
        <f t="shared" si="2"/>
        <v>-3248</v>
      </c>
      <c r="Q46" s="121">
        <f t="shared" si="3"/>
        <v>3712</v>
      </c>
      <c r="R46" s="140"/>
    </row>
    <row r="47" spans="1:18" x14ac:dyDescent="0.3">
      <c r="A47" s="134"/>
      <c r="B47" s="127"/>
      <c r="C47" s="128"/>
      <c r="D47" s="143"/>
      <c r="E47" s="143"/>
      <c r="F47" s="140"/>
      <c r="G47" s="121"/>
      <c r="H47" s="121"/>
      <c r="I47" s="140"/>
      <c r="J47" s="140">
        <v>0</v>
      </c>
      <c r="K47" s="351"/>
      <c r="L47" s="121">
        <f t="shared" si="0"/>
        <v>0</v>
      </c>
      <c r="M47" s="248"/>
      <c r="N47" s="351"/>
      <c r="O47" s="121">
        <f t="shared" si="1"/>
        <v>0</v>
      </c>
      <c r="P47" s="121">
        <f t="shared" si="2"/>
        <v>0</v>
      </c>
      <c r="Q47" s="121">
        <f t="shared" si="3"/>
        <v>0</v>
      </c>
      <c r="R47" s="140"/>
    </row>
    <row r="48" spans="1:18" x14ac:dyDescent="0.3">
      <c r="A48" s="134"/>
      <c r="B48" s="127"/>
      <c r="C48" s="128"/>
      <c r="D48" s="143"/>
      <c r="E48" s="143"/>
      <c r="F48" s="140"/>
      <c r="G48" s="121"/>
      <c r="H48" s="121"/>
      <c r="I48" s="140"/>
      <c r="J48" s="140">
        <v>0</v>
      </c>
      <c r="K48" s="351"/>
      <c r="L48" s="121">
        <f t="shared" si="0"/>
        <v>0</v>
      </c>
      <c r="M48" s="248"/>
      <c r="N48" s="351"/>
      <c r="O48" s="121">
        <f t="shared" si="1"/>
        <v>0</v>
      </c>
      <c r="P48" s="121">
        <f t="shared" si="2"/>
        <v>0</v>
      </c>
      <c r="Q48" s="121">
        <f t="shared" si="3"/>
        <v>0</v>
      </c>
      <c r="R48" s="140"/>
    </row>
    <row r="49" spans="1:18" ht="84" x14ac:dyDescent="0.3">
      <c r="A49" s="245">
        <v>4</v>
      </c>
      <c r="B49" s="793" t="s">
        <v>272</v>
      </c>
      <c r="C49" s="246" t="s">
        <v>273</v>
      </c>
      <c r="D49" s="247"/>
      <c r="E49" s="247"/>
      <c r="F49" s="248"/>
      <c r="G49" s="249"/>
      <c r="H49" s="249"/>
      <c r="I49" s="248"/>
      <c r="J49" s="248">
        <v>0</v>
      </c>
      <c r="K49" s="367"/>
      <c r="L49" s="121">
        <f t="shared" si="0"/>
        <v>0</v>
      </c>
      <c r="M49" s="248"/>
      <c r="N49" s="367"/>
      <c r="O49" s="121">
        <f t="shared" si="1"/>
        <v>0</v>
      </c>
      <c r="P49" s="121">
        <f t="shared" si="2"/>
        <v>0</v>
      </c>
      <c r="Q49" s="121">
        <f t="shared" si="3"/>
        <v>0</v>
      </c>
      <c r="R49" s="140"/>
    </row>
    <row r="50" spans="1:18" ht="24" x14ac:dyDescent="0.3">
      <c r="A50" s="245"/>
      <c r="B50" s="793"/>
      <c r="C50" s="250" t="s">
        <v>98</v>
      </c>
      <c r="D50" s="247"/>
      <c r="E50" s="247"/>
      <c r="F50" s="248"/>
      <c r="G50" s="249"/>
      <c r="H50" s="249"/>
      <c r="I50" s="248"/>
      <c r="J50" s="248">
        <v>0</v>
      </c>
      <c r="K50" s="367"/>
      <c r="L50" s="121">
        <f t="shared" si="0"/>
        <v>0</v>
      </c>
      <c r="M50" s="248"/>
      <c r="N50" s="367"/>
      <c r="O50" s="121">
        <f t="shared" si="1"/>
        <v>0</v>
      </c>
      <c r="P50" s="121">
        <f t="shared" si="2"/>
        <v>0</v>
      </c>
      <c r="Q50" s="121">
        <f t="shared" si="3"/>
        <v>0</v>
      </c>
      <c r="R50" s="140"/>
    </row>
    <row r="51" spans="1:18" x14ac:dyDescent="0.3">
      <c r="A51" s="245"/>
      <c r="B51" s="793"/>
      <c r="C51" s="250" t="s">
        <v>255</v>
      </c>
      <c r="D51" s="247"/>
      <c r="E51" s="247"/>
      <c r="F51" s="248"/>
      <c r="G51" s="249"/>
      <c r="H51" s="249"/>
      <c r="I51" s="248"/>
      <c r="J51" s="248">
        <v>0</v>
      </c>
      <c r="K51" s="367"/>
      <c r="L51" s="121">
        <f t="shared" si="0"/>
        <v>0</v>
      </c>
      <c r="M51" s="248"/>
      <c r="N51" s="367"/>
      <c r="O51" s="121">
        <f t="shared" si="1"/>
        <v>0</v>
      </c>
      <c r="P51" s="121">
        <f t="shared" si="2"/>
        <v>0</v>
      </c>
      <c r="Q51" s="121">
        <f t="shared" si="3"/>
        <v>0</v>
      </c>
      <c r="R51" s="140"/>
    </row>
    <row r="52" spans="1:18" x14ac:dyDescent="0.3">
      <c r="A52" s="245"/>
      <c r="B52" s="793"/>
      <c r="C52" s="251" t="s">
        <v>99</v>
      </c>
      <c r="D52" s="247"/>
      <c r="E52" s="247"/>
      <c r="F52" s="248"/>
      <c r="G52" s="249"/>
      <c r="H52" s="249"/>
      <c r="I52" s="248"/>
      <c r="J52" s="248">
        <v>0</v>
      </c>
      <c r="K52" s="367"/>
      <c r="L52" s="121">
        <f t="shared" si="0"/>
        <v>0</v>
      </c>
      <c r="M52" s="248"/>
      <c r="N52" s="367"/>
      <c r="O52" s="121">
        <f t="shared" si="1"/>
        <v>0</v>
      </c>
      <c r="P52" s="121">
        <f t="shared" si="2"/>
        <v>0</v>
      </c>
      <c r="Q52" s="121">
        <f t="shared" si="3"/>
        <v>0</v>
      </c>
      <c r="R52" s="140"/>
    </row>
    <row r="53" spans="1:18" x14ac:dyDescent="0.3">
      <c r="A53" s="245"/>
      <c r="B53" s="793"/>
      <c r="C53" s="251" t="s">
        <v>100</v>
      </c>
      <c r="D53" s="247"/>
      <c r="E53" s="247"/>
      <c r="F53" s="248"/>
      <c r="G53" s="249"/>
      <c r="H53" s="249"/>
      <c r="I53" s="248"/>
      <c r="J53" s="248">
        <v>0</v>
      </c>
      <c r="K53" s="367"/>
      <c r="L53" s="121">
        <f t="shared" si="0"/>
        <v>0</v>
      </c>
      <c r="M53" s="248"/>
      <c r="N53" s="367"/>
      <c r="O53" s="121">
        <f t="shared" si="1"/>
        <v>0</v>
      </c>
      <c r="P53" s="121">
        <f t="shared" si="2"/>
        <v>0</v>
      </c>
      <c r="Q53" s="121">
        <f t="shared" si="3"/>
        <v>0</v>
      </c>
      <c r="R53" s="140"/>
    </row>
    <row r="54" spans="1:18" x14ac:dyDescent="0.3">
      <c r="A54" s="134"/>
      <c r="B54" s="127" t="s">
        <v>1</v>
      </c>
      <c r="C54" s="126" t="s">
        <v>265</v>
      </c>
      <c r="D54" s="143"/>
      <c r="E54" s="143"/>
      <c r="F54" s="143" t="s">
        <v>55</v>
      </c>
      <c r="G54" s="121">
        <v>30</v>
      </c>
      <c r="H54" s="121">
        <v>512</v>
      </c>
      <c r="I54" s="140">
        <f t="shared" ref="I54:I57" si="6">$G54*H54</f>
        <v>15360</v>
      </c>
      <c r="J54" s="140">
        <v>30</v>
      </c>
      <c r="K54" s="351">
        <v>1</v>
      </c>
      <c r="L54" s="121">
        <f t="shared" si="0"/>
        <v>-12</v>
      </c>
      <c r="M54" s="248">
        <f>'Int. MB'!M28</f>
        <v>18</v>
      </c>
      <c r="N54" s="351">
        <v>1</v>
      </c>
      <c r="O54" s="121">
        <f t="shared" si="1"/>
        <v>15360</v>
      </c>
      <c r="P54" s="121">
        <f t="shared" si="2"/>
        <v>-6144</v>
      </c>
      <c r="Q54" s="121">
        <f t="shared" si="3"/>
        <v>9216</v>
      </c>
      <c r="R54" s="140"/>
    </row>
    <row r="55" spans="1:18" x14ac:dyDescent="0.3">
      <c r="A55" s="134"/>
      <c r="B55" s="127" t="s">
        <v>2</v>
      </c>
      <c r="C55" s="126" t="s">
        <v>266</v>
      </c>
      <c r="D55" s="143"/>
      <c r="E55" s="143" t="s">
        <v>269</v>
      </c>
      <c r="F55" s="143" t="s">
        <v>61</v>
      </c>
      <c r="G55" s="121">
        <v>6</v>
      </c>
      <c r="H55" s="121">
        <v>4523</v>
      </c>
      <c r="I55" s="140">
        <f t="shared" si="6"/>
        <v>27138</v>
      </c>
      <c r="J55" s="140">
        <v>6</v>
      </c>
      <c r="K55" s="351">
        <v>0.3</v>
      </c>
      <c r="L55" s="121">
        <f t="shared" si="0"/>
        <v>0</v>
      </c>
      <c r="M55" s="248">
        <f>'Int. MB'!M29</f>
        <v>6</v>
      </c>
      <c r="N55" s="351">
        <v>1</v>
      </c>
      <c r="O55" s="121">
        <f t="shared" si="1"/>
        <v>8141.4</v>
      </c>
      <c r="P55" s="121">
        <f t="shared" si="2"/>
        <v>18996.599999999999</v>
      </c>
      <c r="Q55" s="121">
        <f t="shared" si="3"/>
        <v>27138</v>
      </c>
      <c r="R55" s="140"/>
    </row>
    <row r="56" spans="1:18" x14ac:dyDescent="0.3">
      <c r="A56" s="134"/>
      <c r="B56" s="127" t="s">
        <v>3</v>
      </c>
      <c r="C56" s="126" t="s">
        <v>267</v>
      </c>
      <c r="D56" s="143"/>
      <c r="E56" s="143"/>
      <c r="F56" s="143" t="s">
        <v>155</v>
      </c>
      <c r="G56" s="121">
        <v>50</v>
      </c>
      <c r="H56" s="121">
        <v>450</v>
      </c>
      <c r="I56" s="140">
        <f t="shared" si="6"/>
        <v>22500</v>
      </c>
      <c r="J56" s="140">
        <v>50</v>
      </c>
      <c r="K56" s="351">
        <v>0.3</v>
      </c>
      <c r="L56" s="121">
        <f t="shared" si="0"/>
        <v>-50</v>
      </c>
      <c r="M56" s="248">
        <f>'Int. MB'!M30</f>
        <v>0</v>
      </c>
      <c r="N56" s="351">
        <v>1</v>
      </c>
      <c r="O56" s="121">
        <f t="shared" si="1"/>
        <v>6750</v>
      </c>
      <c r="P56" s="121">
        <f t="shared" si="2"/>
        <v>-6750</v>
      </c>
      <c r="Q56" s="121">
        <f t="shared" si="3"/>
        <v>0</v>
      </c>
      <c r="R56" s="140"/>
    </row>
    <row r="57" spans="1:18" x14ac:dyDescent="0.3">
      <c r="A57" s="134"/>
      <c r="B57" s="127" t="s">
        <v>4</v>
      </c>
      <c r="C57" s="126" t="s">
        <v>268</v>
      </c>
      <c r="D57" s="143"/>
      <c r="E57" s="143"/>
      <c r="F57" s="143" t="s">
        <v>112</v>
      </c>
      <c r="G57" s="121">
        <v>75</v>
      </c>
      <c r="H57" s="121">
        <v>500</v>
      </c>
      <c r="I57" s="140">
        <f t="shared" si="6"/>
        <v>37500</v>
      </c>
      <c r="J57" s="140">
        <v>75</v>
      </c>
      <c r="K57" s="351">
        <v>1</v>
      </c>
      <c r="L57" s="121">
        <f t="shared" si="0"/>
        <v>-41</v>
      </c>
      <c r="M57" s="248">
        <f>'Int. MB'!M31</f>
        <v>34</v>
      </c>
      <c r="N57" s="351">
        <v>1</v>
      </c>
      <c r="O57" s="121">
        <f t="shared" si="1"/>
        <v>37500</v>
      </c>
      <c r="P57" s="121">
        <f t="shared" si="2"/>
        <v>-37500</v>
      </c>
      <c r="Q57" s="121">
        <v>0</v>
      </c>
      <c r="R57" s="140"/>
    </row>
    <row r="58" spans="1:18" x14ac:dyDescent="0.3">
      <c r="A58" s="134"/>
      <c r="B58" s="127"/>
      <c r="C58" s="126"/>
      <c r="D58" s="143"/>
      <c r="E58" s="143"/>
      <c r="F58" s="140"/>
      <c r="G58" s="121"/>
      <c r="H58" s="121"/>
      <c r="I58" s="140"/>
      <c r="J58" s="140">
        <v>0</v>
      </c>
      <c r="K58" s="351"/>
      <c r="L58" s="121">
        <f t="shared" si="0"/>
        <v>0</v>
      </c>
      <c r="M58" s="248">
        <f>'Int. MB'!M32</f>
        <v>0</v>
      </c>
      <c r="N58" s="351"/>
      <c r="O58" s="121">
        <f t="shared" si="1"/>
        <v>0</v>
      </c>
      <c r="P58" s="121">
        <f t="shared" si="2"/>
        <v>0</v>
      </c>
      <c r="Q58" s="121">
        <f t="shared" si="3"/>
        <v>0</v>
      </c>
      <c r="R58" s="140"/>
    </row>
    <row r="59" spans="1:18" x14ac:dyDescent="0.3">
      <c r="A59" s="788">
        <v>5</v>
      </c>
      <c r="B59" s="790" t="s">
        <v>105</v>
      </c>
      <c r="C59" s="795" t="s">
        <v>106</v>
      </c>
      <c r="D59" s="790"/>
      <c r="E59" s="790" t="s">
        <v>248</v>
      </c>
      <c r="F59" s="234" t="s">
        <v>95</v>
      </c>
      <c r="G59" s="234">
        <v>1</v>
      </c>
      <c r="H59" s="243">
        <v>19562</v>
      </c>
      <c r="I59" s="234">
        <f>$G59*H59</f>
        <v>19562</v>
      </c>
      <c r="J59" s="140">
        <v>1</v>
      </c>
      <c r="K59" s="351">
        <v>1</v>
      </c>
      <c r="L59" s="121">
        <f t="shared" si="0"/>
        <v>0</v>
      </c>
      <c r="M59" s="248">
        <f>'Int. MB'!M33</f>
        <v>1</v>
      </c>
      <c r="N59" s="351">
        <v>1</v>
      </c>
      <c r="O59" s="121">
        <f t="shared" si="1"/>
        <v>19562</v>
      </c>
      <c r="P59" s="121">
        <f t="shared" si="2"/>
        <v>0</v>
      </c>
      <c r="Q59" s="121">
        <f t="shared" si="3"/>
        <v>19562</v>
      </c>
      <c r="R59" s="140"/>
    </row>
    <row r="60" spans="1:18" ht="12" customHeight="1" x14ac:dyDescent="0.3">
      <c r="A60" s="788"/>
      <c r="B60" s="790"/>
      <c r="C60" s="795"/>
      <c r="D60" s="790"/>
      <c r="E60" s="790"/>
      <c r="F60" s="234"/>
      <c r="G60" s="234"/>
      <c r="H60" s="243"/>
      <c r="I60" s="234"/>
      <c r="J60" s="140"/>
      <c r="K60" s="351"/>
      <c r="L60" s="121">
        <f t="shared" si="0"/>
        <v>0</v>
      </c>
      <c r="M60" s="248"/>
      <c r="N60" s="351"/>
      <c r="O60" s="121">
        <f t="shared" si="1"/>
        <v>0</v>
      </c>
      <c r="P60" s="121">
        <f t="shared" si="2"/>
        <v>0</v>
      </c>
      <c r="Q60" s="121">
        <f t="shared" si="3"/>
        <v>0</v>
      </c>
      <c r="R60" s="140"/>
    </row>
    <row r="61" spans="1:18" ht="12" customHeight="1" x14ac:dyDescent="0.3">
      <c r="A61" s="788"/>
      <c r="B61" s="790"/>
      <c r="C61" s="795"/>
      <c r="D61" s="790"/>
      <c r="E61" s="790"/>
      <c r="F61" s="234"/>
      <c r="G61" s="234"/>
      <c r="H61" s="243"/>
      <c r="I61" s="234"/>
      <c r="J61" s="140"/>
      <c r="K61" s="351"/>
      <c r="L61" s="121">
        <f t="shared" si="0"/>
        <v>0</v>
      </c>
      <c r="M61" s="248"/>
      <c r="N61" s="351"/>
      <c r="O61" s="121">
        <f t="shared" si="1"/>
        <v>0</v>
      </c>
      <c r="P61" s="121">
        <f t="shared" si="2"/>
        <v>0</v>
      </c>
      <c r="Q61" s="121">
        <f t="shared" si="3"/>
        <v>0</v>
      </c>
      <c r="R61" s="140"/>
    </row>
    <row r="62" spans="1:18" ht="12" customHeight="1" x14ac:dyDescent="0.3">
      <c r="A62" s="788"/>
      <c r="B62" s="132"/>
      <c r="C62" s="151"/>
      <c r="D62" s="790"/>
      <c r="E62" s="790"/>
      <c r="F62" s="234"/>
      <c r="G62" s="234"/>
      <c r="H62" s="243"/>
      <c r="I62" s="234"/>
      <c r="J62" s="140"/>
      <c r="K62" s="351"/>
      <c r="L62" s="121">
        <f t="shared" si="0"/>
        <v>0</v>
      </c>
      <c r="M62" s="248"/>
      <c r="N62" s="351"/>
      <c r="O62" s="121">
        <f t="shared" si="1"/>
        <v>0</v>
      </c>
      <c r="P62" s="121">
        <f t="shared" si="2"/>
        <v>0</v>
      </c>
      <c r="Q62" s="121">
        <f t="shared" si="3"/>
        <v>0</v>
      </c>
      <c r="R62" s="140"/>
    </row>
    <row r="63" spans="1:18" x14ac:dyDescent="0.3">
      <c r="A63" s="135"/>
      <c r="B63" s="148"/>
      <c r="C63" s="151"/>
      <c r="D63" s="152"/>
      <c r="E63" s="153"/>
      <c r="F63" s="140"/>
      <c r="G63" s="140"/>
      <c r="H63" s="140"/>
      <c r="I63" s="140"/>
      <c r="J63" s="140"/>
      <c r="K63" s="351"/>
      <c r="L63" s="121">
        <f t="shared" si="0"/>
        <v>0</v>
      </c>
      <c r="M63" s="248"/>
      <c r="N63" s="351"/>
      <c r="O63" s="121">
        <f t="shared" si="1"/>
        <v>0</v>
      </c>
      <c r="P63" s="121">
        <f t="shared" si="2"/>
        <v>0</v>
      </c>
      <c r="Q63" s="121">
        <f t="shared" si="3"/>
        <v>0</v>
      </c>
      <c r="R63" s="140"/>
    </row>
    <row r="64" spans="1:18" x14ac:dyDescent="0.3">
      <c r="A64" s="134"/>
      <c r="B64" s="148"/>
      <c r="C64" s="126"/>
      <c r="D64" s="143"/>
      <c r="E64" s="142"/>
      <c r="F64" s="140"/>
      <c r="G64" s="121"/>
      <c r="H64" s="121"/>
      <c r="I64" s="140"/>
      <c r="J64" s="140"/>
      <c r="K64" s="351"/>
      <c r="L64" s="121">
        <f t="shared" si="0"/>
        <v>0</v>
      </c>
      <c r="M64" s="248"/>
      <c r="N64" s="351"/>
      <c r="O64" s="121">
        <f t="shared" si="1"/>
        <v>0</v>
      </c>
      <c r="P64" s="121">
        <f t="shared" si="2"/>
        <v>0</v>
      </c>
      <c r="Q64" s="121">
        <f t="shared" si="3"/>
        <v>0</v>
      </c>
      <c r="R64" s="140"/>
    </row>
    <row r="65" spans="1:18" ht="84" x14ac:dyDescent="0.3">
      <c r="A65" s="788">
        <v>6</v>
      </c>
      <c r="B65" s="789" t="s">
        <v>230</v>
      </c>
      <c r="C65" s="126" t="s">
        <v>228</v>
      </c>
      <c r="D65" s="790" t="s">
        <v>231</v>
      </c>
      <c r="E65" s="143" t="s">
        <v>283</v>
      </c>
      <c r="F65" s="794" t="s">
        <v>95</v>
      </c>
      <c r="G65" s="121">
        <v>2</v>
      </c>
      <c r="H65" s="121">
        <v>175000</v>
      </c>
      <c r="I65" s="140">
        <f>$G65*H65</f>
        <v>350000</v>
      </c>
      <c r="J65" s="140">
        <v>2</v>
      </c>
      <c r="K65" s="351">
        <v>0.7</v>
      </c>
      <c r="L65" s="121">
        <f t="shared" si="0"/>
        <v>0</v>
      </c>
      <c r="M65" s="248">
        <f>'Int. MB'!M35</f>
        <v>2</v>
      </c>
      <c r="N65" s="351">
        <v>1</v>
      </c>
      <c r="O65" s="121">
        <f t="shared" si="1"/>
        <v>244999.99999999997</v>
      </c>
      <c r="P65" s="121">
        <f t="shared" si="2"/>
        <v>105000.00000000003</v>
      </c>
      <c r="Q65" s="121">
        <f t="shared" si="3"/>
        <v>350000</v>
      </c>
      <c r="R65" s="140"/>
    </row>
    <row r="66" spans="1:18" x14ac:dyDescent="0.3">
      <c r="A66" s="788"/>
      <c r="B66" s="789"/>
      <c r="C66" s="126" t="s">
        <v>108</v>
      </c>
      <c r="D66" s="790"/>
      <c r="E66" s="142"/>
      <c r="F66" s="794"/>
      <c r="G66" s="121"/>
      <c r="H66" s="121"/>
      <c r="I66" s="121"/>
      <c r="J66" s="121">
        <v>0</v>
      </c>
      <c r="K66" s="350"/>
      <c r="L66" s="121">
        <f t="shared" si="0"/>
        <v>0</v>
      </c>
      <c r="M66" s="249"/>
      <c r="N66" s="350"/>
      <c r="O66" s="121">
        <f t="shared" si="1"/>
        <v>0</v>
      </c>
      <c r="P66" s="121">
        <f t="shared" si="2"/>
        <v>0</v>
      </c>
      <c r="Q66" s="121">
        <f t="shared" si="3"/>
        <v>0</v>
      </c>
      <c r="R66" s="140"/>
    </row>
    <row r="67" spans="1:18" x14ac:dyDescent="0.3">
      <c r="A67" s="788"/>
      <c r="B67" s="789"/>
      <c r="C67" s="126" t="s">
        <v>109</v>
      </c>
      <c r="D67" s="790"/>
      <c r="E67" s="142"/>
      <c r="F67" s="794"/>
      <c r="G67" s="121"/>
      <c r="H67" s="121"/>
      <c r="I67" s="121"/>
      <c r="J67" s="121">
        <v>0</v>
      </c>
      <c r="K67" s="350"/>
      <c r="L67" s="121">
        <f t="shared" si="0"/>
        <v>0</v>
      </c>
      <c r="M67" s="249"/>
      <c r="N67" s="350"/>
      <c r="O67" s="121">
        <f t="shared" si="1"/>
        <v>0</v>
      </c>
      <c r="P67" s="121">
        <f t="shared" si="2"/>
        <v>0</v>
      </c>
      <c r="Q67" s="121">
        <f t="shared" si="3"/>
        <v>0</v>
      </c>
      <c r="R67" s="140"/>
    </row>
    <row r="68" spans="1:18" x14ac:dyDescent="0.3">
      <c r="A68" s="134"/>
      <c r="B68" s="154"/>
      <c r="C68" s="126" t="s">
        <v>110</v>
      </c>
      <c r="D68" s="143"/>
      <c r="E68" s="142"/>
      <c r="F68" s="794"/>
      <c r="G68" s="121"/>
      <c r="H68" s="121"/>
      <c r="I68" s="121"/>
      <c r="J68" s="121">
        <v>0</v>
      </c>
      <c r="K68" s="350"/>
      <c r="L68" s="121">
        <f t="shared" si="0"/>
        <v>0</v>
      </c>
      <c r="M68" s="249"/>
      <c r="N68" s="350"/>
      <c r="O68" s="121">
        <f t="shared" si="1"/>
        <v>0</v>
      </c>
      <c r="P68" s="121">
        <f t="shared" si="2"/>
        <v>0</v>
      </c>
      <c r="Q68" s="121">
        <f t="shared" si="3"/>
        <v>0</v>
      </c>
      <c r="R68" s="140"/>
    </row>
    <row r="69" spans="1:18" x14ac:dyDescent="0.3">
      <c r="A69" s="134"/>
      <c r="B69" s="148"/>
      <c r="C69" s="126"/>
      <c r="D69" s="143"/>
      <c r="E69" s="142"/>
      <c r="F69" s="140"/>
      <c r="G69" s="121"/>
      <c r="H69" s="121"/>
      <c r="I69" s="140"/>
      <c r="J69" s="140">
        <v>0</v>
      </c>
      <c r="K69" s="351"/>
      <c r="L69" s="121">
        <f t="shared" si="0"/>
        <v>0</v>
      </c>
      <c r="M69" s="248"/>
      <c r="N69" s="351"/>
      <c r="O69" s="121">
        <f t="shared" si="1"/>
        <v>0</v>
      </c>
      <c r="P69" s="121">
        <f t="shared" si="2"/>
        <v>0</v>
      </c>
      <c r="Q69" s="121">
        <f t="shared" si="3"/>
        <v>0</v>
      </c>
      <c r="R69" s="140"/>
    </row>
    <row r="70" spans="1:18" ht="96" x14ac:dyDescent="0.3">
      <c r="A70" s="788">
        <v>7</v>
      </c>
      <c r="B70" s="789" t="s">
        <v>229</v>
      </c>
      <c r="C70" s="126" t="s">
        <v>107</v>
      </c>
      <c r="D70" s="790" t="s">
        <v>249</v>
      </c>
      <c r="E70" s="143" t="s">
        <v>250</v>
      </c>
      <c r="F70" s="794" t="s">
        <v>95</v>
      </c>
      <c r="G70" s="121">
        <v>1</v>
      </c>
      <c r="H70" s="121">
        <v>93450</v>
      </c>
      <c r="I70" s="140">
        <f>$G70*H70</f>
        <v>93450</v>
      </c>
      <c r="J70" s="140">
        <v>1</v>
      </c>
      <c r="K70" s="351">
        <v>0.9</v>
      </c>
      <c r="L70" s="121">
        <f t="shared" si="0"/>
        <v>0</v>
      </c>
      <c r="M70" s="248">
        <f>'Int. MB'!M37</f>
        <v>1</v>
      </c>
      <c r="N70" s="351">
        <v>1</v>
      </c>
      <c r="O70" s="121">
        <f t="shared" si="1"/>
        <v>84105</v>
      </c>
      <c r="P70" s="121">
        <f t="shared" si="2"/>
        <v>9345</v>
      </c>
      <c r="Q70" s="121">
        <f t="shared" si="3"/>
        <v>93450</v>
      </c>
      <c r="R70" s="140"/>
    </row>
    <row r="71" spans="1:18" x14ac:dyDescent="0.3">
      <c r="A71" s="788"/>
      <c r="B71" s="789"/>
      <c r="C71" s="126" t="s">
        <v>108</v>
      </c>
      <c r="D71" s="790"/>
      <c r="E71" s="142"/>
      <c r="F71" s="794"/>
      <c r="G71" s="121"/>
      <c r="H71" s="121"/>
      <c r="I71" s="121"/>
      <c r="J71" s="121">
        <v>0</v>
      </c>
      <c r="K71" s="350"/>
      <c r="L71" s="121">
        <f t="shared" si="0"/>
        <v>0</v>
      </c>
      <c r="M71" s="249"/>
      <c r="N71" s="350"/>
      <c r="O71" s="121">
        <f t="shared" si="1"/>
        <v>0</v>
      </c>
      <c r="P71" s="121">
        <f t="shared" si="2"/>
        <v>0</v>
      </c>
      <c r="Q71" s="121">
        <f t="shared" si="3"/>
        <v>0</v>
      </c>
      <c r="R71" s="140"/>
    </row>
    <row r="72" spans="1:18" x14ac:dyDescent="0.3">
      <c r="A72" s="134"/>
      <c r="B72" s="127"/>
      <c r="C72" s="126" t="s">
        <v>109</v>
      </c>
      <c r="D72" s="143"/>
      <c r="E72" s="142"/>
      <c r="F72" s="794"/>
      <c r="G72" s="121"/>
      <c r="H72" s="121"/>
      <c r="I72" s="121"/>
      <c r="J72" s="121">
        <v>0</v>
      </c>
      <c r="K72" s="350"/>
      <c r="L72" s="121">
        <f t="shared" si="0"/>
        <v>0</v>
      </c>
      <c r="M72" s="249"/>
      <c r="N72" s="350"/>
      <c r="O72" s="121">
        <f t="shared" si="1"/>
        <v>0</v>
      </c>
      <c r="P72" s="121">
        <f t="shared" si="2"/>
        <v>0</v>
      </c>
      <c r="Q72" s="121">
        <f t="shared" si="3"/>
        <v>0</v>
      </c>
      <c r="R72" s="140"/>
    </row>
    <row r="73" spans="1:18" x14ac:dyDescent="0.3">
      <c r="A73" s="134"/>
      <c r="B73" s="127"/>
      <c r="C73" s="126" t="s">
        <v>110</v>
      </c>
      <c r="D73" s="143"/>
      <c r="E73" s="142"/>
      <c r="F73" s="794"/>
      <c r="G73" s="121"/>
      <c r="H73" s="121"/>
      <c r="I73" s="121"/>
      <c r="J73" s="121">
        <v>0</v>
      </c>
      <c r="K73" s="350"/>
      <c r="L73" s="121">
        <f t="shared" si="0"/>
        <v>0</v>
      </c>
      <c r="M73" s="249"/>
      <c r="N73" s="350"/>
      <c r="O73" s="121">
        <f t="shared" si="1"/>
        <v>0</v>
      </c>
      <c r="P73" s="121">
        <f t="shared" si="2"/>
        <v>0</v>
      </c>
      <c r="Q73" s="121">
        <f t="shared" si="3"/>
        <v>0</v>
      </c>
      <c r="R73" s="140"/>
    </row>
    <row r="74" spans="1:18" x14ac:dyDescent="0.3">
      <c r="A74" s="134"/>
      <c r="B74" s="148"/>
      <c r="C74" s="126"/>
      <c r="D74" s="143"/>
      <c r="E74" s="142"/>
      <c r="F74" s="140"/>
      <c r="G74" s="121"/>
      <c r="H74" s="121"/>
      <c r="I74" s="140"/>
      <c r="J74" s="140">
        <v>0</v>
      </c>
      <c r="K74" s="351"/>
      <c r="L74" s="121">
        <f t="shared" si="0"/>
        <v>0</v>
      </c>
      <c r="M74" s="248"/>
      <c r="N74" s="351"/>
      <c r="O74" s="121">
        <f t="shared" si="1"/>
        <v>0</v>
      </c>
      <c r="P74" s="121">
        <f t="shared" si="2"/>
        <v>0</v>
      </c>
      <c r="Q74" s="121">
        <f t="shared" si="3"/>
        <v>0</v>
      </c>
      <c r="R74" s="140"/>
    </row>
    <row r="75" spans="1:18" x14ac:dyDescent="0.3">
      <c r="A75" s="134"/>
      <c r="B75" s="143"/>
      <c r="C75" s="126"/>
      <c r="D75" s="143"/>
      <c r="E75" s="142"/>
      <c r="F75" s="140"/>
      <c r="G75" s="121"/>
      <c r="H75" s="121"/>
      <c r="I75" s="140"/>
      <c r="J75" s="140">
        <v>0</v>
      </c>
      <c r="K75" s="351"/>
      <c r="L75" s="121">
        <f t="shared" si="0"/>
        <v>0</v>
      </c>
      <c r="M75" s="248"/>
      <c r="N75" s="351"/>
      <c r="O75" s="121">
        <f t="shared" si="1"/>
        <v>0</v>
      </c>
      <c r="P75" s="121">
        <f t="shared" si="2"/>
        <v>0</v>
      </c>
      <c r="Q75" s="121">
        <f t="shared" si="3"/>
        <v>0</v>
      </c>
      <c r="R75" s="140"/>
    </row>
    <row r="76" spans="1:18" s="57" customFormat="1" x14ac:dyDescent="0.25">
      <c r="A76" s="134"/>
      <c r="B76" s="143"/>
      <c r="C76" s="126"/>
      <c r="D76" s="143"/>
      <c r="E76" s="142"/>
      <c r="F76" s="140"/>
      <c r="G76" s="121"/>
      <c r="H76" s="121"/>
      <c r="I76" s="140"/>
      <c r="J76" s="140">
        <v>0</v>
      </c>
      <c r="K76" s="351"/>
      <c r="L76" s="121">
        <f t="shared" ref="L76:L112" si="7">M76-J76</f>
        <v>0</v>
      </c>
      <c r="M76" s="248"/>
      <c r="N76" s="351"/>
      <c r="O76" s="121">
        <f t="shared" si="1"/>
        <v>0</v>
      </c>
      <c r="P76" s="121">
        <f t="shared" si="2"/>
        <v>0</v>
      </c>
      <c r="Q76" s="121">
        <f t="shared" si="3"/>
        <v>0</v>
      </c>
      <c r="R76" s="140"/>
    </row>
    <row r="77" spans="1:18" s="58" customFormat="1" ht="60" x14ac:dyDescent="0.3">
      <c r="A77" s="788">
        <v>8</v>
      </c>
      <c r="B77" s="789" t="s">
        <v>113</v>
      </c>
      <c r="C77" s="126" t="s">
        <v>222</v>
      </c>
      <c r="D77" s="790"/>
      <c r="E77" s="790"/>
      <c r="F77" s="143" t="s">
        <v>55</v>
      </c>
      <c r="G77" s="121">
        <v>250</v>
      </c>
      <c r="H77" s="121">
        <v>1550</v>
      </c>
      <c r="I77" s="140">
        <f>$G77*H77</f>
        <v>387500</v>
      </c>
      <c r="J77" s="140">
        <v>250</v>
      </c>
      <c r="K77" s="351">
        <v>0.7</v>
      </c>
      <c r="L77" s="121">
        <f t="shared" si="7"/>
        <v>-67.874635749271505</v>
      </c>
      <c r="M77" s="248">
        <f>'Int. MB'!M45</f>
        <v>182.1253642507285</v>
      </c>
      <c r="N77" s="351">
        <v>1</v>
      </c>
      <c r="O77" s="121">
        <f t="shared" si="1"/>
        <v>271250</v>
      </c>
      <c r="P77" s="121">
        <f t="shared" si="2"/>
        <v>11044.314588629175</v>
      </c>
      <c r="Q77" s="121">
        <f t="shared" si="3"/>
        <v>282294.31458862917</v>
      </c>
      <c r="R77" s="140"/>
    </row>
    <row r="78" spans="1:18" s="58" customFormat="1" ht="24" x14ac:dyDescent="0.3">
      <c r="A78" s="788"/>
      <c r="B78" s="789"/>
      <c r="C78" s="149" t="s">
        <v>98</v>
      </c>
      <c r="D78" s="790"/>
      <c r="E78" s="790"/>
      <c r="F78" s="143"/>
      <c r="G78" s="121"/>
      <c r="H78" s="121"/>
      <c r="I78" s="140"/>
      <c r="J78" s="140">
        <v>0</v>
      </c>
      <c r="K78" s="351"/>
      <c r="L78" s="121">
        <f t="shared" si="7"/>
        <v>0</v>
      </c>
      <c r="M78" s="248"/>
      <c r="N78" s="351"/>
      <c r="O78" s="121">
        <f t="shared" ref="O78:O123" si="8">H78*J78*K78</f>
        <v>0</v>
      </c>
      <c r="P78" s="121">
        <f t="shared" ref="P78:P123" si="9">Q78-O78</f>
        <v>0</v>
      </c>
      <c r="Q78" s="121">
        <f t="shared" ref="Q78:Q123" si="10">H78*M78*N78</f>
        <v>0</v>
      </c>
      <c r="R78" s="140"/>
    </row>
    <row r="79" spans="1:18" s="59" customFormat="1" x14ac:dyDescent="0.3">
      <c r="A79" s="134"/>
      <c r="B79" s="143"/>
      <c r="C79" s="126"/>
      <c r="D79" s="143"/>
      <c r="E79" s="142"/>
      <c r="F79" s="140"/>
      <c r="G79" s="121"/>
      <c r="H79" s="121"/>
      <c r="I79" s="140"/>
      <c r="J79" s="140">
        <v>0</v>
      </c>
      <c r="K79" s="351"/>
      <c r="L79" s="121">
        <f t="shared" si="7"/>
        <v>0</v>
      </c>
      <c r="M79" s="248"/>
      <c r="N79" s="351"/>
      <c r="O79" s="121">
        <f t="shared" si="8"/>
        <v>0</v>
      </c>
      <c r="P79" s="121">
        <f t="shared" si="9"/>
        <v>0</v>
      </c>
      <c r="Q79" s="121">
        <f t="shared" si="10"/>
        <v>0</v>
      </c>
      <c r="R79" s="140"/>
    </row>
    <row r="80" spans="1:18" s="59" customFormat="1" ht="72" x14ac:dyDescent="0.3">
      <c r="A80" s="788">
        <v>9</v>
      </c>
      <c r="B80" s="789" t="s">
        <v>137</v>
      </c>
      <c r="C80" s="155" t="s">
        <v>216</v>
      </c>
      <c r="D80" s="796"/>
      <c r="E80" s="790" t="s">
        <v>251</v>
      </c>
      <c r="F80" s="790" t="s">
        <v>55</v>
      </c>
      <c r="G80" s="792">
        <v>50</v>
      </c>
      <c r="H80" s="792">
        <v>500</v>
      </c>
      <c r="I80" s="792">
        <f>$G80*H80</f>
        <v>25000</v>
      </c>
      <c r="J80" s="121">
        <v>50</v>
      </c>
      <c r="K80" s="350">
        <v>0.9</v>
      </c>
      <c r="L80" s="121">
        <f t="shared" si="7"/>
        <v>290.88227898678019</v>
      </c>
      <c r="M80" s="249">
        <f>'Int. MB'!M53</f>
        <v>340.88227898678019</v>
      </c>
      <c r="N80" s="350">
        <v>1</v>
      </c>
      <c r="O80" s="121">
        <f t="shared" si="8"/>
        <v>22500</v>
      </c>
      <c r="P80" s="121">
        <f t="shared" si="9"/>
        <v>147941.1394933901</v>
      </c>
      <c r="Q80" s="121">
        <f t="shared" si="10"/>
        <v>170441.1394933901</v>
      </c>
      <c r="R80" s="140"/>
    </row>
    <row r="81" spans="1:18" s="59" customFormat="1" ht="12" customHeight="1" x14ac:dyDescent="0.3">
      <c r="A81" s="788"/>
      <c r="B81" s="789"/>
      <c r="C81" s="155" t="s">
        <v>114</v>
      </c>
      <c r="D81" s="796"/>
      <c r="E81" s="790"/>
      <c r="F81" s="790"/>
      <c r="G81" s="792"/>
      <c r="H81" s="792"/>
      <c r="I81" s="792"/>
      <c r="J81" s="121">
        <v>0</v>
      </c>
      <c r="K81" s="350"/>
      <c r="L81" s="121">
        <f t="shared" si="7"/>
        <v>0</v>
      </c>
      <c r="M81" s="249"/>
      <c r="N81" s="350"/>
      <c r="O81" s="121">
        <f t="shared" si="8"/>
        <v>0</v>
      </c>
      <c r="P81" s="121">
        <f t="shared" si="9"/>
        <v>0</v>
      </c>
      <c r="Q81" s="121">
        <f t="shared" si="10"/>
        <v>0</v>
      </c>
      <c r="R81" s="140"/>
    </row>
    <row r="82" spans="1:18" s="59" customFormat="1" x14ac:dyDescent="0.3">
      <c r="A82" s="134"/>
      <c r="B82" s="127"/>
      <c r="C82" s="155" t="s">
        <v>115</v>
      </c>
      <c r="D82" s="141"/>
      <c r="E82" s="132"/>
      <c r="F82" s="143"/>
      <c r="G82" s="121"/>
      <c r="H82" s="121"/>
      <c r="I82" s="121"/>
      <c r="J82" s="121">
        <v>0</v>
      </c>
      <c r="K82" s="350"/>
      <c r="L82" s="121">
        <f t="shared" si="7"/>
        <v>0</v>
      </c>
      <c r="M82" s="249"/>
      <c r="N82" s="350"/>
      <c r="O82" s="121">
        <f t="shared" si="8"/>
        <v>0</v>
      </c>
      <c r="P82" s="121">
        <f t="shared" si="9"/>
        <v>0</v>
      </c>
      <c r="Q82" s="121">
        <f t="shared" si="10"/>
        <v>0</v>
      </c>
      <c r="R82" s="140"/>
    </row>
    <row r="83" spans="1:18" s="59" customFormat="1" x14ac:dyDescent="0.3">
      <c r="A83" s="134"/>
      <c r="B83" s="127"/>
      <c r="C83" s="155"/>
      <c r="D83" s="141"/>
      <c r="E83" s="132"/>
      <c r="F83" s="143"/>
      <c r="G83" s="121"/>
      <c r="H83" s="121"/>
      <c r="I83" s="121"/>
      <c r="J83" s="121">
        <v>0</v>
      </c>
      <c r="K83" s="350"/>
      <c r="L83" s="121">
        <f t="shared" si="7"/>
        <v>0</v>
      </c>
      <c r="M83" s="249"/>
      <c r="N83" s="350"/>
      <c r="O83" s="121">
        <f t="shared" si="8"/>
        <v>0</v>
      </c>
      <c r="P83" s="121">
        <f t="shared" si="9"/>
        <v>0</v>
      </c>
      <c r="Q83" s="121">
        <f t="shared" si="10"/>
        <v>0</v>
      </c>
      <c r="R83" s="140"/>
    </row>
    <row r="84" spans="1:18" s="59" customFormat="1" ht="72" x14ac:dyDescent="0.3">
      <c r="A84" s="134">
        <v>10</v>
      </c>
      <c r="B84" s="127" t="s">
        <v>138</v>
      </c>
      <c r="C84" s="155" t="s">
        <v>217</v>
      </c>
      <c r="D84" s="141" t="s">
        <v>223</v>
      </c>
      <c r="E84" s="790" t="s">
        <v>284</v>
      </c>
      <c r="F84" s="790" t="s">
        <v>55</v>
      </c>
      <c r="G84" s="792">
        <v>120</v>
      </c>
      <c r="H84" s="121">
        <v>468</v>
      </c>
      <c r="I84" s="121">
        <f>$G84*H84</f>
        <v>56160</v>
      </c>
      <c r="J84" s="121">
        <v>120</v>
      </c>
      <c r="K84" s="350">
        <v>0.9</v>
      </c>
      <c r="L84" s="121">
        <f t="shared" si="7"/>
        <v>2.2661820323640427</v>
      </c>
      <c r="M84" s="249">
        <f>'Int. MB'!M61</f>
        <v>122.26618203236404</v>
      </c>
      <c r="N84" s="350">
        <v>1</v>
      </c>
      <c r="O84" s="121">
        <f t="shared" si="8"/>
        <v>50544</v>
      </c>
      <c r="P84" s="121">
        <f t="shared" si="9"/>
        <v>6676.5731911463736</v>
      </c>
      <c r="Q84" s="121">
        <f t="shared" si="10"/>
        <v>57220.573191146374</v>
      </c>
      <c r="R84" s="140"/>
    </row>
    <row r="85" spans="1:18" s="59" customFormat="1" x14ac:dyDescent="0.3">
      <c r="A85" s="134"/>
      <c r="B85" s="127"/>
      <c r="C85" s="155" t="s">
        <v>224</v>
      </c>
      <c r="D85" s="141"/>
      <c r="E85" s="790"/>
      <c r="F85" s="790"/>
      <c r="G85" s="792"/>
      <c r="H85" s="121"/>
      <c r="I85" s="121"/>
      <c r="J85" s="121">
        <v>0</v>
      </c>
      <c r="K85" s="350"/>
      <c r="L85" s="121">
        <f t="shared" si="7"/>
        <v>0</v>
      </c>
      <c r="M85" s="249"/>
      <c r="N85" s="350"/>
      <c r="O85" s="121">
        <f t="shared" si="8"/>
        <v>0</v>
      </c>
      <c r="P85" s="121">
        <f t="shared" si="9"/>
        <v>0</v>
      </c>
      <c r="Q85" s="121">
        <f t="shared" si="10"/>
        <v>0</v>
      </c>
      <c r="R85" s="140"/>
    </row>
    <row r="86" spans="1:18" s="59" customFormat="1" x14ac:dyDescent="0.3">
      <c r="A86" s="134"/>
      <c r="B86" s="127"/>
      <c r="C86" s="155"/>
      <c r="D86" s="141"/>
      <c r="E86" s="132"/>
      <c r="F86" s="143"/>
      <c r="G86" s="121"/>
      <c r="H86" s="121"/>
      <c r="I86" s="121"/>
      <c r="J86" s="121">
        <v>0</v>
      </c>
      <c r="K86" s="350"/>
      <c r="L86" s="121">
        <f t="shared" si="7"/>
        <v>0</v>
      </c>
      <c r="M86" s="249"/>
      <c r="N86" s="350"/>
      <c r="O86" s="121">
        <f t="shared" si="8"/>
        <v>0</v>
      </c>
      <c r="P86" s="121">
        <f t="shared" si="9"/>
        <v>0</v>
      </c>
      <c r="Q86" s="121">
        <f t="shared" si="10"/>
        <v>0</v>
      </c>
      <c r="R86" s="140"/>
    </row>
    <row r="87" spans="1:18" s="59" customFormat="1" x14ac:dyDescent="0.3">
      <c r="A87" s="134"/>
      <c r="B87" s="127"/>
      <c r="C87" s="155"/>
      <c r="D87" s="141"/>
      <c r="E87" s="143"/>
      <c r="F87" s="143"/>
      <c r="G87" s="121"/>
      <c r="H87" s="121"/>
      <c r="I87" s="121"/>
      <c r="J87" s="121">
        <v>0</v>
      </c>
      <c r="K87" s="350"/>
      <c r="L87" s="121">
        <f t="shared" si="7"/>
        <v>0</v>
      </c>
      <c r="M87" s="249"/>
      <c r="N87" s="350"/>
      <c r="O87" s="121">
        <f t="shared" si="8"/>
        <v>0</v>
      </c>
      <c r="P87" s="121">
        <f t="shared" si="9"/>
        <v>0</v>
      </c>
      <c r="Q87" s="121">
        <f t="shared" si="10"/>
        <v>0</v>
      </c>
      <c r="R87" s="140"/>
    </row>
    <row r="88" spans="1:18" s="59" customFormat="1" ht="60" x14ac:dyDescent="0.3">
      <c r="A88" s="134">
        <v>11</v>
      </c>
      <c r="B88" s="127" t="s">
        <v>116</v>
      </c>
      <c r="C88" s="126" t="s">
        <v>117</v>
      </c>
      <c r="D88" s="143"/>
      <c r="E88" s="126"/>
      <c r="F88" s="140"/>
      <c r="G88" s="121"/>
      <c r="H88" s="121"/>
      <c r="I88" s="140"/>
      <c r="J88" s="140">
        <v>0</v>
      </c>
      <c r="K88" s="351"/>
      <c r="L88" s="121">
        <f t="shared" si="7"/>
        <v>0</v>
      </c>
      <c r="M88" s="248"/>
      <c r="N88" s="351"/>
      <c r="O88" s="121">
        <f t="shared" si="8"/>
        <v>0</v>
      </c>
      <c r="P88" s="121">
        <f t="shared" si="9"/>
        <v>0</v>
      </c>
      <c r="Q88" s="121">
        <f t="shared" si="10"/>
        <v>0</v>
      </c>
      <c r="R88" s="140"/>
    </row>
    <row r="89" spans="1:18" s="59" customFormat="1" x14ac:dyDescent="0.3">
      <c r="A89" s="134"/>
      <c r="B89" s="127" t="s">
        <v>1</v>
      </c>
      <c r="C89" s="126" t="s">
        <v>118</v>
      </c>
      <c r="D89" s="143"/>
      <c r="E89" s="126"/>
      <c r="F89" s="140" t="s">
        <v>55</v>
      </c>
      <c r="G89" s="121">
        <v>250</v>
      </c>
      <c r="H89" s="121">
        <v>125</v>
      </c>
      <c r="I89" s="140">
        <f t="shared" ref="I89:I90" si="11">$G89*H89</f>
        <v>31250</v>
      </c>
      <c r="J89" s="140">
        <v>250</v>
      </c>
      <c r="K89" s="351">
        <v>0.7</v>
      </c>
      <c r="L89" s="121">
        <f t="shared" si="7"/>
        <v>11.637294107921548</v>
      </c>
      <c r="M89" s="248">
        <f>'Int. MB'!M70</f>
        <v>261.63729410792155</v>
      </c>
      <c r="N89" s="351">
        <v>1</v>
      </c>
      <c r="O89" s="121">
        <f t="shared" si="8"/>
        <v>21875</v>
      </c>
      <c r="P89" s="121">
        <f t="shared" si="9"/>
        <v>10829.661763490192</v>
      </c>
      <c r="Q89" s="121">
        <f t="shared" si="10"/>
        <v>32704.661763490192</v>
      </c>
      <c r="R89" s="140"/>
    </row>
    <row r="90" spans="1:18" s="59" customFormat="1" ht="24" x14ac:dyDescent="0.3">
      <c r="A90" s="134"/>
      <c r="B90" s="127" t="s">
        <v>2</v>
      </c>
      <c r="C90" s="126" t="s">
        <v>119</v>
      </c>
      <c r="D90" s="143"/>
      <c r="E90" s="126"/>
      <c r="F90" s="140" t="s">
        <v>111</v>
      </c>
      <c r="G90" s="121">
        <v>10</v>
      </c>
      <c r="H90" s="121">
        <v>652</v>
      </c>
      <c r="I90" s="140">
        <f t="shared" si="11"/>
        <v>6520</v>
      </c>
      <c r="J90" s="140">
        <v>10</v>
      </c>
      <c r="K90" s="351">
        <v>0.7</v>
      </c>
      <c r="L90" s="121">
        <f t="shared" si="7"/>
        <v>0</v>
      </c>
      <c r="M90" s="248">
        <f>'Int. MB'!M72</f>
        <v>10</v>
      </c>
      <c r="N90" s="351">
        <v>1</v>
      </c>
      <c r="O90" s="121">
        <f t="shared" si="8"/>
        <v>4564</v>
      </c>
      <c r="P90" s="121">
        <f t="shared" si="9"/>
        <v>1956</v>
      </c>
      <c r="Q90" s="121">
        <f t="shared" si="10"/>
        <v>6520</v>
      </c>
      <c r="R90" s="140"/>
    </row>
    <row r="91" spans="1:18" s="59" customFormat="1" x14ac:dyDescent="0.3">
      <c r="A91" s="134"/>
      <c r="B91" s="127"/>
      <c r="C91" s="126"/>
      <c r="D91" s="143"/>
      <c r="E91" s="143"/>
      <c r="F91" s="143"/>
      <c r="G91" s="121"/>
      <c r="H91" s="121"/>
      <c r="I91" s="121"/>
      <c r="J91" s="121">
        <v>0</v>
      </c>
      <c r="K91" s="350"/>
      <c r="L91" s="121">
        <f t="shared" si="7"/>
        <v>0</v>
      </c>
      <c r="M91" s="249"/>
      <c r="N91" s="350"/>
      <c r="O91" s="121">
        <f t="shared" si="8"/>
        <v>0</v>
      </c>
      <c r="P91" s="121">
        <f t="shared" si="9"/>
        <v>0</v>
      </c>
      <c r="Q91" s="121">
        <f t="shared" si="10"/>
        <v>0</v>
      </c>
      <c r="R91" s="140"/>
    </row>
    <row r="92" spans="1:18" s="59" customFormat="1" x14ac:dyDescent="0.3">
      <c r="A92" s="134"/>
      <c r="B92" s="142"/>
      <c r="C92" s="126"/>
      <c r="D92" s="134"/>
      <c r="E92" s="156"/>
      <c r="F92" s="140"/>
      <c r="G92" s="140"/>
      <c r="H92" s="121"/>
      <c r="I92" s="140"/>
      <c r="J92" s="140">
        <v>0</v>
      </c>
      <c r="K92" s="351"/>
      <c r="L92" s="121">
        <f t="shared" si="7"/>
        <v>0</v>
      </c>
      <c r="M92" s="248"/>
      <c r="N92" s="351"/>
      <c r="O92" s="121">
        <f t="shared" si="8"/>
        <v>0</v>
      </c>
      <c r="P92" s="121">
        <f t="shared" si="9"/>
        <v>0</v>
      </c>
      <c r="Q92" s="121">
        <f t="shared" si="10"/>
        <v>0</v>
      </c>
      <c r="R92" s="140"/>
    </row>
    <row r="93" spans="1:18" s="59" customFormat="1" ht="60" x14ac:dyDescent="0.3">
      <c r="A93" s="134">
        <v>12</v>
      </c>
      <c r="B93" s="127" t="s">
        <v>211</v>
      </c>
      <c r="C93" s="128" t="s">
        <v>212</v>
      </c>
      <c r="D93" s="141" t="s">
        <v>252</v>
      </c>
      <c r="E93" s="143"/>
      <c r="F93" s="143" t="s">
        <v>112</v>
      </c>
      <c r="G93" s="121">
        <v>75</v>
      </c>
      <c r="H93" s="225">
        <v>295</v>
      </c>
      <c r="I93" s="225">
        <f>$G93*H93</f>
        <v>22125</v>
      </c>
      <c r="J93" s="225">
        <v>75</v>
      </c>
      <c r="K93" s="348">
        <v>0.9</v>
      </c>
      <c r="L93" s="121">
        <f t="shared" si="7"/>
        <v>-75</v>
      </c>
      <c r="M93" s="671">
        <f>'Int. MB'!M80</f>
        <v>0</v>
      </c>
      <c r="N93" s="348">
        <v>1</v>
      </c>
      <c r="O93" s="121">
        <f t="shared" si="8"/>
        <v>19912.5</v>
      </c>
      <c r="P93" s="121">
        <f t="shared" si="9"/>
        <v>-19912.5</v>
      </c>
      <c r="Q93" s="121">
        <f t="shared" si="10"/>
        <v>0</v>
      </c>
      <c r="R93" s="140"/>
    </row>
    <row r="94" spans="1:18" s="59" customFormat="1" x14ac:dyDescent="0.3">
      <c r="A94" s="134"/>
      <c r="B94" s="127"/>
      <c r="C94" s="128" t="s">
        <v>289</v>
      </c>
      <c r="D94" s="141"/>
      <c r="E94" s="143"/>
      <c r="F94" s="143"/>
      <c r="G94" s="121"/>
      <c r="H94" s="225"/>
      <c r="I94" s="225"/>
      <c r="J94" s="225">
        <v>0</v>
      </c>
      <c r="K94" s="348"/>
      <c r="L94" s="121">
        <f t="shared" si="7"/>
        <v>0</v>
      </c>
      <c r="M94" s="671"/>
      <c r="N94" s="348"/>
      <c r="O94" s="121">
        <f t="shared" si="8"/>
        <v>0</v>
      </c>
      <c r="P94" s="121">
        <f t="shared" si="9"/>
        <v>0</v>
      </c>
      <c r="Q94" s="121">
        <f t="shared" si="10"/>
        <v>0</v>
      </c>
      <c r="R94" s="140"/>
    </row>
    <row r="95" spans="1:18" s="59" customFormat="1" ht="84" x14ac:dyDescent="0.3">
      <c r="A95" s="134"/>
      <c r="B95" s="127"/>
      <c r="C95" s="119" t="s">
        <v>582</v>
      </c>
      <c r="D95" s="141" t="s">
        <v>252</v>
      </c>
      <c r="E95" s="143"/>
      <c r="F95" s="143" t="s">
        <v>112</v>
      </c>
      <c r="G95" s="121">
        <v>75</v>
      </c>
      <c r="H95" s="225">
        <v>145</v>
      </c>
      <c r="I95" s="225">
        <f>$G95*H95</f>
        <v>10875</v>
      </c>
      <c r="J95" s="225">
        <v>75</v>
      </c>
      <c r="K95" s="348">
        <v>1</v>
      </c>
      <c r="L95" s="121">
        <f t="shared" si="7"/>
        <v>-75</v>
      </c>
      <c r="M95" s="671"/>
      <c r="N95" s="348">
        <v>0</v>
      </c>
      <c r="O95" s="121">
        <f t="shared" si="8"/>
        <v>10875</v>
      </c>
      <c r="P95" s="121">
        <f t="shared" si="9"/>
        <v>-10875</v>
      </c>
      <c r="Q95" s="121">
        <f t="shared" si="10"/>
        <v>0</v>
      </c>
      <c r="R95" s="140"/>
    </row>
    <row r="96" spans="1:18" s="59" customFormat="1" x14ac:dyDescent="0.3">
      <c r="A96" s="134"/>
      <c r="B96" s="127"/>
      <c r="C96" s="122" t="s">
        <v>290</v>
      </c>
      <c r="D96" s="141"/>
      <c r="E96" s="143"/>
      <c r="F96" s="143"/>
      <c r="G96" s="121"/>
      <c r="H96" s="225"/>
      <c r="I96" s="225"/>
      <c r="J96" s="225">
        <v>0</v>
      </c>
      <c r="K96" s="348"/>
      <c r="L96" s="121">
        <f t="shared" si="7"/>
        <v>0</v>
      </c>
      <c r="M96" s="671"/>
      <c r="N96" s="348"/>
      <c r="O96" s="121">
        <f t="shared" si="8"/>
        <v>0</v>
      </c>
      <c r="P96" s="121">
        <f t="shared" si="9"/>
        <v>0</v>
      </c>
      <c r="Q96" s="121">
        <f t="shared" si="10"/>
        <v>0</v>
      </c>
      <c r="R96" s="140"/>
    </row>
    <row r="97" spans="1:18" s="59" customFormat="1" ht="72" x14ac:dyDescent="0.3">
      <c r="A97" s="134">
        <v>13</v>
      </c>
      <c r="B97" s="132" t="s">
        <v>298</v>
      </c>
      <c r="C97" s="126" t="s">
        <v>299</v>
      </c>
      <c r="D97" s="141"/>
      <c r="E97" s="143"/>
      <c r="F97" s="143" t="s">
        <v>129</v>
      </c>
      <c r="G97" s="121">
        <v>30</v>
      </c>
      <c r="H97" s="225">
        <v>1500</v>
      </c>
      <c r="I97" s="225">
        <f>$G97*H97</f>
        <v>45000</v>
      </c>
      <c r="J97" s="225">
        <v>30</v>
      </c>
      <c r="K97" s="348">
        <v>0.7</v>
      </c>
      <c r="L97" s="121">
        <f t="shared" si="7"/>
        <v>62.711713201204176</v>
      </c>
      <c r="M97" s="671">
        <f>'Int. MB'!M86</f>
        <v>92.711713201204176</v>
      </c>
      <c r="N97" s="348">
        <v>1</v>
      </c>
      <c r="O97" s="121">
        <f t="shared" si="8"/>
        <v>31499.999999999996</v>
      </c>
      <c r="P97" s="121">
        <f t="shared" si="9"/>
        <v>107567.56980180627</v>
      </c>
      <c r="Q97" s="121">
        <f t="shared" si="10"/>
        <v>139067.56980180627</v>
      </c>
      <c r="R97" s="140"/>
    </row>
    <row r="98" spans="1:18" s="59" customFormat="1" x14ac:dyDescent="0.3">
      <c r="A98" s="135"/>
      <c r="B98" s="127"/>
      <c r="C98" s="126"/>
      <c r="D98" s="143"/>
      <c r="E98" s="143"/>
      <c r="F98" s="140"/>
      <c r="G98" s="140"/>
      <c r="H98" s="140"/>
      <c r="I98" s="140"/>
      <c r="J98" s="140"/>
      <c r="K98" s="351"/>
      <c r="L98" s="121">
        <f t="shared" si="7"/>
        <v>0</v>
      </c>
      <c r="M98" s="248"/>
      <c r="N98" s="351"/>
      <c r="O98" s="121">
        <f t="shared" si="8"/>
        <v>0</v>
      </c>
      <c r="P98" s="121">
        <f t="shared" si="9"/>
        <v>0</v>
      </c>
      <c r="Q98" s="121">
        <f t="shared" si="10"/>
        <v>0</v>
      </c>
      <c r="R98" s="140"/>
    </row>
    <row r="99" spans="1:18" s="59" customFormat="1" x14ac:dyDescent="0.3">
      <c r="A99" s="157" t="s">
        <v>120</v>
      </c>
      <c r="B99" s="158"/>
      <c r="C99" s="158" t="s">
        <v>93</v>
      </c>
      <c r="D99" s="157"/>
      <c r="E99" s="157"/>
      <c r="F99" s="98"/>
      <c r="G99" s="225"/>
      <c r="H99" s="140"/>
      <c r="I99" s="140"/>
      <c r="J99" s="140"/>
      <c r="K99" s="351"/>
      <c r="L99" s="121">
        <f t="shared" si="7"/>
        <v>0</v>
      </c>
      <c r="M99" s="248"/>
      <c r="N99" s="351"/>
      <c r="O99" s="121">
        <f t="shared" si="8"/>
        <v>0</v>
      </c>
      <c r="P99" s="121">
        <f t="shared" si="9"/>
        <v>0</v>
      </c>
      <c r="Q99" s="121">
        <f t="shared" si="10"/>
        <v>0</v>
      </c>
      <c r="R99" s="140"/>
    </row>
    <row r="100" spans="1:18" s="59" customFormat="1" x14ac:dyDescent="0.3">
      <c r="A100" s="134"/>
      <c r="B100" s="148"/>
      <c r="C100" s="126"/>
      <c r="D100" s="143"/>
      <c r="E100" s="143"/>
      <c r="F100" s="159"/>
      <c r="G100" s="140"/>
      <c r="H100" s="140"/>
      <c r="I100" s="140"/>
      <c r="J100" s="140"/>
      <c r="K100" s="351"/>
      <c r="L100" s="121">
        <f t="shared" si="7"/>
        <v>0</v>
      </c>
      <c r="M100" s="248"/>
      <c r="N100" s="351"/>
      <c r="O100" s="121">
        <f t="shared" si="8"/>
        <v>0</v>
      </c>
      <c r="P100" s="121">
        <f t="shared" si="9"/>
        <v>0</v>
      </c>
      <c r="Q100" s="121">
        <f t="shared" si="10"/>
        <v>0</v>
      </c>
      <c r="R100" s="140"/>
    </row>
    <row r="101" spans="1:18" s="59" customFormat="1" ht="84" x14ac:dyDescent="0.3">
      <c r="A101" s="134">
        <v>1</v>
      </c>
      <c r="B101" s="127" t="s">
        <v>121</v>
      </c>
      <c r="C101" s="127" t="s">
        <v>122</v>
      </c>
      <c r="D101" s="143"/>
      <c r="E101" s="143" t="s">
        <v>40</v>
      </c>
      <c r="F101" s="140" t="s">
        <v>55</v>
      </c>
      <c r="G101" s="140">
        <v>150</v>
      </c>
      <c r="H101" s="140">
        <v>560</v>
      </c>
      <c r="I101" s="140">
        <f>$G101*H101</f>
        <v>84000</v>
      </c>
      <c r="J101" s="140">
        <v>150</v>
      </c>
      <c r="K101" s="351">
        <v>0.7</v>
      </c>
      <c r="L101" s="121">
        <f t="shared" si="7"/>
        <v>-30.968373047857213</v>
      </c>
      <c r="M101" s="248">
        <f>'Int. MB'!M94</f>
        <v>119.03162695214279</v>
      </c>
      <c r="N101" s="351">
        <v>1</v>
      </c>
      <c r="O101" s="121">
        <f t="shared" si="8"/>
        <v>58799.999999999993</v>
      </c>
      <c r="P101" s="121">
        <f t="shared" si="9"/>
        <v>7857.7110931999705</v>
      </c>
      <c r="Q101" s="121">
        <f t="shared" si="10"/>
        <v>66657.711093199963</v>
      </c>
      <c r="R101" s="140"/>
    </row>
    <row r="102" spans="1:18" s="59" customFormat="1" x14ac:dyDescent="0.3">
      <c r="A102" s="134"/>
      <c r="B102" s="127"/>
      <c r="C102" s="126"/>
      <c r="D102" s="143"/>
      <c r="E102" s="143"/>
      <c r="F102" s="140"/>
      <c r="G102" s="140"/>
      <c r="H102" s="140"/>
      <c r="I102" s="140"/>
      <c r="J102" s="140">
        <v>0</v>
      </c>
      <c r="K102" s="351"/>
      <c r="L102" s="121">
        <f t="shared" si="7"/>
        <v>0</v>
      </c>
      <c r="M102" s="248"/>
      <c r="N102" s="351"/>
      <c r="O102" s="121">
        <f t="shared" si="8"/>
        <v>0</v>
      </c>
      <c r="P102" s="121">
        <f t="shared" si="9"/>
        <v>0</v>
      </c>
      <c r="Q102" s="121">
        <f t="shared" si="10"/>
        <v>0</v>
      </c>
      <c r="R102" s="140"/>
    </row>
    <row r="103" spans="1:18" s="59" customFormat="1" ht="48" x14ac:dyDescent="0.3">
      <c r="A103" s="134">
        <v>2</v>
      </c>
      <c r="B103" s="127" t="s">
        <v>177</v>
      </c>
      <c r="C103" s="126" t="s">
        <v>178</v>
      </c>
      <c r="D103" s="134"/>
      <c r="E103" s="134"/>
      <c r="F103" s="143"/>
      <c r="G103" s="140"/>
      <c r="H103" s="140"/>
      <c r="I103" s="140"/>
      <c r="J103" s="140">
        <v>0</v>
      </c>
      <c r="K103" s="351"/>
      <c r="L103" s="121">
        <f t="shared" si="7"/>
        <v>0</v>
      </c>
      <c r="M103" s="248"/>
      <c r="N103" s="351"/>
      <c r="O103" s="121">
        <f t="shared" si="8"/>
        <v>0</v>
      </c>
      <c r="P103" s="121">
        <f t="shared" si="9"/>
        <v>0</v>
      </c>
      <c r="Q103" s="121">
        <f t="shared" si="10"/>
        <v>0</v>
      </c>
      <c r="R103" s="140"/>
    </row>
    <row r="104" spans="1:18" s="59" customFormat="1" x14ac:dyDescent="0.3">
      <c r="A104" s="135"/>
      <c r="B104" s="127"/>
      <c r="C104" s="126" t="s">
        <v>179</v>
      </c>
      <c r="D104" s="134"/>
      <c r="E104" s="134"/>
      <c r="F104" s="143"/>
      <c r="G104" s="140"/>
      <c r="H104" s="140"/>
      <c r="I104" s="140"/>
      <c r="J104" s="140">
        <v>0</v>
      </c>
      <c r="K104" s="351"/>
      <c r="L104" s="121">
        <f t="shared" si="7"/>
        <v>0</v>
      </c>
      <c r="M104" s="248"/>
      <c r="N104" s="351"/>
      <c r="O104" s="121">
        <f t="shared" si="8"/>
        <v>0</v>
      </c>
      <c r="P104" s="121">
        <f t="shared" si="9"/>
        <v>0</v>
      </c>
      <c r="Q104" s="121">
        <f t="shared" si="10"/>
        <v>0</v>
      </c>
      <c r="R104" s="140"/>
    </row>
    <row r="105" spans="1:18" s="59" customFormat="1" x14ac:dyDescent="0.3">
      <c r="A105" s="135"/>
      <c r="B105" s="127"/>
      <c r="C105" s="127" t="s">
        <v>307</v>
      </c>
      <c r="D105" s="134"/>
      <c r="E105" s="143"/>
      <c r="F105" s="143" t="s">
        <v>111</v>
      </c>
      <c r="G105" s="140">
        <v>1</v>
      </c>
      <c r="H105" s="140">
        <v>40000</v>
      </c>
      <c r="I105" s="140">
        <f>$G105*H105</f>
        <v>40000</v>
      </c>
      <c r="J105" s="140">
        <v>1</v>
      </c>
      <c r="K105" s="351">
        <v>0.7</v>
      </c>
      <c r="L105" s="121">
        <f t="shared" si="7"/>
        <v>0</v>
      </c>
      <c r="M105" s="248">
        <f>'Int. MB'!M97</f>
        <v>1</v>
      </c>
      <c r="N105" s="351">
        <v>1</v>
      </c>
      <c r="O105" s="121">
        <f t="shared" si="8"/>
        <v>28000</v>
      </c>
      <c r="P105" s="121">
        <f t="shared" si="9"/>
        <v>12000</v>
      </c>
      <c r="Q105" s="121">
        <f t="shared" si="10"/>
        <v>40000</v>
      </c>
      <c r="R105" s="140"/>
    </row>
    <row r="106" spans="1:18" s="59" customFormat="1" x14ac:dyDescent="0.3">
      <c r="A106" s="135"/>
      <c r="B106" s="127"/>
      <c r="C106" s="127"/>
      <c r="D106" s="134"/>
      <c r="E106" s="143"/>
      <c r="F106" s="143" t="s">
        <v>111</v>
      </c>
      <c r="G106" s="140"/>
      <c r="H106" s="140"/>
      <c r="I106" s="140"/>
      <c r="J106" s="140">
        <v>0</v>
      </c>
      <c r="K106" s="351"/>
      <c r="L106" s="121">
        <f t="shared" si="7"/>
        <v>0</v>
      </c>
      <c r="M106" s="248"/>
      <c r="N106" s="351"/>
      <c r="O106" s="121">
        <f t="shared" si="8"/>
        <v>0</v>
      </c>
      <c r="P106" s="121">
        <f t="shared" si="9"/>
        <v>0</v>
      </c>
      <c r="Q106" s="121">
        <f t="shared" si="10"/>
        <v>0</v>
      </c>
      <c r="R106" s="140"/>
    </row>
    <row r="107" spans="1:18" s="59" customFormat="1" x14ac:dyDescent="0.3">
      <c r="A107" s="134"/>
      <c r="B107" s="127"/>
      <c r="C107" s="126"/>
      <c r="D107" s="143"/>
      <c r="E107" s="143"/>
      <c r="F107" s="140"/>
      <c r="G107" s="140"/>
      <c r="H107" s="140"/>
      <c r="I107" s="140"/>
      <c r="J107" s="140">
        <v>0</v>
      </c>
      <c r="K107" s="351"/>
      <c r="L107" s="121">
        <f t="shared" si="7"/>
        <v>0</v>
      </c>
      <c r="M107" s="248"/>
      <c r="N107" s="351"/>
      <c r="O107" s="121">
        <f t="shared" si="8"/>
        <v>0</v>
      </c>
      <c r="P107" s="121">
        <f t="shared" si="9"/>
        <v>0</v>
      </c>
      <c r="Q107" s="121">
        <f t="shared" si="10"/>
        <v>0</v>
      </c>
      <c r="R107" s="140"/>
    </row>
    <row r="108" spans="1:18" s="59" customFormat="1" ht="36" x14ac:dyDescent="0.3">
      <c r="A108" s="135">
        <v>3</v>
      </c>
      <c r="B108" s="126" t="s">
        <v>218</v>
      </c>
      <c r="C108" s="126" t="s">
        <v>286</v>
      </c>
      <c r="D108" s="134"/>
      <c r="E108" s="134"/>
      <c r="F108" s="143" t="s">
        <v>45</v>
      </c>
      <c r="G108" s="140">
        <v>200</v>
      </c>
      <c r="H108" s="121">
        <v>283</v>
      </c>
      <c r="I108" s="121">
        <f>$G108*H108</f>
        <v>56600</v>
      </c>
      <c r="J108" s="121">
        <v>200</v>
      </c>
      <c r="K108" s="350">
        <v>0.7</v>
      </c>
      <c r="L108" s="121">
        <f t="shared" si="7"/>
        <v>-65.321522309711298</v>
      </c>
      <c r="M108" s="249">
        <f>'Int. MB'!M104</f>
        <v>134.6784776902887</v>
      </c>
      <c r="N108" s="350">
        <v>1</v>
      </c>
      <c r="O108" s="121">
        <f t="shared" si="8"/>
        <v>39620</v>
      </c>
      <c r="P108" s="121">
        <f t="shared" si="9"/>
        <v>-1505.9908136482991</v>
      </c>
      <c r="Q108" s="121">
        <f t="shared" si="10"/>
        <v>38114.009186351701</v>
      </c>
      <c r="R108" s="140"/>
    </row>
    <row r="109" spans="1:18" s="59" customFormat="1" x14ac:dyDescent="0.3">
      <c r="A109" s="130"/>
      <c r="B109" s="126"/>
      <c r="C109" s="126"/>
      <c r="D109" s="134"/>
      <c r="E109" s="134"/>
      <c r="F109" s="143"/>
      <c r="G109" s="140"/>
      <c r="H109" s="121"/>
      <c r="I109" s="121"/>
      <c r="J109" s="121">
        <v>0</v>
      </c>
      <c r="K109" s="350"/>
      <c r="L109" s="121">
        <f t="shared" si="7"/>
        <v>0</v>
      </c>
      <c r="M109" s="249"/>
      <c r="N109" s="350"/>
      <c r="O109" s="121">
        <f t="shared" si="8"/>
        <v>0</v>
      </c>
      <c r="P109" s="121">
        <f t="shared" si="9"/>
        <v>0</v>
      </c>
      <c r="Q109" s="121">
        <f t="shared" si="10"/>
        <v>0</v>
      </c>
      <c r="R109" s="140"/>
    </row>
    <row r="110" spans="1:18" s="59" customFormat="1" ht="36" x14ac:dyDescent="0.3">
      <c r="A110" s="134">
        <v>4</v>
      </c>
      <c r="B110" s="132" t="s">
        <v>180</v>
      </c>
      <c r="C110" s="126" t="s">
        <v>181</v>
      </c>
      <c r="D110" s="132"/>
      <c r="E110" s="132"/>
      <c r="F110" s="143" t="s">
        <v>45</v>
      </c>
      <c r="G110" s="140">
        <v>150</v>
      </c>
      <c r="H110" s="121">
        <v>165</v>
      </c>
      <c r="I110" s="121">
        <f>$G110*H110</f>
        <v>24750</v>
      </c>
      <c r="J110" s="121">
        <v>150</v>
      </c>
      <c r="K110" s="350">
        <v>0.9</v>
      </c>
      <c r="L110" s="121">
        <f t="shared" si="7"/>
        <v>-42.782152230971121</v>
      </c>
      <c r="M110" s="249">
        <f>'Int. MB'!M110</f>
        <v>107.21784776902888</v>
      </c>
      <c r="N110" s="350">
        <v>1</v>
      </c>
      <c r="O110" s="121">
        <f t="shared" si="8"/>
        <v>22275</v>
      </c>
      <c r="P110" s="121">
        <f t="shared" si="9"/>
        <v>-4584.0551181102346</v>
      </c>
      <c r="Q110" s="121">
        <f t="shared" si="10"/>
        <v>17690.944881889765</v>
      </c>
      <c r="R110" s="140"/>
    </row>
    <row r="111" spans="1:18" s="59" customFormat="1" x14ac:dyDescent="0.3">
      <c r="A111" s="134"/>
      <c r="B111" s="132"/>
      <c r="C111" s="126"/>
      <c r="D111" s="132"/>
      <c r="E111" s="132"/>
      <c r="F111" s="143"/>
      <c r="G111" s="140"/>
      <c r="H111" s="225"/>
      <c r="I111" s="225"/>
      <c r="J111" s="225">
        <v>0</v>
      </c>
      <c r="K111" s="348"/>
      <c r="L111" s="121">
        <f t="shared" si="7"/>
        <v>0</v>
      </c>
      <c r="M111" s="671"/>
      <c r="N111" s="348"/>
      <c r="O111" s="121">
        <f t="shared" si="8"/>
        <v>0</v>
      </c>
      <c r="P111" s="121">
        <f t="shared" si="9"/>
        <v>0</v>
      </c>
      <c r="Q111" s="121">
        <f t="shared" si="10"/>
        <v>0</v>
      </c>
      <c r="R111" s="140"/>
    </row>
    <row r="112" spans="1:18" s="59" customFormat="1" ht="48" x14ac:dyDescent="0.3">
      <c r="A112" s="134">
        <v>5</v>
      </c>
      <c r="B112" s="132" t="s">
        <v>220</v>
      </c>
      <c r="C112" s="126" t="s">
        <v>221</v>
      </c>
      <c r="D112" s="132"/>
      <c r="E112" s="132"/>
      <c r="F112" s="143" t="s">
        <v>45</v>
      </c>
      <c r="G112" s="140">
        <v>150</v>
      </c>
      <c r="H112" s="225">
        <v>180</v>
      </c>
      <c r="I112" s="225">
        <f>$G112*H112</f>
        <v>27000</v>
      </c>
      <c r="J112" s="225">
        <v>150</v>
      </c>
      <c r="K112" s="348">
        <v>0.9</v>
      </c>
      <c r="L112" s="121">
        <f t="shared" si="7"/>
        <v>-150</v>
      </c>
      <c r="M112" s="671">
        <f>'Int. MB'!M118</f>
        <v>0</v>
      </c>
      <c r="N112" s="348">
        <v>1</v>
      </c>
      <c r="O112" s="121">
        <f t="shared" si="8"/>
        <v>24300</v>
      </c>
      <c r="P112" s="121">
        <f t="shared" si="9"/>
        <v>-24300</v>
      </c>
      <c r="Q112" s="121">
        <f t="shared" si="10"/>
        <v>0</v>
      </c>
      <c r="R112" s="140"/>
    </row>
    <row r="113" spans="1:20" s="59" customFormat="1" x14ac:dyDescent="0.3">
      <c r="A113" s="142"/>
      <c r="B113" s="142"/>
      <c r="C113" s="142"/>
      <c r="D113" s="142"/>
      <c r="E113" s="142"/>
      <c r="F113" s="143"/>
      <c r="G113" s="121"/>
      <c r="H113" s="140"/>
      <c r="I113" s="225"/>
      <c r="J113" s="225"/>
      <c r="K113" s="348"/>
      <c r="L113" s="225"/>
      <c r="M113" s="671"/>
      <c r="N113" s="348"/>
      <c r="O113" s="121">
        <f t="shared" si="8"/>
        <v>0</v>
      </c>
      <c r="P113" s="121">
        <f t="shared" si="9"/>
        <v>0</v>
      </c>
      <c r="Q113" s="121">
        <f t="shared" si="10"/>
        <v>0</v>
      </c>
      <c r="R113" s="140"/>
    </row>
    <row r="114" spans="1:20" s="59" customFormat="1" x14ac:dyDescent="0.3">
      <c r="A114" s="103" t="s">
        <v>149</v>
      </c>
      <c r="B114" s="124"/>
      <c r="C114" s="124"/>
      <c r="D114" s="102"/>
      <c r="E114" s="118"/>
      <c r="F114" s="102"/>
      <c r="G114" s="140"/>
      <c r="H114" s="121"/>
      <c r="I114" s="121"/>
      <c r="J114" s="121"/>
      <c r="K114" s="350"/>
      <c r="L114" s="121"/>
      <c r="M114" s="249"/>
      <c r="N114" s="350"/>
      <c r="O114" s="121">
        <f t="shared" si="8"/>
        <v>0</v>
      </c>
      <c r="P114" s="121">
        <f t="shared" si="9"/>
        <v>0</v>
      </c>
      <c r="Q114" s="121">
        <f t="shared" si="10"/>
        <v>0</v>
      </c>
      <c r="R114" s="140"/>
    </row>
    <row r="115" spans="1:20" s="59" customFormat="1" x14ac:dyDescent="0.3">
      <c r="A115" s="118"/>
      <c r="B115" s="124"/>
      <c r="C115" s="124"/>
      <c r="D115" s="102"/>
      <c r="E115" s="118"/>
      <c r="F115" s="102"/>
      <c r="G115" s="140"/>
      <c r="H115" s="121"/>
      <c r="I115" s="121"/>
      <c r="J115" s="121"/>
      <c r="K115" s="350"/>
      <c r="L115" s="121"/>
      <c r="M115" s="249"/>
      <c r="N115" s="350"/>
      <c r="O115" s="121">
        <f t="shared" si="8"/>
        <v>0</v>
      </c>
      <c r="P115" s="121">
        <f t="shared" si="9"/>
        <v>0</v>
      </c>
      <c r="Q115" s="121">
        <f t="shared" si="10"/>
        <v>0</v>
      </c>
      <c r="R115" s="140"/>
    </row>
    <row r="116" spans="1:20" s="59" customFormat="1" x14ac:dyDescent="0.3">
      <c r="A116" s="102">
        <v>1</v>
      </c>
      <c r="B116" s="129" t="s">
        <v>123</v>
      </c>
      <c r="C116" s="124" t="s">
        <v>124</v>
      </c>
      <c r="D116" s="117"/>
      <c r="E116" s="117"/>
      <c r="F116" s="113" t="s">
        <v>55</v>
      </c>
      <c r="G116" s="121">
        <v>400</v>
      </c>
      <c r="H116" s="121">
        <v>206</v>
      </c>
      <c r="I116" s="121">
        <f>$G116*H116</f>
        <v>82400</v>
      </c>
      <c r="J116" s="121">
        <v>400</v>
      </c>
      <c r="K116" s="350">
        <v>0</v>
      </c>
      <c r="L116" s="121"/>
      <c r="M116" s="249">
        <f>'Int. MB'!M128</f>
        <v>310.38596799415819</v>
      </c>
      <c r="N116" s="350">
        <v>1</v>
      </c>
      <c r="O116" s="121">
        <f t="shared" si="8"/>
        <v>0</v>
      </c>
      <c r="P116" s="121">
        <f t="shared" si="9"/>
        <v>63939.509406796591</v>
      </c>
      <c r="Q116" s="121">
        <f t="shared" si="10"/>
        <v>63939.509406796591</v>
      </c>
      <c r="R116" s="140"/>
    </row>
    <row r="117" spans="1:20" s="59" customFormat="1" x14ac:dyDescent="0.3">
      <c r="A117" s="102"/>
      <c r="B117" s="129"/>
      <c r="C117" s="124" t="s">
        <v>125</v>
      </c>
      <c r="D117" s="117"/>
      <c r="E117" s="117"/>
      <c r="F117" s="113"/>
      <c r="G117" s="121"/>
      <c r="H117" s="121"/>
      <c r="I117" s="121"/>
      <c r="J117" s="121">
        <v>0</v>
      </c>
      <c r="K117" s="350">
        <v>0</v>
      </c>
      <c r="L117" s="121"/>
      <c r="M117" s="249"/>
      <c r="N117" s="350"/>
      <c r="O117" s="121">
        <f t="shared" si="8"/>
        <v>0</v>
      </c>
      <c r="P117" s="121">
        <f t="shared" si="9"/>
        <v>0</v>
      </c>
      <c r="Q117" s="121">
        <f t="shared" si="10"/>
        <v>0</v>
      </c>
      <c r="R117" s="140"/>
    </row>
    <row r="118" spans="1:20" s="59" customFormat="1" x14ac:dyDescent="0.3">
      <c r="A118" s="102"/>
      <c r="B118" s="129"/>
      <c r="C118" s="124"/>
      <c r="D118" s="117"/>
      <c r="E118" s="117"/>
      <c r="F118" s="113"/>
      <c r="G118" s="121"/>
      <c r="H118" s="121"/>
      <c r="I118" s="121"/>
      <c r="J118" s="121">
        <v>0</v>
      </c>
      <c r="K118" s="350">
        <v>0</v>
      </c>
      <c r="L118" s="121"/>
      <c r="M118" s="249"/>
      <c r="N118" s="350"/>
      <c r="O118" s="121">
        <f t="shared" si="8"/>
        <v>0</v>
      </c>
      <c r="P118" s="121">
        <f t="shared" si="9"/>
        <v>0</v>
      </c>
      <c r="Q118" s="121">
        <f t="shared" si="10"/>
        <v>0</v>
      </c>
      <c r="R118" s="140"/>
    </row>
    <row r="119" spans="1:20" s="59" customFormat="1" x14ac:dyDescent="0.3">
      <c r="A119" s="102">
        <v>2</v>
      </c>
      <c r="B119" s="129" t="s">
        <v>126</v>
      </c>
      <c r="C119" s="124" t="s">
        <v>127</v>
      </c>
      <c r="D119" s="117"/>
      <c r="E119" s="117"/>
      <c r="F119" s="113" t="s">
        <v>95</v>
      </c>
      <c r="G119" s="121">
        <v>7</v>
      </c>
      <c r="H119" s="227">
        <v>2650</v>
      </c>
      <c r="I119" s="140">
        <f>$G119*H119</f>
        <v>18550</v>
      </c>
      <c r="J119" s="140">
        <v>7</v>
      </c>
      <c r="K119" s="350">
        <v>0</v>
      </c>
      <c r="L119" s="140"/>
      <c r="M119" s="248">
        <v>0</v>
      </c>
      <c r="N119" s="350">
        <v>0</v>
      </c>
      <c r="O119" s="121">
        <f t="shared" si="8"/>
        <v>0</v>
      </c>
      <c r="P119" s="121">
        <f t="shared" si="9"/>
        <v>0</v>
      </c>
      <c r="Q119" s="121">
        <f t="shared" si="10"/>
        <v>0</v>
      </c>
      <c r="R119" s="140"/>
    </row>
    <row r="120" spans="1:20" s="59" customFormat="1" x14ac:dyDescent="0.3">
      <c r="A120" s="102"/>
      <c r="B120" s="129"/>
      <c r="C120" s="124"/>
      <c r="D120" s="117"/>
      <c r="E120" s="117"/>
      <c r="F120" s="113"/>
      <c r="G120" s="121"/>
      <c r="H120" s="121"/>
      <c r="I120" s="121"/>
      <c r="J120" s="121">
        <v>0</v>
      </c>
      <c r="K120" s="350">
        <v>0</v>
      </c>
      <c r="L120" s="121"/>
      <c r="M120" s="249"/>
      <c r="N120" s="350"/>
      <c r="O120" s="121">
        <f t="shared" si="8"/>
        <v>0</v>
      </c>
      <c r="P120" s="121">
        <f t="shared" si="9"/>
        <v>0</v>
      </c>
      <c r="Q120" s="121">
        <f t="shared" si="10"/>
        <v>0</v>
      </c>
      <c r="R120" s="140"/>
      <c r="T120" s="59">
        <f>68+99</f>
        <v>167</v>
      </c>
    </row>
    <row r="121" spans="1:20" s="59" customFormat="1" ht="36" x14ac:dyDescent="0.3">
      <c r="A121" s="102">
        <v>3</v>
      </c>
      <c r="B121" s="106" t="s">
        <v>128</v>
      </c>
      <c r="C121" s="124" t="s">
        <v>219</v>
      </c>
      <c r="D121" s="111"/>
      <c r="E121" s="111"/>
      <c r="F121" s="102" t="s">
        <v>129</v>
      </c>
      <c r="G121" s="227">
        <v>200</v>
      </c>
      <c r="H121" s="121">
        <v>178</v>
      </c>
      <c r="I121" s="121">
        <f>$G121*H121</f>
        <v>35600</v>
      </c>
      <c r="J121" s="121">
        <v>200</v>
      </c>
      <c r="K121" s="350">
        <v>0</v>
      </c>
      <c r="L121" s="121"/>
      <c r="M121" s="249">
        <f>'Int. MB'!M135</f>
        <v>167</v>
      </c>
      <c r="N121" s="350">
        <v>1</v>
      </c>
      <c r="O121" s="121">
        <f t="shared" si="8"/>
        <v>0</v>
      </c>
      <c r="P121" s="121">
        <f t="shared" si="9"/>
        <v>29726</v>
      </c>
      <c r="Q121" s="121">
        <f t="shared" si="10"/>
        <v>29726</v>
      </c>
      <c r="R121" s="140"/>
    </row>
    <row r="122" spans="1:20" s="59" customFormat="1" x14ac:dyDescent="0.3">
      <c r="A122" s="102"/>
      <c r="B122" s="129"/>
      <c r="C122" s="124" t="s">
        <v>130</v>
      </c>
      <c r="D122" s="117"/>
      <c r="E122" s="117"/>
      <c r="F122" s="113"/>
      <c r="G122" s="121"/>
      <c r="H122" s="140"/>
      <c r="I122" s="225"/>
      <c r="J122" s="225">
        <v>0</v>
      </c>
      <c r="K122" s="350">
        <v>0</v>
      </c>
      <c r="L122" s="225"/>
      <c r="M122" s="225"/>
      <c r="N122" s="350"/>
      <c r="O122" s="121">
        <f t="shared" si="8"/>
        <v>0</v>
      </c>
      <c r="P122" s="121">
        <f t="shared" si="9"/>
        <v>0</v>
      </c>
      <c r="Q122" s="121">
        <f t="shared" si="10"/>
        <v>0</v>
      </c>
      <c r="R122" s="140"/>
    </row>
    <row r="123" spans="1:20" s="59" customFormat="1" x14ac:dyDescent="0.3">
      <c r="A123" s="102">
        <v>4</v>
      </c>
      <c r="B123" s="129" t="s">
        <v>294</v>
      </c>
      <c r="C123" s="124" t="s">
        <v>295</v>
      </c>
      <c r="D123" s="117"/>
      <c r="E123" s="117"/>
      <c r="F123" s="113" t="s">
        <v>95</v>
      </c>
      <c r="G123" s="121">
        <v>2</v>
      </c>
      <c r="H123" s="140">
        <v>27650</v>
      </c>
      <c r="I123" s="225">
        <f>$G123*H123</f>
        <v>55300</v>
      </c>
      <c r="J123" s="225">
        <v>2</v>
      </c>
      <c r="K123" s="350">
        <v>0.7</v>
      </c>
      <c r="L123" s="225"/>
      <c r="M123" s="225">
        <v>0</v>
      </c>
      <c r="N123" s="350">
        <v>0</v>
      </c>
      <c r="O123" s="121">
        <f t="shared" si="8"/>
        <v>38710</v>
      </c>
      <c r="P123" s="121">
        <f t="shared" si="9"/>
        <v>-38710</v>
      </c>
      <c r="Q123" s="121">
        <f t="shared" si="10"/>
        <v>0</v>
      </c>
      <c r="R123" s="140"/>
    </row>
    <row r="124" spans="1:20" s="59" customFormat="1" x14ac:dyDescent="0.3">
      <c r="A124" s="102"/>
      <c r="B124" s="117"/>
      <c r="C124" s="124"/>
      <c r="D124" s="102"/>
      <c r="E124" s="118"/>
      <c r="F124" s="140"/>
      <c r="G124" s="140"/>
      <c r="H124" s="140"/>
      <c r="I124" s="140"/>
      <c r="J124" s="140"/>
      <c r="K124" s="351"/>
      <c r="L124" s="140"/>
      <c r="M124" s="140"/>
      <c r="N124" s="351"/>
      <c r="O124" s="140"/>
      <c r="P124" s="140"/>
      <c r="Q124" s="140"/>
      <c r="R124" s="140"/>
    </row>
    <row r="125" spans="1:20" s="59" customFormat="1" ht="21" customHeight="1" x14ac:dyDescent="0.3">
      <c r="A125" s="777" t="s">
        <v>634</v>
      </c>
      <c r="B125" s="777"/>
      <c r="C125" s="777"/>
      <c r="D125" s="320"/>
      <c r="E125" s="323"/>
      <c r="F125" s="320"/>
      <c r="G125" s="321"/>
      <c r="H125" s="321"/>
      <c r="I125" s="322">
        <f>SUM(I13:I124)</f>
        <v>2253467</v>
      </c>
      <c r="J125" s="322"/>
      <c r="K125" s="352"/>
      <c r="L125" s="322"/>
      <c r="M125" s="322"/>
      <c r="N125" s="352"/>
      <c r="O125" s="322">
        <f t="shared" ref="O125:Q125" si="12">SUM(O13:O124)</f>
        <v>1663830.5</v>
      </c>
      <c r="P125" s="322">
        <f>SUM(P13:P124)</f>
        <v>341339.93340670021</v>
      </c>
      <c r="Q125" s="322">
        <f t="shared" si="12"/>
        <v>2005170.4334066999</v>
      </c>
      <c r="R125" s="322"/>
    </row>
    <row r="126" spans="1:20" s="59" customFormat="1" x14ac:dyDescent="0.3">
      <c r="A126" s="102"/>
      <c r="B126" s="117"/>
      <c r="C126" s="124"/>
      <c r="D126" s="102"/>
      <c r="E126" s="118"/>
      <c r="F126" s="140"/>
      <c r="G126" s="140"/>
      <c r="H126" s="140"/>
      <c r="I126" s="140"/>
      <c r="J126" s="140"/>
      <c r="K126" s="351"/>
      <c r="L126" s="140"/>
      <c r="M126" s="140"/>
      <c r="N126" s="351"/>
      <c r="O126" s="140"/>
      <c r="P126" s="140"/>
      <c r="Q126" s="140"/>
      <c r="R126" s="140"/>
    </row>
    <row r="127" spans="1:20" s="59" customFormat="1" x14ac:dyDescent="0.3">
      <c r="A127" s="55"/>
      <c r="B127" s="68"/>
      <c r="C127" s="69"/>
      <c r="D127" s="55"/>
      <c r="E127" s="63"/>
      <c r="F127" s="55"/>
      <c r="G127" s="236"/>
      <c r="H127" s="236"/>
      <c r="I127" s="64"/>
      <c r="J127" s="64"/>
      <c r="K127" s="355"/>
      <c r="L127" s="64"/>
      <c r="M127" s="64"/>
      <c r="N127" s="355"/>
      <c r="O127" s="64"/>
      <c r="P127" s="64"/>
      <c r="Q127" s="64"/>
      <c r="R127" s="236"/>
    </row>
    <row r="128" spans="1:20" s="59" customFormat="1" x14ac:dyDescent="0.3">
      <c r="A128" s="55"/>
      <c r="B128" s="68"/>
      <c r="C128" s="69"/>
      <c r="D128" s="55"/>
      <c r="E128" s="63"/>
      <c r="F128" s="64"/>
      <c r="G128" s="236"/>
      <c r="H128" s="236"/>
      <c r="I128" s="64"/>
      <c r="J128" s="64"/>
      <c r="K128" s="355"/>
      <c r="L128" s="64"/>
      <c r="M128" s="64"/>
      <c r="N128" s="355"/>
      <c r="O128" s="64"/>
      <c r="P128" s="64"/>
      <c r="Q128" s="64"/>
      <c r="R128" s="236"/>
    </row>
    <row r="129" spans="1:18" s="59" customFormat="1" x14ac:dyDescent="0.3">
      <c r="A129" s="55"/>
      <c r="B129" s="68"/>
      <c r="C129" s="69"/>
      <c r="D129" s="55"/>
      <c r="E129" s="63"/>
      <c r="F129" s="64"/>
      <c r="G129" s="236"/>
      <c r="H129" s="236"/>
      <c r="I129" s="64"/>
      <c r="J129" s="64"/>
      <c r="K129" s="355"/>
      <c r="L129" s="64"/>
      <c r="M129" s="64"/>
      <c r="N129" s="355"/>
      <c r="O129" s="64"/>
      <c r="P129" s="64"/>
      <c r="Q129" s="64"/>
      <c r="R129" s="236"/>
    </row>
    <row r="130" spans="1:18" s="59" customFormat="1" x14ac:dyDescent="0.3">
      <c r="A130" s="55"/>
      <c r="B130" s="68"/>
      <c r="C130" s="69"/>
      <c r="D130" s="55"/>
      <c r="E130" s="63"/>
      <c r="F130" s="64"/>
      <c r="G130" s="236"/>
      <c r="H130" s="236"/>
      <c r="I130" s="64"/>
      <c r="J130" s="64"/>
      <c r="K130" s="355"/>
      <c r="L130" s="64"/>
      <c r="M130" s="64"/>
      <c r="N130" s="355"/>
      <c r="O130" s="64"/>
      <c r="P130" s="64"/>
      <c r="Q130" s="64"/>
      <c r="R130" s="236"/>
    </row>
    <row r="131" spans="1:18" s="59" customFormat="1" x14ac:dyDescent="0.3">
      <c r="A131" s="55"/>
      <c r="B131" s="68"/>
      <c r="C131" s="69"/>
      <c r="D131" s="55"/>
      <c r="E131" s="63"/>
      <c r="F131" s="64"/>
      <c r="G131" s="236"/>
      <c r="H131" s="236"/>
      <c r="I131" s="64"/>
      <c r="J131" s="64"/>
      <c r="K131" s="355"/>
      <c r="L131" s="64"/>
      <c r="M131" s="64"/>
      <c r="N131" s="355"/>
      <c r="O131" s="64"/>
      <c r="P131" s="64"/>
      <c r="Q131" s="64"/>
      <c r="R131" s="236"/>
    </row>
    <row r="132" spans="1:18" s="59" customFormat="1" x14ac:dyDescent="0.3">
      <c r="A132" s="55"/>
      <c r="B132" s="68"/>
      <c r="C132" s="69"/>
      <c r="D132" s="55"/>
      <c r="E132" s="63"/>
      <c r="F132" s="64"/>
      <c r="G132" s="236"/>
      <c r="H132" s="236"/>
      <c r="I132" s="64"/>
      <c r="J132" s="64"/>
      <c r="K132" s="355"/>
      <c r="L132" s="64"/>
      <c r="M132" s="64"/>
      <c r="N132" s="355"/>
      <c r="O132" s="64"/>
      <c r="P132" s="64"/>
      <c r="Q132" s="64"/>
      <c r="R132" s="236"/>
    </row>
    <row r="133" spans="1:18" s="59" customFormat="1" x14ac:dyDescent="0.3">
      <c r="A133" s="55"/>
      <c r="B133" s="68"/>
      <c r="C133" s="69"/>
      <c r="D133" s="55"/>
      <c r="E133" s="63"/>
      <c r="F133" s="64"/>
      <c r="G133" s="236"/>
      <c r="H133" s="236"/>
      <c r="I133" s="64"/>
      <c r="J133" s="64"/>
      <c r="K133" s="355"/>
      <c r="L133" s="64"/>
      <c r="M133" s="64"/>
      <c r="N133" s="355"/>
      <c r="O133" s="64"/>
      <c r="P133" s="64"/>
      <c r="Q133" s="64"/>
      <c r="R133" s="236"/>
    </row>
    <row r="134" spans="1:18" s="59" customFormat="1" x14ac:dyDescent="0.3">
      <c r="A134" s="55"/>
      <c r="B134" s="68"/>
      <c r="C134" s="69"/>
      <c r="D134" s="55"/>
      <c r="E134" s="63"/>
      <c r="F134" s="64"/>
      <c r="G134" s="236"/>
      <c r="H134" s="236"/>
      <c r="I134" s="64"/>
      <c r="J134" s="64"/>
      <c r="K134" s="355"/>
      <c r="L134" s="64"/>
      <c r="M134" s="64"/>
      <c r="N134" s="355"/>
      <c r="O134" s="64"/>
      <c r="P134" s="64"/>
      <c r="Q134" s="64"/>
      <c r="R134" s="236"/>
    </row>
    <row r="135" spans="1:18" s="59" customFormat="1" x14ac:dyDescent="0.3">
      <c r="A135" s="55"/>
      <c r="B135" s="68"/>
      <c r="C135" s="69"/>
      <c r="D135" s="55"/>
      <c r="E135" s="63"/>
      <c r="F135" s="64"/>
      <c r="G135" s="236"/>
      <c r="H135" s="236"/>
      <c r="I135" s="64"/>
      <c r="J135" s="64"/>
      <c r="K135" s="355"/>
      <c r="L135" s="64"/>
      <c r="M135" s="64"/>
      <c r="N135" s="355"/>
      <c r="O135" s="64"/>
      <c r="P135" s="64"/>
      <c r="Q135" s="64"/>
      <c r="R135" s="236"/>
    </row>
    <row r="136" spans="1:18" s="59" customFormat="1" x14ac:dyDescent="0.3">
      <c r="A136" s="55"/>
      <c r="B136" s="68"/>
      <c r="C136" s="69"/>
      <c r="D136" s="55"/>
      <c r="E136" s="63"/>
      <c r="F136" s="64"/>
      <c r="G136" s="236"/>
      <c r="H136" s="236"/>
      <c r="I136" s="64"/>
      <c r="J136" s="64"/>
      <c r="K136" s="355"/>
      <c r="L136" s="64"/>
      <c r="M136" s="64"/>
      <c r="N136" s="355"/>
      <c r="O136" s="64"/>
      <c r="P136" s="64"/>
      <c r="Q136" s="64"/>
      <c r="R136" s="236"/>
    </row>
    <row r="137" spans="1:18" s="59" customFormat="1" x14ac:dyDescent="0.3">
      <c r="A137" s="55"/>
      <c r="B137" s="68"/>
      <c r="C137" s="69"/>
      <c r="D137" s="55"/>
      <c r="E137" s="63"/>
      <c r="F137" s="64"/>
      <c r="G137" s="236"/>
      <c r="H137" s="236"/>
      <c r="I137" s="64"/>
      <c r="J137" s="64"/>
      <c r="K137" s="355"/>
      <c r="L137" s="64"/>
      <c r="M137" s="64"/>
      <c r="N137" s="355"/>
      <c r="O137" s="64"/>
      <c r="P137" s="64"/>
      <c r="Q137" s="64"/>
      <c r="R137" s="236"/>
    </row>
    <row r="138" spans="1:18" s="59" customFormat="1" x14ac:dyDescent="0.3">
      <c r="A138" s="55"/>
      <c r="B138" s="68"/>
      <c r="C138" s="69"/>
      <c r="D138" s="55"/>
      <c r="E138" s="63"/>
      <c r="F138" s="64"/>
      <c r="G138" s="236"/>
      <c r="H138" s="236"/>
      <c r="I138" s="64"/>
      <c r="J138" s="64"/>
      <c r="K138" s="355"/>
      <c r="L138" s="64"/>
      <c r="M138" s="64"/>
      <c r="N138" s="355"/>
      <c r="O138" s="64"/>
      <c r="P138" s="64"/>
      <c r="Q138" s="64"/>
      <c r="R138" s="236"/>
    </row>
    <row r="139" spans="1:18" s="59" customFormat="1" x14ac:dyDescent="0.3">
      <c r="A139" s="55"/>
      <c r="B139" s="68"/>
      <c r="C139" s="69"/>
      <c r="D139" s="55"/>
      <c r="E139" s="63"/>
      <c r="F139" s="64"/>
      <c r="G139" s="236"/>
      <c r="H139" s="236"/>
      <c r="I139" s="64"/>
      <c r="J139" s="64"/>
      <c r="K139" s="355"/>
      <c r="L139" s="64"/>
      <c r="M139" s="64"/>
      <c r="N139" s="355"/>
      <c r="O139" s="64"/>
      <c r="P139" s="64"/>
      <c r="Q139" s="64"/>
      <c r="R139" s="236"/>
    </row>
    <row r="140" spans="1:18" s="59" customFormat="1" x14ac:dyDescent="0.3">
      <c r="A140" s="55"/>
      <c r="B140" s="68"/>
      <c r="C140" s="69"/>
      <c r="D140" s="55"/>
      <c r="E140" s="63"/>
      <c r="F140" s="64"/>
      <c r="G140" s="236"/>
      <c r="H140" s="236"/>
      <c r="I140" s="64"/>
      <c r="J140" s="64"/>
      <c r="K140" s="355"/>
      <c r="L140" s="64"/>
      <c r="M140" s="64"/>
      <c r="N140" s="355"/>
      <c r="O140" s="64"/>
      <c r="P140" s="64"/>
      <c r="Q140" s="64"/>
      <c r="R140" s="236"/>
    </row>
    <row r="141" spans="1:18" s="59" customFormat="1" x14ac:dyDescent="0.3">
      <c r="A141" s="55"/>
      <c r="B141" s="68"/>
      <c r="C141" s="69"/>
      <c r="D141" s="55"/>
      <c r="E141" s="63"/>
      <c r="F141" s="64"/>
      <c r="G141" s="236"/>
      <c r="H141" s="236"/>
      <c r="I141" s="64"/>
      <c r="J141" s="64"/>
      <c r="K141" s="355"/>
      <c r="L141" s="64"/>
      <c r="M141" s="64"/>
      <c r="N141" s="355"/>
      <c r="O141" s="64"/>
      <c r="P141" s="64"/>
      <c r="Q141" s="64"/>
      <c r="R141" s="236"/>
    </row>
    <row r="142" spans="1:18" s="59" customFormat="1" x14ac:dyDescent="0.3">
      <c r="A142" s="55"/>
      <c r="B142" s="68"/>
      <c r="C142" s="69"/>
      <c r="D142" s="55"/>
      <c r="E142" s="63"/>
      <c r="F142" s="64"/>
      <c r="G142" s="236"/>
      <c r="H142" s="236"/>
      <c r="I142" s="64"/>
      <c r="J142" s="64"/>
      <c r="K142" s="355"/>
      <c r="L142" s="64"/>
      <c r="M142" s="64"/>
      <c r="N142" s="355"/>
      <c r="O142" s="64"/>
      <c r="P142" s="64"/>
      <c r="Q142" s="64"/>
      <c r="R142" s="236"/>
    </row>
    <row r="143" spans="1:18" s="59" customFormat="1" x14ac:dyDescent="0.3">
      <c r="A143" s="55"/>
      <c r="B143" s="68"/>
      <c r="C143" s="69"/>
      <c r="D143" s="55"/>
      <c r="E143" s="63"/>
      <c r="F143" s="64"/>
      <c r="G143" s="236"/>
      <c r="H143" s="236"/>
      <c r="I143" s="64"/>
      <c r="J143" s="64"/>
      <c r="K143" s="355"/>
      <c r="L143" s="64"/>
      <c r="M143" s="64"/>
      <c r="N143" s="355"/>
      <c r="O143" s="64"/>
      <c r="P143" s="64"/>
      <c r="Q143" s="64"/>
      <c r="R143" s="236"/>
    </row>
    <row r="144" spans="1:18" s="59" customFormat="1" x14ac:dyDescent="0.3">
      <c r="A144" s="55"/>
      <c r="B144" s="68"/>
      <c r="C144" s="69"/>
      <c r="D144" s="55"/>
      <c r="E144" s="63"/>
      <c r="F144" s="64"/>
      <c r="G144" s="236"/>
      <c r="H144" s="236"/>
      <c r="I144" s="64"/>
      <c r="J144" s="64"/>
      <c r="K144" s="355"/>
      <c r="L144" s="64"/>
      <c r="M144" s="64"/>
      <c r="N144" s="355"/>
      <c r="O144" s="64"/>
      <c r="P144" s="64"/>
      <c r="Q144" s="64"/>
      <c r="R144" s="236"/>
    </row>
    <row r="145" spans="1:18" s="59" customFormat="1" x14ac:dyDescent="0.3">
      <c r="A145" s="55"/>
      <c r="B145" s="68"/>
      <c r="C145" s="69"/>
      <c r="D145" s="55"/>
      <c r="E145" s="63"/>
      <c r="F145" s="64"/>
      <c r="G145" s="236"/>
      <c r="H145" s="236"/>
      <c r="I145" s="64"/>
      <c r="J145" s="64"/>
      <c r="K145" s="355"/>
      <c r="L145" s="64"/>
      <c r="M145" s="64"/>
      <c r="N145" s="355"/>
      <c r="O145" s="64"/>
      <c r="P145" s="64"/>
      <c r="Q145" s="64"/>
      <c r="R145" s="236"/>
    </row>
    <row r="146" spans="1:18" s="59" customFormat="1" x14ac:dyDescent="0.3">
      <c r="A146" s="55"/>
      <c r="B146" s="68"/>
      <c r="C146" s="69"/>
      <c r="D146" s="55"/>
      <c r="E146" s="63"/>
      <c r="F146" s="64"/>
      <c r="G146" s="236"/>
      <c r="H146" s="236"/>
      <c r="I146" s="64"/>
      <c r="J146" s="64"/>
      <c r="K146" s="355"/>
      <c r="L146" s="64"/>
      <c r="M146" s="64"/>
      <c r="N146" s="355"/>
      <c r="O146" s="64"/>
      <c r="P146" s="64"/>
      <c r="Q146" s="64"/>
      <c r="R146" s="236"/>
    </row>
    <row r="147" spans="1:18" s="59" customFormat="1" x14ac:dyDescent="0.3">
      <c r="A147" s="55"/>
      <c r="B147" s="68"/>
      <c r="C147" s="69"/>
      <c r="D147" s="55"/>
      <c r="E147" s="63"/>
      <c r="F147" s="64"/>
      <c r="G147" s="236"/>
      <c r="H147" s="236"/>
      <c r="I147" s="64"/>
      <c r="J147" s="64"/>
      <c r="K147" s="355"/>
      <c r="L147" s="64"/>
      <c r="M147" s="64"/>
      <c r="N147" s="355"/>
      <c r="O147" s="64"/>
      <c r="P147" s="64"/>
      <c r="Q147" s="64"/>
      <c r="R147" s="236"/>
    </row>
    <row r="148" spans="1:18" s="59" customFormat="1" x14ac:dyDescent="0.3">
      <c r="A148" s="55"/>
      <c r="B148" s="68"/>
      <c r="C148" s="69"/>
      <c r="D148" s="55"/>
      <c r="E148" s="63"/>
      <c r="F148" s="64"/>
      <c r="G148" s="236"/>
      <c r="H148" s="236"/>
      <c r="I148" s="64"/>
      <c r="J148" s="64"/>
      <c r="K148" s="355"/>
      <c r="L148" s="64"/>
      <c r="M148" s="64"/>
      <c r="N148" s="355"/>
      <c r="O148" s="64"/>
      <c r="P148" s="64"/>
      <c r="Q148" s="64"/>
      <c r="R148" s="236"/>
    </row>
    <row r="149" spans="1:18" s="59" customFormat="1" x14ac:dyDescent="0.3">
      <c r="A149" s="55"/>
      <c r="B149" s="68"/>
      <c r="C149" s="69"/>
      <c r="D149" s="55"/>
      <c r="E149" s="63"/>
      <c r="F149" s="64"/>
      <c r="G149" s="236"/>
      <c r="H149" s="236"/>
      <c r="I149" s="64"/>
      <c r="J149" s="64"/>
      <c r="K149" s="355"/>
      <c r="L149" s="64"/>
      <c r="M149" s="64"/>
      <c r="N149" s="355"/>
      <c r="O149" s="64"/>
      <c r="P149" s="64"/>
      <c r="Q149" s="64"/>
      <c r="R149" s="236"/>
    </row>
    <row r="150" spans="1:18" s="59" customFormat="1" x14ac:dyDescent="0.3">
      <c r="A150" s="55"/>
      <c r="B150" s="68"/>
      <c r="C150" s="69"/>
      <c r="D150" s="55"/>
      <c r="E150" s="63"/>
      <c r="F150" s="64"/>
      <c r="G150" s="236"/>
      <c r="H150" s="236"/>
      <c r="I150" s="64"/>
      <c r="J150" s="64"/>
      <c r="K150" s="355"/>
      <c r="L150" s="64"/>
      <c r="M150" s="64"/>
      <c r="N150" s="355"/>
      <c r="O150" s="64"/>
      <c r="P150" s="64"/>
      <c r="Q150" s="64"/>
      <c r="R150" s="236"/>
    </row>
    <row r="151" spans="1:18" s="59" customFormat="1" x14ac:dyDescent="0.3">
      <c r="A151" s="55"/>
      <c r="B151" s="68"/>
      <c r="C151" s="69"/>
      <c r="D151" s="55"/>
      <c r="E151" s="63"/>
      <c r="F151" s="64"/>
      <c r="G151" s="236"/>
      <c r="H151" s="236"/>
      <c r="I151" s="64"/>
      <c r="J151" s="64"/>
      <c r="K151" s="355"/>
      <c r="L151" s="64"/>
      <c r="M151" s="64"/>
      <c r="N151" s="355"/>
      <c r="O151" s="64"/>
      <c r="P151" s="64"/>
      <c r="Q151" s="64"/>
      <c r="R151" s="236"/>
    </row>
    <row r="152" spans="1:18" s="59" customFormat="1" x14ac:dyDescent="0.3">
      <c r="A152" s="55"/>
      <c r="B152" s="68"/>
      <c r="C152" s="69"/>
      <c r="D152" s="55"/>
      <c r="E152" s="63"/>
      <c r="F152" s="64"/>
      <c r="G152" s="236"/>
      <c r="H152" s="236"/>
      <c r="I152" s="64"/>
      <c r="J152" s="64"/>
      <c r="K152" s="355"/>
      <c r="L152" s="64"/>
      <c r="M152" s="64"/>
      <c r="N152" s="355"/>
      <c r="O152" s="64"/>
      <c r="P152" s="64"/>
      <c r="Q152" s="64"/>
      <c r="R152" s="236"/>
    </row>
    <row r="153" spans="1:18" s="59" customFormat="1" x14ac:dyDescent="0.3">
      <c r="A153" s="55"/>
      <c r="B153" s="68"/>
      <c r="C153" s="69"/>
      <c r="D153" s="55"/>
      <c r="E153" s="63"/>
      <c r="F153" s="64"/>
      <c r="G153" s="236"/>
      <c r="H153" s="236"/>
      <c r="I153" s="64"/>
      <c r="J153" s="64"/>
      <c r="K153" s="355"/>
      <c r="L153" s="64"/>
      <c r="M153" s="64"/>
      <c r="N153" s="355"/>
      <c r="O153" s="64"/>
      <c r="P153" s="64"/>
      <c r="Q153" s="64"/>
      <c r="R153" s="236"/>
    </row>
    <row r="154" spans="1:18" s="59" customFormat="1" x14ac:dyDescent="0.3">
      <c r="A154" s="55"/>
      <c r="B154" s="68"/>
      <c r="C154" s="69"/>
      <c r="D154" s="55"/>
      <c r="E154" s="63"/>
      <c r="F154" s="64"/>
      <c r="G154" s="236"/>
      <c r="H154" s="236"/>
      <c r="I154" s="64"/>
      <c r="J154" s="64"/>
      <c r="K154" s="355"/>
      <c r="L154" s="64"/>
      <c r="M154" s="64"/>
      <c r="N154" s="355"/>
      <c r="O154" s="64"/>
      <c r="P154" s="64"/>
      <c r="Q154" s="64"/>
      <c r="R154" s="236"/>
    </row>
    <row r="155" spans="1:18" s="59" customFormat="1" x14ac:dyDescent="0.3">
      <c r="A155" s="55"/>
      <c r="B155" s="68"/>
      <c r="C155" s="69"/>
      <c r="D155" s="55"/>
      <c r="E155" s="63"/>
      <c r="F155" s="64"/>
      <c r="G155" s="236"/>
      <c r="H155" s="236"/>
      <c r="I155" s="64"/>
      <c r="J155" s="64"/>
      <c r="K155" s="355"/>
      <c r="L155" s="64"/>
      <c r="M155" s="64"/>
      <c r="N155" s="355"/>
      <c r="O155" s="64"/>
      <c r="P155" s="64"/>
      <c r="Q155" s="64"/>
      <c r="R155" s="236"/>
    </row>
    <row r="156" spans="1:18" s="59" customFormat="1" x14ac:dyDescent="0.3">
      <c r="A156" s="55"/>
      <c r="B156" s="68"/>
      <c r="C156" s="69"/>
      <c r="D156" s="55"/>
      <c r="E156" s="63"/>
      <c r="F156" s="64"/>
      <c r="G156" s="236"/>
      <c r="H156" s="236"/>
      <c r="I156" s="64"/>
      <c r="J156" s="64"/>
      <c r="K156" s="355"/>
      <c r="L156" s="64"/>
      <c r="M156" s="64"/>
      <c r="N156" s="355"/>
      <c r="O156" s="64"/>
      <c r="P156" s="64"/>
      <c r="Q156" s="64"/>
      <c r="R156" s="236"/>
    </row>
    <row r="157" spans="1:18" s="59" customFormat="1" x14ac:dyDescent="0.3">
      <c r="A157" s="55"/>
      <c r="B157" s="68"/>
      <c r="C157" s="69"/>
      <c r="D157" s="55"/>
      <c r="E157" s="63"/>
      <c r="F157" s="64"/>
      <c r="G157" s="236"/>
      <c r="H157" s="236"/>
      <c r="I157" s="64"/>
      <c r="J157" s="64"/>
      <c r="K157" s="355"/>
      <c r="L157" s="64"/>
      <c r="M157" s="64"/>
      <c r="N157" s="355"/>
      <c r="O157" s="64"/>
      <c r="P157" s="64"/>
      <c r="Q157" s="64"/>
      <c r="R157" s="236"/>
    </row>
    <row r="158" spans="1:18" s="59" customFormat="1" x14ac:dyDescent="0.3">
      <c r="A158" s="55"/>
      <c r="B158" s="68"/>
      <c r="C158" s="69"/>
      <c r="D158" s="55"/>
      <c r="E158" s="63"/>
      <c r="F158" s="64"/>
      <c r="G158" s="236"/>
      <c r="H158" s="236"/>
      <c r="I158" s="64"/>
      <c r="J158" s="64"/>
      <c r="K158" s="355"/>
      <c r="L158" s="64"/>
      <c r="M158" s="64"/>
      <c r="N158" s="355"/>
      <c r="O158" s="64"/>
      <c r="P158" s="64"/>
      <c r="Q158" s="64"/>
      <c r="R158" s="236"/>
    </row>
    <row r="159" spans="1:18" s="59" customFormat="1" x14ac:dyDescent="0.3">
      <c r="A159" s="55"/>
      <c r="B159" s="68"/>
      <c r="C159" s="69"/>
      <c r="D159" s="55"/>
      <c r="E159" s="63"/>
      <c r="F159" s="64"/>
      <c r="G159" s="236"/>
      <c r="H159" s="236"/>
      <c r="I159" s="64"/>
      <c r="J159" s="64"/>
      <c r="K159" s="355"/>
      <c r="L159" s="64"/>
      <c r="M159" s="64"/>
      <c r="N159" s="355"/>
      <c r="O159" s="64"/>
      <c r="P159" s="64"/>
      <c r="Q159" s="64"/>
      <c r="R159" s="236"/>
    </row>
    <row r="160" spans="1:18" s="59" customFormat="1" x14ac:dyDescent="0.3">
      <c r="A160" s="55"/>
      <c r="B160" s="68"/>
      <c r="C160" s="69"/>
      <c r="D160" s="55"/>
      <c r="E160" s="63"/>
      <c r="F160" s="64"/>
      <c r="G160" s="236"/>
      <c r="H160" s="236"/>
      <c r="I160" s="64"/>
      <c r="J160" s="64"/>
      <c r="K160" s="355"/>
      <c r="L160" s="64"/>
      <c r="M160" s="64"/>
      <c r="N160" s="355"/>
      <c r="O160" s="64"/>
      <c r="P160" s="64"/>
      <c r="Q160" s="64"/>
      <c r="R160" s="236"/>
    </row>
    <row r="161" spans="1:18" s="59" customFormat="1" x14ac:dyDescent="0.3">
      <c r="A161" s="55"/>
      <c r="B161" s="68"/>
      <c r="C161" s="69"/>
      <c r="D161" s="55"/>
      <c r="E161" s="63"/>
      <c r="F161" s="64"/>
      <c r="G161" s="236"/>
      <c r="H161" s="236"/>
      <c r="I161" s="64"/>
      <c r="J161" s="64"/>
      <c r="K161" s="355"/>
      <c r="L161" s="64"/>
      <c r="M161" s="64"/>
      <c r="N161" s="355"/>
      <c r="O161" s="64"/>
      <c r="P161" s="64"/>
      <c r="Q161" s="64"/>
      <c r="R161" s="236"/>
    </row>
    <row r="162" spans="1:18" s="59" customFormat="1" x14ac:dyDescent="0.3">
      <c r="A162" s="55"/>
      <c r="B162" s="68"/>
      <c r="C162" s="69"/>
      <c r="D162" s="55"/>
      <c r="E162" s="63"/>
      <c r="F162" s="64"/>
      <c r="G162" s="236"/>
      <c r="H162" s="236"/>
      <c r="I162" s="64"/>
      <c r="J162" s="64"/>
      <c r="K162" s="355"/>
      <c r="L162" s="64"/>
      <c r="M162" s="64"/>
      <c r="N162" s="355"/>
      <c r="O162" s="64"/>
      <c r="P162" s="64"/>
      <c r="Q162" s="64"/>
      <c r="R162" s="236"/>
    </row>
    <row r="163" spans="1:18" s="59" customFormat="1" x14ac:dyDescent="0.3">
      <c r="A163" s="55"/>
      <c r="B163" s="68"/>
      <c r="C163" s="69"/>
      <c r="D163" s="55"/>
      <c r="E163" s="63"/>
      <c r="F163" s="64"/>
      <c r="G163" s="236"/>
      <c r="H163" s="236"/>
      <c r="I163" s="64"/>
      <c r="J163" s="64"/>
      <c r="K163" s="355"/>
      <c r="L163" s="64"/>
      <c r="M163" s="64"/>
      <c r="N163" s="355"/>
      <c r="O163" s="64"/>
      <c r="P163" s="64"/>
      <c r="Q163" s="64"/>
      <c r="R163" s="236"/>
    </row>
    <row r="164" spans="1:18" s="59" customFormat="1" x14ac:dyDescent="0.3">
      <c r="A164" s="55"/>
      <c r="B164" s="68"/>
      <c r="C164" s="69"/>
      <c r="D164" s="55"/>
      <c r="E164" s="63"/>
      <c r="F164" s="64"/>
      <c r="G164" s="236"/>
      <c r="H164" s="236"/>
      <c r="I164" s="64"/>
      <c r="J164" s="64"/>
      <c r="K164" s="355"/>
      <c r="L164" s="64"/>
      <c r="M164" s="64"/>
      <c r="N164" s="355"/>
      <c r="O164" s="64"/>
      <c r="P164" s="64"/>
      <c r="Q164" s="64"/>
      <c r="R164" s="236"/>
    </row>
    <row r="165" spans="1:18" s="59" customFormat="1" x14ac:dyDescent="0.3">
      <c r="A165" s="55"/>
      <c r="B165" s="68"/>
      <c r="C165" s="69"/>
      <c r="D165" s="55"/>
      <c r="E165" s="63"/>
      <c r="F165" s="64"/>
      <c r="G165" s="236"/>
      <c r="H165" s="236"/>
      <c r="I165" s="64"/>
      <c r="J165" s="64"/>
      <c r="K165" s="355"/>
      <c r="L165" s="64"/>
      <c r="M165" s="64"/>
      <c r="N165" s="355"/>
      <c r="O165" s="64"/>
      <c r="P165" s="64"/>
      <c r="Q165" s="64"/>
      <c r="R165" s="236"/>
    </row>
    <row r="166" spans="1:18" s="59" customFormat="1" x14ac:dyDescent="0.3">
      <c r="A166" s="55"/>
      <c r="B166" s="68"/>
      <c r="C166" s="69"/>
      <c r="D166" s="55"/>
      <c r="E166" s="63"/>
      <c r="F166" s="64"/>
      <c r="G166" s="236"/>
      <c r="H166" s="236"/>
      <c r="I166" s="64"/>
      <c r="J166" s="64"/>
      <c r="K166" s="355"/>
      <c r="L166" s="64"/>
      <c r="M166" s="64"/>
      <c r="N166" s="355"/>
      <c r="O166" s="64"/>
      <c r="P166" s="64"/>
      <c r="Q166" s="64"/>
      <c r="R166" s="236"/>
    </row>
    <row r="167" spans="1:18" s="59" customFormat="1" x14ac:dyDescent="0.3">
      <c r="A167" s="55"/>
      <c r="B167" s="68"/>
      <c r="C167" s="69"/>
      <c r="D167" s="55"/>
      <c r="E167" s="63"/>
      <c r="F167" s="64"/>
      <c r="G167" s="236"/>
      <c r="H167" s="236"/>
      <c r="I167" s="64"/>
      <c r="J167" s="64"/>
      <c r="K167" s="355"/>
      <c r="L167" s="64"/>
      <c r="M167" s="64"/>
      <c r="N167" s="355"/>
      <c r="O167" s="64"/>
      <c r="P167" s="64"/>
      <c r="Q167" s="64"/>
      <c r="R167" s="236"/>
    </row>
    <row r="168" spans="1:18" s="59" customFormat="1" x14ac:dyDescent="0.3">
      <c r="A168" s="55"/>
      <c r="B168" s="68"/>
      <c r="C168" s="69"/>
      <c r="D168" s="55"/>
      <c r="E168" s="63"/>
      <c r="F168" s="64"/>
      <c r="G168" s="236"/>
      <c r="H168" s="236"/>
      <c r="I168" s="64"/>
      <c r="J168" s="64"/>
      <c r="K168" s="355"/>
      <c r="L168" s="64"/>
      <c r="M168" s="64"/>
      <c r="N168" s="355"/>
      <c r="O168" s="64"/>
      <c r="P168" s="64"/>
      <c r="Q168" s="64"/>
      <c r="R168" s="236"/>
    </row>
    <row r="169" spans="1:18" s="59" customFormat="1" x14ac:dyDescent="0.3">
      <c r="A169" s="55"/>
      <c r="B169" s="68"/>
      <c r="C169" s="69"/>
      <c r="D169" s="55"/>
      <c r="E169" s="63"/>
      <c r="F169" s="64"/>
      <c r="G169" s="236"/>
      <c r="H169" s="236"/>
      <c r="I169" s="64"/>
      <c r="J169" s="64"/>
      <c r="K169" s="355"/>
      <c r="L169" s="64"/>
      <c r="M169" s="64"/>
      <c r="N169" s="355"/>
      <c r="O169" s="64"/>
      <c r="P169" s="64"/>
      <c r="Q169" s="64"/>
      <c r="R169" s="236"/>
    </row>
    <row r="170" spans="1:18" s="59" customFormat="1" x14ac:dyDescent="0.3">
      <c r="A170" s="55"/>
      <c r="B170" s="68"/>
      <c r="C170" s="69"/>
      <c r="D170" s="55"/>
      <c r="E170" s="63"/>
      <c r="F170" s="64"/>
      <c r="G170" s="236"/>
      <c r="H170" s="236"/>
      <c r="I170" s="64"/>
      <c r="J170" s="64"/>
      <c r="K170" s="355"/>
      <c r="L170" s="64"/>
      <c r="M170" s="64"/>
      <c r="N170" s="355"/>
      <c r="O170" s="64"/>
      <c r="P170" s="64"/>
      <c r="Q170" s="64"/>
      <c r="R170" s="236"/>
    </row>
    <row r="171" spans="1:18" s="59" customFormat="1" x14ac:dyDescent="0.3">
      <c r="A171" s="55"/>
      <c r="B171" s="68"/>
      <c r="C171" s="69"/>
      <c r="D171" s="55"/>
      <c r="E171" s="63"/>
      <c r="F171" s="64"/>
      <c r="G171" s="236"/>
      <c r="H171" s="236"/>
      <c r="I171" s="64"/>
      <c r="J171" s="64"/>
      <c r="K171" s="355"/>
      <c r="L171" s="64"/>
      <c r="M171" s="64"/>
      <c r="N171" s="355"/>
      <c r="O171" s="64"/>
      <c r="P171" s="64"/>
      <c r="Q171" s="64"/>
      <c r="R171" s="236"/>
    </row>
    <row r="172" spans="1:18" s="59" customFormat="1" x14ac:dyDescent="0.3">
      <c r="A172" s="55"/>
      <c r="B172" s="68"/>
      <c r="C172" s="69"/>
      <c r="D172" s="55"/>
      <c r="E172" s="63"/>
      <c r="F172" s="64"/>
      <c r="G172" s="236"/>
      <c r="H172" s="236"/>
      <c r="I172" s="64"/>
      <c r="J172" s="64"/>
      <c r="K172" s="355"/>
      <c r="L172" s="64"/>
      <c r="M172" s="64"/>
      <c r="N172" s="355"/>
      <c r="O172" s="64"/>
      <c r="P172" s="64"/>
      <c r="Q172" s="64"/>
      <c r="R172" s="236"/>
    </row>
    <row r="173" spans="1:18" s="59" customFormat="1" x14ac:dyDescent="0.3">
      <c r="A173" s="55"/>
      <c r="B173" s="68"/>
      <c r="C173" s="69"/>
      <c r="D173" s="55"/>
      <c r="E173" s="63"/>
      <c r="F173" s="64"/>
      <c r="G173" s="236"/>
      <c r="H173" s="236"/>
      <c r="I173" s="64"/>
      <c r="J173" s="64"/>
      <c r="K173" s="355"/>
      <c r="L173" s="64"/>
      <c r="M173" s="64"/>
      <c r="N173" s="355"/>
      <c r="O173" s="64"/>
      <c r="P173" s="64"/>
      <c r="Q173" s="64"/>
      <c r="R173" s="236"/>
    </row>
    <row r="174" spans="1:18" s="59" customFormat="1" x14ac:dyDescent="0.3">
      <c r="A174" s="55"/>
      <c r="B174" s="68"/>
      <c r="C174" s="69"/>
      <c r="D174" s="55"/>
      <c r="E174" s="63"/>
      <c r="F174" s="64"/>
      <c r="G174" s="236"/>
      <c r="H174" s="236"/>
      <c r="I174" s="64"/>
      <c r="J174" s="64"/>
      <c r="K174" s="355"/>
      <c r="L174" s="64"/>
      <c r="M174" s="64"/>
      <c r="N174" s="355"/>
      <c r="O174" s="64"/>
      <c r="P174" s="64"/>
      <c r="Q174" s="64"/>
      <c r="R174" s="236"/>
    </row>
    <row r="175" spans="1:18" s="59" customFormat="1" x14ac:dyDescent="0.3">
      <c r="A175" s="55"/>
      <c r="B175" s="68"/>
      <c r="C175" s="69"/>
      <c r="D175" s="55"/>
      <c r="E175" s="63"/>
      <c r="F175" s="64"/>
      <c r="G175" s="236"/>
      <c r="H175" s="236"/>
      <c r="I175" s="64"/>
      <c r="J175" s="64"/>
      <c r="K175" s="355"/>
      <c r="L175" s="64"/>
      <c r="M175" s="64"/>
      <c r="N175" s="355"/>
      <c r="O175" s="64"/>
      <c r="P175" s="64"/>
      <c r="Q175" s="64"/>
      <c r="R175" s="236"/>
    </row>
    <row r="176" spans="1:18" s="59" customFormat="1" x14ac:dyDescent="0.3">
      <c r="A176" s="55"/>
      <c r="B176" s="68"/>
      <c r="C176" s="69"/>
      <c r="D176" s="55"/>
      <c r="E176" s="63"/>
      <c r="F176" s="64"/>
      <c r="G176" s="236"/>
      <c r="H176" s="236"/>
      <c r="I176" s="64"/>
      <c r="J176" s="64"/>
      <c r="K176" s="355"/>
      <c r="L176" s="64"/>
      <c r="M176" s="64"/>
      <c r="N176" s="355"/>
      <c r="O176" s="64"/>
      <c r="P176" s="64"/>
      <c r="Q176" s="64"/>
      <c r="R176" s="236"/>
    </row>
    <row r="177" spans="1:18" s="59" customFormat="1" x14ac:dyDescent="0.3">
      <c r="A177" s="55"/>
      <c r="B177" s="68"/>
      <c r="C177" s="69"/>
      <c r="D177" s="55"/>
      <c r="E177" s="63"/>
      <c r="F177" s="64"/>
      <c r="G177" s="236"/>
      <c r="H177" s="236"/>
      <c r="I177" s="64"/>
      <c r="J177" s="64"/>
      <c r="K177" s="355"/>
      <c r="L177" s="64"/>
      <c r="M177" s="64"/>
      <c r="N177" s="355"/>
      <c r="O177" s="64"/>
      <c r="P177" s="64"/>
      <c r="Q177" s="64"/>
      <c r="R177" s="236"/>
    </row>
    <row r="178" spans="1:18" s="59" customFormat="1" x14ac:dyDescent="0.3">
      <c r="A178" s="55"/>
      <c r="B178" s="68"/>
      <c r="C178" s="69"/>
      <c r="D178" s="55"/>
      <c r="E178" s="63"/>
      <c r="F178" s="64"/>
      <c r="G178" s="236"/>
      <c r="H178" s="236"/>
      <c r="I178" s="64"/>
      <c r="J178" s="64"/>
      <c r="K178" s="355"/>
      <c r="L178" s="64"/>
      <c r="M178" s="64"/>
      <c r="N178" s="355"/>
      <c r="O178" s="64"/>
      <c r="P178" s="64"/>
      <c r="Q178" s="64"/>
      <c r="R178" s="236"/>
    </row>
    <row r="179" spans="1:18" s="59" customFormat="1" x14ac:dyDescent="0.3">
      <c r="A179" s="55"/>
      <c r="B179" s="68"/>
      <c r="C179" s="69"/>
      <c r="D179" s="55"/>
      <c r="E179" s="63"/>
      <c r="F179" s="64"/>
      <c r="G179" s="236"/>
      <c r="H179" s="236"/>
      <c r="I179" s="64"/>
      <c r="J179" s="64"/>
      <c r="K179" s="355"/>
      <c r="L179" s="64"/>
      <c r="M179" s="64"/>
      <c r="N179" s="355"/>
      <c r="O179" s="64"/>
      <c r="P179" s="64"/>
      <c r="Q179" s="64"/>
      <c r="R179" s="236"/>
    </row>
    <row r="180" spans="1:18" s="59" customFormat="1" x14ac:dyDescent="0.3">
      <c r="A180" s="55"/>
      <c r="B180" s="68"/>
      <c r="C180" s="69"/>
      <c r="D180" s="55"/>
      <c r="E180" s="63"/>
      <c r="F180" s="64"/>
      <c r="G180" s="236"/>
      <c r="H180" s="236"/>
      <c r="I180" s="64"/>
      <c r="J180" s="64"/>
      <c r="K180" s="355"/>
      <c r="L180" s="64"/>
      <c r="M180" s="64"/>
      <c r="N180" s="355"/>
      <c r="O180" s="64"/>
      <c r="P180" s="64"/>
      <c r="Q180" s="64"/>
      <c r="R180" s="236"/>
    </row>
    <row r="181" spans="1:18" s="59" customFormat="1" x14ac:dyDescent="0.3">
      <c r="A181" s="55"/>
      <c r="B181" s="68"/>
      <c r="C181" s="69"/>
      <c r="D181" s="55"/>
      <c r="E181" s="63"/>
      <c r="F181" s="64"/>
      <c r="G181" s="236"/>
      <c r="H181" s="236"/>
      <c r="I181" s="64"/>
      <c r="J181" s="64"/>
      <c r="K181" s="355"/>
      <c r="L181" s="64"/>
      <c r="M181" s="64"/>
      <c r="N181" s="355"/>
      <c r="O181" s="64"/>
      <c r="P181" s="64"/>
      <c r="Q181" s="64"/>
      <c r="R181" s="236"/>
    </row>
    <row r="182" spans="1:18" s="59" customFormat="1" x14ac:dyDescent="0.3">
      <c r="A182" s="55"/>
      <c r="B182" s="68"/>
      <c r="C182" s="69"/>
      <c r="D182" s="55"/>
      <c r="E182" s="63"/>
      <c r="F182" s="64"/>
      <c r="G182" s="236"/>
      <c r="H182" s="236"/>
      <c r="I182" s="64"/>
      <c r="J182" s="64"/>
      <c r="K182" s="355"/>
      <c r="L182" s="64"/>
      <c r="M182" s="64"/>
      <c r="N182" s="355"/>
      <c r="O182" s="64"/>
      <c r="P182" s="64"/>
      <c r="Q182" s="64"/>
      <c r="R182" s="236"/>
    </row>
    <row r="183" spans="1:18" s="59" customFormat="1" x14ac:dyDescent="0.3">
      <c r="A183" s="55"/>
      <c r="B183" s="68"/>
      <c r="C183" s="69"/>
      <c r="D183" s="55"/>
      <c r="E183" s="63"/>
      <c r="F183" s="64"/>
      <c r="G183" s="236"/>
      <c r="H183" s="236"/>
      <c r="I183" s="64"/>
      <c r="J183" s="64"/>
      <c r="K183" s="355"/>
      <c r="L183" s="64"/>
      <c r="M183" s="64"/>
      <c r="N183" s="355"/>
      <c r="O183" s="64"/>
      <c r="P183" s="64"/>
      <c r="Q183" s="64"/>
      <c r="R183" s="236"/>
    </row>
    <row r="184" spans="1:18" s="59" customFormat="1" x14ac:dyDescent="0.3">
      <c r="A184" s="55"/>
      <c r="B184" s="68"/>
      <c r="C184" s="69"/>
      <c r="D184" s="55"/>
      <c r="E184" s="63"/>
      <c r="F184" s="64"/>
      <c r="G184" s="236"/>
      <c r="H184" s="236"/>
      <c r="I184" s="64"/>
      <c r="J184" s="64"/>
      <c r="K184" s="355"/>
      <c r="L184" s="64"/>
      <c r="M184" s="64"/>
      <c r="N184" s="355"/>
      <c r="O184" s="64"/>
      <c r="P184" s="64"/>
      <c r="Q184" s="64"/>
      <c r="R184" s="236"/>
    </row>
    <row r="185" spans="1:18" s="59" customFormat="1" x14ac:dyDescent="0.3">
      <c r="A185" s="55"/>
      <c r="B185" s="68"/>
      <c r="C185" s="69"/>
      <c r="D185" s="55"/>
      <c r="E185" s="63"/>
      <c r="F185" s="64"/>
      <c r="G185" s="236"/>
      <c r="H185" s="236"/>
      <c r="I185" s="64"/>
      <c r="J185" s="64"/>
      <c r="K185" s="355"/>
      <c r="L185" s="64"/>
      <c r="M185" s="64"/>
      <c r="N185" s="355"/>
      <c r="O185" s="64"/>
      <c r="P185" s="64"/>
      <c r="Q185" s="64"/>
      <c r="R185" s="236"/>
    </row>
    <row r="186" spans="1:18" s="59" customFormat="1" x14ac:dyDescent="0.3">
      <c r="A186" s="55"/>
      <c r="B186" s="68"/>
      <c r="C186" s="69"/>
      <c r="D186" s="55"/>
      <c r="E186" s="63"/>
      <c r="F186" s="64"/>
      <c r="G186" s="236"/>
      <c r="H186" s="236"/>
      <c r="I186" s="64"/>
      <c r="J186" s="64"/>
      <c r="K186" s="355"/>
      <c r="L186" s="64"/>
      <c r="M186" s="64"/>
      <c r="N186" s="355"/>
      <c r="O186" s="64"/>
      <c r="P186" s="64"/>
      <c r="Q186" s="64"/>
      <c r="R186" s="236"/>
    </row>
    <row r="187" spans="1:18" s="59" customFormat="1" x14ac:dyDescent="0.3">
      <c r="A187" s="55"/>
      <c r="B187" s="68"/>
      <c r="C187" s="69"/>
      <c r="D187" s="55"/>
      <c r="E187" s="63"/>
      <c r="F187" s="64"/>
      <c r="G187" s="236"/>
      <c r="H187" s="236"/>
      <c r="I187" s="64"/>
      <c r="J187" s="64"/>
      <c r="K187" s="355"/>
      <c r="L187" s="64"/>
      <c r="M187" s="64"/>
      <c r="N187" s="355"/>
      <c r="O187" s="64"/>
      <c r="P187" s="64"/>
      <c r="Q187" s="64"/>
      <c r="R187" s="236"/>
    </row>
    <row r="188" spans="1:18" s="59" customFormat="1" x14ac:dyDescent="0.3">
      <c r="A188" s="55"/>
      <c r="B188" s="68"/>
      <c r="C188" s="69"/>
      <c r="D188" s="55"/>
      <c r="E188" s="63"/>
      <c r="F188" s="64"/>
      <c r="G188" s="236"/>
      <c r="H188" s="236"/>
      <c r="I188" s="64"/>
      <c r="J188" s="64"/>
      <c r="K188" s="355"/>
      <c r="L188" s="64"/>
      <c r="M188" s="64"/>
      <c r="N188" s="355"/>
      <c r="O188" s="64"/>
      <c r="P188" s="64"/>
      <c r="Q188" s="64"/>
      <c r="R188" s="236"/>
    </row>
    <row r="189" spans="1:18" s="59" customFormat="1" x14ac:dyDescent="0.3">
      <c r="A189" s="55"/>
      <c r="B189" s="68"/>
      <c r="C189" s="69"/>
      <c r="D189" s="55"/>
      <c r="E189" s="63"/>
      <c r="F189" s="64"/>
      <c r="G189" s="236"/>
      <c r="H189" s="236"/>
      <c r="I189" s="64"/>
      <c r="J189" s="64"/>
      <c r="K189" s="355"/>
      <c r="L189" s="64"/>
      <c r="M189" s="64"/>
      <c r="N189" s="355"/>
      <c r="O189" s="64"/>
      <c r="P189" s="64"/>
      <c r="Q189" s="64"/>
      <c r="R189" s="236"/>
    </row>
    <row r="190" spans="1:18" s="59" customFormat="1" x14ac:dyDescent="0.3">
      <c r="A190" s="55"/>
      <c r="B190" s="68"/>
      <c r="C190" s="69"/>
      <c r="D190" s="55"/>
      <c r="E190" s="63"/>
      <c r="F190" s="64"/>
      <c r="G190" s="236"/>
      <c r="H190" s="236"/>
      <c r="I190" s="64"/>
      <c r="J190" s="64"/>
      <c r="K190" s="355"/>
      <c r="L190" s="64"/>
      <c r="M190" s="64"/>
      <c r="N190" s="355"/>
      <c r="O190" s="64"/>
      <c r="P190" s="64"/>
      <c r="Q190" s="64"/>
      <c r="R190" s="236"/>
    </row>
    <row r="191" spans="1:18" s="59" customFormat="1" x14ac:dyDescent="0.3">
      <c r="A191" s="55"/>
      <c r="B191" s="68"/>
      <c r="C191" s="69"/>
      <c r="D191" s="55"/>
      <c r="E191" s="63"/>
      <c r="F191" s="64"/>
      <c r="G191" s="236"/>
      <c r="H191" s="236"/>
      <c r="I191" s="64"/>
      <c r="J191" s="64"/>
      <c r="K191" s="355"/>
      <c r="L191" s="64"/>
      <c r="M191" s="64"/>
      <c r="N191" s="355"/>
      <c r="O191" s="64"/>
      <c r="P191" s="64"/>
      <c r="Q191" s="64"/>
      <c r="R191" s="236"/>
    </row>
    <row r="192" spans="1:18" s="67" customFormat="1" x14ac:dyDescent="0.3">
      <c r="A192" s="55"/>
      <c r="B192" s="68"/>
      <c r="C192" s="69"/>
      <c r="D192" s="55"/>
      <c r="E192" s="63"/>
      <c r="F192" s="64"/>
      <c r="G192" s="236"/>
      <c r="H192" s="236"/>
      <c r="I192" s="64"/>
      <c r="J192" s="64"/>
      <c r="K192" s="355"/>
      <c r="L192" s="64"/>
      <c r="M192" s="64"/>
      <c r="N192" s="355"/>
      <c r="O192" s="64"/>
      <c r="P192" s="64"/>
      <c r="Q192" s="64"/>
      <c r="R192" s="252"/>
    </row>
    <row r="193" spans="1:18" s="67" customFormat="1" x14ac:dyDescent="0.3">
      <c r="A193" s="55"/>
      <c r="B193" s="68"/>
      <c r="C193" s="69"/>
      <c r="D193" s="55"/>
      <c r="E193" s="63"/>
      <c r="F193" s="64"/>
      <c r="G193" s="236"/>
      <c r="H193" s="236"/>
      <c r="I193" s="64"/>
      <c r="J193" s="64"/>
      <c r="K193" s="355"/>
      <c r="L193" s="64"/>
      <c r="M193" s="64"/>
      <c r="N193" s="355"/>
      <c r="O193" s="64"/>
      <c r="P193" s="64"/>
      <c r="Q193" s="64"/>
      <c r="R193" s="252"/>
    </row>
    <row r="195" spans="1:18" s="59" customFormat="1" x14ac:dyDescent="0.3">
      <c r="A195" s="55"/>
      <c r="B195" s="68"/>
      <c r="C195" s="69"/>
      <c r="D195" s="55"/>
      <c r="E195" s="63"/>
      <c r="F195" s="64"/>
      <c r="G195" s="236"/>
      <c r="H195" s="236"/>
      <c r="I195" s="64"/>
      <c r="J195" s="64"/>
      <c r="K195" s="355"/>
      <c r="L195" s="64"/>
      <c r="M195" s="64"/>
      <c r="N195" s="355"/>
      <c r="O195" s="64"/>
      <c r="P195" s="64"/>
      <c r="Q195" s="64"/>
      <c r="R195" s="236"/>
    </row>
    <row r="196" spans="1:18" s="59" customFormat="1" x14ac:dyDescent="0.3">
      <c r="A196" s="55"/>
      <c r="B196" s="68"/>
      <c r="C196" s="69"/>
      <c r="D196" s="55"/>
      <c r="E196" s="63"/>
      <c r="F196" s="64"/>
      <c r="G196" s="236"/>
      <c r="H196" s="236"/>
      <c r="I196" s="64"/>
      <c r="J196" s="64"/>
      <c r="K196" s="355"/>
      <c r="L196" s="64"/>
      <c r="M196" s="64"/>
      <c r="N196" s="355"/>
      <c r="O196" s="64"/>
      <c r="P196" s="64"/>
      <c r="Q196" s="64"/>
      <c r="R196" s="236"/>
    </row>
    <row r="197" spans="1:18" s="67" customFormat="1" x14ac:dyDescent="0.3">
      <c r="A197" s="55"/>
      <c r="B197" s="68"/>
      <c r="C197" s="69"/>
      <c r="D197" s="55"/>
      <c r="E197" s="63"/>
      <c r="F197" s="64"/>
      <c r="G197" s="236"/>
      <c r="H197" s="236"/>
      <c r="I197" s="64"/>
      <c r="J197" s="64"/>
      <c r="K197" s="355"/>
      <c r="L197" s="64"/>
      <c r="M197" s="64"/>
      <c r="N197" s="355"/>
      <c r="O197" s="64"/>
      <c r="P197" s="64"/>
      <c r="Q197" s="64"/>
      <c r="R197" s="252"/>
    </row>
    <row r="198" spans="1:18" s="67" customFormat="1" x14ac:dyDescent="0.3">
      <c r="A198" s="55"/>
      <c r="B198" s="68"/>
      <c r="C198" s="69"/>
      <c r="D198" s="55"/>
      <c r="E198" s="63"/>
      <c r="F198" s="64"/>
      <c r="G198" s="236"/>
      <c r="H198" s="236"/>
      <c r="I198" s="64"/>
      <c r="J198" s="64"/>
      <c r="K198" s="355"/>
      <c r="L198" s="64"/>
      <c r="M198" s="64"/>
      <c r="N198" s="355"/>
      <c r="O198" s="64"/>
      <c r="P198" s="64"/>
      <c r="Q198" s="64"/>
      <c r="R198" s="252"/>
    </row>
    <row r="199" spans="1:18" s="67" customFormat="1" x14ac:dyDescent="0.3">
      <c r="A199" s="55"/>
      <c r="B199" s="68"/>
      <c r="C199" s="69"/>
      <c r="D199" s="55"/>
      <c r="E199" s="63"/>
      <c r="F199" s="64"/>
      <c r="G199" s="236"/>
      <c r="H199" s="236"/>
      <c r="I199" s="64"/>
      <c r="J199" s="64"/>
      <c r="K199" s="355"/>
      <c r="L199" s="64"/>
      <c r="M199" s="64"/>
      <c r="N199" s="355"/>
      <c r="O199" s="64"/>
      <c r="P199" s="64"/>
      <c r="Q199" s="64"/>
      <c r="R199" s="252"/>
    </row>
    <row r="200" spans="1:18" s="67" customFormat="1" x14ac:dyDescent="0.3">
      <c r="A200" s="55"/>
      <c r="B200" s="68"/>
      <c r="C200" s="69"/>
      <c r="D200" s="55"/>
      <c r="E200" s="63"/>
      <c r="F200" s="64"/>
      <c r="G200" s="236"/>
      <c r="H200" s="236"/>
      <c r="I200" s="64"/>
      <c r="J200" s="64"/>
      <c r="K200" s="355"/>
      <c r="L200" s="64"/>
      <c r="M200" s="64"/>
      <c r="N200" s="355"/>
      <c r="O200" s="64"/>
      <c r="P200" s="64"/>
      <c r="Q200" s="64"/>
      <c r="R200" s="252"/>
    </row>
    <row r="201" spans="1:18" s="59" customFormat="1" x14ac:dyDescent="0.3">
      <c r="A201" s="55"/>
      <c r="B201" s="68"/>
      <c r="C201" s="69"/>
      <c r="D201" s="55"/>
      <c r="E201" s="63"/>
      <c r="F201" s="64"/>
      <c r="G201" s="236"/>
      <c r="H201" s="236"/>
      <c r="I201" s="64"/>
      <c r="J201" s="64"/>
      <c r="K201" s="355"/>
      <c r="L201" s="64"/>
      <c r="M201" s="64"/>
      <c r="N201" s="355"/>
      <c r="O201" s="64"/>
      <c r="P201" s="64"/>
      <c r="Q201" s="64"/>
      <c r="R201" s="236"/>
    </row>
    <row r="202" spans="1:18" s="59" customFormat="1" x14ac:dyDescent="0.3">
      <c r="A202" s="55"/>
      <c r="B202" s="68"/>
      <c r="C202" s="69"/>
      <c r="D202" s="55"/>
      <c r="E202" s="63"/>
      <c r="F202" s="64"/>
      <c r="G202" s="236"/>
      <c r="H202" s="236"/>
      <c r="I202" s="64"/>
      <c r="J202" s="64"/>
      <c r="K202" s="355"/>
      <c r="L202" s="64"/>
      <c r="M202" s="64"/>
      <c r="N202" s="355"/>
      <c r="O202" s="64"/>
      <c r="P202" s="64"/>
      <c r="Q202" s="64"/>
      <c r="R202" s="236"/>
    </row>
    <row r="203" spans="1:18" s="59" customFormat="1" x14ac:dyDescent="0.3">
      <c r="A203" s="55"/>
      <c r="B203" s="68"/>
      <c r="C203" s="69"/>
      <c r="D203" s="55"/>
      <c r="E203" s="63"/>
      <c r="F203" s="64"/>
      <c r="G203" s="236"/>
      <c r="H203" s="236"/>
      <c r="I203" s="64"/>
      <c r="J203" s="64"/>
      <c r="K203" s="355"/>
      <c r="L203" s="64"/>
      <c r="M203" s="64"/>
      <c r="N203" s="355"/>
      <c r="O203" s="64"/>
      <c r="P203" s="64"/>
      <c r="Q203" s="64"/>
      <c r="R203" s="236"/>
    </row>
    <row r="204" spans="1:18" s="59" customFormat="1" x14ac:dyDescent="0.3">
      <c r="A204" s="55"/>
      <c r="B204" s="68"/>
      <c r="C204" s="69"/>
      <c r="D204" s="55"/>
      <c r="E204" s="63"/>
      <c r="F204" s="64"/>
      <c r="G204" s="236"/>
      <c r="H204" s="236"/>
      <c r="I204" s="64"/>
      <c r="J204" s="64"/>
      <c r="K204" s="355"/>
      <c r="L204" s="64"/>
      <c r="M204" s="64"/>
      <c r="N204" s="355"/>
      <c r="O204" s="64"/>
      <c r="P204" s="64"/>
      <c r="Q204" s="64"/>
      <c r="R204" s="236"/>
    </row>
    <row r="205" spans="1:18" s="59" customFormat="1" x14ac:dyDescent="0.3">
      <c r="A205" s="55"/>
      <c r="B205" s="68"/>
      <c r="C205" s="69"/>
      <c r="D205" s="55"/>
      <c r="E205" s="63"/>
      <c r="F205" s="64"/>
      <c r="G205" s="236"/>
      <c r="H205" s="236"/>
      <c r="I205" s="64"/>
      <c r="J205" s="64"/>
      <c r="K205" s="355"/>
      <c r="L205" s="64"/>
      <c r="M205" s="64"/>
      <c r="N205" s="355"/>
      <c r="O205" s="64"/>
      <c r="P205" s="64"/>
      <c r="Q205" s="64"/>
      <c r="R205" s="236"/>
    </row>
    <row r="206" spans="1:18" s="59" customFormat="1" x14ac:dyDescent="0.3">
      <c r="A206" s="55"/>
      <c r="B206" s="68"/>
      <c r="C206" s="69"/>
      <c r="D206" s="55"/>
      <c r="E206" s="63"/>
      <c r="F206" s="64"/>
      <c r="G206" s="236"/>
      <c r="H206" s="236"/>
      <c r="I206" s="64"/>
      <c r="J206" s="64"/>
      <c r="K206" s="355"/>
      <c r="L206" s="64"/>
      <c r="M206" s="64"/>
      <c r="N206" s="355"/>
      <c r="O206" s="64"/>
      <c r="P206" s="64"/>
      <c r="Q206" s="64"/>
      <c r="R206" s="236"/>
    </row>
    <row r="207" spans="1:18" s="59" customFormat="1" x14ac:dyDescent="0.3">
      <c r="A207" s="55"/>
      <c r="B207" s="68"/>
      <c r="C207" s="69"/>
      <c r="D207" s="55"/>
      <c r="E207" s="63"/>
      <c r="F207" s="64"/>
      <c r="G207" s="236"/>
      <c r="H207" s="236"/>
      <c r="I207" s="64"/>
      <c r="J207" s="64"/>
      <c r="K207" s="355"/>
      <c r="L207" s="64"/>
      <c r="M207" s="64"/>
      <c r="N207" s="355"/>
      <c r="O207" s="64"/>
      <c r="P207" s="64"/>
      <c r="Q207" s="64"/>
      <c r="R207" s="236"/>
    </row>
    <row r="212" spans="1:18" s="58" customFormat="1" x14ac:dyDescent="0.3">
      <c r="A212" s="55"/>
      <c r="B212" s="68"/>
      <c r="C212" s="69"/>
      <c r="D212" s="55"/>
      <c r="E212" s="63"/>
      <c r="F212" s="64"/>
      <c r="G212" s="236"/>
      <c r="H212" s="236"/>
      <c r="I212" s="64"/>
      <c r="J212" s="64"/>
      <c r="K212" s="355"/>
      <c r="L212" s="64"/>
      <c r="M212" s="64"/>
      <c r="N212" s="355"/>
      <c r="O212" s="64"/>
      <c r="P212" s="64"/>
      <c r="Q212" s="64"/>
      <c r="R212" s="253"/>
    </row>
    <row r="213" spans="1:18" s="58" customFormat="1" x14ac:dyDescent="0.3">
      <c r="A213" s="55"/>
      <c r="B213" s="68"/>
      <c r="C213" s="69"/>
      <c r="D213" s="55"/>
      <c r="E213" s="63"/>
      <c r="F213" s="64"/>
      <c r="G213" s="236"/>
      <c r="H213" s="236"/>
      <c r="I213" s="64"/>
      <c r="J213" s="64"/>
      <c r="K213" s="355"/>
      <c r="L213" s="64"/>
      <c r="M213" s="64"/>
      <c r="N213" s="355"/>
      <c r="O213" s="64"/>
      <c r="P213" s="64"/>
      <c r="Q213" s="64"/>
      <c r="R213" s="253"/>
    </row>
    <row r="214" spans="1:18" s="58" customFormat="1" x14ac:dyDescent="0.3">
      <c r="A214" s="55"/>
      <c r="B214" s="68"/>
      <c r="C214" s="69"/>
      <c r="D214" s="55"/>
      <c r="E214" s="63"/>
      <c r="F214" s="64"/>
      <c r="G214" s="236"/>
      <c r="H214" s="236"/>
      <c r="I214" s="64"/>
      <c r="J214" s="64"/>
      <c r="K214" s="355"/>
      <c r="L214" s="64"/>
      <c r="M214" s="64"/>
      <c r="N214" s="355"/>
      <c r="O214" s="64"/>
      <c r="P214" s="64"/>
      <c r="Q214" s="64"/>
      <c r="R214" s="253"/>
    </row>
    <row r="215" spans="1:18" s="58" customFormat="1" x14ac:dyDescent="0.3">
      <c r="A215" s="55"/>
      <c r="B215" s="68"/>
      <c r="C215" s="69"/>
      <c r="D215" s="55"/>
      <c r="E215" s="63"/>
      <c r="F215" s="64"/>
      <c r="G215" s="236"/>
      <c r="H215" s="236"/>
      <c r="I215" s="64"/>
      <c r="J215" s="64"/>
      <c r="K215" s="355"/>
      <c r="L215" s="64"/>
      <c r="M215" s="64"/>
      <c r="N215" s="355"/>
      <c r="O215" s="64"/>
      <c r="P215" s="64"/>
      <c r="Q215" s="64"/>
      <c r="R215" s="253"/>
    </row>
    <row r="216" spans="1:18" s="57" customFormat="1" x14ac:dyDescent="0.25">
      <c r="A216" s="55"/>
      <c r="B216" s="68"/>
      <c r="C216" s="69"/>
      <c r="D216" s="55"/>
      <c r="E216" s="63"/>
      <c r="F216" s="64"/>
      <c r="G216" s="236"/>
      <c r="H216" s="236"/>
      <c r="I216" s="64"/>
      <c r="J216" s="64"/>
      <c r="K216" s="355"/>
      <c r="L216" s="64"/>
      <c r="M216" s="64"/>
      <c r="N216" s="355"/>
      <c r="O216" s="64"/>
      <c r="P216" s="64"/>
      <c r="Q216" s="64"/>
      <c r="R216" s="235"/>
    </row>
    <row r="217" spans="1:18" s="57" customFormat="1" x14ac:dyDescent="0.25">
      <c r="A217" s="55"/>
      <c r="B217" s="68"/>
      <c r="C217" s="69"/>
      <c r="D217" s="55"/>
      <c r="E217" s="63"/>
      <c r="F217" s="64"/>
      <c r="G217" s="236"/>
      <c r="H217" s="236"/>
      <c r="I217" s="64"/>
      <c r="J217" s="64"/>
      <c r="K217" s="355"/>
      <c r="L217" s="64"/>
      <c r="M217" s="64"/>
      <c r="N217" s="355"/>
      <c r="O217" s="64"/>
      <c r="P217" s="64"/>
      <c r="Q217" s="64"/>
      <c r="R217" s="235"/>
    </row>
    <row r="218" spans="1:18" s="57" customFormat="1" x14ac:dyDescent="0.25">
      <c r="A218" s="55"/>
      <c r="B218" s="68"/>
      <c r="C218" s="69"/>
      <c r="D218" s="55"/>
      <c r="E218" s="63"/>
      <c r="F218" s="64"/>
      <c r="G218" s="236"/>
      <c r="H218" s="236"/>
      <c r="I218" s="64"/>
      <c r="J218" s="64"/>
      <c r="K218" s="355"/>
      <c r="L218" s="64"/>
      <c r="M218" s="64"/>
      <c r="N218" s="355"/>
      <c r="O218" s="64"/>
      <c r="P218" s="64"/>
      <c r="Q218" s="64"/>
      <c r="R218" s="235"/>
    </row>
    <row r="219" spans="1:18" s="57" customFormat="1" x14ac:dyDescent="0.25">
      <c r="A219" s="55"/>
      <c r="B219" s="68"/>
      <c r="C219" s="69"/>
      <c r="D219" s="55"/>
      <c r="E219" s="63"/>
      <c r="F219" s="64"/>
      <c r="G219" s="236"/>
      <c r="H219" s="236"/>
      <c r="I219" s="64"/>
      <c r="J219" s="64"/>
      <c r="K219" s="355"/>
      <c r="L219" s="64"/>
      <c r="M219" s="64"/>
      <c r="N219" s="355"/>
      <c r="O219" s="64"/>
      <c r="P219" s="64"/>
      <c r="Q219" s="64"/>
      <c r="R219" s="235"/>
    </row>
    <row r="220" spans="1:18" s="57" customFormat="1" x14ac:dyDescent="0.25">
      <c r="A220" s="55"/>
      <c r="B220" s="68"/>
      <c r="C220" s="69"/>
      <c r="D220" s="55"/>
      <c r="E220" s="63"/>
      <c r="F220" s="64"/>
      <c r="G220" s="236"/>
      <c r="H220" s="236"/>
      <c r="I220" s="64"/>
      <c r="J220" s="64"/>
      <c r="K220" s="355"/>
      <c r="L220" s="64"/>
      <c r="M220" s="64"/>
      <c r="N220" s="355"/>
      <c r="O220" s="64"/>
      <c r="P220" s="64"/>
      <c r="Q220" s="64"/>
      <c r="R220" s="235"/>
    </row>
    <row r="221" spans="1:18" s="57" customFormat="1" x14ac:dyDescent="0.25">
      <c r="A221" s="55"/>
      <c r="B221" s="68"/>
      <c r="C221" s="69"/>
      <c r="D221" s="55"/>
      <c r="E221" s="63"/>
      <c r="F221" s="64"/>
      <c r="G221" s="236"/>
      <c r="H221" s="236"/>
      <c r="I221" s="64"/>
      <c r="J221" s="64"/>
      <c r="K221" s="355"/>
      <c r="L221" s="64"/>
      <c r="M221" s="64"/>
      <c r="N221" s="355"/>
      <c r="O221" s="64"/>
      <c r="P221" s="64"/>
      <c r="Q221" s="64"/>
      <c r="R221" s="235"/>
    </row>
    <row r="222" spans="1:18" s="58" customFormat="1" x14ac:dyDescent="0.3">
      <c r="A222" s="55"/>
      <c r="B222" s="68"/>
      <c r="C222" s="69"/>
      <c r="D222" s="55"/>
      <c r="E222" s="63"/>
      <c r="F222" s="64"/>
      <c r="G222" s="236"/>
      <c r="H222" s="236"/>
      <c r="I222" s="64"/>
      <c r="J222" s="64"/>
      <c r="K222" s="355"/>
      <c r="L222" s="64"/>
      <c r="M222" s="64"/>
      <c r="N222" s="355"/>
      <c r="O222" s="64"/>
      <c r="P222" s="64"/>
      <c r="Q222" s="64"/>
      <c r="R222" s="253"/>
    </row>
    <row r="223" spans="1:18" s="58" customFormat="1" x14ac:dyDescent="0.3">
      <c r="A223" s="55"/>
      <c r="B223" s="68"/>
      <c r="C223" s="69"/>
      <c r="D223" s="55"/>
      <c r="E223" s="63"/>
      <c r="F223" s="64"/>
      <c r="G223" s="236"/>
      <c r="H223" s="236"/>
      <c r="I223" s="64"/>
      <c r="J223" s="64"/>
      <c r="K223" s="355"/>
      <c r="L223" s="64"/>
      <c r="M223" s="64"/>
      <c r="N223" s="355"/>
      <c r="O223" s="64"/>
      <c r="P223" s="64"/>
      <c r="Q223" s="64"/>
      <c r="R223" s="253"/>
    </row>
    <row r="226" spans="1:18" s="59" customFormat="1" x14ac:dyDescent="0.3">
      <c r="A226" s="55"/>
      <c r="B226" s="68"/>
      <c r="C226" s="69"/>
      <c r="D226" s="55"/>
      <c r="E226" s="63"/>
      <c r="F226" s="64"/>
      <c r="G226" s="236"/>
      <c r="H226" s="236"/>
      <c r="I226" s="64"/>
      <c r="J226" s="64"/>
      <c r="K226" s="355"/>
      <c r="L226" s="64"/>
      <c r="M226" s="64"/>
      <c r="N226" s="355"/>
      <c r="O226" s="64"/>
      <c r="P226" s="64"/>
      <c r="Q226" s="64"/>
      <c r="R226" s="236"/>
    </row>
    <row r="227" spans="1:18" s="59" customFormat="1" x14ac:dyDescent="0.3">
      <c r="A227" s="55"/>
      <c r="B227" s="68"/>
      <c r="C227" s="69"/>
      <c r="D227" s="55"/>
      <c r="E227" s="63"/>
      <c r="F227" s="64"/>
      <c r="G227" s="236"/>
      <c r="H227" s="236"/>
      <c r="I227" s="64"/>
      <c r="J227" s="64"/>
      <c r="K227" s="355"/>
      <c r="L227" s="64"/>
      <c r="M227" s="64"/>
      <c r="N227" s="355"/>
      <c r="O227" s="64"/>
      <c r="P227" s="64"/>
      <c r="Q227" s="64"/>
      <c r="R227" s="236"/>
    </row>
    <row r="228" spans="1:18" s="59" customFormat="1" x14ac:dyDescent="0.3">
      <c r="A228" s="55"/>
      <c r="B228" s="68"/>
      <c r="C228" s="69"/>
      <c r="D228" s="55"/>
      <c r="E228" s="63"/>
      <c r="F228" s="64"/>
      <c r="G228" s="236"/>
      <c r="H228" s="236"/>
      <c r="I228" s="64"/>
      <c r="J228" s="64"/>
      <c r="K228" s="355"/>
      <c r="L228" s="64"/>
      <c r="M228" s="64"/>
      <c r="N228" s="355"/>
      <c r="O228" s="64"/>
      <c r="P228" s="64"/>
      <c r="Q228" s="64"/>
      <c r="R228" s="236"/>
    </row>
    <row r="229" spans="1:18" s="59" customFormat="1" x14ac:dyDescent="0.3">
      <c r="A229" s="55"/>
      <c r="B229" s="68"/>
      <c r="C229" s="69"/>
      <c r="D229" s="55"/>
      <c r="E229" s="63"/>
      <c r="F229" s="64"/>
      <c r="G229" s="236"/>
      <c r="H229" s="236"/>
      <c r="I229" s="64"/>
      <c r="J229" s="64"/>
      <c r="K229" s="355"/>
      <c r="L229" s="64"/>
      <c r="M229" s="64"/>
      <c r="N229" s="355"/>
      <c r="O229" s="64"/>
      <c r="P229" s="64"/>
      <c r="Q229" s="64"/>
      <c r="R229" s="236"/>
    </row>
    <row r="230" spans="1:18" s="59" customFormat="1" x14ac:dyDescent="0.3">
      <c r="A230" s="55"/>
      <c r="B230" s="68"/>
      <c r="C230" s="69"/>
      <c r="D230" s="55"/>
      <c r="E230" s="63"/>
      <c r="F230" s="64"/>
      <c r="G230" s="236"/>
      <c r="H230" s="236"/>
      <c r="I230" s="64"/>
      <c r="J230" s="64"/>
      <c r="K230" s="355"/>
      <c r="L230" s="64"/>
      <c r="M230" s="64"/>
      <c r="N230" s="355"/>
      <c r="O230" s="64"/>
      <c r="P230" s="64"/>
      <c r="Q230" s="64"/>
      <c r="R230" s="236"/>
    </row>
    <row r="231" spans="1:18" s="59" customFormat="1" x14ac:dyDescent="0.3">
      <c r="A231" s="55"/>
      <c r="B231" s="68"/>
      <c r="C231" s="69"/>
      <c r="D231" s="55"/>
      <c r="E231" s="63"/>
      <c r="F231" s="64"/>
      <c r="G231" s="236"/>
      <c r="H231" s="236"/>
      <c r="I231" s="64"/>
      <c r="J231" s="64"/>
      <c r="K231" s="355"/>
      <c r="L231" s="64"/>
      <c r="M231" s="64"/>
      <c r="N231" s="355"/>
      <c r="O231" s="64"/>
      <c r="P231" s="64"/>
      <c r="Q231" s="64"/>
      <c r="R231" s="236"/>
    </row>
    <row r="232" spans="1:18" s="59" customFormat="1" x14ac:dyDescent="0.3">
      <c r="A232" s="55"/>
      <c r="B232" s="68"/>
      <c r="C232" s="69"/>
      <c r="D232" s="55"/>
      <c r="E232" s="63"/>
      <c r="F232" s="64"/>
      <c r="G232" s="236"/>
      <c r="H232" s="236"/>
      <c r="I232" s="64"/>
      <c r="J232" s="64"/>
      <c r="K232" s="355"/>
      <c r="L232" s="64"/>
      <c r="M232" s="64"/>
      <c r="N232" s="355"/>
      <c r="O232" s="64"/>
      <c r="P232" s="64"/>
      <c r="Q232" s="64"/>
      <c r="R232" s="236"/>
    </row>
    <row r="233" spans="1:18" s="59" customFormat="1" x14ac:dyDescent="0.3">
      <c r="A233" s="55"/>
      <c r="B233" s="68"/>
      <c r="C233" s="69"/>
      <c r="D233" s="55"/>
      <c r="E233" s="63"/>
      <c r="F233" s="64"/>
      <c r="G233" s="236"/>
      <c r="H233" s="236"/>
      <c r="I233" s="64"/>
      <c r="J233" s="64"/>
      <c r="K233" s="355"/>
      <c r="L233" s="64"/>
      <c r="M233" s="64"/>
      <c r="N233" s="355"/>
      <c r="O233" s="64"/>
      <c r="P233" s="64"/>
      <c r="Q233" s="64"/>
      <c r="R233" s="236"/>
    </row>
    <row r="234" spans="1:18" s="59" customFormat="1" x14ac:dyDescent="0.3">
      <c r="A234" s="55"/>
      <c r="B234" s="68"/>
      <c r="C234" s="69"/>
      <c r="D234" s="55"/>
      <c r="E234" s="63"/>
      <c r="F234" s="64"/>
      <c r="G234" s="236"/>
      <c r="H234" s="236"/>
      <c r="I234" s="64"/>
      <c r="J234" s="64"/>
      <c r="K234" s="355"/>
      <c r="L234" s="64"/>
      <c r="M234" s="64"/>
      <c r="N234" s="355"/>
      <c r="O234" s="64"/>
      <c r="P234" s="64"/>
      <c r="Q234" s="64"/>
      <c r="R234" s="236"/>
    </row>
    <row r="235" spans="1:18" s="59" customFormat="1" x14ac:dyDescent="0.3">
      <c r="A235" s="55"/>
      <c r="B235" s="68"/>
      <c r="C235" s="69"/>
      <c r="D235" s="55"/>
      <c r="E235" s="63"/>
      <c r="F235" s="64"/>
      <c r="G235" s="236"/>
      <c r="H235" s="236"/>
      <c r="I235" s="64"/>
      <c r="J235" s="64"/>
      <c r="K235" s="355"/>
      <c r="L235" s="64"/>
      <c r="M235" s="64"/>
      <c r="N235" s="355"/>
      <c r="O235" s="64"/>
      <c r="P235" s="64"/>
      <c r="Q235" s="64"/>
      <c r="R235" s="236"/>
    </row>
    <row r="236" spans="1:18" s="59" customFormat="1" x14ac:dyDescent="0.3">
      <c r="A236" s="55"/>
      <c r="B236" s="68"/>
      <c r="C236" s="69"/>
      <c r="D236" s="55"/>
      <c r="E236" s="63"/>
      <c r="F236" s="64"/>
      <c r="G236" s="236"/>
      <c r="H236" s="236"/>
      <c r="I236" s="64"/>
      <c r="J236" s="64"/>
      <c r="K236" s="355"/>
      <c r="L236" s="64"/>
      <c r="M236" s="64"/>
      <c r="N236" s="355"/>
      <c r="O236" s="64"/>
      <c r="P236" s="64"/>
      <c r="Q236" s="64"/>
      <c r="R236" s="236"/>
    </row>
    <row r="237" spans="1:18" s="59" customFormat="1" x14ac:dyDescent="0.3">
      <c r="A237" s="55"/>
      <c r="B237" s="68"/>
      <c r="C237" s="69"/>
      <c r="D237" s="55"/>
      <c r="E237" s="63"/>
      <c r="F237" s="64"/>
      <c r="G237" s="236"/>
      <c r="H237" s="236"/>
      <c r="I237" s="64"/>
      <c r="J237" s="64"/>
      <c r="K237" s="355"/>
      <c r="L237" s="64"/>
      <c r="M237" s="64"/>
      <c r="N237" s="355"/>
      <c r="O237" s="64"/>
      <c r="P237" s="64"/>
      <c r="Q237" s="64"/>
      <c r="R237" s="236"/>
    </row>
    <row r="238" spans="1:18" s="59" customFormat="1" x14ac:dyDescent="0.3">
      <c r="A238" s="55"/>
      <c r="B238" s="68"/>
      <c r="C238" s="69"/>
      <c r="D238" s="55"/>
      <c r="E238" s="63"/>
      <c r="F238" s="64"/>
      <c r="G238" s="236"/>
      <c r="H238" s="236"/>
      <c r="I238" s="64"/>
      <c r="J238" s="64"/>
      <c r="K238" s="355"/>
      <c r="L238" s="64"/>
      <c r="M238" s="64"/>
      <c r="N238" s="355"/>
      <c r="O238" s="64"/>
      <c r="P238" s="64"/>
      <c r="Q238" s="64"/>
      <c r="R238" s="236"/>
    </row>
    <row r="239" spans="1:18" s="59" customFormat="1" x14ac:dyDescent="0.3">
      <c r="A239" s="55"/>
      <c r="B239" s="68"/>
      <c r="C239" s="69"/>
      <c r="D239" s="55"/>
      <c r="E239" s="63"/>
      <c r="F239" s="64"/>
      <c r="G239" s="236"/>
      <c r="H239" s="236"/>
      <c r="I239" s="64"/>
      <c r="J239" s="64"/>
      <c r="K239" s="355"/>
      <c r="L239" s="64"/>
      <c r="M239" s="64"/>
      <c r="N239" s="355"/>
      <c r="O239" s="64"/>
      <c r="P239" s="64"/>
      <c r="Q239" s="64"/>
      <c r="R239" s="236"/>
    </row>
    <row r="240" spans="1:18" s="59" customFormat="1" x14ac:dyDescent="0.3">
      <c r="A240" s="55"/>
      <c r="B240" s="68"/>
      <c r="C240" s="69"/>
      <c r="D240" s="55"/>
      <c r="E240" s="63"/>
      <c r="F240" s="64"/>
      <c r="G240" s="236"/>
      <c r="H240" s="236"/>
      <c r="I240" s="64"/>
      <c r="J240" s="64"/>
      <c r="K240" s="355"/>
      <c r="L240" s="64"/>
      <c r="M240" s="64"/>
      <c r="N240" s="355"/>
      <c r="O240" s="64"/>
      <c r="P240" s="64"/>
      <c r="Q240" s="64"/>
      <c r="R240" s="236"/>
    </row>
    <row r="241" spans="1:18" s="59" customFormat="1" x14ac:dyDescent="0.3">
      <c r="A241" s="55"/>
      <c r="B241" s="68"/>
      <c r="C241" s="69"/>
      <c r="D241" s="55"/>
      <c r="E241" s="63"/>
      <c r="F241" s="64"/>
      <c r="G241" s="236"/>
      <c r="H241" s="236"/>
      <c r="I241" s="64"/>
      <c r="J241" s="64"/>
      <c r="K241" s="355"/>
      <c r="L241" s="64"/>
      <c r="M241" s="64"/>
      <c r="N241" s="355"/>
      <c r="O241" s="64"/>
      <c r="P241" s="64"/>
      <c r="Q241" s="64"/>
      <c r="R241" s="236"/>
    </row>
    <row r="242" spans="1:18" s="59" customFormat="1" x14ac:dyDescent="0.3">
      <c r="A242" s="55"/>
      <c r="B242" s="68"/>
      <c r="C242" s="69"/>
      <c r="D242" s="55"/>
      <c r="E242" s="63"/>
      <c r="F242" s="64"/>
      <c r="G242" s="236"/>
      <c r="H242" s="236"/>
      <c r="I242" s="64"/>
      <c r="J242" s="64"/>
      <c r="K242" s="355"/>
      <c r="L242" s="64"/>
      <c r="M242" s="64"/>
      <c r="N242" s="355"/>
      <c r="O242" s="64"/>
      <c r="P242" s="64"/>
      <c r="Q242" s="64"/>
      <c r="R242" s="236"/>
    </row>
    <row r="244" spans="1:18" s="59" customFormat="1" x14ac:dyDescent="0.3">
      <c r="A244" s="55"/>
      <c r="B244" s="68"/>
      <c r="C244" s="69"/>
      <c r="D244" s="55"/>
      <c r="E244" s="63"/>
      <c r="F244" s="64"/>
      <c r="G244" s="236"/>
      <c r="H244" s="236"/>
      <c r="I244" s="64"/>
      <c r="J244" s="64"/>
      <c r="K244" s="355"/>
      <c r="L244" s="64"/>
      <c r="M244" s="64"/>
      <c r="N244" s="355"/>
      <c r="O244" s="64"/>
      <c r="P244" s="64"/>
      <c r="Q244" s="64"/>
      <c r="R244" s="236"/>
    </row>
  </sheetData>
  <protectedRanges>
    <protectedRange sqref="F119 H59:H62 F125:F126 F128:F65410 I16 F114:F115 F70:F73 O14:Q123 F26:F39 F47:F53 F58:F63 F65:F68 H17:I19 R125 I9:Q12 F9:F21 F122:F123 I20:I75 L120:M123 I116:J118 M93:M112 H13:I15 I93:K115 L14:L112 I124:Q65408 L13:Q13 L113:M118 I120:J123 K116:K123 I77:K91 J13:K75 N93:N123 M77:N91 M14:N75" name="Range1"/>
    <protectedRange sqref="F120 F116:F118 F124" name="Range1_4"/>
    <protectedRange sqref="F64 F69 F74:F75 F79:F91 F93:F112 H93:K110 G77:K77 H74:K75 H69:K70 H64:K65 H79:K91 M93:N110 M77:N77 M74:N75 M69:N70 M64:N65 M79:N91" name="Range1_1"/>
    <protectedRange sqref="F77:F78" name="Range1_1_3_1"/>
    <protectedRange sqref="I76:K76 M76:N76" name="Range1_2"/>
    <protectedRange sqref="F76 H76:K76 M76:N76" name="Range1_1_1"/>
    <protectedRange sqref="I92:K92 M92:N92" name="Range1_3"/>
    <protectedRange sqref="F92 H92:K92 M92:N92" name="Range1_1_2"/>
    <protectedRange sqref="F40" name="Range1_1_3_1_2"/>
    <protectedRange sqref="F41" name="Range1_1_3_1_3"/>
    <protectedRange sqref="F42" name="Range1_1_3_1_4"/>
    <protectedRange sqref="F43:F44" name="Range1_1_3_1_5"/>
    <protectedRange sqref="F45" name="Range1_1_3_1_6"/>
    <protectedRange sqref="F46" name="Range1_1_3_1_7"/>
    <protectedRange sqref="F54:F57" name="Range1_1_3_1_8"/>
    <protectedRange sqref="F1:F6" name="Range1_8"/>
    <protectedRange sqref="I1:R6" name="Range1_6_3"/>
    <protectedRange sqref="I7:Q7" name="Range1_9"/>
  </protectedRanges>
  <mergeCells count="56">
    <mergeCell ref="F65:F68"/>
    <mergeCell ref="F70:F73"/>
    <mergeCell ref="E84:E85"/>
    <mergeCell ref="F84:F85"/>
    <mergeCell ref="G84:G85"/>
    <mergeCell ref="E80:E81"/>
    <mergeCell ref="G80:G81"/>
    <mergeCell ref="F80:F81"/>
    <mergeCell ref="F22:F25"/>
    <mergeCell ref="I80:I81"/>
    <mergeCell ref="B49:B53"/>
    <mergeCell ref="E27:E30"/>
    <mergeCell ref="F27:F30"/>
    <mergeCell ref="E59:E62"/>
    <mergeCell ref="B27:B30"/>
    <mergeCell ref="D27:D30"/>
    <mergeCell ref="D65:D67"/>
    <mergeCell ref="B70:B71"/>
    <mergeCell ref="B80:B81"/>
    <mergeCell ref="C59:C61"/>
    <mergeCell ref="B59:B61"/>
    <mergeCell ref="D80:D81"/>
    <mergeCell ref="E77:E78"/>
    <mergeCell ref="H80:H81"/>
    <mergeCell ref="A125:C125"/>
    <mergeCell ref="A22:A25"/>
    <mergeCell ref="B22:B25"/>
    <mergeCell ref="D22:D25"/>
    <mergeCell ref="E22:E25"/>
    <mergeCell ref="A27:A30"/>
    <mergeCell ref="A80:A81"/>
    <mergeCell ref="A59:A62"/>
    <mergeCell ref="D59:D62"/>
    <mergeCell ref="D77:D78"/>
    <mergeCell ref="A77:A78"/>
    <mergeCell ref="B77:B78"/>
    <mergeCell ref="D70:D71"/>
    <mergeCell ref="A70:A71"/>
    <mergeCell ref="A65:A67"/>
    <mergeCell ref="B65:B67"/>
    <mergeCell ref="A1:R1"/>
    <mergeCell ref="A2:R2"/>
    <mergeCell ref="A3:R3"/>
    <mergeCell ref="A4:R4"/>
    <mergeCell ref="A5:R5"/>
    <mergeCell ref="R7:R8"/>
    <mergeCell ref="A6:R6"/>
    <mergeCell ref="A7:A8"/>
    <mergeCell ref="B7:B8"/>
    <mergeCell ref="C7:C8"/>
    <mergeCell ref="D7:D8"/>
    <mergeCell ref="E7:E8"/>
    <mergeCell ref="F7:F8"/>
    <mergeCell ref="G7:I7"/>
    <mergeCell ref="J7:N7"/>
    <mergeCell ref="O7:Q7"/>
  </mergeCells>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38"/>
  <sheetViews>
    <sheetView zoomScale="110" zoomScaleNormal="110" workbookViewId="0">
      <pane ySplit="3" topLeftCell="A21" activePane="bottomLeft" state="frozen"/>
      <selection pane="bottomLeft" activeCell="D37" sqref="D37"/>
    </sheetView>
  </sheetViews>
  <sheetFormatPr defaultColWidth="8.81640625" defaultRowHeight="13" x14ac:dyDescent="0.3"/>
  <cols>
    <col min="1" max="1" width="8.81640625" style="456"/>
    <col min="2" max="2" width="13.453125" style="15" customWidth="1"/>
    <col min="3" max="3" width="56.453125" style="15" customWidth="1"/>
    <col min="4" max="4" width="8.81640625" style="655"/>
    <col min="5" max="5" width="10.453125" style="456" bestFit="1" customWidth="1"/>
    <col min="6" max="7" width="9.453125" style="456" bestFit="1" customWidth="1"/>
    <col min="8" max="12" width="8.81640625" style="456"/>
    <col min="13" max="13" width="9.453125" style="457" bestFit="1" customWidth="1"/>
    <col min="14" max="16384" width="8.81640625" style="15"/>
  </cols>
  <sheetData>
    <row r="1" spans="1:13" ht="13.5" thickBot="1" x14ac:dyDescent="0.35">
      <c r="A1" s="807" t="s">
        <v>748</v>
      </c>
      <c r="B1" s="807"/>
      <c r="C1" s="807"/>
      <c r="D1" s="807"/>
      <c r="E1" s="807"/>
      <c r="F1" s="807"/>
      <c r="G1" s="807"/>
      <c r="H1" s="807"/>
      <c r="I1" s="807"/>
      <c r="J1" s="807"/>
      <c r="K1" s="807"/>
      <c r="L1" s="807"/>
      <c r="M1" s="807"/>
    </row>
    <row r="2" spans="1:13" ht="13.5" thickBot="1" x14ac:dyDescent="0.35">
      <c r="A2" s="808" t="s">
        <v>669</v>
      </c>
      <c r="B2" s="810" t="s">
        <v>670</v>
      </c>
      <c r="C2" s="810" t="s">
        <v>671</v>
      </c>
      <c r="D2" s="812" t="s">
        <v>672</v>
      </c>
      <c r="E2" s="814" t="s">
        <v>673</v>
      </c>
      <c r="F2" s="814"/>
      <c r="G2" s="814"/>
      <c r="H2" s="814"/>
      <c r="I2" s="814" t="s">
        <v>674</v>
      </c>
      <c r="J2" s="814"/>
      <c r="K2" s="814"/>
      <c r="L2" s="814"/>
      <c r="M2" s="814"/>
    </row>
    <row r="3" spans="1:13" ht="13.5" thickBot="1" x14ac:dyDescent="0.35">
      <c r="A3" s="809"/>
      <c r="B3" s="811"/>
      <c r="C3" s="811"/>
      <c r="D3" s="813"/>
      <c r="E3" s="421" t="s">
        <v>675</v>
      </c>
      <c r="F3" s="421" t="s">
        <v>162</v>
      </c>
      <c r="G3" s="421" t="s">
        <v>676</v>
      </c>
      <c r="H3" s="421"/>
      <c r="I3" s="421" t="s">
        <v>675</v>
      </c>
      <c r="J3" s="421" t="s">
        <v>162</v>
      </c>
      <c r="K3" s="421" t="s">
        <v>676</v>
      </c>
      <c r="L3" s="421" t="s">
        <v>677</v>
      </c>
      <c r="M3" s="421" t="s">
        <v>678</v>
      </c>
    </row>
    <row r="4" spans="1:13" x14ac:dyDescent="0.3">
      <c r="A4" s="797" t="s">
        <v>749</v>
      </c>
      <c r="B4" s="798"/>
      <c r="C4" s="798"/>
      <c r="D4" s="422"/>
      <c r="E4" s="423"/>
      <c r="F4" s="423"/>
      <c r="G4" s="423"/>
      <c r="H4" s="423"/>
      <c r="I4" s="423"/>
      <c r="J4" s="423"/>
      <c r="K4" s="423"/>
      <c r="L4" s="423"/>
      <c r="M4" s="424"/>
    </row>
    <row r="5" spans="1:13" x14ac:dyDescent="0.3">
      <c r="A5" s="425">
        <v>1</v>
      </c>
      <c r="B5" s="426" t="s">
        <v>94</v>
      </c>
      <c r="C5" s="426" t="s">
        <v>94</v>
      </c>
      <c r="D5" s="427" t="s">
        <v>111</v>
      </c>
      <c r="E5" s="47"/>
      <c r="F5" s="47"/>
      <c r="G5" s="47"/>
      <c r="H5" s="47"/>
      <c r="I5" s="47"/>
      <c r="J5" s="47"/>
      <c r="K5" s="47"/>
      <c r="L5" s="47">
        <v>1</v>
      </c>
      <c r="M5" s="428">
        <f>PRODUCT(I5:L5)</f>
        <v>1</v>
      </c>
    </row>
    <row r="6" spans="1:13" x14ac:dyDescent="0.3">
      <c r="A6" s="429"/>
      <c r="B6" s="390"/>
      <c r="C6" s="390"/>
      <c r="D6" s="397"/>
      <c r="E6" s="47"/>
      <c r="F6" s="47"/>
      <c r="G6" s="47"/>
      <c r="H6" s="47"/>
      <c r="I6" s="47"/>
      <c r="J6" s="47"/>
      <c r="K6" s="47"/>
      <c r="L6" s="47"/>
      <c r="M6" s="430"/>
    </row>
    <row r="7" spans="1:13" ht="26" x14ac:dyDescent="0.3">
      <c r="A7" s="425">
        <v>2</v>
      </c>
      <c r="B7" s="426" t="s">
        <v>96</v>
      </c>
      <c r="C7" s="426" t="s">
        <v>96</v>
      </c>
      <c r="D7" s="427" t="s">
        <v>111</v>
      </c>
      <c r="E7" s="47"/>
      <c r="F7" s="47"/>
      <c r="G7" s="47"/>
      <c r="H7" s="47"/>
      <c r="I7" s="47"/>
      <c r="J7" s="47"/>
      <c r="K7" s="47"/>
      <c r="L7" s="47">
        <v>1</v>
      </c>
      <c r="M7" s="428">
        <f>PRODUCT(I7:L7)</f>
        <v>1</v>
      </c>
    </row>
    <row r="8" spans="1:13" x14ac:dyDescent="0.3">
      <c r="A8" s="429"/>
      <c r="B8" s="390"/>
      <c r="C8" s="390"/>
      <c r="D8" s="397"/>
      <c r="E8" s="47"/>
      <c r="F8" s="47"/>
      <c r="G8" s="47"/>
      <c r="H8" s="47"/>
      <c r="I8" s="47"/>
      <c r="J8" s="47"/>
      <c r="K8" s="47"/>
      <c r="L8" s="47"/>
      <c r="M8" s="430"/>
    </row>
    <row r="9" spans="1:13" ht="26" x14ac:dyDescent="0.3">
      <c r="A9" s="425">
        <v>3</v>
      </c>
      <c r="B9" s="431" t="s">
        <v>97</v>
      </c>
      <c r="C9" s="431" t="s">
        <v>97</v>
      </c>
      <c r="D9" s="427" t="s">
        <v>111</v>
      </c>
      <c r="E9" s="47"/>
      <c r="F9" s="47"/>
      <c r="G9" s="47"/>
      <c r="H9" s="47"/>
      <c r="I9" s="47"/>
      <c r="J9" s="47"/>
      <c r="K9" s="47"/>
      <c r="L9" s="47">
        <v>1</v>
      </c>
      <c r="M9" s="428">
        <f>PRODUCT(I9:L9)</f>
        <v>1</v>
      </c>
    </row>
    <row r="10" spans="1:13" x14ac:dyDescent="0.3">
      <c r="A10" s="429"/>
      <c r="B10" s="432"/>
      <c r="C10" s="432"/>
      <c r="D10" s="427"/>
      <c r="E10" s="47"/>
      <c r="F10" s="47"/>
      <c r="G10" s="47"/>
      <c r="H10" s="47"/>
      <c r="I10" s="47"/>
      <c r="J10" s="47"/>
      <c r="K10" s="47"/>
      <c r="L10" s="47"/>
      <c r="M10" s="430"/>
    </row>
    <row r="11" spans="1:13" x14ac:dyDescent="0.3">
      <c r="A11" s="799" t="s">
        <v>750</v>
      </c>
      <c r="B11" s="800"/>
      <c r="C11" s="800"/>
      <c r="D11" s="427"/>
      <c r="E11" s="47"/>
      <c r="F11" s="47"/>
      <c r="G11" s="47"/>
      <c r="H11" s="47"/>
      <c r="I11" s="47"/>
      <c r="J11" s="47"/>
      <c r="K11" s="47"/>
      <c r="L11" s="47"/>
      <c r="M11" s="430"/>
    </row>
    <row r="12" spans="1:13" ht="26" x14ac:dyDescent="0.3">
      <c r="A12" s="429">
        <v>1</v>
      </c>
      <c r="B12" s="433" t="s">
        <v>131</v>
      </c>
      <c r="C12" s="433" t="s">
        <v>131</v>
      </c>
      <c r="D12" s="427" t="s">
        <v>111</v>
      </c>
      <c r="E12" s="47"/>
      <c r="F12" s="47"/>
      <c r="G12" s="47"/>
      <c r="H12" s="47"/>
      <c r="I12" s="47"/>
      <c r="J12" s="47"/>
      <c r="K12" s="47"/>
      <c r="L12" s="47">
        <v>1</v>
      </c>
      <c r="M12" s="428">
        <f>PRODUCT(I12:L12)</f>
        <v>1</v>
      </c>
    </row>
    <row r="13" spans="1:13" x14ac:dyDescent="0.3">
      <c r="A13" s="429"/>
      <c r="B13" s="390"/>
      <c r="C13" s="390"/>
      <c r="D13" s="397"/>
      <c r="E13" s="47"/>
      <c r="F13" s="47"/>
      <c r="G13" s="47"/>
      <c r="H13" s="47"/>
      <c r="I13" s="47"/>
      <c r="J13" s="47"/>
      <c r="K13" s="47"/>
      <c r="L13" s="47"/>
      <c r="M13" s="430"/>
    </row>
    <row r="14" spans="1:13" ht="26" x14ac:dyDescent="0.3">
      <c r="A14" s="429">
        <v>2</v>
      </c>
      <c r="B14" s="433" t="s">
        <v>101</v>
      </c>
      <c r="C14" s="433" t="s">
        <v>101</v>
      </c>
      <c r="D14" s="427" t="s">
        <v>111</v>
      </c>
      <c r="E14" s="47"/>
      <c r="F14" s="47"/>
      <c r="G14" s="47"/>
      <c r="H14" s="47"/>
      <c r="I14" s="47"/>
      <c r="J14" s="47"/>
      <c r="K14" s="47"/>
      <c r="L14" s="47">
        <v>1</v>
      </c>
      <c r="M14" s="428">
        <f>PRODUCT(I14:L14)</f>
        <v>1</v>
      </c>
    </row>
    <row r="15" spans="1:13" x14ac:dyDescent="0.3">
      <c r="A15" s="434" t="s">
        <v>1</v>
      </c>
      <c r="B15" s="143"/>
      <c r="C15" s="435" t="s">
        <v>132</v>
      </c>
      <c r="D15" s="427" t="s">
        <v>111</v>
      </c>
      <c r="E15" s="47"/>
      <c r="F15" s="47"/>
      <c r="G15" s="47"/>
      <c r="H15" s="47"/>
      <c r="I15" s="47"/>
      <c r="J15" s="47"/>
      <c r="K15" s="47"/>
      <c r="L15" s="47"/>
      <c r="M15" s="428">
        <f t="shared" ref="M15:M17" si="0">PRODUCT(I15:L15)</f>
        <v>0</v>
      </c>
    </row>
    <row r="16" spans="1:13" x14ac:dyDescent="0.3">
      <c r="A16" s="434" t="s">
        <v>2</v>
      </c>
      <c r="B16" s="143"/>
      <c r="C16" s="126" t="s">
        <v>103</v>
      </c>
      <c r="D16" s="427" t="s">
        <v>155</v>
      </c>
      <c r="E16" s="47"/>
      <c r="F16" s="47"/>
      <c r="G16" s="47"/>
      <c r="H16" s="47"/>
      <c r="I16" s="121">
        <v>180</v>
      </c>
      <c r="J16" s="47"/>
      <c r="K16" s="47"/>
      <c r="L16" s="47">
        <v>1</v>
      </c>
      <c r="M16" s="428">
        <f t="shared" si="0"/>
        <v>180</v>
      </c>
    </row>
    <row r="17" spans="1:13" x14ac:dyDescent="0.3">
      <c r="A17" s="434" t="s">
        <v>3</v>
      </c>
      <c r="B17" s="143"/>
      <c r="C17" s="126" t="s">
        <v>104</v>
      </c>
      <c r="D17" s="427" t="s">
        <v>111</v>
      </c>
      <c r="E17" s="47"/>
      <c r="F17" s="47"/>
      <c r="G17" s="47"/>
      <c r="H17" s="47"/>
      <c r="I17" s="121"/>
      <c r="J17" s="47"/>
      <c r="K17" s="47"/>
      <c r="L17" s="47">
        <v>12</v>
      </c>
      <c r="M17" s="428">
        <f t="shared" si="0"/>
        <v>12</v>
      </c>
    </row>
    <row r="18" spans="1:13" x14ac:dyDescent="0.3">
      <c r="A18" s="429"/>
      <c r="B18" s="390"/>
      <c r="C18" s="390"/>
      <c r="D18" s="397"/>
      <c r="E18" s="47"/>
      <c r="F18" s="47"/>
      <c r="G18" s="47"/>
      <c r="H18" s="47"/>
      <c r="I18" s="47"/>
      <c r="J18" s="47"/>
      <c r="K18" s="47"/>
      <c r="L18" s="47"/>
      <c r="M18" s="430"/>
    </row>
    <row r="19" spans="1:13" x14ac:dyDescent="0.3">
      <c r="A19" s="429">
        <v>3</v>
      </c>
      <c r="B19" s="426" t="s">
        <v>253</v>
      </c>
      <c r="C19" s="426" t="s">
        <v>253</v>
      </c>
      <c r="D19" s="427"/>
      <c r="E19" s="47"/>
      <c r="F19" s="47"/>
      <c r="G19" s="47"/>
      <c r="H19" s="47"/>
      <c r="I19" s="47"/>
      <c r="J19" s="47"/>
      <c r="K19" s="47"/>
      <c r="L19" s="47"/>
      <c r="M19" s="430">
        <f>PRODUCT(I19:L19)</f>
        <v>0</v>
      </c>
    </row>
    <row r="20" spans="1:13" x14ac:dyDescent="0.3">
      <c r="A20" s="434" t="s">
        <v>1</v>
      </c>
      <c r="B20" s="143"/>
      <c r="C20" s="126" t="s">
        <v>257</v>
      </c>
      <c r="D20" s="427" t="s">
        <v>45</v>
      </c>
      <c r="E20" s="143"/>
      <c r="F20" s="143"/>
      <c r="G20" s="47"/>
      <c r="H20" s="47"/>
      <c r="I20" s="121">
        <v>49</v>
      </c>
      <c r="J20" s="47"/>
      <c r="K20" s="47"/>
      <c r="L20" s="47">
        <v>1</v>
      </c>
      <c r="M20" s="428">
        <f t="shared" ref="M20:M31" si="1">PRODUCT(I20:L20)</f>
        <v>49</v>
      </c>
    </row>
    <row r="21" spans="1:13" ht="72" x14ac:dyDescent="0.3">
      <c r="A21" s="434" t="s">
        <v>2</v>
      </c>
      <c r="B21" s="143"/>
      <c r="C21" s="126" t="s">
        <v>258</v>
      </c>
      <c r="D21" s="427" t="s">
        <v>55</v>
      </c>
      <c r="E21" s="143"/>
      <c r="F21" s="143"/>
      <c r="G21" s="47"/>
      <c r="H21" s="47"/>
      <c r="I21" s="121">
        <v>50</v>
      </c>
      <c r="J21" s="47"/>
      <c r="K21" s="47"/>
      <c r="L21" s="47">
        <v>1</v>
      </c>
      <c r="M21" s="428">
        <f t="shared" si="1"/>
        <v>50</v>
      </c>
    </row>
    <row r="22" spans="1:13" x14ac:dyDescent="0.3">
      <c r="A22" s="434" t="s">
        <v>3</v>
      </c>
      <c r="B22" s="143"/>
      <c r="C22" s="126" t="s">
        <v>259</v>
      </c>
      <c r="D22" s="427" t="s">
        <v>45</v>
      </c>
      <c r="E22" s="143"/>
      <c r="F22" s="143"/>
      <c r="G22" s="47"/>
      <c r="H22" s="47"/>
      <c r="I22" s="121">
        <v>16</v>
      </c>
      <c r="J22" s="47"/>
      <c r="K22" s="47"/>
      <c r="L22" s="47">
        <v>1</v>
      </c>
      <c r="M22" s="428">
        <f>PRODUCT(I22:L22)</f>
        <v>16</v>
      </c>
    </row>
    <row r="23" spans="1:13" x14ac:dyDescent="0.3">
      <c r="A23" s="434" t="s">
        <v>4</v>
      </c>
      <c r="B23" s="143"/>
      <c r="C23" s="126" t="s">
        <v>260</v>
      </c>
      <c r="D23" s="427" t="s">
        <v>45</v>
      </c>
      <c r="E23" s="143"/>
      <c r="F23" s="143"/>
      <c r="G23" s="47"/>
      <c r="H23" s="47"/>
      <c r="I23" s="121">
        <v>16</v>
      </c>
      <c r="J23" s="47"/>
      <c r="K23" s="47"/>
      <c r="L23" s="47">
        <v>1</v>
      </c>
      <c r="M23" s="428">
        <f t="shared" si="1"/>
        <v>16</v>
      </c>
    </row>
    <row r="24" spans="1:13" x14ac:dyDescent="0.3">
      <c r="A24" s="434" t="s">
        <v>261</v>
      </c>
      <c r="B24" s="143"/>
      <c r="C24" s="126" t="s">
        <v>262</v>
      </c>
      <c r="D24" s="427" t="s">
        <v>111</v>
      </c>
      <c r="E24" s="143"/>
      <c r="F24" s="143"/>
      <c r="G24" s="47"/>
      <c r="H24" s="47"/>
      <c r="I24" s="121"/>
      <c r="J24" s="47"/>
      <c r="K24" s="47"/>
      <c r="L24" s="47">
        <v>1</v>
      </c>
      <c r="M24" s="428">
        <f t="shared" si="1"/>
        <v>1</v>
      </c>
    </row>
    <row r="25" spans="1:13" x14ac:dyDescent="0.3">
      <c r="A25" s="434" t="s">
        <v>263</v>
      </c>
      <c r="B25" s="143"/>
      <c r="C25" s="128" t="s">
        <v>264</v>
      </c>
      <c r="D25" s="427" t="s">
        <v>45</v>
      </c>
      <c r="E25" s="143"/>
      <c r="F25" s="143"/>
      <c r="G25" s="47"/>
      <c r="H25" s="47"/>
      <c r="I25" s="121">
        <v>16</v>
      </c>
      <c r="J25" s="47"/>
      <c r="K25" s="47"/>
      <c r="L25" s="47">
        <v>1</v>
      </c>
      <c r="M25" s="428">
        <f t="shared" si="1"/>
        <v>16</v>
      </c>
    </row>
    <row r="26" spans="1:13" x14ac:dyDescent="0.3">
      <c r="A26" s="429"/>
      <c r="B26" s="390"/>
      <c r="C26" s="390"/>
      <c r="D26" s="427"/>
      <c r="E26" s="47"/>
      <c r="F26" s="47"/>
      <c r="G26" s="47"/>
      <c r="H26" s="47"/>
      <c r="I26" s="47"/>
      <c r="J26" s="47"/>
      <c r="K26" s="47"/>
      <c r="L26" s="47"/>
      <c r="M26" s="430"/>
    </row>
    <row r="27" spans="1:13" x14ac:dyDescent="0.3">
      <c r="A27" s="429">
        <v>4</v>
      </c>
      <c r="B27" s="436" t="s">
        <v>272</v>
      </c>
      <c r="C27" s="436" t="s">
        <v>272</v>
      </c>
      <c r="D27" s="427"/>
      <c r="E27" s="47"/>
      <c r="F27" s="47"/>
      <c r="G27" s="47"/>
      <c r="H27" s="47"/>
      <c r="I27" s="47"/>
      <c r="J27" s="47"/>
      <c r="K27" s="47"/>
      <c r="L27" s="47"/>
      <c r="M27" s="430"/>
    </row>
    <row r="28" spans="1:13" x14ac:dyDescent="0.3">
      <c r="A28" s="434" t="s">
        <v>1</v>
      </c>
      <c r="B28" s="390"/>
      <c r="C28" s="126" t="s">
        <v>265</v>
      </c>
      <c r="D28" s="143" t="s">
        <v>55</v>
      </c>
      <c r="E28" s="47"/>
      <c r="F28" s="47"/>
      <c r="G28" s="47"/>
      <c r="H28" s="47"/>
      <c r="I28" s="121">
        <v>18</v>
      </c>
      <c r="J28" s="47"/>
      <c r="K28" s="47"/>
      <c r="L28" s="47">
        <v>1</v>
      </c>
      <c r="M28" s="428">
        <f t="shared" si="1"/>
        <v>18</v>
      </c>
    </row>
    <row r="29" spans="1:13" x14ac:dyDescent="0.3">
      <c r="A29" s="434" t="s">
        <v>2</v>
      </c>
      <c r="B29" s="390"/>
      <c r="C29" s="126" t="s">
        <v>266</v>
      </c>
      <c r="D29" s="143" t="s">
        <v>61</v>
      </c>
      <c r="E29" s="47"/>
      <c r="F29" s="47"/>
      <c r="G29" s="47"/>
      <c r="H29" s="47"/>
      <c r="I29" s="121">
        <v>6</v>
      </c>
      <c r="J29" s="47"/>
      <c r="K29" s="47"/>
      <c r="L29" s="47">
        <v>1</v>
      </c>
      <c r="M29" s="428">
        <f t="shared" si="1"/>
        <v>6</v>
      </c>
    </row>
    <row r="30" spans="1:13" x14ac:dyDescent="0.3">
      <c r="A30" s="434" t="s">
        <v>3</v>
      </c>
      <c r="B30" s="390"/>
      <c r="C30" s="126" t="s">
        <v>267</v>
      </c>
      <c r="D30" s="143" t="s">
        <v>155</v>
      </c>
      <c r="E30" s="47"/>
      <c r="F30" s="47"/>
      <c r="G30" s="47"/>
      <c r="H30" s="47"/>
      <c r="I30" s="121">
        <v>0</v>
      </c>
      <c r="J30" s="47"/>
      <c r="K30" s="47"/>
      <c r="L30" s="47">
        <v>1</v>
      </c>
      <c r="M30" s="428">
        <f t="shared" si="1"/>
        <v>0</v>
      </c>
    </row>
    <row r="31" spans="1:13" x14ac:dyDescent="0.3">
      <c r="A31" s="434" t="s">
        <v>4</v>
      </c>
      <c r="B31" s="390"/>
      <c r="C31" s="126" t="s">
        <v>268</v>
      </c>
      <c r="D31" s="143" t="s">
        <v>112</v>
      </c>
      <c r="E31" s="47"/>
      <c r="F31" s="47"/>
      <c r="G31" s="47"/>
      <c r="H31" s="47"/>
      <c r="I31" s="121">
        <v>34</v>
      </c>
      <c r="J31" s="47"/>
      <c r="K31" s="47"/>
      <c r="L31" s="47">
        <v>1</v>
      </c>
      <c r="M31" s="428">
        <f t="shared" si="1"/>
        <v>34</v>
      </c>
    </row>
    <row r="32" spans="1:13" x14ac:dyDescent="0.3">
      <c r="A32" s="429"/>
      <c r="B32" s="390"/>
      <c r="C32" s="390"/>
      <c r="D32" s="397"/>
      <c r="E32" s="47"/>
      <c r="F32" s="47"/>
      <c r="G32" s="47"/>
      <c r="H32" s="47"/>
      <c r="I32" s="47"/>
      <c r="J32" s="47"/>
      <c r="K32" s="47"/>
      <c r="L32" s="47"/>
      <c r="M32" s="430"/>
    </row>
    <row r="33" spans="1:13" x14ac:dyDescent="0.3">
      <c r="A33" s="429">
        <v>5</v>
      </c>
      <c r="B33" s="433" t="s">
        <v>105</v>
      </c>
      <c r="C33" s="433" t="s">
        <v>105</v>
      </c>
      <c r="D33" s="427" t="s">
        <v>111</v>
      </c>
      <c r="E33" s="47"/>
      <c r="F33" s="47"/>
      <c r="G33" s="47"/>
      <c r="H33" s="47"/>
      <c r="I33" s="47"/>
      <c r="J33" s="47"/>
      <c r="K33" s="47"/>
      <c r="L33" s="47">
        <v>1</v>
      </c>
      <c r="M33" s="428">
        <f>PRODUCT(I33:L33)</f>
        <v>1</v>
      </c>
    </row>
    <row r="34" spans="1:13" x14ac:dyDescent="0.3">
      <c r="A34" s="429"/>
      <c r="B34" s="390"/>
      <c r="C34" s="390"/>
      <c r="D34" s="397"/>
      <c r="E34" s="47"/>
      <c r="F34" s="47"/>
      <c r="G34" s="47"/>
      <c r="H34" s="47"/>
      <c r="I34" s="47"/>
      <c r="J34" s="47"/>
      <c r="K34" s="47"/>
      <c r="L34" s="47"/>
      <c r="M34" s="430"/>
    </row>
    <row r="35" spans="1:13" ht="26" x14ac:dyDescent="0.3">
      <c r="A35" s="429">
        <v>6</v>
      </c>
      <c r="B35" s="433" t="s">
        <v>230</v>
      </c>
      <c r="C35" s="433" t="s">
        <v>230</v>
      </c>
      <c r="D35" s="427" t="s">
        <v>111</v>
      </c>
      <c r="E35" s="47"/>
      <c r="F35" s="47"/>
      <c r="G35" s="47"/>
      <c r="H35" s="47"/>
      <c r="I35" s="47"/>
      <c r="J35" s="47"/>
      <c r="K35" s="47"/>
      <c r="L35" s="47">
        <v>2</v>
      </c>
      <c r="M35" s="428">
        <f>PRODUCT(I35:L35)</f>
        <v>2</v>
      </c>
    </row>
    <row r="36" spans="1:13" x14ac:dyDescent="0.3">
      <c r="A36" s="429"/>
      <c r="B36" s="390"/>
      <c r="C36" s="390"/>
      <c r="D36" s="397"/>
      <c r="E36" s="47"/>
      <c r="F36" s="47"/>
      <c r="G36" s="47"/>
      <c r="H36" s="47"/>
      <c r="I36" s="47"/>
      <c r="J36" s="47"/>
      <c r="K36" s="47"/>
      <c r="L36" s="47"/>
      <c r="M36" s="430"/>
    </row>
    <row r="37" spans="1:13" ht="26" x14ac:dyDescent="0.3">
      <c r="A37" s="429">
        <v>7</v>
      </c>
      <c r="B37" s="433" t="s">
        <v>229</v>
      </c>
      <c r="C37" s="433" t="s">
        <v>229</v>
      </c>
      <c r="D37" s="427" t="s">
        <v>111</v>
      </c>
      <c r="E37" s="47"/>
      <c r="F37" s="47"/>
      <c r="G37" s="47"/>
      <c r="H37" s="47"/>
      <c r="I37" s="47"/>
      <c r="J37" s="47"/>
      <c r="K37" s="47"/>
      <c r="L37" s="47">
        <v>1</v>
      </c>
      <c r="M37" s="428">
        <f>PRODUCT(I37:L37)</f>
        <v>1</v>
      </c>
    </row>
    <row r="38" spans="1:13" x14ac:dyDescent="0.3">
      <c r="A38" s="429"/>
      <c r="B38" s="390"/>
      <c r="C38" s="390"/>
      <c r="D38" s="397"/>
      <c r="E38" s="47"/>
      <c r="F38" s="47"/>
      <c r="G38" s="47"/>
      <c r="H38" s="47"/>
      <c r="I38" s="47"/>
      <c r="J38" s="47"/>
      <c r="K38" s="47"/>
      <c r="L38" s="47"/>
      <c r="M38" s="437"/>
    </row>
    <row r="39" spans="1:13" x14ac:dyDescent="0.3">
      <c r="A39" s="429"/>
      <c r="B39" s="390"/>
      <c r="C39" s="390"/>
      <c r="D39" s="397"/>
      <c r="E39" s="47"/>
      <c r="F39" s="47"/>
      <c r="G39" s="47"/>
      <c r="H39" s="47"/>
      <c r="I39" s="47"/>
      <c r="J39" s="47"/>
      <c r="K39" s="47"/>
      <c r="L39" s="47"/>
      <c r="M39" s="437"/>
    </row>
    <row r="40" spans="1:13" x14ac:dyDescent="0.3">
      <c r="A40" s="425">
        <v>8</v>
      </c>
      <c r="B40" s="433" t="s">
        <v>113</v>
      </c>
      <c r="C40" s="433" t="s">
        <v>113</v>
      </c>
      <c r="D40" s="438" t="s">
        <v>679</v>
      </c>
      <c r="E40" s="47"/>
      <c r="F40" s="47"/>
      <c r="G40" s="47"/>
      <c r="H40" s="47"/>
      <c r="I40" s="47"/>
      <c r="J40" s="47"/>
      <c r="K40" s="47"/>
      <c r="L40" s="47"/>
      <c r="M40" s="439"/>
    </row>
    <row r="41" spans="1:13" x14ac:dyDescent="0.3">
      <c r="A41" s="429"/>
      <c r="B41" s="433"/>
      <c r="C41" s="440" t="s">
        <v>751</v>
      </c>
      <c r="D41" s="441" t="s">
        <v>679</v>
      </c>
      <c r="E41" s="47">
        <v>3000</v>
      </c>
      <c r="F41" s="47"/>
      <c r="G41" s="47">
        <v>1800</v>
      </c>
      <c r="H41" s="47"/>
      <c r="I41" s="47">
        <f t="shared" ref="I41:K43" si="2">E41/304.8</f>
        <v>9.8425196850393704</v>
      </c>
      <c r="J41" s="47">
        <f t="shared" si="2"/>
        <v>0</v>
      </c>
      <c r="K41" s="47">
        <f t="shared" si="2"/>
        <v>5.9055118110236222</v>
      </c>
      <c r="L41" s="47">
        <v>1</v>
      </c>
      <c r="M41" s="437">
        <f>L41*K41*I41</f>
        <v>58.125116250232502</v>
      </c>
    </row>
    <row r="42" spans="1:13" x14ac:dyDescent="0.3">
      <c r="A42" s="429"/>
      <c r="B42" s="390"/>
      <c r="C42" s="390" t="s">
        <v>752</v>
      </c>
      <c r="D42" s="441" t="s">
        <v>679</v>
      </c>
      <c r="E42" s="47">
        <v>4800</v>
      </c>
      <c r="F42" s="47"/>
      <c r="G42" s="47">
        <v>2400</v>
      </c>
      <c r="H42" s="47"/>
      <c r="I42" s="47">
        <f t="shared" si="2"/>
        <v>15.748031496062991</v>
      </c>
      <c r="J42" s="47">
        <f t="shared" si="2"/>
        <v>0</v>
      </c>
      <c r="K42" s="47">
        <f t="shared" si="2"/>
        <v>7.8740157480314954</v>
      </c>
      <c r="L42" s="47">
        <v>1</v>
      </c>
      <c r="M42" s="437">
        <f t="shared" ref="M42" si="3">L42*K42*I42</f>
        <v>124.00024800049599</v>
      </c>
    </row>
    <row r="43" spans="1:13" x14ac:dyDescent="0.3">
      <c r="A43" s="429"/>
      <c r="B43" s="390"/>
      <c r="C43" s="390"/>
      <c r="D43" s="441" t="s">
        <v>679</v>
      </c>
      <c r="E43" s="47"/>
      <c r="F43" s="47"/>
      <c r="G43" s="47"/>
      <c r="H43" s="47"/>
      <c r="I43" s="47">
        <f t="shared" si="2"/>
        <v>0</v>
      </c>
      <c r="J43" s="47">
        <f t="shared" si="2"/>
        <v>0</v>
      </c>
      <c r="K43" s="47"/>
      <c r="L43" s="47"/>
      <c r="M43" s="437">
        <f>L43*J43*I43</f>
        <v>0</v>
      </c>
    </row>
    <row r="44" spans="1:13" x14ac:dyDescent="0.3">
      <c r="A44" s="429"/>
      <c r="B44" s="390"/>
      <c r="C44" s="390"/>
      <c r="D44" s="397"/>
      <c r="E44" s="47"/>
      <c r="F44" s="47"/>
      <c r="G44" s="47"/>
      <c r="H44" s="47"/>
      <c r="I44" s="47"/>
      <c r="J44" s="47"/>
      <c r="K44" s="47"/>
      <c r="L44" s="47"/>
      <c r="M44" s="439"/>
    </row>
    <row r="45" spans="1:13" x14ac:dyDescent="0.3">
      <c r="A45" s="429"/>
      <c r="B45" s="390"/>
      <c r="C45" s="392" t="s">
        <v>684</v>
      </c>
      <c r="D45" s="438" t="s">
        <v>679</v>
      </c>
      <c r="E45" s="47"/>
      <c r="F45" s="47"/>
      <c r="G45" s="47"/>
      <c r="H45" s="47"/>
      <c r="I45" s="47"/>
      <c r="J45" s="47"/>
      <c r="K45" s="47"/>
      <c r="L45" s="47"/>
      <c r="M45" s="458">
        <f>SUM(M41:M43)</f>
        <v>182.1253642507285</v>
      </c>
    </row>
    <row r="46" spans="1:13" x14ac:dyDescent="0.3">
      <c r="A46" s="442"/>
      <c r="B46" s="390"/>
      <c r="C46" s="392"/>
      <c r="D46" s="443"/>
      <c r="E46" s="444"/>
      <c r="F46" s="444"/>
      <c r="G46" s="444"/>
      <c r="H46" s="444"/>
      <c r="I46" s="444"/>
      <c r="J46" s="444"/>
      <c r="K46" s="444"/>
      <c r="L46" s="444"/>
      <c r="M46" s="445"/>
    </row>
    <row r="47" spans="1:13" ht="91" x14ac:dyDescent="0.3">
      <c r="A47" s="429">
        <v>9</v>
      </c>
      <c r="B47" s="433" t="s">
        <v>137</v>
      </c>
      <c r="C47" s="446" t="s">
        <v>216</v>
      </c>
      <c r="D47" s="397"/>
      <c r="E47" s="47"/>
      <c r="F47" s="47"/>
      <c r="G47" s="47"/>
      <c r="H47" s="47"/>
      <c r="I47" s="47"/>
      <c r="J47" s="47"/>
      <c r="K47" s="47"/>
      <c r="L47" s="47"/>
      <c r="M47" s="439"/>
    </row>
    <row r="48" spans="1:13" x14ac:dyDescent="0.3">
      <c r="A48" s="429"/>
      <c r="B48" s="433"/>
      <c r="C48" s="446" t="s">
        <v>753</v>
      </c>
      <c r="D48" s="441" t="s">
        <v>679</v>
      </c>
      <c r="E48" s="47">
        <v>3000</v>
      </c>
      <c r="F48" s="47"/>
      <c r="G48" s="47">
        <v>1100</v>
      </c>
      <c r="H48" s="47"/>
      <c r="I48" s="47">
        <f t="shared" ref="I48:K51" si="4">E48/304.8</f>
        <v>9.8425196850393704</v>
      </c>
      <c r="J48" s="47">
        <f t="shared" si="4"/>
        <v>0</v>
      </c>
      <c r="K48" s="47">
        <f t="shared" si="4"/>
        <v>3.6089238845144354</v>
      </c>
      <c r="L48" s="47">
        <v>1</v>
      </c>
      <c r="M48" s="437">
        <f t="shared" ref="M48:M51" si="5">L48*K48*I48</f>
        <v>35.520904375142081</v>
      </c>
    </row>
    <row r="49" spans="1:13" x14ac:dyDescent="0.3">
      <c r="A49" s="429"/>
      <c r="B49" s="390"/>
      <c r="C49" s="390"/>
      <c r="D49" s="441" t="s">
        <v>679</v>
      </c>
      <c r="E49" s="47">
        <v>250</v>
      </c>
      <c r="F49" s="47"/>
      <c r="G49" s="47">
        <v>1100</v>
      </c>
      <c r="H49" s="47"/>
      <c r="I49" s="47">
        <f t="shared" si="4"/>
        <v>0.82020997375328086</v>
      </c>
      <c r="J49" s="47">
        <f t="shared" si="4"/>
        <v>0</v>
      </c>
      <c r="K49" s="47">
        <f t="shared" si="4"/>
        <v>3.6089238845144354</v>
      </c>
      <c r="L49" s="47">
        <v>1</v>
      </c>
      <c r="M49" s="437">
        <f t="shared" si="5"/>
        <v>2.9600753645951734</v>
      </c>
    </row>
    <row r="50" spans="1:13" x14ac:dyDescent="0.3">
      <c r="A50" s="429"/>
      <c r="B50" s="390"/>
      <c r="C50" s="390"/>
      <c r="D50" s="441" t="s">
        <v>679</v>
      </c>
      <c r="E50" s="47">
        <v>14940</v>
      </c>
      <c r="F50" s="47"/>
      <c r="G50" s="47">
        <v>1100</v>
      </c>
      <c r="H50" s="47"/>
      <c r="I50" s="47">
        <f t="shared" si="4"/>
        <v>49.015748031496059</v>
      </c>
      <c r="J50" s="47">
        <f t="shared" si="4"/>
        <v>0</v>
      </c>
      <c r="K50" s="47">
        <f t="shared" si="4"/>
        <v>3.6089238845144354</v>
      </c>
      <c r="L50" s="47">
        <v>1</v>
      </c>
      <c r="M50" s="437">
        <f t="shared" si="5"/>
        <v>176.89410378820756</v>
      </c>
    </row>
    <row r="51" spans="1:13" x14ac:dyDescent="0.3">
      <c r="A51" s="429"/>
      <c r="B51" s="390"/>
      <c r="C51" s="390"/>
      <c r="D51" s="441" t="s">
        <v>679</v>
      </c>
      <c r="E51" s="47">
        <v>10600</v>
      </c>
      <c r="F51" s="47"/>
      <c r="G51" s="47">
        <v>1100</v>
      </c>
      <c r="H51" s="47"/>
      <c r="I51" s="47">
        <f t="shared" si="4"/>
        <v>34.776902887139109</v>
      </c>
      <c r="J51" s="47">
        <f t="shared" si="4"/>
        <v>0</v>
      </c>
      <c r="K51" s="47">
        <f t="shared" si="4"/>
        <v>3.6089238845144354</v>
      </c>
      <c r="L51" s="47">
        <v>1</v>
      </c>
      <c r="M51" s="437">
        <f t="shared" si="5"/>
        <v>125.50719545883535</v>
      </c>
    </row>
    <row r="52" spans="1:13" x14ac:dyDescent="0.3">
      <c r="A52" s="429"/>
      <c r="B52" s="390"/>
      <c r="C52" s="390"/>
      <c r="D52" s="441"/>
      <c r="E52" s="47"/>
      <c r="F52" s="47"/>
      <c r="G52" s="47"/>
      <c r="H52" s="47"/>
      <c r="I52" s="47"/>
      <c r="J52" s="47"/>
      <c r="K52" s="47"/>
      <c r="L52" s="47"/>
      <c r="M52" s="437"/>
    </row>
    <row r="53" spans="1:13" x14ac:dyDescent="0.3">
      <c r="A53" s="429"/>
      <c r="B53" s="390"/>
      <c r="C53" s="392" t="s">
        <v>684</v>
      </c>
      <c r="D53" s="438" t="s">
        <v>679</v>
      </c>
      <c r="E53" s="47"/>
      <c r="F53" s="47"/>
      <c r="G53" s="47"/>
      <c r="H53" s="47"/>
      <c r="I53" s="47"/>
      <c r="J53" s="47"/>
      <c r="K53" s="47"/>
      <c r="L53" s="47"/>
      <c r="M53" s="458">
        <f>SUM(M48:M51)</f>
        <v>340.88227898678019</v>
      </c>
    </row>
    <row r="54" spans="1:13" x14ac:dyDescent="0.3">
      <c r="A54" s="442"/>
      <c r="B54" s="390"/>
      <c r="C54" s="392"/>
      <c r="D54" s="443"/>
      <c r="E54" s="444"/>
      <c r="F54" s="444"/>
      <c r="G54" s="444"/>
      <c r="H54" s="444"/>
      <c r="I54" s="444"/>
      <c r="J54" s="444"/>
      <c r="K54" s="444"/>
      <c r="L54" s="444"/>
      <c r="M54" s="445"/>
    </row>
    <row r="55" spans="1:13" ht="91" x14ac:dyDescent="0.3">
      <c r="A55" s="429">
        <v>10</v>
      </c>
      <c r="B55" s="426" t="s">
        <v>138</v>
      </c>
      <c r="C55" s="446" t="s">
        <v>217</v>
      </c>
      <c r="D55" s="397"/>
      <c r="E55" s="47"/>
      <c r="F55" s="47"/>
      <c r="G55" s="47"/>
      <c r="H55" s="47"/>
      <c r="I55" s="47"/>
      <c r="J55" s="47"/>
      <c r="K55" s="47"/>
      <c r="L55" s="47"/>
      <c r="M55" s="439"/>
    </row>
    <row r="56" spans="1:13" x14ac:dyDescent="0.3">
      <c r="A56" s="429"/>
      <c r="B56" s="390"/>
      <c r="C56" s="390" t="s">
        <v>754</v>
      </c>
      <c r="D56" s="441" t="s">
        <v>679</v>
      </c>
      <c r="E56" s="47">
        <v>3360</v>
      </c>
      <c r="F56" s="47"/>
      <c r="G56" s="47">
        <v>3730</v>
      </c>
      <c r="H56" s="47"/>
      <c r="I56" s="47">
        <f t="shared" ref="I56:K59" si="6">E56/304.8</f>
        <v>11.023622047244094</v>
      </c>
      <c r="J56" s="47">
        <f t="shared" si="6"/>
        <v>0</v>
      </c>
      <c r="K56" s="47">
        <f t="shared" si="6"/>
        <v>12.237532808398949</v>
      </c>
      <c r="L56" s="47">
        <v>1</v>
      </c>
      <c r="M56" s="437">
        <f t="shared" ref="M56:M59" si="7">L56*K56*I56</f>
        <v>134.9019364705396</v>
      </c>
    </row>
    <row r="57" spans="1:13" x14ac:dyDescent="0.3">
      <c r="A57" s="429"/>
      <c r="B57" s="390"/>
      <c r="C57" s="390"/>
      <c r="D57" s="441" t="s">
        <v>679</v>
      </c>
      <c r="E57" s="47">
        <v>2650</v>
      </c>
      <c r="F57" s="47"/>
      <c r="G57" s="47">
        <v>3730</v>
      </c>
      <c r="H57" s="47"/>
      <c r="I57" s="47">
        <f t="shared" si="6"/>
        <v>8.6942257217847771</v>
      </c>
      <c r="J57" s="47">
        <f t="shared" si="6"/>
        <v>0</v>
      </c>
      <c r="K57" s="47">
        <f t="shared" si="6"/>
        <v>12.237532808398949</v>
      </c>
      <c r="L57" s="47">
        <v>1</v>
      </c>
      <c r="M57" s="437">
        <f t="shared" si="7"/>
        <v>106.39587251396725</v>
      </c>
    </row>
    <row r="58" spans="1:13" x14ac:dyDescent="0.3">
      <c r="A58" s="429"/>
      <c r="B58" s="390"/>
      <c r="C58" s="390" t="s">
        <v>755</v>
      </c>
      <c r="D58" s="441" t="s">
        <v>679</v>
      </c>
      <c r="E58" s="47">
        <v>3360</v>
      </c>
      <c r="F58" s="47"/>
      <c r="G58" s="47">
        <v>1840</v>
      </c>
      <c r="H58" s="47"/>
      <c r="I58" s="47">
        <f t="shared" si="6"/>
        <v>11.023622047244094</v>
      </c>
      <c r="J58" s="47">
        <f t="shared" si="6"/>
        <v>0</v>
      </c>
      <c r="K58" s="47">
        <f t="shared" si="6"/>
        <v>6.0367454068241466</v>
      </c>
      <c r="L58" s="47">
        <v>-1</v>
      </c>
      <c r="M58" s="437">
        <f t="shared" si="7"/>
        <v>-66.546799760266182</v>
      </c>
    </row>
    <row r="59" spans="1:13" x14ac:dyDescent="0.3">
      <c r="A59" s="429"/>
      <c r="B59" s="390"/>
      <c r="C59" s="390"/>
      <c r="D59" s="441" t="s">
        <v>679</v>
      </c>
      <c r="E59" s="47">
        <v>2650</v>
      </c>
      <c r="F59" s="47"/>
      <c r="G59" s="47">
        <v>1840</v>
      </c>
      <c r="H59" s="47"/>
      <c r="I59" s="47">
        <f t="shared" si="6"/>
        <v>8.6942257217847771</v>
      </c>
      <c r="J59" s="47">
        <f t="shared" si="6"/>
        <v>0</v>
      </c>
      <c r="K59" s="47">
        <f t="shared" si="6"/>
        <v>6.0367454068241466</v>
      </c>
      <c r="L59" s="47">
        <v>-1</v>
      </c>
      <c r="M59" s="437">
        <f t="shared" si="7"/>
        <v>-52.484827191876605</v>
      </c>
    </row>
    <row r="60" spans="1:13" x14ac:dyDescent="0.3">
      <c r="A60" s="429"/>
      <c r="B60" s="390"/>
      <c r="C60" s="390"/>
      <c r="D60" s="397"/>
      <c r="E60" s="47"/>
      <c r="F60" s="47"/>
      <c r="G60" s="47"/>
      <c r="H60" s="47"/>
      <c r="I60" s="47"/>
      <c r="J60" s="47"/>
      <c r="K60" s="47"/>
      <c r="L60" s="47"/>
      <c r="M60" s="439"/>
    </row>
    <row r="61" spans="1:13" x14ac:dyDescent="0.3">
      <c r="A61" s="429"/>
      <c r="B61" s="390"/>
      <c r="C61" s="392" t="s">
        <v>684</v>
      </c>
      <c r="D61" s="438" t="s">
        <v>679</v>
      </c>
      <c r="E61" s="47"/>
      <c r="F61" s="47"/>
      <c r="G61" s="47"/>
      <c r="H61" s="47"/>
      <c r="I61" s="47"/>
      <c r="J61" s="47"/>
      <c r="K61" s="47"/>
      <c r="L61" s="47"/>
      <c r="M61" s="458">
        <f>SUM(M56:M59)</f>
        <v>122.26618203236404</v>
      </c>
    </row>
    <row r="62" spans="1:13" x14ac:dyDescent="0.3">
      <c r="A62" s="442"/>
      <c r="B62" s="390"/>
      <c r="C62" s="392"/>
      <c r="D62" s="443"/>
      <c r="E62" s="444"/>
      <c r="F62" s="444"/>
      <c r="G62" s="444"/>
      <c r="H62" s="444"/>
      <c r="I62" s="444"/>
      <c r="J62" s="444"/>
      <c r="K62" s="444"/>
      <c r="L62" s="444"/>
      <c r="M62" s="445"/>
    </row>
    <row r="63" spans="1:13" ht="65" x14ac:dyDescent="0.3">
      <c r="A63" s="429"/>
      <c r="B63" s="426" t="s">
        <v>116</v>
      </c>
      <c r="C63" s="440" t="s">
        <v>117</v>
      </c>
      <c r="D63" s="397"/>
      <c r="E63" s="47"/>
      <c r="F63" s="47"/>
      <c r="G63" s="47"/>
      <c r="H63" s="47"/>
      <c r="I63" s="47"/>
      <c r="J63" s="47"/>
      <c r="K63" s="47"/>
      <c r="L63" s="47"/>
      <c r="M63" s="439"/>
    </row>
    <row r="64" spans="1:13" x14ac:dyDescent="0.3">
      <c r="A64" s="429"/>
      <c r="B64" s="426" t="s">
        <v>1</v>
      </c>
      <c r="C64" s="440" t="s">
        <v>118</v>
      </c>
      <c r="D64" s="441" t="s">
        <v>679</v>
      </c>
      <c r="E64" s="47">
        <v>10090</v>
      </c>
      <c r="F64" s="47"/>
      <c r="G64" s="47">
        <v>1410</v>
      </c>
      <c r="H64" s="47"/>
      <c r="I64" s="47">
        <f t="shared" ref="I64:K68" si="8">E64/304.8</f>
        <v>33.103674540682412</v>
      </c>
      <c r="J64" s="47">
        <f t="shared" si="8"/>
        <v>0</v>
      </c>
      <c r="K64" s="47">
        <f t="shared" si="8"/>
        <v>4.6259842519685037</v>
      </c>
      <c r="L64" s="47">
        <v>1</v>
      </c>
      <c r="M64" s="437">
        <f t="shared" ref="M64:M68" si="9">L64*K64*I64</f>
        <v>153.13707710748753</v>
      </c>
    </row>
    <row r="65" spans="1:13" x14ac:dyDescent="0.3">
      <c r="A65" s="429"/>
      <c r="B65" s="390"/>
      <c r="C65" s="390" t="s">
        <v>743</v>
      </c>
      <c r="D65" s="441" t="s">
        <v>679</v>
      </c>
      <c r="E65" s="47">
        <v>10000</v>
      </c>
      <c r="F65" s="47"/>
      <c r="G65" s="47">
        <v>450</v>
      </c>
      <c r="H65" s="47"/>
      <c r="I65" s="47">
        <f t="shared" si="8"/>
        <v>32.808398950131235</v>
      </c>
      <c r="J65" s="47">
        <f t="shared" si="8"/>
        <v>0</v>
      </c>
      <c r="K65" s="47">
        <f t="shared" si="8"/>
        <v>1.4763779527559056</v>
      </c>
      <c r="L65" s="47">
        <v>2</v>
      </c>
      <c r="M65" s="437">
        <f t="shared" si="9"/>
        <v>96.87519375038751</v>
      </c>
    </row>
    <row r="66" spans="1:13" x14ac:dyDescent="0.3">
      <c r="A66" s="429"/>
      <c r="B66" s="390"/>
      <c r="C66" s="390"/>
      <c r="D66" s="441" t="s">
        <v>679</v>
      </c>
      <c r="E66" s="47">
        <v>1200</v>
      </c>
      <c r="F66" s="47"/>
      <c r="G66" s="47">
        <v>450</v>
      </c>
      <c r="H66" s="47"/>
      <c r="I66" s="47">
        <f t="shared" si="8"/>
        <v>3.9370078740157477</v>
      </c>
      <c r="J66" s="47">
        <f t="shared" si="8"/>
        <v>0</v>
      </c>
      <c r="K66" s="47">
        <f t="shared" si="8"/>
        <v>1.4763779527559056</v>
      </c>
      <c r="L66" s="47">
        <v>2</v>
      </c>
      <c r="M66" s="437">
        <f t="shared" si="9"/>
        <v>11.6250232500465</v>
      </c>
    </row>
    <row r="67" spans="1:13" x14ac:dyDescent="0.3">
      <c r="A67" s="429"/>
      <c r="B67" s="390"/>
      <c r="C67" s="390"/>
      <c r="D67" s="441" t="s">
        <v>679</v>
      </c>
      <c r="E67" s="47"/>
      <c r="F67" s="47"/>
      <c r="G67" s="47"/>
      <c r="H67" s="47"/>
      <c r="I67" s="47">
        <f t="shared" si="8"/>
        <v>0</v>
      </c>
      <c r="J67" s="47">
        <f t="shared" si="8"/>
        <v>0</v>
      </c>
      <c r="K67" s="47">
        <f t="shared" si="8"/>
        <v>0</v>
      </c>
      <c r="L67" s="47"/>
      <c r="M67" s="437">
        <f t="shared" si="9"/>
        <v>0</v>
      </c>
    </row>
    <row r="68" spans="1:13" x14ac:dyDescent="0.3">
      <c r="A68" s="429"/>
      <c r="B68" s="390"/>
      <c r="C68" s="390"/>
      <c r="D68" s="441" t="s">
        <v>679</v>
      </c>
      <c r="E68" s="47"/>
      <c r="F68" s="47"/>
      <c r="G68" s="47"/>
      <c r="H68" s="47"/>
      <c r="I68" s="47">
        <f t="shared" si="8"/>
        <v>0</v>
      </c>
      <c r="J68" s="47">
        <f t="shared" si="8"/>
        <v>0</v>
      </c>
      <c r="K68" s="47">
        <f t="shared" si="8"/>
        <v>0</v>
      </c>
      <c r="L68" s="47"/>
      <c r="M68" s="437">
        <f t="shared" si="9"/>
        <v>0</v>
      </c>
    </row>
    <row r="69" spans="1:13" x14ac:dyDescent="0.3">
      <c r="A69" s="429"/>
      <c r="B69" s="390"/>
      <c r="C69" s="390"/>
      <c r="D69" s="397"/>
      <c r="E69" s="47"/>
      <c r="F69" s="47"/>
      <c r="G69" s="47"/>
      <c r="H69" s="47"/>
      <c r="I69" s="47"/>
      <c r="J69" s="47"/>
      <c r="K69" s="47"/>
      <c r="L69" s="47"/>
      <c r="M69" s="439"/>
    </row>
    <row r="70" spans="1:13" x14ac:dyDescent="0.3">
      <c r="A70" s="429"/>
      <c r="B70" s="390"/>
      <c r="C70" s="392" t="s">
        <v>684</v>
      </c>
      <c r="D70" s="438" t="s">
        <v>679</v>
      </c>
      <c r="E70" s="47"/>
      <c r="F70" s="47"/>
      <c r="G70" s="47"/>
      <c r="H70" s="47"/>
      <c r="I70" s="47"/>
      <c r="J70" s="47"/>
      <c r="K70" s="47"/>
      <c r="L70" s="47"/>
      <c r="M70" s="458">
        <f>SUM(M64:M68)</f>
        <v>261.63729410792155</v>
      </c>
    </row>
    <row r="71" spans="1:13" x14ac:dyDescent="0.3">
      <c r="A71" s="429"/>
      <c r="B71" s="390"/>
      <c r="C71" s="390"/>
      <c r="D71" s="397"/>
      <c r="E71" s="47"/>
      <c r="F71" s="47"/>
      <c r="G71" s="47"/>
      <c r="H71" s="47"/>
      <c r="I71" s="47"/>
      <c r="J71" s="47"/>
      <c r="K71" s="47"/>
      <c r="L71" s="47"/>
      <c r="M71" s="439"/>
    </row>
    <row r="72" spans="1:13" ht="24" x14ac:dyDescent="0.3">
      <c r="A72" s="429" t="s">
        <v>2</v>
      </c>
      <c r="B72" s="127"/>
      <c r="C72" s="126" t="s">
        <v>119</v>
      </c>
      <c r="D72" s="397" t="s">
        <v>95</v>
      </c>
      <c r="E72" s="47"/>
      <c r="F72" s="47"/>
      <c r="G72" s="47"/>
      <c r="H72" s="47"/>
      <c r="I72" s="47"/>
      <c r="J72" s="47"/>
      <c r="K72" s="47"/>
      <c r="L72" s="47">
        <v>10</v>
      </c>
      <c r="M72" s="428">
        <f>PRODUCT(I72:L72)</f>
        <v>10</v>
      </c>
    </row>
    <row r="73" spans="1:13" x14ac:dyDescent="0.3">
      <c r="A73" s="429"/>
      <c r="B73" s="390"/>
      <c r="C73" s="390"/>
      <c r="D73" s="397"/>
      <c r="E73" s="47"/>
      <c r="F73" s="47"/>
      <c r="G73" s="47"/>
      <c r="H73" s="47"/>
      <c r="I73" s="47"/>
      <c r="J73" s="47"/>
      <c r="K73" s="47"/>
      <c r="L73" s="47"/>
      <c r="M73" s="439"/>
    </row>
    <row r="74" spans="1:13" ht="78" x14ac:dyDescent="0.3">
      <c r="A74" s="429">
        <v>12</v>
      </c>
      <c r="B74" s="426" t="s">
        <v>211</v>
      </c>
      <c r="C74" s="447" t="s">
        <v>212</v>
      </c>
      <c r="D74" s="397"/>
      <c r="E74" s="47"/>
      <c r="F74" s="47"/>
      <c r="G74" s="47"/>
      <c r="H74" s="47"/>
      <c r="I74" s="47"/>
      <c r="J74" s="47"/>
      <c r="K74" s="47"/>
      <c r="L74" s="47"/>
      <c r="M74" s="439"/>
    </row>
    <row r="75" spans="1:13" x14ac:dyDescent="0.3">
      <c r="A75" s="429"/>
      <c r="B75" s="390"/>
      <c r="C75" s="390" t="s">
        <v>754</v>
      </c>
      <c r="D75" s="441" t="s">
        <v>679</v>
      </c>
      <c r="E75" s="47"/>
      <c r="F75" s="47"/>
      <c r="G75" s="47"/>
      <c r="H75" s="47"/>
      <c r="I75" s="47">
        <f t="shared" ref="I75:K78" si="10">E75/304.8</f>
        <v>0</v>
      </c>
      <c r="J75" s="47">
        <f t="shared" si="10"/>
        <v>0</v>
      </c>
      <c r="K75" s="47">
        <f t="shared" si="10"/>
        <v>0</v>
      </c>
      <c r="L75" s="47"/>
      <c r="M75" s="437">
        <f t="shared" ref="M75:M78" si="11">L75*K75*I75</f>
        <v>0</v>
      </c>
    </row>
    <row r="76" spans="1:13" x14ac:dyDescent="0.3">
      <c r="A76" s="429"/>
      <c r="B76" s="390"/>
      <c r="C76" s="390"/>
      <c r="D76" s="441" t="s">
        <v>679</v>
      </c>
      <c r="E76" s="47"/>
      <c r="F76" s="47"/>
      <c r="G76" s="47"/>
      <c r="H76" s="47"/>
      <c r="I76" s="47">
        <f t="shared" si="10"/>
        <v>0</v>
      </c>
      <c r="J76" s="47">
        <f t="shared" si="10"/>
        <v>0</v>
      </c>
      <c r="K76" s="47">
        <f t="shared" si="10"/>
        <v>0</v>
      </c>
      <c r="L76" s="47"/>
      <c r="M76" s="437">
        <f t="shared" si="11"/>
        <v>0</v>
      </c>
    </row>
    <row r="77" spans="1:13" x14ac:dyDescent="0.3">
      <c r="A77" s="429"/>
      <c r="B77" s="390"/>
      <c r="C77" s="390" t="s">
        <v>755</v>
      </c>
      <c r="D77" s="441" t="s">
        <v>679</v>
      </c>
      <c r="E77" s="47"/>
      <c r="F77" s="47"/>
      <c r="G77" s="47"/>
      <c r="H77" s="47"/>
      <c r="I77" s="47">
        <f t="shared" si="10"/>
        <v>0</v>
      </c>
      <c r="J77" s="47">
        <f t="shared" si="10"/>
        <v>0</v>
      </c>
      <c r="K77" s="47">
        <f t="shared" si="10"/>
        <v>0</v>
      </c>
      <c r="L77" s="47"/>
      <c r="M77" s="437">
        <f t="shared" si="11"/>
        <v>0</v>
      </c>
    </row>
    <row r="78" spans="1:13" x14ac:dyDescent="0.3">
      <c r="A78" s="429"/>
      <c r="B78" s="390"/>
      <c r="C78" s="390"/>
      <c r="D78" s="441" t="s">
        <v>679</v>
      </c>
      <c r="E78" s="47"/>
      <c r="F78" s="47"/>
      <c r="G78" s="47"/>
      <c r="H78" s="47"/>
      <c r="I78" s="47">
        <f t="shared" si="10"/>
        <v>0</v>
      </c>
      <c r="J78" s="47">
        <f t="shared" si="10"/>
        <v>0</v>
      </c>
      <c r="K78" s="47">
        <f t="shared" si="10"/>
        <v>0</v>
      </c>
      <c r="L78" s="47"/>
      <c r="M78" s="437">
        <f t="shared" si="11"/>
        <v>0</v>
      </c>
    </row>
    <row r="79" spans="1:13" x14ac:dyDescent="0.3">
      <c r="A79" s="429"/>
      <c r="B79" s="390"/>
      <c r="C79" s="390"/>
      <c r="D79" s="441"/>
      <c r="E79" s="47"/>
      <c r="F79" s="47"/>
      <c r="G79" s="47"/>
      <c r="H79" s="47"/>
      <c r="I79" s="47"/>
      <c r="J79" s="47"/>
      <c r="K79" s="47"/>
      <c r="L79" s="47"/>
      <c r="M79" s="437"/>
    </row>
    <row r="80" spans="1:13" x14ac:dyDescent="0.3">
      <c r="A80" s="429"/>
      <c r="B80" s="390"/>
      <c r="C80" s="392" t="s">
        <v>684</v>
      </c>
      <c r="D80" s="438" t="s">
        <v>679</v>
      </c>
      <c r="E80" s="47"/>
      <c r="F80" s="47"/>
      <c r="G80" s="47"/>
      <c r="H80" s="47"/>
      <c r="I80" s="47"/>
      <c r="J80" s="47"/>
      <c r="K80" s="47"/>
      <c r="L80" s="47"/>
      <c r="M80" s="458">
        <f>SUM(M75:M78)</f>
        <v>0</v>
      </c>
    </row>
    <row r="81" spans="1:13" x14ac:dyDescent="0.3">
      <c r="A81" s="429"/>
      <c r="B81" s="390"/>
      <c r="C81" s="390"/>
      <c r="D81" s="397"/>
      <c r="E81" s="47"/>
      <c r="F81" s="47"/>
      <c r="G81" s="47"/>
      <c r="H81" s="47"/>
      <c r="I81" s="47"/>
      <c r="J81" s="47"/>
      <c r="K81" s="47"/>
      <c r="L81" s="47"/>
      <c r="M81" s="439"/>
    </row>
    <row r="82" spans="1:13" ht="78" x14ac:dyDescent="0.3">
      <c r="A82" s="429">
        <v>13</v>
      </c>
      <c r="B82" s="433" t="s">
        <v>298</v>
      </c>
      <c r="C82" s="440" t="s">
        <v>299</v>
      </c>
      <c r="D82" s="448"/>
      <c r="E82" s="449"/>
      <c r="F82" s="449"/>
      <c r="G82" s="449"/>
      <c r="H82" s="450"/>
      <c r="I82" s="450"/>
      <c r="J82" s="450"/>
      <c r="K82" s="450"/>
      <c r="L82" s="47"/>
      <c r="M82" s="439"/>
    </row>
    <row r="83" spans="1:13" x14ac:dyDescent="0.3">
      <c r="A83" s="429"/>
      <c r="B83" s="390"/>
      <c r="C83" s="390" t="s">
        <v>313</v>
      </c>
      <c r="D83" s="441" t="s">
        <v>679</v>
      </c>
      <c r="E83" s="47">
        <v>3530</v>
      </c>
      <c r="F83" s="47">
        <v>2440</v>
      </c>
      <c r="G83" s="47"/>
      <c r="H83" s="47"/>
      <c r="I83" s="47">
        <f t="shared" ref="I83:J84" si="12">E83/304.8</f>
        <v>11.581364829396325</v>
      </c>
      <c r="J83" s="47">
        <f t="shared" si="12"/>
        <v>8.0052493438320216</v>
      </c>
      <c r="K83" s="47"/>
      <c r="L83" s="47">
        <v>1</v>
      </c>
      <c r="M83" s="437">
        <f>L83*J83*I83</f>
        <v>92.711713201204176</v>
      </c>
    </row>
    <row r="84" spans="1:13" x14ac:dyDescent="0.3">
      <c r="A84" s="429"/>
      <c r="B84" s="390"/>
      <c r="C84" s="390"/>
      <c r="D84" s="441" t="s">
        <v>679</v>
      </c>
      <c r="E84" s="47"/>
      <c r="F84" s="47"/>
      <c r="G84" s="47"/>
      <c r="H84" s="47"/>
      <c r="I84" s="47">
        <f t="shared" si="12"/>
        <v>0</v>
      </c>
      <c r="J84" s="47">
        <f t="shared" si="12"/>
        <v>0</v>
      </c>
      <c r="K84" s="47"/>
      <c r="L84" s="47"/>
      <c r="M84" s="437">
        <f>L84*J84*I84</f>
        <v>0</v>
      </c>
    </row>
    <row r="85" spans="1:13" x14ac:dyDescent="0.3">
      <c r="A85" s="429"/>
      <c r="B85" s="390"/>
      <c r="C85" s="390"/>
      <c r="D85" s="397"/>
      <c r="E85" s="47"/>
      <c r="F85" s="47"/>
      <c r="G85" s="47"/>
      <c r="H85" s="47"/>
      <c r="I85" s="47"/>
      <c r="J85" s="47"/>
      <c r="K85" s="47"/>
      <c r="L85" s="47"/>
      <c r="M85" s="439"/>
    </row>
    <row r="86" spans="1:13" x14ac:dyDescent="0.3">
      <c r="A86" s="429"/>
      <c r="B86" s="390"/>
      <c r="C86" s="392" t="s">
        <v>684</v>
      </c>
      <c r="D86" s="438" t="s">
        <v>679</v>
      </c>
      <c r="E86" s="47"/>
      <c r="F86" s="47"/>
      <c r="G86" s="47"/>
      <c r="H86" s="47"/>
      <c r="I86" s="47"/>
      <c r="J86" s="47"/>
      <c r="K86" s="47"/>
      <c r="L86" s="47"/>
      <c r="M86" s="458">
        <f>SUM(M81:M84)</f>
        <v>92.711713201204176</v>
      </c>
    </row>
    <row r="87" spans="1:13" x14ac:dyDescent="0.3">
      <c r="A87" s="429"/>
      <c r="B87" s="390"/>
      <c r="C87" s="390"/>
      <c r="D87" s="397"/>
      <c r="E87" s="47"/>
      <c r="F87" s="47"/>
      <c r="G87" s="47"/>
      <c r="H87" s="47"/>
      <c r="I87" s="47"/>
      <c r="J87" s="47"/>
      <c r="K87" s="47"/>
      <c r="L87" s="47"/>
      <c r="M87" s="439"/>
    </row>
    <row r="88" spans="1:13" x14ac:dyDescent="0.3">
      <c r="A88" s="429"/>
      <c r="B88" s="390"/>
      <c r="C88" s="390"/>
      <c r="D88" s="397"/>
      <c r="E88" s="47"/>
      <c r="F88" s="47"/>
      <c r="G88" s="47"/>
      <c r="H88" s="47"/>
      <c r="I88" s="47"/>
      <c r="J88" s="47"/>
      <c r="K88" s="47"/>
      <c r="L88" s="47"/>
      <c r="M88" s="439"/>
    </row>
    <row r="89" spans="1:13" x14ac:dyDescent="0.3">
      <c r="A89" s="801" t="s">
        <v>120</v>
      </c>
      <c r="B89" s="802"/>
      <c r="C89" s="803"/>
      <c r="D89" s="397"/>
      <c r="E89" s="47"/>
      <c r="F89" s="47"/>
      <c r="G89" s="47"/>
      <c r="H89" s="47"/>
      <c r="I89" s="47"/>
      <c r="J89" s="47"/>
      <c r="K89" s="47"/>
      <c r="L89" s="47"/>
      <c r="M89" s="439"/>
    </row>
    <row r="90" spans="1:13" ht="104" x14ac:dyDescent="0.3">
      <c r="A90" s="429">
        <v>1</v>
      </c>
      <c r="B90" s="426" t="s">
        <v>121</v>
      </c>
      <c r="C90" s="426" t="s">
        <v>122</v>
      </c>
      <c r="D90" s="397"/>
      <c r="E90" s="47"/>
      <c r="F90" s="47"/>
      <c r="G90" s="47"/>
      <c r="H90" s="47"/>
      <c r="I90" s="47"/>
      <c r="J90" s="47"/>
      <c r="K90" s="47"/>
      <c r="L90" s="47"/>
      <c r="M90" s="439"/>
    </row>
    <row r="91" spans="1:13" x14ac:dyDescent="0.3">
      <c r="A91" s="429"/>
      <c r="B91" s="390"/>
      <c r="C91" s="390" t="s">
        <v>756</v>
      </c>
      <c r="D91" s="441" t="s">
        <v>679</v>
      </c>
      <c r="E91" s="47">
        <v>3360</v>
      </c>
      <c r="F91" s="47">
        <v>1840</v>
      </c>
      <c r="G91" s="47"/>
      <c r="H91" s="47"/>
      <c r="I91" s="47">
        <f t="shared" ref="I91:J92" si="13">E91/304.8</f>
        <v>11.023622047244094</v>
      </c>
      <c r="J91" s="47">
        <f t="shared" si="13"/>
        <v>6.0367454068241466</v>
      </c>
      <c r="K91" s="47"/>
      <c r="L91" s="47">
        <v>1</v>
      </c>
      <c r="M91" s="437">
        <f>L91*J91*I91</f>
        <v>66.546799760266182</v>
      </c>
    </row>
    <row r="92" spans="1:13" x14ac:dyDescent="0.3">
      <c r="A92" s="429"/>
      <c r="B92" s="390"/>
      <c r="C92" s="390"/>
      <c r="D92" s="441" t="s">
        <v>679</v>
      </c>
      <c r="E92" s="47">
        <v>2650</v>
      </c>
      <c r="F92" s="47">
        <v>1840</v>
      </c>
      <c r="G92" s="47"/>
      <c r="H92" s="47"/>
      <c r="I92" s="47">
        <f t="shared" si="13"/>
        <v>8.6942257217847771</v>
      </c>
      <c r="J92" s="47">
        <f t="shared" si="13"/>
        <v>6.0367454068241466</v>
      </c>
      <c r="K92" s="47"/>
      <c r="L92" s="47">
        <v>1</v>
      </c>
      <c r="M92" s="437">
        <f>L92*J92*I92</f>
        <v>52.484827191876605</v>
      </c>
    </row>
    <row r="93" spans="1:13" x14ac:dyDescent="0.3">
      <c r="A93" s="429"/>
      <c r="B93" s="390"/>
      <c r="C93" s="390"/>
      <c r="D93" s="397"/>
      <c r="E93" s="47"/>
      <c r="F93" s="47"/>
      <c r="G93" s="47"/>
      <c r="H93" s="47"/>
      <c r="I93" s="47"/>
      <c r="J93" s="47"/>
      <c r="K93" s="47"/>
      <c r="L93" s="47"/>
      <c r="M93" s="439"/>
    </row>
    <row r="94" spans="1:13" x14ac:dyDescent="0.3">
      <c r="A94" s="429"/>
      <c r="B94" s="390"/>
      <c r="C94" s="392" t="s">
        <v>684</v>
      </c>
      <c r="D94" s="438" t="s">
        <v>679</v>
      </c>
      <c r="E94" s="47"/>
      <c r="F94" s="47"/>
      <c r="G94" s="47"/>
      <c r="H94" s="47"/>
      <c r="I94" s="47"/>
      <c r="J94" s="47"/>
      <c r="K94" s="47"/>
      <c r="L94" s="47"/>
      <c r="M94" s="458">
        <f>SUM(M91:M92)</f>
        <v>119.03162695214279</v>
      </c>
    </row>
    <row r="95" spans="1:13" x14ac:dyDescent="0.3">
      <c r="A95" s="429"/>
      <c r="B95" s="390"/>
      <c r="C95" s="390"/>
      <c r="D95" s="397"/>
      <c r="E95" s="47"/>
      <c r="F95" s="47"/>
      <c r="G95" s="47"/>
      <c r="H95" s="47"/>
      <c r="I95" s="47"/>
      <c r="J95" s="47"/>
      <c r="K95" s="47"/>
      <c r="L95" s="47"/>
      <c r="M95" s="439"/>
    </row>
    <row r="96" spans="1:13" ht="48" x14ac:dyDescent="0.3">
      <c r="A96" s="134">
        <v>2</v>
      </c>
      <c r="B96" s="127" t="s">
        <v>177</v>
      </c>
      <c r="C96" s="126" t="s">
        <v>178</v>
      </c>
      <c r="D96" s="397"/>
      <c r="E96" s="47"/>
      <c r="F96" s="47"/>
      <c r="G96" s="47"/>
      <c r="H96" s="47"/>
      <c r="I96" s="47"/>
      <c r="J96" s="47"/>
      <c r="K96" s="47"/>
      <c r="L96" s="47"/>
      <c r="M96" s="439"/>
    </row>
    <row r="97" spans="1:13" x14ac:dyDescent="0.3">
      <c r="A97" s="135"/>
      <c r="B97" s="127"/>
      <c r="C97" s="126" t="s">
        <v>179</v>
      </c>
      <c r="D97" s="143" t="s">
        <v>111</v>
      </c>
      <c r="E97" s="47"/>
      <c r="F97" s="47"/>
      <c r="G97" s="47"/>
      <c r="H97" s="47"/>
      <c r="I97" s="47"/>
      <c r="J97" s="47"/>
      <c r="K97" s="47"/>
      <c r="L97" s="47">
        <v>1</v>
      </c>
      <c r="M97" s="428">
        <f>PRODUCT(I97:L97)</f>
        <v>1</v>
      </c>
    </row>
    <row r="98" spans="1:13" x14ac:dyDescent="0.3">
      <c r="A98" s="135"/>
      <c r="B98" s="127"/>
      <c r="C98" s="127" t="s">
        <v>307</v>
      </c>
      <c r="D98" s="397"/>
      <c r="E98" s="47"/>
      <c r="F98" s="47"/>
      <c r="G98" s="47"/>
      <c r="H98" s="47"/>
      <c r="I98" s="47"/>
      <c r="J98" s="47"/>
      <c r="K98" s="47"/>
      <c r="L98" s="47"/>
      <c r="M98" s="439"/>
    </row>
    <row r="99" spans="1:13" x14ac:dyDescent="0.3">
      <c r="A99" s="429"/>
      <c r="B99" s="390"/>
      <c r="C99" s="390"/>
      <c r="D99" s="397"/>
      <c r="E99" s="47"/>
      <c r="F99" s="47"/>
      <c r="G99" s="47"/>
      <c r="H99" s="47"/>
      <c r="I99" s="47"/>
      <c r="J99" s="47"/>
      <c r="K99" s="47"/>
      <c r="L99" s="47"/>
      <c r="M99" s="439"/>
    </row>
    <row r="100" spans="1:13" ht="52" x14ac:dyDescent="0.3">
      <c r="A100" s="429">
        <v>3</v>
      </c>
      <c r="B100" s="440" t="s">
        <v>218</v>
      </c>
      <c r="C100" s="440" t="s">
        <v>286</v>
      </c>
      <c r="D100" s="451" t="s">
        <v>45</v>
      </c>
      <c r="E100" s="47"/>
      <c r="F100" s="47"/>
      <c r="G100" s="47"/>
      <c r="H100" s="47"/>
      <c r="I100" s="47"/>
      <c r="J100" s="47"/>
      <c r="K100" s="47"/>
      <c r="L100" s="47"/>
      <c r="M100" s="439"/>
    </row>
    <row r="101" spans="1:13" x14ac:dyDescent="0.3">
      <c r="A101" s="429"/>
      <c r="B101" s="390"/>
      <c r="C101" s="390" t="s">
        <v>757</v>
      </c>
      <c r="D101" s="451" t="s">
        <v>45</v>
      </c>
      <c r="E101" s="47">
        <v>8550</v>
      </c>
      <c r="F101" s="47"/>
      <c r="G101" s="47"/>
      <c r="H101" s="47"/>
      <c r="I101" s="47">
        <f>E101/304.8</f>
        <v>28.051181102362204</v>
      </c>
      <c r="J101" s="47"/>
      <c r="K101" s="47"/>
      <c r="L101" s="47">
        <v>3</v>
      </c>
      <c r="M101" s="452">
        <f>L101*I101</f>
        <v>84.153543307086608</v>
      </c>
    </row>
    <row r="102" spans="1:13" x14ac:dyDescent="0.3">
      <c r="A102" s="429"/>
      <c r="B102" s="390"/>
      <c r="C102" s="390" t="s">
        <v>745</v>
      </c>
      <c r="D102" s="451" t="s">
        <v>45</v>
      </c>
      <c r="E102" s="47">
        <v>2200</v>
      </c>
      <c r="F102" s="47"/>
      <c r="G102" s="47"/>
      <c r="H102" s="47"/>
      <c r="I102" s="47">
        <f>E102/304.8</f>
        <v>7.2178477690288707</v>
      </c>
      <c r="J102" s="47"/>
      <c r="K102" s="47"/>
      <c r="L102" s="47">
        <v>7</v>
      </c>
      <c r="M102" s="452">
        <f>L102*I102</f>
        <v>50.524934383202094</v>
      </c>
    </row>
    <row r="103" spans="1:13" x14ac:dyDescent="0.3">
      <c r="A103" s="429"/>
      <c r="B103" s="390"/>
      <c r="C103" s="390"/>
      <c r="D103" s="397"/>
      <c r="E103" s="47"/>
      <c r="F103" s="47"/>
      <c r="G103" s="47"/>
      <c r="H103" s="47"/>
      <c r="I103" s="47"/>
      <c r="J103" s="47"/>
      <c r="K103" s="47"/>
      <c r="L103" s="47"/>
      <c r="M103" s="439"/>
    </row>
    <row r="104" spans="1:13" x14ac:dyDescent="0.3">
      <c r="A104" s="429"/>
      <c r="B104" s="390"/>
      <c r="C104" s="392" t="s">
        <v>684</v>
      </c>
      <c r="D104" s="451" t="s">
        <v>45</v>
      </c>
      <c r="E104" s="47"/>
      <c r="F104" s="47"/>
      <c r="G104" s="47"/>
      <c r="H104" s="47"/>
      <c r="I104" s="47"/>
      <c r="J104" s="47"/>
      <c r="K104" s="47"/>
      <c r="L104" s="47"/>
      <c r="M104" s="458">
        <f>SUM(M101:M102)</f>
        <v>134.6784776902887</v>
      </c>
    </row>
    <row r="105" spans="1:13" x14ac:dyDescent="0.3">
      <c r="A105" s="429"/>
      <c r="B105" s="390"/>
      <c r="C105" s="390"/>
      <c r="D105" s="397"/>
      <c r="E105" s="47"/>
      <c r="F105" s="47"/>
      <c r="G105" s="47"/>
      <c r="H105" s="47"/>
      <c r="I105" s="47"/>
      <c r="J105" s="47"/>
      <c r="K105" s="47"/>
      <c r="L105" s="47"/>
      <c r="M105" s="439"/>
    </row>
    <row r="106" spans="1:13" ht="52" x14ac:dyDescent="0.3">
      <c r="A106" s="429">
        <v>4</v>
      </c>
      <c r="B106" s="433" t="s">
        <v>180</v>
      </c>
      <c r="C106" s="440" t="s">
        <v>181</v>
      </c>
      <c r="D106" s="397"/>
      <c r="E106" s="47"/>
      <c r="F106" s="47"/>
      <c r="G106" s="47"/>
      <c r="H106" s="47"/>
      <c r="I106" s="47"/>
      <c r="J106" s="47"/>
      <c r="K106" s="47"/>
      <c r="L106" s="47"/>
      <c r="M106" s="439"/>
    </row>
    <row r="107" spans="1:13" x14ac:dyDescent="0.3">
      <c r="A107" s="429"/>
      <c r="B107" s="390"/>
      <c r="C107" s="390" t="s">
        <v>757</v>
      </c>
      <c r="D107" s="451" t="s">
        <v>45</v>
      </c>
      <c r="E107" s="47">
        <v>2440</v>
      </c>
      <c r="F107" s="47"/>
      <c r="G107" s="47"/>
      <c r="H107" s="47"/>
      <c r="I107" s="47">
        <f>E107/304.8</f>
        <v>8.0052493438320216</v>
      </c>
      <c r="J107" s="47"/>
      <c r="K107" s="47"/>
      <c r="L107" s="47">
        <v>10</v>
      </c>
      <c r="M107" s="452">
        <f>L107*I107</f>
        <v>80.052493438320212</v>
      </c>
    </row>
    <row r="108" spans="1:13" x14ac:dyDescent="0.3">
      <c r="A108" s="429"/>
      <c r="B108" s="390"/>
      <c r="C108" s="390" t="s">
        <v>745</v>
      </c>
      <c r="D108" s="451" t="s">
        <v>45</v>
      </c>
      <c r="E108" s="47">
        <v>920</v>
      </c>
      <c r="F108" s="47"/>
      <c r="G108" s="47"/>
      <c r="H108" s="47"/>
      <c r="I108" s="47">
        <f>E108/304.8</f>
        <v>3.0183727034120733</v>
      </c>
      <c r="J108" s="47"/>
      <c r="K108" s="47"/>
      <c r="L108" s="47">
        <v>9</v>
      </c>
      <c r="M108" s="452">
        <f>L108*I108</f>
        <v>27.165354330708659</v>
      </c>
    </row>
    <row r="109" spans="1:13" x14ac:dyDescent="0.3">
      <c r="A109" s="429"/>
      <c r="B109" s="390"/>
      <c r="C109" s="390"/>
      <c r="D109" s="397"/>
      <c r="E109" s="47"/>
      <c r="F109" s="47"/>
      <c r="G109" s="47"/>
      <c r="H109" s="47"/>
      <c r="I109" s="47"/>
      <c r="J109" s="47"/>
      <c r="K109" s="47"/>
      <c r="L109" s="47"/>
      <c r="M109" s="439"/>
    </row>
    <row r="110" spans="1:13" x14ac:dyDescent="0.3">
      <c r="A110" s="429"/>
      <c r="B110" s="390"/>
      <c r="C110" s="392" t="s">
        <v>684</v>
      </c>
      <c r="D110" s="451" t="s">
        <v>45</v>
      </c>
      <c r="E110" s="47"/>
      <c r="F110" s="47"/>
      <c r="G110" s="47"/>
      <c r="H110" s="47"/>
      <c r="I110" s="47"/>
      <c r="J110" s="47"/>
      <c r="K110" s="47"/>
      <c r="L110" s="47"/>
      <c r="M110" s="458">
        <f>SUM(M107:M108)</f>
        <v>107.21784776902888</v>
      </c>
    </row>
    <row r="111" spans="1:13" x14ac:dyDescent="0.3">
      <c r="A111" s="429"/>
      <c r="B111" s="390"/>
      <c r="C111" s="390"/>
      <c r="D111" s="397"/>
      <c r="E111" s="47"/>
      <c r="F111" s="47"/>
      <c r="G111" s="47"/>
      <c r="H111" s="47"/>
      <c r="I111" s="47"/>
      <c r="J111" s="47"/>
      <c r="K111" s="47"/>
      <c r="L111" s="47"/>
      <c r="M111" s="439"/>
    </row>
    <row r="112" spans="1:13" ht="65" x14ac:dyDescent="0.3">
      <c r="A112" s="429"/>
      <c r="B112" s="433" t="s">
        <v>220</v>
      </c>
      <c r="C112" s="440" t="s">
        <v>221</v>
      </c>
      <c r="D112" s="397"/>
      <c r="E112" s="47"/>
      <c r="F112" s="47"/>
      <c r="G112" s="47"/>
      <c r="H112" s="47"/>
      <c r="I112" s="47"/>
      <c r="J112" s="47"/>
      <c r="K112" s="47"/>
      <c r="L112" s="47"/>
      <c r="M112" s="439"/>
    </row>
    <row r="113" spans="1:13" x14ac:dyDescent="0.3">
      <c r="A113" s="429"/>
      <c r="B113" s="390"/>
      <c r="C113" s="390" t="s">
        <v>803</v>
      </c>
      <c r="D113" s="451" t="s">
        <v>45</v>
      </c>
      <c r="E113" s="47"/>
      <c r="F113" s="47"/>
      <c r="G113" s="47"/>
      <c r="H113" s="47"/>
      <c r="I113" s="47">
        <f>E113/304.8</f>
        <v>0</v>
      </c>
      <c r="J113" s="47"/>
      <c r="K113" s="47"/>
      <c r="L113" s="47"/>
      <c r="M113" s="452">
        <f>L113*I113</f>
        <v>0</v>
      </c>
    </row>
    <row r="114" spans="1:13" x14ac:dyDescent="0.3">
      <c r="A114" s="429"/>
      <c r="B114" s="390"/>
      <c r="C114" s="390"/>
      <c r="D114" s="451" t="s">
        <v>45</v>
      </c>
      <c r="E114" s="47"/>
      <c r="F114" s="47"/>
      <c r="G114" s="47"/>
      <c r="H114" s="47"/>
      <c r="I114" s="47">
        <f>E114/304.8</f>
        <v>0</v>
      </c>
      <c r="J114" s="47"/>
      <c r="K114" s="47"/>
      <c r="L114" s="47"/>
      <c r="M114" s="452">
        <f>L114*I114</f>
        <v>0</v>
      </c>
    </row>
    <row r="115" spans="1:13" x14ac:dyDescent="0.3">
      <c r="A115" s="429"/>
      <c r="B115" s="390"/>
      <c r="C115" s="390"/>
      <c r="D115" s="451" t="s">
        <v>45</v>
      </c>
      <c r="E115" s="47"/>
      <c r="F115" s="47"/>
      <c r="G115" s="47"/>
      <c r="H115" s="47"/>
      <c r="I115" s="47">
        <f>E115/304.8</f>
        <v>0</v>
      </c>
      <c r="J115" s="47"/>
      <c r="K115" s="47"/>
      <c r="L115" s="47"/>
      <c r="M115" s="452">
        <f>L115*I115</f>
        <v>0</v>
      </c>
    </row>
    <row r="116" spans="1:13" x14ac:dyDescent="0.3">
      <c r="A116" s="429"/>
      <c r="B116" s="390"/>
      <c r="C116" s="390"/>
      <c r="D116" s="451" t="s">
        <v>45</v>
      </c>
      <c r="E116" s="47"/>
      <c r="F116" s="47"/>
      <c r="G116" s="47"/>
      <c r="H116" s="47"/>
      <c r="I116" s="47">
        <f>E116/304.8</f>
        <v>0</v>
      </c>
      <c r="J116" s="47"/>
      <c r="K116" s="47"/>
      <c r="L116" s="47"/>
      <c r="M116" s="452">
        <f>L116*I116</f>
        <v>0</v>
      </c>
    </row>
    <row r="117" spans="1:13" x14ac:dyDescent="0.3">
      <c r="A117" s="429"/>
      <c r="B117" s="390"/>
      <c r="C117" s="390"/>
      <c r="D117" s="451"/>
      <c r="E117" s="47"/>
      <c r="F117" s="47"/>
      <c r="G117" s="47"/>
      <c r="H117" s="47"/>
      <c r="I117" s="47"/>
      <c r="J117" s="47"/>
      <c r="K117" s="47"/>
      <c r="L117" s="47"/>
      <c r="M117" s="452"/>
    </row>
    <row r="118" spans="1:13" x14ac:dyDescent="0.3">
      <c r="A118" s="429"/>
      <c r="B118" s="390"/>
      <c r="C118" s="392" t="s">
        <v>684</v>
      </c>
      <c r="D118" s="451" t="s">
        <v>45</v>
      </c>
      <c r="E118" s="47"/>
      <c r="F118" s="47"/>
      <c r="G118" s="47"/>
      <c r="H118" s="47"/>
      <c r="I118" s="47"/>
      <c r="J118" s="47"/>
      <c r="K118" s="47"/>
      <c r="L118" s="47"/>
      <c r="M118" s="458">
        <f>SUM(M113:M116)</f>
        <v>0</v>
      </c>
    </row>
    <row r="119" spans="1:13" x14ac:dyDescent="0.3">
      <c r="A119" s="429"/>
      <c r="B119" s="390"/>
      <c r="C119" s="390"/>
      <c r="D119" s="397"/>
      <c r="E119" s="47"/>
      <c r="F119" s="47"/>
      <c r="G119" s="47"/>
      <c r="H119" s="47"/>
      <c r="I119" s="47"/>
      <c r="J119" s="47"/>
      <c r="K119" s="47"/>
      <c r="L119" s="47"/>
      <c r="M119" s="439"/>
    </row>
    <row r="120" spans="1:13" x14ac:dyDescent="0.3">
      <c r="A120" s="804" t="s">
        <v>149</v>
      </c>
      <c r="B120" s="805"/>
      <c r="C120" s="806"/>
      <c r="D120" s="397"/>
      <c r="E120" s="47"/>
      <c r="F120" s="47"/>
      <c r="G120" s="47"/>
      <c r="H120" s="47"/>
      <c r="I120" s="47"/>
      <c r="J120" s="47"/>
      <c r="K120" s="47"/>
      <c r="L120" s="47"/>
      <c r="M120" s="439"/>
    </row>
    <row r="121" spans="1:13" ht="26" x14ac:dyDescent="0.3">
      <c r="A121" s="429">
        <v>1</v>
      </c>
      <c r="B121" s="426" t="s">
        <v>123</v>
      </c>
      <c r="C121" s="433" t="s">
        <v>124</v>
      </c>
      <c r="D121" s="441" t="s">
        <v>679</v>
      </c>
      <c r="E121" s="47">
        <v>8550</v>
      </c>
      <c r="F121" s="47">
        <v>2200</v>
      </c>
      <c r="G121" s="47"/>
      <c r="H121" s="47"/>
      <c r="I121" s="47">
        <f t="shared" ref="I121:J126" si="14">E121/304.8</f>
        <v>28.051181102362204</v>
      </c>
      <c r="J121" s="47">
        <f t="shared" si="14"/>
        <v>7.2178477690288707</v>
      </c>
      <c r="K121" s="47"/>
      <c r="L121" s="47">
        <v>1</v>
      </c>
      <c r="M121" s="437">
        <f>L121*J121*I121</f>
        <v>202.46915493830986</v>
      </c>
    </row>
    <row r="122" spans="1:13" x14ac:dyDescent="0.3">
      <c r="A122" s="429"/>
      <c r="B122" s="390"/>
      <c r="C122" s="390" t="s">
        <v>728</v>
      </c>
      <c r="D122" s="441" t="s">
        <v>679</v>
      </c>
      <c r="E122" s="47"/>
      <c r="F122" s="47"/>
      <c r="G122" s="47"/>
      <c r="H122" s="47"/>
      <c r="I122" s="47">
        <f t="shared" si="14"/>
        <v>0</v>
      </c>
      <c r="J122" s="47">
        <f t="shared" si="14"/>
        <v>0</v>
      </c>
      <c r="K122" s="47"/>
      <c r="L122" s="47"/>
      <c r="M122" s="437">
        <f t="shared" ref="M122:M126" si="15">L122*J122*I122</f>
        <v>0</v>
      </c>
    </row>
    <row r="123" spans="1:13" x14ac:dyDescent="0.3">
      <c r="A123" s="429"/>
      <c r="B123" s="390"/>
      <c r="C123" s="390" t="s">
        <v>728</v>
      </c>
      <c r="D123" s="441" t="s">
        <v>679</v>
      </c>
      <c r="E123" s="47"/>
      <c r="F123" s="47"/>
      <c r="G123" s="47"/>
      <c r="H123" s="47"/>
      <c r="I123" s="47">
        <f t="shared" si="14"/>
        <v>0</v>
      </c>
      <c r="J123" s="47">
        <f t="shared" si="14"/>
        <v>0</v>
      </c>
      <c r="K123" s="47"/>
      <c r="L123" s="47"/>
      <c r="M123" s="437">
        <f t="shared" si="15"/>
        <v>0</v>
      </c>
    </row>
    <row r="124" spans="1:13" x14ac:dyDescent="0.3">
      <c r="A124" s="429"/>
      <c r="B124" s="390"/>
      <c r="C124" s="390" t="s">
        <v>740</v>
      </c>
      <c r="D124" s="441" t="s">
        <v>679</v>
      </c>
      <c r="E124" s="47">
        <v>4670</v>
      </c>
      <c r="F124" s="47">
        <v>3740</v>
      </c>
      <c r="G124" s="47"/>
      <c r="H124" s="47"/>
      <c r="I124" s="47">
        <f t="shared" si="14"/>
        <v>15.321522309711286</v>
      </c>
      <c r="J124" s="47">
        <f t="shared" si="14"/>
        <v>12.27034120734908</v>
      </c>
      <c r="K124" s="47"/>
      <c r="L124" s="47">
        <v>1</v>
      </c>
      <c r="M124" s="437">
        <f t="shared" si="15"/>
        <v>188.00030655616865</v>
      </c>
    </row>
    <row r="125" spans="1:13" x14ac:dyDescent="0.3">
      <c r="A125" s="429"/>
      <c r="B125" s="390"/>
      <c r="C125" s="390" t="s">
        <v>741</v>
      </c>
      <c r="D125" s="441" t="s">
        <v>679</v>
      </c>
      <c r="E125" s="47">
        <v>3100</v>
      </c>
      <c r="F125" s="47">
        <v>2400</v>
      </c>
      <c r="G125" s="47"/>
      <c r="H125" s="47"/>
      <c r="I125" s="47">
        <f t="shared" si="14"/>
        <v>10.170603674540683</v>
      </c>
      <c r="J125" s="47">
        <f t="shared" si="14"/>
        <v>7.8740157480314954</v>
      </c>
      <c r="K125" s="47"/>
      <c r="L125" s="47">
        <v>-1</v>
      </c>
      <c r="M125" s="437">
        <f t="shared" si="15"/>
        <v>-80.08349350032033</v>
      </c>
    </row>
    <row r="126" spans="1:13" x14ac:dyDescent="0.3">
      <c r="A126" s="429"/>
      <c r="B126" s="390"/>
      <c r="C126" s="390" t="s">
        <v>728</v>
      </c>
      <c r="D126" s="441" t="s">
        <v>679</v>
      </c>
      <c r="E126" s="47"/>
      <c r="F126" s="47"/>
      <c r="G126" s="47"/>
      <c r="H126" s="47"/>
      <c r="I126" s="47">
        <f t="shared" si="14"/>
        <v>0</v>
      </c>
      <c r="J126" s="47">
        <f t="shared" si="14"/>
        <v>0</v>
      </c>
      <c r="K126" s="47"/>
      <c r="L126" s="47"/>
      <c r="M126" s="437">
        <f t="shared" si="15"/>
        <v>0</v>
      </c>
    </row>
    <row r="127" spans="1:13" x14ac:dyDescent="0.3">
      <c r="A127" s="429"/>
      <c r="B127" s="390"/>
      <c r="C127" s="390"/>
      <c r="D127" s="441"/>
      <c r="E127" s="47"/>
      <c r="F127" s="47"/>
      <c r="G127" s="47"/>
      <c r="H127" s="47"/>
      <c r="I127" s="47"/>
      <c r="J127" s="47"/>
      <c r="K127" s="47"/>
      <c r="L127" s="47"/>
      <c r="M127" s="437"/>
    </row>
    <row r="128" spans="1:13" x14ac:dyDescent="0.3">
      <c r="A128" s="429"/>
      <c r="B128" s="390"/>
      <c r="C128" s="392" t="s">
        <v>684</v>
      </c>
      <c r="D128" s="441" t="s">
        <v>679</v>
      </c>
      <c r="E128" s="47"/>
      <c r="F128" s="47"/>
      <c r="G128" s="47"/>
      <c r="H128" s="47"/>
      <c r="I128" s="47"/>
      <c r="J128" s="47"/>
      <c r="K128" s="47"/>
      <c r="L128" s="47"/>
      <c r="M128" s="458">
        <f>SUM(M121:M126)</f>
        <v>310.38596799415819</v>
      </c>
    </row>
    <row r="129" spans="1:14" x14ac:dyDescent="0.3">
      <c r="A129" s="429"/>
      <c r="B129" s="390"/>
      <c r="C129" s="390"/>
      <c r="D129" s="441"/>
      <c r="E129" s="47"/>
      <c r="F129" s="47"/>
      <c r="G129" s="47"/>
      <c r="H129" s="47"/>
      <c r="I129" s="47"/>
      <c r="J129" s="47"/>
      <c r="K129" s="47"/>
      <c r="L129" s="47"/>
      <c r="M129" s="437"/>
    </row>
    <row r="130" spans="1:14" x14ac:dyDescent="0.3">
      <c r="A130" s="429"/>
      <c r="B130" s="390"/>
      <c r="C130" s="390"/>
      <c r="D130" s="441"/>
      <c r="E130" s="47"/>
      <c r="F130" s="47"/>
      <c r="G130" s="47"/>
      <c r="H130" s="47"/>
      <c r="I130" s="47"/>
      <c r="J130" s="47"/>
      <c r="K130" s="47"/>
      <c r="L130" s="47"/>
      <c r="M130" s="437"/>
    </row>
    <row r="131" spans="1:14" ht="39" x14ac:dyDescent="0.3">
      <c r="A131" s="429">
        <v>3</v>
      </c>
      <c r="B131" s="453" t="s">
        <v>128</v>
      </c>
      <c r="C131" s="433" t="s">
        <v>219</v>
      </c>
      <c r="D131" s="397"/>
      <c r="E131" s="47"/>
      <c r="F131" s="47"/>
      <c r="G131" s="47"/>
      <c r="H131" s="47"/>
      <c r="I131" s="47"/>
      <c r="J131" s="47"/>
      <c r="K131" s="47"/>
      <c r="L131" s="47"/>
      <c r="M131" s="439"/>
    </row>
    <row r="132" spans="1:14" x14ac:dyDescent="0.3">
      <c r="A132" s="429"/>
      <c r="B132" s="390"/>
      <c r="C132" s="390" t="s">
        <v>758</v>
      </c>
      <c r="D132" s="441" t="s">
        <v>679</v>
      </c>
      <c r="E132" s="652">
        <v>1219.2</v>
      </c>
      <c r="F132" s="652">
        <v>2590.8000000000002</v>
      </c>
      <c r="G132" s="652">
        <v>2590.8000000000002</v>
      </c>
      <c r="H132" s="652"/>
      <c r="I132" s="652">
        <f>E132/304.8</f>
        <v>4</v>
      </c>
      <c r="J132" s="652"/>
      <c r="K132" s="652">
        <f t="shared" ref="K132:K133" si="16">G132/304.8</f>
        <v>8.5</v>
      </c>
      <c r="L132" s="652">
        <v>2</v>
      </c>
      <c r="M132" s="656">
        <f>L132*K132*I132</f>
        <v>68</v>
      </c>
    </row>
    <row r="133" spans="1:14" x14ac:dyDescent="0.3">
      <c r="A133" s="429"/>
      <c r="B133" s="390"/>
      <c r="C133" s="390" t="s">
        <v>756</v>
      </c>
      <c r="D133" s="441" t="s">
        <v>679</v>
      </c>
      <c r="E133" s="652">
        <v>914.40000000000009</v>
      </c>
      <c r="F133" s="652">
        <v>1676.4</v>
      </c>
      <c r="G133" s="652">
        <v>1676.4</v>
      </c>
      <c r="H133" s="652"/>
      <c r="I133" s="652">
        <f>E133/304.8</f>
        <v>3</v>
      </c>
      <c r="J133" s="652"/>
      <c r="K133" s="652">
        <f t="shared" si="16"/>
        <v>5.5</v>
      </c>
      <c r="L133" s="652">
        <v>6</v>
      </c>
      <c r="M133" s="656">
        <f>L133*K133*I133</f>
        <v>99</v>
      </c>
      <c r="N133" s="672"/>
    </row>
    <row r="134" spans="1:14" x14ac:dyDescent="0.3">
      <c r="A134" s="429"/>
      <c r="B134" s="390"/>
      <c r="C134" s="390"/>
      <c r="D134" s="397"/>
      <c r="E134" s="47"/>
      <c r="F134" s="47"/>
      <c r="G134" s="47"/>
      <c r="H134" s="47"/>
      <c r="I134" s="47"/>
      <c r="J134" s="47"/>
      <c r="K134" s="47"/>
      <c r="L134" s="47"/>
      <c r="M134" s="439"/>
    </row>
    <row r="135" spans="1:14" x14ac:dyDescent="0.3">
      <c r="A135" s="429"/>
      <c r="B135" s="390"/>
      <c r="C135" s="392" t="s">
        <v>684</v>
      </c>
      <c r="D135" s="441" t="s">
        <v>679</v>
      </c>
      <c r="E135" s="47"/>
      <c r="F135" s="47"/>
      <c r="G135" s="47"/>
      <c r="H135" s="47"/>
      <c r="I135" s="47"/>
      <c r="J135" s="47"/>
      <c r="K135" s="47"/>
      <c r="L135" s="47"/>
      <c r="M135" s="458">
        <f>SUM(M132:M133)</f>
        <v>167</v>
      </c>
    </row>
    <row r="136" spans="1:14" x14ac:dyDescent="0.3">
      <c r="A136" s="429"/>
      <c r="B136" s="390"/>
      <c r="C136" s="390"/>
      <c r="D136" s="397"/>
      <c r="E136" s="47"/>
      <c r="F136" s="47"/>
      <c r="G136" s="47"/>
      <c r="H136" s="47"/>
      <c r="I136" s="47"/>
      <c r="J136" s="47"/>
      <c r="K136" s="47"/>
      <c r="L136" s="47"/>
      <c r="M136" s="439"/>
    </row>
    <row r="137" spans="1:14" x14ac:dyDescent="0.3">
      <c r="A137" s="429"/>
      <c r="B137" s="390"/>
      <c r="C137" s="390"/>
      <c r="D137" s="397"/>
      <c r="E137" s="47"/>
      <c r="F137" s="47"/>
      <c r="G137" s="47"/>
      <c r="H137" s="47"/>
      <c r="I137" s="47"/>
      <c r="J137" s="47"/>
      <c r="K137" s="47"/>
      <c r="L137" s="47"/>
      <c r="M137" s="439"/>
    </row>
    <row r="138" spans="1:14" ht="13.5" thickBot="1" x14ac:dyDescent="0.35">
      <c r="A138" s="454"/>
      <c r="B138" s="416"/>
      <c r="C138" s="416"/>
      <c r="D138" s="654"/>
      <c r="E138" s="30"/>
      <c r="F138" s="30"/>
      <c r="G138" s="30"/>
      <c r="H138" s="30"/>
      <c r="I138" s="30"/>
      <c r="J138" s="30"/>
      <c r="K138" s="30"/>
      <c r="L138" s="30"/>
      <c r="M138" s="455"/>
    </row>
  </sheetData>
  <protectedRanges>
    <protectedRange sqref="I82 K82" name="Range1"/>
    <protectedRange sqref="F82 H82:K82" name="Range1_1"/>
    <protectedRange sqref="D100:D102 D104 D107:D108 D110 D113:D118" name="Range1_1_1"/>
    <protectedRange sqref="G1" name="Range1_2"/>
    <protectedRange sqref="J1" name="Range1_6"/>
    <protectedRange sqref="F20 D20" name="Range1_1_3_1_3"/>
    <protectedRange sqref="F21 D21" name="Range1_1_3_1_4"/>
    <protectedRange sqref="F22:F23 D22:D23" name="Range1_1_3_1_5"/>
    <protectedRange sqref="F24 D24" name="Range1_1_3_1_6"/>
    <protectedRange sqref="F25 D25" name="Range1_1_3_1_7"/>
    <protectedRange sqref="D28:D31" name="Range1_1_3_1_8"/>
    <protectedRange sqref="D97" name="Range1_1_2"/>
  </protectedRanges>
  <mergeCells count="11">
    <mergeCell ref="A4:C4"/>
    <mergeCell ref="A11:C11"/>
    <mergeCell ref="A89:C89"/>
    <mergeCell ref="A120:C120"/>
    <mergeCell ref="A1:M1"/>
    <mergeCell ref="A2:A3"/>
    <mergeCell ref="B2:B3"/>
    <mergeCell ref="C2:C3"/>
    <mergeCell ref="D2:D3"/>
    <mergeCell ref="E2:H2"/>
    <mergeCell ref="I2:M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211"/>
  <sheetViews>
    <sheetView zoomScale="58" zoomScaleNormal="90" zoomScaleSheetLayoutView="110" workbookViewId="0">
      <pane xSplit="4" ySplit="9" topLeftCell="E36" activePane="bottomRight" state="frozen"/>
      <selection pane="topRight" activeCell="E1" sqref="E1"/>
      <selection pane="bottomLeft" activeCell="A10" sqref="A10"/>
      <selection pane="bottomRight" activeCell="D43" sqref="D43"/>
    </sheetView>
  </sheetViews>
  <sheetFormatPr defaultColWidth="9.1796875" defaultRowHeight="12" x14ac:dyDescent="0.3"/>
  <cols>
    <col min="1" max="1" width="5.81640625" style="72" bestFit="1" customWidth="1"/>
    <col min="2" max="2" width="76.1796875" style="70" customWidth="1"/>
    <col min="3" max="3" width="7.54296875" style="70" customWidth="1"/>
    <col min="4" max="4" width="7" style="690" bestFit="1" customWidth="1"/>
    <col min="5" max="5" width="10.54296875" style="691" bestFit="1" customWidth="1"/>
    <col min="6" max="7" width="11" style="690" customWidth="1"/>
    <col min="8" max="8" width="8.453125" style="691" customWidth="1"/>
    <col min="9" max="9" width="11" style="690" customWidth="1"/>
    <col min="10" max="10" width="13.1796875" style="690" bestFit="1" customWidth="1"/>
    <col min="11" max="11" width="9.54296875" style="698" bestFit="1" customWidth="1"/>
    <col min="12" max="12" width="11.54296875" style="690" bestFit="1" customWidth="1"/>
    <col min="13" max="13" width="11.453125" style="690" bestFit="1" customWidth="1"/>
    <col min="14" max="14" width="12.453125" style="690" bestFit="1" customWidth="1"/>
    <col min="15" max="16384" width="9.1796875" style="70"/>
  </cols>
  <sheetData>
    <row r="1" spans="1:15" s="356" customFormat="1" ht="18" customHeight="1" x14ac:dyDescent="0.3">
      <c r="A1" s="766" t="s">
        <v>654</v>
      </c>
      <c r="B1" s="767"/>
      <c r="C1" s="767"/>
      <c r="D1" s="767"/>
      <c r="E1" s="767"/>
      <c r="F1" s="767"/>
      <c r="G1" s="767"/>
      <c r="H1" s="767"/>
      <c r="I1" s="767"/>
      <c r="J1" s="767"/>
      <c r="K1" s="767"/>
      <c r="L1" s="767"/>
      <c r="M1" s="767"/>
      <c r="N1" s="767"/>
      <c r="O1" s="767"/>
    </row>
    <row r="2" spans="1:15" s="356" customFormat="1" ht="18" customHeight="1" x14ac:dyDescent="0.3">
      <c r="A2" s="766" t="s">
        <v>665</v>
      </c>
      <c r="B2" s="767"/>
      <c r="C2" s="767"/>
      <c r="D2" s="767"/>
      <c r="E2" s="767"/>
      <c r="F2" s="767"/>
      <c r="G2" s="767"/>
      <c r="H2" s="767"/>
      <c r="I2" s="767"/>
      <c r="J2" s="767"/>
      <c r="K2" s="767"/>
      <c r="L2" s="767"/>
      <c r="M2" s="767"/>
      <c r="N2" s="767"/>
      <c r="O2" s="767"/>
    </row>
    <row r="3" spans="1:15" s="356" customFormat="1" ht="18" customHeight="1" x14ac:dyDescent="0.3">
      <c r="A3" s="766" t="s">
        <v>653</v>
      </c>
      <c r="B3" s="767"/>
      <c r="C3" s="767"/>
      <c r="D3" s="767"/>
      <c r="E3" s="767"/>
      <c r="F3" s="767"/>
      <c r="G3" s="767"/>
      <c r="H3" s="767"/>
      <c r="I3" s="767"/>
      <c r="J3" s="767"/>
      <c r="K3" s="767"/>
      <c r="L3" s="767"/>
      <c r="M3" s="767"/>
      <c r="N3" s="767"/>
      <c r="O3" s="767"/>
    </row>
    <row r="4" spans="1:15" s="356" customFormat="1" ht="18" customHeight="1" x14ac:dyDescent="0.3">
      <c r="A4" s="766" t="s">
        <v>657</v>
      </c>
      <c r="B4" s="767"/>
      <c r="C4" s="767"/>
      <c r="D4" s="767"/>
      <c r="E4" s="767"/>
      <c r="F4" s="767"/>
      <c r="G4" s="767"/>
      <c r="H4" s="767"/>
      <c r="I4" s="767"/>
      <c r="J4" s="767"/>
      <c r="K4" s="767"/>
      <c r="L4" s="767"/>
      <c r="M4" s="767"/>
      <c r="N4" s="767"/>
      <c r="O4" s="767"/>
    </row>
    <row r="5" spans="1:15" s="356" customFormat="1" ht="18" customHeight="1" x14ac:dyDescent="0.3">
      <c r="A5" s="764" t="s">
        <v>746</v>
      </c>
      <c r="B5" s="765"/>
      <c r="C5" s="765"/>
      <c r="D5" s="765"/>
      <c r="E5" s="765"/>
      <c r="F5" s="765"/>
      <c r="G5" s="765"/>
      <c r="H5" s="765"/>
      <c r="I5" s="765"/>
      <c r="J5" s="765"/>
      <c r="K5" s="765"/>
      <c r="L5" s="765"/>
      <c r="M5" s="765"/>
      <c r="N5" s="765"/>
      <c r="O5" s="765"/>
    </row>
    <row r="6" spans="1:15" s="56" customFormat="1" x14ac:dyDescent="0.3">
      <c r="A6" s="771" t="s">
        <v>8</v>
      </c>
      <c r="B6" s="771" t="s">
        <v>9</v>
      </c>
      <c r="C6" s="775" t="s">
        <v>10</v>
      </c>
      <c r="D6" s="768" t="s">
        <v>650</v>
      </c>
      <c r="E6" s="769"/>
      <c r="F6" s="770"/>
      <c r="G6" s="768" t="s">
        <v>651</v>
      </c>
      <c r="H6" s="769"/>
      <c r="I6" s="769"/>
      <c r="J6" s="769"/>
      <c r="K6" s="770"/>
      <c r="L6" s="768" t="s">
        <v>652</v>
      </c>
      <c r="M6" s="769"/>
      <c r="N6" s="770"/>
      <c r="O6" s="775" t="s">
        <v>661</v>
      </c>
    </row>
    <row r="7" spans="1:15" s="56" customFormat="1" x14ac:dyDescent="0.3">
      <c r="A7" s="772"/>
      <c r="B7" s="772"/>
      <c r="C7" s="776"/>
      <c r="D7" s="225" t="s">
        <v>16</v>
      </c>
      <c r="E7" s="225" t="s">
        <v>15</v>
      </c>
      <c r="F7" s="225" t="s">
        <v>11</v>
      </c>
      <c r="G7" s="225" t="s">
        <v>645</v>
      </c>
      <c r="H7" s="225" t="s">
        <v>648</v>
      </c>
      <c r="I7" s="225" t="s">
        <v>646</v>
      </c>
      <c r="J7" s="225" t="s">
        <v>647</v>
      </c>
      <c r="K7" s="692" t="s">
        <v>649</v>
      </c>
      <c r="L7" s="225" t="s">
        <v>645</v>
      </c>
      <c r="M7" s="225" t="s">
        <v>646</v>
      </c>
      <c r="N7" s="225" t="s">
        <v>647</v>
      </c>
      <c r="O7" s="776"/>
    </row>
    <row r="8" spans="1:15" x14ac:dyDescent="0.3">
      <c r="A8" s="174" t="s">
        <v>311</v>
      </c>
      <c r="B8" s="175" t="s">
        <v>312</v>
      </c>
      <c r="C8" s="173"/>
      <c r="D8" s="257"/>
      <c r="E8" s="257"/>
      <c r="F8" s="258"/>
      <c r="G8" s="258"/>
      <c r="H8" s="257"/>
      <c r="I8" s="258"/>
      <c r="J8" s="258"/>
      <c r="K8" s="693"/>
      <c r="L8" s="258"/>
      <c r="M8" s="258"/>
      <c r="N8" s="258"/>
      <c r="O8" s="256"/>
    </row>
    <row r="9" spans="1:15" x14ac:dyDescent="0.3">
      <c r="A9" s="174">
        <v>1</v>
      </c>
      <c r="B9" s="172" t="s">
        <v>313</v>
      </c>
      <c r="C9" s="173"/>
      <c r="D9" s="257"/>
      <c r="E9" s="257"/>
      <c r="F9" s="258"/>
      <c r="G9" s="258"/>
      <c r="H9" s="257"/>
      <c r="I9" s="258"/>
      <c r="J9" s="258"/>
      <c r="K9" s="693"/>
      <c r="L9" s="258"/>
      <c r="M9" s="258"/>
      <c r="N9" s="258"/>
      <c r="O9" s="256"/>
    </row>
    <row r="10" spans="1:15" ht="132" x14ac:dyDescent="0.3">
      <c r="A10" s="174"/>
      <c r="B10" s="176" t="s">
        <v>314</v>
      </c>
      <c r="C10" s="177"/>
      <c r="D10" s="257"/>
      <c r="E10" s="257"/>
      <c r="F10" s="257"/>
      <c r="G10" s="257"/>
      <c r="H10" s="257"/>
      <c r="I10" s="257"/>
      <c r="J10" s="258"/>
      <c r="K10" s="693"/>
      <c r="L10" s="258"/>
      <c r="M10" s="258"/>
      <c r="N10" s="258"/>
      <c r="O10" s="256"/>
    </row>
    <row r="11" spans="1:15" ht="48" x14ac:dyDescent="0.3">
      <c r="A11" s="174"/>
      <c r="B11" s="176" t="s">
        <v>315</v>
      </c>
      <c r="C11" s="177"/>
      <c r="D11" s="257"/>
      <c r="E11" s="257"/>
      <c r="F11" s="257"/>
      <c r="G11" s="257"/>
      <c r="H11" s="257"/>
      <c r="I11" s="257"/>
      <c r="J11" s="258"/>
      <c r="K11" s="693"/>
      <c r="L11" s="258"/>
      <c r="M11" s="258"/>
      <c r="N11" s="258"/>
      <c r="O11" s="256"/>
    </row>
    <row r="12" spans="1:15" x14ac:dyDescent="0.3">
      <c r="A12" s="174"/>
      <c r="B12" s="178" t="s">
        <v>316</v>
      </c>
      <c r="C12" s="177"/>
      <c r="D12" s="257"/>
      <c r="E12" s="257"/>
      <c r="F12" s="257"/>
      <c r="G12" s="257"/>
      <c r="H12" s="257"/>
      <c r="I12" s="257"/>
      <c r="J12" s="258"/>
      <c r="K12" s="693"/>
      <c r="L12" s="258"/>
      <c r="M12" s="258"/>
      <c r="N12" s="258"/>
      <c r="O12" s="256"/>
    </row>
    <row r="13" spans="1:15" x14ac:dyDescent="0.3">
      <c r="A13" s="174"/>
      <c r="B13" s="179"/>
      <c r="C13" s="177"/>
      <c r="D13" s="257"/>
      <c r="E13" s="257"/>
      <c r="F13" s="257"/>
      <c r="G13" s="257"/>
      <c r="H13" s="257"/>
      <c r="I13" s="257"/>
      <c r="J13" s="258"/>
      <c r="K13" s="693"/>
      <c r="L13" s="258"/>
      <c r="M13" s="258"/>
      <c r="N13" s="258"/>
      <c r="O13" s="256"/>
    </row>
    <row r="14" spans="1:15" x14ac:dyDescent="0.3">
      <c r="A14" s="180">
        <v>1.1000000000000001</v>
      </c>
      <c r="B14" s="178" t="s">
        <v>317</v>
      </c>
      <c r="C14" s="177"/>
      <c r="D14" s="257"/>
      <c r="E14" s="257"/>
      <c r="F14" s="257"/>
      <c r="G14" s="257"/>
      <c r="H14" s="257"/>
      <c r="I14" s="257"/>
      <c r="J14" s="258"/>
      <c r="K14" s="693"/>
      <c r="L14" s="258"/>
      <c r="M14" s="258"/>
      <c r="N14" s="258"/>
      <c r="O14" s="256"/>
    </row>
    <row r="15" spans="1:15" x14ac:dyDescent="0.3">
      <c r="A15" s="180"/>
      <c r="B15" s="178" t="s">
        <v>318</v>
      </c>
      <c r="C15" s="177"/>
      <c r="D15" s="257"/>
      <c r="E15" s="257"/>
      <c r="F15" s="257"/>
      <c r="G15" s="257"/>
      <c r="H15" s="257"/>
      <c r="I15" s="257"/>
      <c r="J15" s="258"/>
      <c r="K15" s="693"/>
      <c r="L15" s="258"/>
      <c r="M15" s="258"/>
      <c r="N15" s="258"/>
      <c r="O15" s="256"/>
    </row>
    <row r="16" spans="1:15" ht="48" x14ac:dyDescent="0.3">
      <c r="A16" s="180"/>
      <c r="B16" s="181" t="s">
        <v>583</v>
      </c>
      <c r="C16" s="177"/>
      <c r="D16" s="257"/>
      <c r="E16" s="257"/>
      <c r="F16" s="257"/>
      <c r="G16" s="257"/>
      <c r="H16" s="257"/>
      <c r="I16" s="257"/>
      <c r="J16" s="258"/>
      <c r="K16" s="693"/>
      <c r="L16" s="258"/>
      <c r="M16" s="258"/>
      <c r="N16" s="258"/>
      <c r="O16" s="256"/>
    </row>
    <row r="17" spans="1:15" x14ac:dyDescent="0.3">
      <c r="A17" s="180"/>
      <c r="B17" s="182" t="s">
        <v>319</v>
      </c>
      <c r="C17" s="177"/>
      <c r="D17" s="257"/>
      <c r="E17" s="257"/>
      <c r="F17" s="257"/>
      <c r="G17" s="257"/>
      <c r="H17" s="257"/>
      <c r="I17" s="257"/>
      <c r="J17" s="258"/>
      <c r="K17" s="693"/>
      <c r="L17" s="258"/>
      <c r="M17" s="258"/>
      <c r="N17" s="258"/>
      <c r="O17" s="256"/>
    </row>
    <row r="18" spans="1:15" ht="24" x14ac:dyDescent="0.3">
      <c r="A18" s="180"/>
      <c r="B18" s="183" t="s">
        <v>320</v>
      </c>
      <c r="C18" s="177"/>
      <c r="D18" s="257"/>
      <c r="E18" s="257"/>
      <c r="F18" s="257"/>
      <c r="G18" s="257"/>
      <c r="H18" s="257"/>
      <c r="I18" s="257"/>
      <c r="J18" s="258"/>
      <c r="K18" s="693"/>
      <c r="L18" s="258"/>
      <c r="M18" s="258"/>
      <c r="N18" s="258"/>
      <c r="O18" s="256"/>
    </row>
    <row r="19" spans="1:15" x14ac:dyDescent="0.3">
      <c r="A19" s="180"/>
      <c r="B19" s="181" t="s">
        <v>321</v>
      </c>
      <c r="C19" s="177"/>
      <c r="D19" s="257"/>
      <c r="E19" s="257"/>
      <c r="F19" s="257"/>
      <c r="G19" s="257"/>
      <c r="H19" s="257"/>
      <c r="I19" s="257"/>
      <c r="J19" s="258"/>
      <c r="K19" s="693"/>
      <c r="L19" s="258"/>
      <c r="M19" s="258"/>
      <c r="N19" s="258"/>
      <c r="O19" s="256"/>
    </row>
    <row r="20" spans="1:15" x14ac:dyDescent="0.3">
      <c r="A20" s="180"/>
      <c r="B20" s="181" t="s">
        <v>322</v>
      </c>
      <c r="C20" s="177"/>
      <c r="D20" s="257"/>
      <c r="E20" s="257"/>
      <c r="F20" s="257"/>
      <c r="G20" s="257"/>
      <c r="H20" s="257"/>
      <c r="I20" s="257"/>
      <c r="J20" s="258"/>
      <c r="K20" s="693"/>
      <c r="L20" s="258"/>
      <c r="M20" s="258"/>
      <c r="N20" s="258"/>
      <c r="O20" s="256"/>
    </row>
    <row r="21" spans="1:15" x14ac:dyDescent="0.3">
      <c r="A21" s="180"/>
      <c r="B21" s="184" t="s">
        <v>323</v>
      </c>
      <c r="C21" s="177"/>
      <c r="D21" s="257"/>
      <c r="E21" s="257"/>
      <c r="F21" s="257"/>
      <c r="G21" s="257"/>
      <c r="H21" s="257"/>
      <c r="I21" s="257"/>
      <c r="J21" s="258"/>
      <c r="K21" s="693"/>
      <c r="L21" s="258"/>
      <c r="M21" s="258"/>
      <c r="N21" s="258"/>
      <c r="O21" s="256"/>
    </row>
    <row r="22" spans="1:15" ht="60" x14ac:dyDescent="0.3">
      <c r="A22" s="180"/>
      <c r="B22" s="181" t="s">
        <v>584</v>
      </c>
      <c r="C22" s="177"/>
      <c r="D22" s="257"/>
      <c r="E22" s="257"/>
      <c r="F22" s="257"/>
      <c r="G22" s="257"/>
      <c r="H22" s="257"/>
      <c r="I22" s="257"/>
      <c r="J22" s="258"/>
      <c r="K22" s="693"/>
      <c r="L22" s="258"/>
      <c r="M22" s="258"/>
      <c r="N22" s="258"/>
      <c r="O22" s="256"/>
    </row>
    <row r="23" spans="1:15" x14ac:dyDescent="0.3">
      <c r="A23" s="180"/>
      <c r="B23" s="185" t="s">
        <v>324</v>
      </c>
      <c r="C23" s="177"/>
      <c r="D23" s="257"/>
      <c r="E23" s="257"/>
      <c r="F23" s="257"/>
      <c r="G23" s="257"/>
      <c r="H23" s="257"/>
      <c r="I23" s="257"/>
      <c r="J23" s="258"/>
      <c r="K23" s="693"/>
      <c r="L23" s="258"/>
      <c r="M23" s="258"/>
      <c r="N23" s="258"/>
      <c r="O23" s="256"/>
    </row>
    <row r="24" spans="1:15" x14ac:dyDescent="0.3">
      <c r="A24" s="180"/>
      <c r="B24" s="181" t="s">
        <v>325</v>
      </c>
      <c r="C24" s="177"/>
      <c r="D24" s="257"/>
      <c r="E24" s="257"/>
      <c r="F24" s="257"/>
      <c r="G24" s="257"/>
      <c r="H24" s="257"/>
      <c r="I24" s="257"/>
      <c r="J24" s="258"/>
      <c r="K24" s="693"/>
      <c r="L24" s="258"/>
      <c r="M24" s="258"/>
      <c r="N24" s="258"/>
      <c r="O24" s="256"/>
    </row>
    <row r="25" spans="1:15" x14ac:dyDescent="0.3">
      <c r="A25" s="180"/>
      <c r="B25" s="181" t="s">
        <v>326</v>
      </c>
      <c r="C25" s="177"/>
      <c r="D25" s="257"/>
      <c r="E25" s="257"/>
      <c r="F25" s="257"/>
      <c r="G25" s="257"/>
      <c r="H25" s="257"/>
      <c r="I25" s="257"/>
      <c r="J25" s="258"/>
      <c r="K25" s="693"/>
      <c r="L25" s="258"/>
      <c r="M25" s="258"/>
      <c r="N25" s="258"/>
      <c r="O25" s="256"/>
    </row>
    <row r="26" spans="1:15" x14ac:dyDescent="0.3">
      <c r="A26" s="180"/>
      <c r="B26" s="181" t="s">
        <v>327</v>
      </c>
      <c r="C26" s="177"/>
      <c r="D26" s="257"/>
      <c r="E26" s="257"/>
      <c r="F26" s="257"/>
      <c r="G26" s="257"/>
      <c r="H26" s="257"/>
      <c r="I26" s="257"/>
      <c r="J26" s="258"/>
      <c r="K26" s="693"/>
      <c r="L26" s="258"/>
      <c r="M26" s="258"/>
      <c r="N26" s="258"/>
      <c r="O26" s="256"/>
    </row>
    <row r="27" spans="1:15" x14ac:dyDescent="0.3">
      <c r="A27" s="180"/>
      <c r="B27" s="181" t="s">
        <v>328</v>
      </c>
      <c r="C27" s="177"/>
      <c r="D27" s="257"/>
      <c r="E27" s="257"/>
      <c r="F27" s="257"/>
      <c r="G27" s="257"/>
      <c r="H27" s="257"/>
      <c r="I27" s="257"/>
      <c r="J27" s="258"/>
      <c r="K27" s="693"/>
      <c r="L27" s="258"/>
      <c r="M27" s="258"/>
      <c r="N27" s="258"/>
      <c r="O27" s="256"/>
    </row>
    <row r="28" spans="1:15" ht="60" x14ac:dyDescent="0.3">
      <c r="A28" s="180"/>
      <c r="B28" s="176" t="s">
        <v>585</v>
      </c>
      <c r="C28" s="177"/>
      <c r="D28" s="257"/>
      <c r="E28" s="257"/>
      <c r="F28" s="257"/>
      <c r="G28" s="257"/>
      <c r="H28" s="257"/>
      <c r="I28" s="257"/>
      <c r="J28" s="258"/>
      <c r="K28" s="693"/>
      <c r="L28" s="258"/>
      <c r="M28" s="258"/>
      <c r="N28" s="258"/>
      <c r="O28" s="256"/>
    </row>
    <row r="29" spans="1:15" ht="60" x14ac:dyDescent="0.3">
      <c r="A29" s="180"/>
      <c r="B29" s="176" t="s">
        <v>586</v>
      </c>
      <c r="C29" s="177"/>
      <c r="D29" s="257"/>
      <c r="E29" s="257"/>
      <c r="F29" s="257"/>
      <c r="G29" s="257"/>
      <c r="H29" s="257"/>
      <c r="I29" s="257"/>
      <c r="J29" s="258"/>
      <c r="K29" s="693"/>
      <c r="L29" s="258"/>
      <c r="M29" s="258"/>
      <c r="N29" s="258"/>
      <c r="O29" s="256"/>
    </row>
    <row r="30" spans="1:15" ht="120" x14ac:dyDescent="0.3">
      <c r="A30" s="180"/>
      <c r="B30" s="186" t="s">
        <v>587</v>
      </c>
      <c r="C30" s="177"/>
      <c r="D30" s="257"/>
      <c r="E30" s="257"/>
      <c r="F30" s="257"/>
      <c r="G30" s="257"/>
      <c r="H30" s="257"/>
      <c r="I30" s="257"/>
      <c r="J30" s="258"/>
      <c r="K30" s="693"/>
      <c r="L30" s="258"/>
      <c r="M30" s="258"/>
      <c r="N30" s="258"/>
      <c r="O30" s="256"/>
    </row>
    <row r="31" spans="1:15" x14ac:dyDescent="0.3">
      <c r="A31" s="180"/>
      <c r="B31" s="186"/>
      <c r="C31" s="177"/>
      <c r="D31" s="257"/>
      <c r="E31" s="257"/>
      <c r="F31" s="257"/>
      <c r="G31" s="257"/>
      <c r="H31" s="257"/>
      <c r="I31" s="257"/>
      <c r="J31" s="258"/>
      <c r="K31" s="693"/>
      <c r="L31" s="258"/>
      <c r="M31" s="258"/>
      <c r="N31" s="258"/>
      <c r="O31" s="256"/>
    </row>
    <row r="32" spans="1:15" ht="36" x14ac:dyDescent="0.3">
      <c r="A32" s="187" t="s">
        <v>329</v>
      </c>
      <c r="B32" s="176" t="s">
        <v>330</v>
      </c>
      <c r="C32" s="177"/>
      <c r="D32" s="257"/>
      <c r="E32" s="257"/>
      <c r="F32" s="257"/>
      <c r="G32" s="257"/>
      <c r="H32" s="257"/>
      <c r="I32" s="257"/>
      <c r="J32" s="258"/>
      <c r="K32" s="693"/>
      <c r="L32" s="258"/>
      <c r="M32" s="258"/>
      <c r="N32" s="258"/>
      <c r="O32" s="256"/>
    </row>
    <row r="33" spans="1:16" ht="48" x14ac:dyDescent="0.3">
      <c r="A33" s="187"/>
      <c r="B33" s="176" t="s">
        <v>331</v>
      </c>
      <c r="C33" s="177"/>
      <c r="D33" s="257"/>
      <c r="E33" s="257"/>
      <c r="F33" s="257"/>
      <c r="G33" s="257"/>
      <c r="H33" s="257"/>
      <c r="I33" s="257"/>
      <c r="J33" s="258"/>
      <c r="K33" s="693"/>
      <c r="L33" s="258"/>
      <c r="M33" s="258"/>
      <c r="N33" s="258"/>
      <c r="O33" s="256"/>
    </row>
    <row r="34" spans="1:16" x14ac:dyDescent="0.3">
      <c r="A34" s="187"/>
      <c r="B34" s="188" t="s">
        <v>332</v>
      </c>
      <c r="C34" s="177"/>
      <c r="D34" s="257"/>
      <c r="E34" s="257"/>
      <c r="F34" s="257"/>
      <c r="G34" s="257"/>
      <c r="H34" s="257"/>
      <c r="I34" s="257"/>
      <c r="J34" s="258"/>
      <c r="K34" s="693"/>
      <c r="L34" s="258"/>
      <c r="M34" s="258"/>
      <c r="N34" s="258"/>
      <c r="O34" s="256"/>
    </row>
    <row r="35" spans="1:16" x14ac:dyDescent="0.3">
      <c r="A35" s="180"/>
      <c r="B35" s="178" t="s">
        <v>333</v>
      </c>
      <c r="C35" s="177" t="s">
        <v>334</v>
      </c>
      <c r="D35" s="257">
        <v>1</v>
      </c>
      <c r="E35" s="257">
        <v>296534</v>
      </c>
      <c r="F35" s="258">
        <f>$D35*E35</f>
        <v>296534</v>
      </c>
      <c r="G35" s="258">
        <f>D35</f>
        <v>1</v>
      </c>
      <c r="H35" s="257">
        <v>1</v>
      </c>
      <c r="I35" s="258">
        <f>J35-G35</f>
        <v>0</v>
      </c>
      <c r="J35" s="258">
        <f>'Elec Mb'!H5</f>
        <v>1</v>
      </c>
      <c r="K35" s="694">
        <v>1</v>
      </c>
      <c r="L35" s="258">
        <f>E35*G35*H35</f>
        <v>296534</v>
      </c>
      <c r="M35" s="258">
        <f>N35-L35</f>
        <v>0</v>
      </c>
      <c r="N35" s="258">
        <f>E35*J35*K35</f>
        <v>296534</v>
      </c>
      <c r="O35" s="256"/>
    </row>
    <row r="36" spans="1:16" x14ac:dyDescent="0.3">
      <c r="A36" s="180"/>
      <c r="B36" s="178"/>
      <c r="C36" s="177"/>
      <c r="D36" s="257"/>
      <c r="E36" s="257"/>
      <c r="F36" s="258"/>
      <c r="G36" s="258"/>
      <c r="H36" s="257"/>
      <c r="I36" s="258"/>
      <c r="J36" s="258"/>
      <c r="K36" s="694"/>
      <c r="L36" s="258"/>
      <c r="M36" s="258"/>
      <c r="N36" s="258"/>
      <c r="O36" s="256"/>
    </row>
    <row r="37" spans="1:16" x14ac:dyDescent="0.3">
      <c r="A37" s="180"/>
      <c r="B37" s="189" t="s">
        <v>335</v>
      </c>
      <c r="C37" s="177"/>
      <c r="D37" s="257"/>
      <c r="E37" s="257"/>
      <c r="F37" s="258"/>
      <c r="G37" s="258"/>
      <c r="H37" s="257"/>
      <c r="I37" s="258"/>
      <c r="J37" s="258"/>
      <c r="K37" s="694"/>
      <c r="L37" s="258"/>
      <c r="M37" s="258"/>
      <c r="N37" s="258"/>
      <c r="O37" s="256"/>
    </row>
    <row r="38" spans="1:16" x14ac:dyDescent="0.3">
      <c r="A38" s="180"/>
      <c r="B38" s="178"/>
      <c r="C38" s="177"/>
      <c r="D38" s="257"/>
      <c r="E38" s="257"/>
      <c r="F38" s="258"/>
      <c r="G38" s="258"/>
      <c r="H38" s="257"/>
      <c r="I38" s="258"/>
      <c r="J38" s="258"/>
      <c r="K38" s="694"/>
      <c r="L38" s="258"/>
      <c r="M38" s="258"/>
      <c r="N38" s="258"/>
      <c r="O38" s="256"/>
    </row>
    <row r="39" spans="1:16" x14ac:dyDescent="0.3">
      <c r="A39" s="180">
        <v>4</v>
      </c>
      <c r="B39" s="178" t="s">
        <v>336</v>
      </c>
      <c r="C39" s="177"/>
      <c r="D39" s="257"/>
      <c r="E39" s="257"/>
      <c r="F39" s="257"/>
      <c r="G39" s="258"/>
      <c r="H39" s="257"/>
      <c r="I39" s="258"/>
      <c r="J39" s="258"/>
      <c r="K39" s="694"/>
      <c r="L39" s="258"/>
      <c r="M39" s="258"/>
      <c r="N39" s="258"/>
      <c r="O39" s="256"/>
    </row>
    <row r="40" spans="1:16" ht="60" x14ac:dyDescent="0.3">
      <c r="A40" s="180"/>
      <c r="B40" s="179" t="s">
        <v>337</v>
      </c>
      <c r="C40" s="177"/>
      <c r="D40" s="257"/>
      <c r="E40" s="257"/>
      <c r="F40" s="257"/>
      <c r="G40" s="258"/>
      <c r="H40" s="257"/>
      <c r="I40" s="258"/>
      <c r="J40" s="258"/>
      <c r="K40" s="694"/>
      <c r="L40" s="258"/>
      <c r="M40" s="258"/>
      <c r="N40" s="258"/>
      <c r="O40" s="256"/>
    </row>
    <row r="41" spans="1:16" x14ac:dyDescent="0.3">
      <c r="A41" s="180"/>
      <c r="B41" s="179"/>
      <c r="C41" s="177"/>
      <c r="D41" s="257"/>
      <c r="E41" s="257"/>
      <c r="F41" s="257"/>
      <c r="G41" s="258"/>
      <c r="H41" s="257"/>
      <c r="I41" s="258">
        <f t="shared" ref="I41:I99" si="0">J41-G41</f>
        <v>0</v>
      </c>
      <c r="J41" s="258"/>
      <c r="K41" s="694"/>
      <c r="L41" s="258">
        <f t="shared" ref="L41:L99" si="1">E41*G41*H41</f>
        <v>0</v>
      </c>
      <c r="M41" s="258">
        <f t="shared" ref="M41:M99" si="2">N41-L41</f>
        <v>0</v>
      </c>
      <c r="N41" s="258">
        <f t="shared" ref="N41:N99" si="3">E41*J41*K41</f>
        <v>0</v>
      </c>
      <c r="O41" s="256"/>
    </row>
    <row r="42" spans="1:16" x14ac:dyDescent="0.3">
      <c r="A42" s="180">
        <f>A39+0.1</f>
        <v>4.0999999999999996</v>
      </c>
      <c r="B42" s="179" t="s">
        <v>338</v>
      </c>
      <c r="C42" s="177" t="s">
        <v>339</v>
      </c>
      <c r="D42" s="257">
        <v>50</v>
      </c>
      <c r="E42" s="259">
        <v>734</v>
      </c>
      <c r="F42" s="257">
        <f t="shared" ref="F42:F47" si="4">$D42*E42</f>
        <v>36700</v>
      </c>
      <c r="G42" s="258">
        <f t="shared" ref="G42:G47" si="5">D42</f>
        <v>50</v>
      </c>
      <c r="H42" s="259">
        <v>0</v>
      </c>
      <c r="I42" s="258">
        <f t="shared" si="0"/>
        <v>-50</v>
      </c>
      <c r="J42" s="258">
        <f>'Elec Mb'!H9</f>
        <v>0</v>
      </c>
      <c r="K42" s="695">
        <v>0</v>
      </c>
      <c r="L42" s="258">
        <f t="shared" si="1"/>
        <v>0</v>
      </c>
      <c r="M42" s="258">
        <f t="shared" si="2"/>
        <v>0</v>
      </c>
      <c r="N42" s="258">
        <f t="shared" si="3"/>
        <v>0</v>
      </c>
      <c r="O42" s="256"/>
    </row>
    <row r="43" spans="1:16" x14ac:dyDescent="0.3">
      <c r="A43" s="180">
        <f t="shared" ref="A43:A47" si="6">A42+0.1</f>
        <v>4.1999999999999993</v>
      </c>
      <c r="B43" s="179" t="s">
        <v>340</v>
      </c>
      <c r="C43" s="177" t="s">
        <v>339</v>
      </c>
      <c r="D43" s="257">
        <v>20</v>
      </c>
      <c r="E43" s="259">
        <v>323</v>
      </c>
      <c r="F43" s="257">
        <f t="shared" si="4"/>
        <v>6460</v>
      </c>
      <c r="G43" s="258">
        <f t="shared" si="5"/>
        <v>20</v>
      </c>
      <c r="H43" s="259">
        <v>0.7</v>
      </c>
      <c r="I43" s="258">
        <f t="shared" si="0"/>
        <v>-20</v>
      </c>
      <c r="J43" s="258">
        <f>'Elec Mb'!H10</f>
        <v>0</v>
      </c>
      <c r="K43" s="695">
        <v>0</v>
      </c>
      <c r="L43" s="258">
        <f t="shared" si="1"/>
        <v>4522</v>
      </c>
      <c r="M43" s="258">
        <f t="shared" si="2"/>
        <v>-4522</v>
      </c>
      <c r="N43" s="258">
        <f t="shared" si="3"/>
        <v>0</v>
      </c>
      <c r="O43" s="191"/>
      <c r="P43" s="191">
        <f>I43+K43</f>
        <v>-20</v>
      </c>
    </row>
    <row r="44" spans="1:16" x14ac:dyDescent="0.3">
      <c r="A44" s="180">
        <f t="shared" si="6"/>
        <v>4.2999999999999989</v>
      </c>
      <c r="B44" s="179" t="s">
        <v>341</v>
      </c>
      <c r="C44" s="177" t="s">
        <v>339</v>
      </c>
      <c r="D44" s="257">
        <v>30</v>
      </c>
      <c r="E44" s="259">
        <v>291</v>
      </c>
      <c r="F44" s="257">
        <f t="shared" si="4"/>
        <v>8730</v>
      </c>
      <c r="G44" s="258">
        <f t="shared" si="5"/>
        <v>30</v>
      </c>
      <c r="H44" s="259">
        <v>0.7</v>
      </c>
      <c r="I44" s="258">
        <f t="shared" si="0"/>
        <v>50</v>
      </c>
      <c r="J44" s="258">
        <f>'Elec Mb'!H18</f>
        <v>80</v>
      </c>
      <c r="K44" s="695">
        <v>1</v>
      </c>
      <c r="L44" s="258">
        <f t="shared" si="1"/>
        <v>6111</v>
      </c>
      <c r="M44" s="258">
        <f t="shared" si="2"/>
        <v>17169</v>
      </c>
      <c r="N44" s="258">
        <f t="shared" si="3"/>
        <v>23280</v>
      </c>
      <c r="O44" s="191"/>
      <c r="P44" s="191">
        <f t="shared" ref="P44:P107" si="7">I44+K44</f>
        <v>51</v>
      </c>
    </row>
    <row r="45" spans="1:16" x14ac:dyDescent="0.3">
      <c r="A45" s="180">
        <f t="shared" si="6"/>
        <v>4.3999999999999986</v>
      </c>
      <c r="B45" s="179" t="s">
        <v>342</v>
      </c>
      <c r="C45" s="177" t="s">
        <v>339</v>
      </c>
      <c r="D45" s="257">
        <v>40</v>
      </c>
      <c r="E45" s="259">
        <v>653</v>
      </c>
      <c r="F45" s="257">
        <f t="shared" si="4"/>
        <v>26120</v>
      </c>
      <c r="G45" s="258">
        <f t="shared" si="5"/>
        <v>40</v>
      </c>
      <c r="H45" s="259">
        <v>0.7</v>
      </c>
      <c r="I45" s="258">
        <f t="shared" si="0"/>
        <v>20</v>
      </c>
      <c r="J45" s="258">
        <f>'Elec Mb'!H23</f>
        <v>60</v>
      </c>
      <c r="K45" s="695">
        <v>1</v>
      </c>
      <c r="L45" s="258">
        <f t="shared" si="1"/>
        <v>18284</v>
      </c>
      <c r="M45" s="258">
        <f t="shared" si="2"/>
        <v>20896</v>
      </c>
      <c r="N45" s="258">
        <f t="shared" si="3"/>
        <v>39180</v>
      </c>
      <c r="O45" s="191"/>
      <c r="P45" s="191">
        <f t="shared" si="7"/>
        <v>21</v>
      </c>
    </row>
    <row r="46" spans="1:16" x14ac:dyDescent="0.3">
      <c r="A46" s="180">
        <f t="shared" si="6"/>
        <v>4.4999999999999982</v>
      </c>
      <c r="B46" s="179" t="s">
        <v>343</v>
      </c>
      <c r="C46" s="177" t="s">
        <v>339</v>
      </c>
      <c r="D46" s="257">
        <v>45</v>
      </c>
      <c r="E46" s="259">
        <v>312</v>
      </c>
      <c r="F46" s="257">
        <f t="shared" si="4"/>
        <v>14040</v>
      </c>
      <c r="G46" s="258">
        <f t="shared" si="5"/>
        <v>45</v>
      </c>
      <c r="H46" s="259">
        <v>0.7</v>
      </c>
      <c r="I46" s="258">
        <f t="shared" si="0"/>
        <v>2</v>
      </c>
      <c r="J46" s="258">
        <f>'Elec Mb'!H33</f>
        <v>47</v>
      </c>
      <c r="K46" s="695">
        <v>1</v>
      </c>
      <c r="L46" s="258">
        <f t="shared" si="1"/>
        <v>9828</v>
      </c>
      <c r="M46" s="258">
        <f t="shared" si="2"/>
        <v>4836</v>
      </c>
      <c r="N46" s="258">
        <f t="shared" si="3"/>
        <v>14664</v>
      </c>
      <c r="O46" s="191"/>
      <c r="P46" s="191">
        <f t="shared" si="7"/>
        <v>3</v>
      </c>
    </row>
    <row r="47" spans="1:16" x14ac:dyDescent="0.3">
      <c r="A47" s="180">
        <f t="shared" si="6"/>
        <v>4.5999999999999979</v>
      </c>
      <c r="B47" s="179" t="s">
        <v>344</v>
      </c>
      <c r="C47" s="177" t="s">
        <v>339</v>
      </c>
      <c r="D47" s="257">
        <v>30</v>
      </c>
      <c r="E47" s="259">
        <v>363</v>
      </c>
      <c r="F47" s="257">
        <f t="shared" si="4"/>
        <v>10890</v>
      </c>
      <c r="G47" s="258">
        <f t="shared" si="5"/>
        <v>30</v>
      </c>
      <c r="H47" s="259">
        <v>0.7</v>
      </c>
      <c r="I47" s="258">
        <f t="shared" si="0"/>
        <v>10</v>
      </c>
      <c r="J47" s="258">
        <f>'Elec Mb'!H41</f>
        <v>40</v>
      </c>
      <c r="K47" s="695">
        <v>1</v>
      </c>
      <c r="L47" s="258">
        <f t="shared" si="1"/>
        <v>7622.9999999999991</v>
      </c>
      <c r="M47" s="258">
        <f t="shared" si="2"/>
        <v>6897.0000000000009</v>
      </c>
      <c r="N47" s="258">
        <f t="shared" si="3"/>
        <v>14520</v>
      </c>
      <c r="O47" s="191"/>
      <c r="P47" s="191">
        <f t="shared" si="7"/>
        <v>11</v>
      </c>
    </row>
    <row r="48" spans="1:16" x14ac:dyDescent="0.3">
      <c r="A48" s="180"/>
      <c r="B48" s="179"/>
      <c r="C48" s="177"/>
      <c r="D48" s="257"/>
      <c r="E48" s="259"/>
      <c r="F48" s="257"/>
      <c r="G48" s="258"/>
      <c r="H48" s="259"/>
      <c r="I48" s="258">
        <f t="shared" si="0"/>
        <v>0</v>
      </c>
      <c r="J48" s="258"/>
      <c r="K48" s="695"/>
      <c r="L48" s="258">
        <f t="shared" si="1"/>
        <v>0</v>
      </c>
      <c r="M48" s="258">
        <f t="shared" si="2"/>
        <v>0</v>
      </c>
      <c r="N48" s="258">
        <f t="shared" si="3"/>
        <v>0</v>
      </c>
      <c r="O48" s="191"/>
      <c r="P48" s="191">
        <f t="shared" si="7"/>
        <v>0</v>
      </c>
    </row>
    <row r="49" spans="1:16" ht="48" x14ac:dyDescent="0.3">
      <c r="A49" s="180">
        <f>A39+1</f>
        <v>5</v>
      </c>
      <c r="B49" s="179" t="s">
        <v>345</v>
      </c>
      <c r="C49" s="177"/>
      <c r="D49" s="257"/>
      <c r="E49" s="257"/>
      <c r="F49" s="257"/>
      <c r="G49" s="258"/>
      <c r="H49" s="257"/>
      <c r="I49" s="258">
        <f t="shared" si="0"/>
        <v>0</v>
      </c>
      <c r="J49" s="258"/>
      <c r="K49" s="694"/>
      <c r="L49" s="258">
        <f t="shared" si="1"/>
        <v>0</v>
      </c>
      <c r="M49" s="258">
        <f t="shared" si="2"/>
        <v>0</v>
      </c>
      <c r="N49" s="258">
        <f t="shared" si="3"/>
        <v>0</v>
      </c>
      <c r="O49" s="191"/>
      <c r="P49" s="191">
        <f t="shared" si="7"/>
        <v>0</v>
      </c>
    </row>
    <row r="50" spans="1:16" x14ac:dyDescent="0.3">
      <c r="A50" s="180">
        <f>A49+0.1</f>
        <v>5.0999999999999996</v>
      </c>
      <c r="B50" s="179" t="s">
        <v>346</v>
      </c>
      <c r="C50" s="177" t="s">
        <v>347</v>
      </c>
      <c r="D50" s="257">
        <v>28</v>
      </c>
      <c r="E50" s="257">
        <v>1302</v>
      </c>
      <c r="F50" s="257">
        <f t="shared" ref="F50:F53" si="8">$D50*E50</f>
        <v>36456</v>
      </c>
      <c r="G50" s="258">
        <f t="shared" ref="G50:G113" si="9">D50</f>
        <v>28</v>
      </c>
      <c r="H50" s="257">
        <v>0.7</v>
      </c>
      <c r="I50" s="258">
        <f t="shared" si="0"/>
        <v>-28</v>
      </c>
      <c r="J50" s="258">
        <f>'Elec Mb'!H44</f>
        <v>0</v>
      </c>
      <c r="K50" s="694">
        <v>0</v>
      </c>
      <c r="L50" s="258">
        <f t="shared" si="1"/>
        <v>25519.199999999997</v>
      </c>
      <c r="M50" s="258">
        <f t="shared" si="2"/>
        <v>-25519.199999999997</v>
      </c>
      <c r="N50" s="258">
        <f t="shared" si="3"/>
        <v>0</v>
      </c>
      <c r="O50" s="191"/>
      <c r="P50" s="191">
        <f t="shared" si="7"/>
        <v>-28</v>
      </c>
    </row>
    <row r="51" spans="1:16" x14ac:dyDescent="0.3">
      <c r="A51" s="180">
        <f>A50+0.1</f>
        <v>5.1999999999999993</v>
      </c>
      <c r="B51" s="179" t="s">
        <v>348</v>
      </c>
      <c r="C51" s="177" t="s">
        <v>347</v>
      </c>
      <c r="D51" s="257">
        <v>52</v>
      </c>
      <c r="E51" s="257">
        <v>655</v>
      </c>
      <c r="F51" s="257">
        <f t="shared" si="8"/>
        <v>34060</v>
      </c>
      <c r="G51" s="258">
        <f t="shared" si="9"/>
        <v>52</v>
      </c>
      <c r="H51" s="257">
        <v>0.7</v>
      </c>
      <c r="I51" s="258">
        <f t="shared" si="0"/>
        <v>-52</v>
      </c>
      <c r="J51" s="258">
        <f>'Elec Mb'!H45</f>
        <v>0</v>
      </c>
      <c r="K51" s="694">
        <v>0</v>
      </c>
      <c r="L51" s="258">
        <f t="shared" si="1"/>
        <v>23842</v>
      </c>
      <c r="M51" s="258">
        <f t="shared" si="2"/>
        <v>-23842</v>
      </c>
      <c r="N51" s="258">
        <f t="shared" si="3"/>
        <v>0</v>
      </c>
      <c r="O51" s="191"/>
      <c r="P51" s="191">
        <f t="shared" si="7"/>
        <v>-52</v>
      </c>
    </row>
    <row r="52" spans="1:16" x14ac:dyDescent="0.3">
      <c r="A52" s="180">
        <f>A51+0.1</f>
        <v>5.2999999999999989</v>
      </c>
      <c r="B52" s="179" t="s">
        <v>349</v>
      </c>
      <c r="C52" s="177" t="s">
        <v>347</v>
      </c>
      <c r="D52" s="257">
        <v>48</v>
      </c>
      <c r="E52" s="257">
        <v>456</v>
      </c>
      <c r="F52" s="257">
        <f t="shared" si="8"/>
        <v>21888</v>
      </c>
      <c r="G52" s="258">
        <f t="shared" si="9"/>
        <v>48</v>
      </c>
      <c r="H52" s="257">
        <v>0.7</v>
      </c>
      <c r="I52" s="258">
        <f t="shared" si="0"/>
        <v>-48</v>
      </c>
      <c r="J52" s="258">
        <f>'Elec Mb'!H46</f>
        <v>0</v>
      </c>
      <c r="K52" s="694">
        <v>0</v>
      </c>
      <c r="L52" s="258">
        <f t="shared" si="1"/>
        <v>15321.599999999999</v>
      </c>
      <c r="M52" s="258">
        <f t="shared" si="2"/>
        <v>-15321.599999999999</v>
      </c>
      <c r="N52" s="258">
        <f t="shared" si="3"/>
        <v>0</v>
      </c>
      <c r="O52" s="191"/>
      <c r="P52" s="191">
        <f t="shared" si="7"/>
        <v>-48</v>
      </c>
    </row>
    <row r="53" spans="1:16" x14ac:dyDescent="0.3">
      <c r="A53" s="180">
        <f>A52+0.1</f>
        <v>5.3999999999999986</v>
      </c>
      <c r="B53" s="179" t="s">
        <v>350</v>
      </c>
      <c r="C53" s="177" t="s">
        <v>347</v>
      </c>
      <c r="D53" s="257">
        <v>40</v>
      </c>
      <c r="E53" s="257">
        <v>580</v>
      </c>
      <c r="F53" s="257">
        <f t="shared" si="8"/>
        <v>23200</v>
      </c>
      <c r="G53" s="258">
        <f t="shared" si="9"/>
        <v>40</v>
      </c>
      <c r="H53" s="257">
        <v>0.7</v>
      </c>
      <c r="I53" s="258">
        <f t="shared" si="0"/>
        <v>-40</v>
      </c>
      <c r="J53" s="258">
        <f>'Elec Mb'!H47</f>
        <v>0</v>
      </c>
      <c r="K53" s="694">
        <v>0</v>
      </c>
      <c r="L53" s="258">
        <f t="shared" si="1"/>
        <v>16239.999999999998</v>
      </c>
      <c r="M53" s="258">
        <f t="shared" si="2"/>
        <v>-16239.999999999998</v>
      </c>
      <c r="N53" s="258">
        <f t="shared" si="3"/>
        <v>0</v>
      </c>
      <c r="O53" s="191"/>
      <c r="P53" s="191">
        <f t="shared" si="7"/>
        <v>-40</v>
      </c>
    </row>
    <row r="54" spans="1:16" x14ac:dyDescent="0.3">
      <c r="A54" s="180"/>
      <c r="B54" s="179"/>
      <c r="C54" s="177"/>
      <c r="D54" s="257"/>
      <c r="E54" s="257"/>
      <c r="F54" s="257"/>
      <c r="G54" s="258">
        <f t="shared" si="9"/>
        <v>0</v>
      </c>
      <c r="H54" s="257"/>
      <c r="I54" s="258">
        <f t="shared" si="0"/>
        <v>0</v>
      </c>
      <c r="J54" s="258"/>
      <c r="K54" s="694"/>
      <c r="L54" s="258">
        <f t="shared" si="1"/>
        <v>0</v>
      </c>
      <c r="M54" s="258">
        <f t="shared" si="2"/>
        <v>0</v>
      </c>
      <c r="N54" s="258">
        <f t="shared" si="3"/>
        <v>0</v>
      </c>
      <c r="O54" s="191"/>
      <c r="P54" s="191">
        <f t="shared" si="7"/>
        <v>0</v>
      </c>
    </row>
    <row r="55" spans="1:16" ht="36" x14ac:dyDescent="0.3">
      <c r="A55" s="180">
        <v>6</v>
      </c>
      <c r="B55" s="179" t="s">
        <v>351</v>
      </c>
      <c r="C55" s="177"/>
      <c r="D55" s="257"/>
      <c r="E55" s="257"/>
      <c r="F55" s="257"/>
      <c r="G55" s="258">
        <f t="shared" si="9"/>
        <v>0</v>
      </c>
      <c r="H55" s="257"/>
      <c r="I55" s="258">
        <f t="shared" si="0"/>
        <v>0</v>
      </c>
      <c r="J55" s="258"/>
      <c r="K55" s="694"/>
      <c r="L55" s="258">
        <f t="shared" si="1"/>
        <v>0</v>
      </c>
      <c r="M55" s="258">
        <f t="shared" si="2"/>
        <v>0</v>
      </c>
      <c r="N55" s="258">
        <f t="shared" si="3"/>
        <v>0</v>
      </c>
      <c r="O55" s="191"/>
      <c r="P55" s="191">
        <f t="shared" si="7"/>
        <v>0</v>
      </c>
    </row>
    <row r="56" spans="1:16" x14ac:dyDescent="0.3">
      <c r="A56" s="180">
        <f>A55+0.1</f>
        <v>6.1</v>
      </c>
      <c r="B56" s="176" t="s">
        <v>352</v>
      </c>
      <c r="C56" s="177" t="s">
        <v>347</v>
      </c>
      <c r="D56" s="257">
        <v>50</v>
      </c>
      <c r="E56" s="257">
        <v>165</v>
      </c>
      <c r="F56" s="257">
        <f t="shared" ref="F56:F57" si="10">$D56*E56</f>
        <v>8250</v>
      </c>
      <c r="G56" s="258">
        <f t="shared" si="9"/>
        <v>50</v>
      </c>
      <c r="H56" s="257">
        <v>1</v>
      </c>
      <c r="I56" s="258">
        <f t="shared" si="0"/>
        <v>-50</v>
      </c>
      <c r="J56" s="258">
        <f>'Elec Mb'!H50</f>
        <v>0</v>
      </c>
      <c r="K56" s="694">
        <v>0</v>
      </c>
      <c r="L56" s="258">
        <f t="shared" si="1"/>
        <v>8250</v>
      </c>
      <c r="M56" s="258">
        <f t="shared" si="2"/>
        <v>-8250</v>
      </c>
      <c r="N56" s="258">
        <f t="shared" si="3"/>
        <v>0</v>
      </c>
      <c r="O56" s="191"/>
      <c r="P56" s="191">
        <f t="shared" si="7"/>
        <v>-50</v>
      </c>
    </row>
    <row r="57" spans="1:16" x14ac:dyDescent="0.3">
      <c r="A57" s="180">
        <f>A56+0.1</f>
        <v>6.1999999999999993</v>
      </c>
      <c r="B57" s="176" t="s">
        <v>353</v>
      </c>
      <c r="C57" s="177" t="s">
        <v>347</v>
      </c>
      <c r="D57" s="257">
        <v>75</v>
      </c>
      <c r="E57" s="257">
        <v>180</v>
      </c>
      <c r="F57" s="257">
        <f t="shared" si="10"/>
        <v>13500</v>
      </c>
      <c r="G57" s="258">
        <f t="shared" si="9"/>
        <v>75</v>
      </c>
      <c r="H57" s="257">
        <v>1</v>
      </c>
      <c r="I57" s="258">
        <f t="shared" si="0"/>
        <v>225</v>
      </c>
      <c r="J57" s="258">
        <f>'Elec Mb'!H54</f>
        <v>300</v>
      </c>
      <c r="K57" s="694">
        <v>1</v>
      </c>
      <c r="L57" s="258">
        <f t="shared" si="1"/>
        <v>13500</v>
      </c>
      <c r="M57" s="258">
        <f t="shared" si="2"/>
        <v>40500</v>
      </c>
      <c r="N57" s="258">
        <f t="shared" si="3"/>
        <v>54000</v>
      </c>
      <c r="O57" s="191"/>
      <c r="P57" s="191">
        <f t="shared" si="7"/>
        <v>226</v>
      </c>
    </row>
    <row r="58" spans="1:16" x14ac:dyDescent="0.3">
      <c r="A58" s="190"/>
      <c r="B58" s="176"/>
      <c r="C58" s="177"/>
      <c r="D58" s="257"/>
      <c r="E58" s="257"/>
      <c r="F58" s="257"/>
      <c r="G58" s="258">
        <f t="shared" si="9"/>
        <v>0</v>
      </c>
      <c r="H58" s="257"/>
      <c r="I58" s="258">
        <f t="shared" si="0"/>
        <v>0</v>
      </c>
      <c r="J58" s="258"/>
      <c r="K58" s="694"/>
      <c r="L58" s="258">
        <f t="shared" si="1"/>
        <v>0</v>
      </c>
      <c r="M58" s="258">
        <f t="shared" si="2"/>
        <v>0</v>
      </c>
      <c r="N58" s="258">
        <f t="shared" si="3"/>
        <v>0</v>
      </c>
      <c r="O58" s="191"/>
      <c r="P58" s="191">
        <f t="shared" si="7"/>
        <v>0</v>
      </c>
    </row>
    <row r="59" spans="1:16" ht="72" x14ac:dyDescent="0.3">
      <c r="A59" s="190">
        <v>7</v>
      </c>
      <c r="B59" s="179" t="s">
        <v>588</v>
      </c>
      <c r="C59" s="177"/>
      <c r="D59" s="257"/>
      <c r="E59" s="257"/>
      <c r="F59" s="257"/>
      <c r="G59" s="258">
        <f t="shared" si="9"/>
        <v>0</v>
      </c>
      <c r="H59" s="257"/>
      <c r="I59" s="258">
        <f t="shared" si="0"/>
        <v>0</v>
      </c>
      <c r="J59" s="258"/>
      <c r="K59" s="694"/>
      <c r="L59" s="258">
        <f t="shared" si="1"/>
        <v>0</v>
      </c>
      <c r="M59" s="258">
        <f t="shared" si="2"/>
        <v>0</v>
      </c>
      <c r="N59" s="258">
        <f t="shared" si="3"/>
        <v>0</v>
      </c>
      <c r="O59" s="191"/>
      <c r="P59" s="191">
        <f t="shared" si="7"/>
        <v>0</v>
      </c>
    </row>
    <row r="60" spans="1:16" x14ac:dyDescent="0.3">
      <c r="A60" s="180">
        <f>A59+0.1</f>
        <v>7.1</v>
      </c>
      <c r="B60" s="176" t="s">
        <v>354</v>
      </c>
      <c r="C60" s="190" t="s">
        <v>355</v>
      </c>
      <c r="D60" s="259">
        <v>70</v>
      </c>
      <c r="E60" s="257">
        <v>98</v>
      </c>
      <c r="F60" s="257">
        <f t="shared" ref="F60:F61" si="11">$D60*E60</f>
        <v>6860</v>
      </c>
      <c r="G60" s="258">
        <f t="shared" si="9"/>
        <v>70</v>
      </c>
      <c r="H60" s="257">
        <v>1</v>
      </c>
      <c r="I60" s="258">
        <f t="shared" si="0"/>
        <v>-38</v>
      </c>
      <c r="J60" s="258">
        <f>'Elec Mb'!H57</f>
        <v>32</v>
      </c>
      <c r="K60" s="694">
        <v>1</v>
      </c>
      <c r="L60" s="258">
        <f t="shared" si="1"/>
        <v>6860</v>
      </c>
      <c r="M60" s="258">
        <f t="shared" si="2"/>
        <v>-3724</v>
      </c>
      <c r="N60" s="258">
        <f t="shared" si="3"/>
        <v>3136</v>
      </c>
      <c r="O60" s="191"/>
      <c r="P60" s="191">
        <f t="shared" si="7"/>
        <v>-37</v>
      </c>
    </row>
    <row r="61" spans="1:16" x14ac:dyDescent="0.3">
      <c r="A61" s="180">
        <f>A60+0.1</f>
        <v>7.1999999999999993</v>
      </c>
      <c r="B61" s="176" t="s">
        <v>356</v>
      </c>
      <c r="C61" s="190" t="s">
        <v>355</v>
      </c>
      <c r="D61" s="259">
        <v>90</v>
      </c>
      <c r="E61" s="257">
        <v>89</v>
      </c>
      <c r="F61" s="257">
        <f t="shared" si="11"/>
        <v>8010</v>
      </c>
      <c r="G61" s="258">
        <f t="shared" si="9"/>
        <v>90</v>
      </c>
      <c r="H61" s="257">
        <v>1</v>
      </c>
      <c r="I61" s="258">
        <f t="shared" si="0"/>
        <v>-62</v>
      </c>
      <c r="J61" s="258">
        <f>'Elec Mb'!H58</f>
        <v>28</v>
      </c>
      <c r="K61" s="694">
        <v>1</v>
      </c>
      <c r="L61" s="258">
        <f t="shared" si="1"/>
        <v>8010</v>
      </c>
      <c r="M61" s="258">
        <f t="shared" si="2"/>
        <v>-5518</v>
      </c>
      <c r="N61" s="258">
        <f t="shared" si="3"/>
        <v>2492</v>
      </c>
      <c r="O61" s="191"/>
      <c r="P61" s="191">
        <f t="shared" si="7"/>
        <v>-61</v>
      </c>
    </row>
    <row r="62" spans="1:16" x14ac:dyDescent="0.3">
      <c r="A62" s="180"/>
      <c r="B62" s="179"/>
      <c r="C62" s="177"/>
      <c r="D62" s="257"/>
      <c r="E62" s="257"/>
      <c r="F62" s="257"/>
      <c r="G62" s="258">
        <f t="shared" si="9"/>
        <v>0</v>
      </c>
      <c r="H62" s="257"/>
      <c r="I62" s="258">
        <f t="shared" si="0"/>
        <v>0</v>
      </c>
      <c r="J62" s="258"/>
      <c r="K62" s="694"/>
      <c r="L62" s="258">
        <f t="shared" si="1"/>
        <v>0</v>
      </c>
      <c r="M62" s="258">
        <f t="shared" si="2"/>
        <v>0</v>
      </c>
      <c r="N62" s="258">
        <f t="shared" si="3"/>
        <v>0</v>
      </c>
      <c r="O62" s="191"/>
      <c r="P62" s="191">
        <f t="shared" si="7"/>
        <v>0</v>
      </c>
    </row>
    <row r="63" spans="1:16" x14ac:dyDescent="0.3">
      <c r="A63" s="180">
        <v>8</v>
      </c>
      <c r="B63" s="178" t="s">
        <v>357</v>
      </c>
      <c r="C63" s="177"/>
      <c r="D63" s="257"/>
      <c r="E63" s="257"/>
      <c r="F63" s="257"/>
      <c r="G63" s="258">
        <f t="shared" si="9"/>
        <v>0</v>
      </c>
      <c r="H63" s="257"/>
      <c r="I63" s="258">
        <f t="shared" si="0"/>
        <v>0</v>
      </c>
      <c r="J63" s="258"/>
      <c r="K63" s="694"/>
      <c r="L63" s="258">
        <f t="shared" si="1"/>
        <v>0</v>
      </c>
      <c r="M63" s="258">
        <f t="shared" si="2"/>
        <v>0</v>
      </c>
      <c r="N63" s="258">
        <f t="shared" si="3"/>
        <v>0</v>
      </c>
      <c r="O63" s="191"/>
      <c r="P63" s="191">
        <f t="shared" si="7"/>
        <v>0</v>
      </c>
    </row>
    <row r="64" spans="1:16" ht="36" x14ac:dyDescent="0.3">
      <c r="A64" s="180" t="s">
        <v>311</v>
      </c>
      <c r="B64" s="179" t="s">
        <v>358</v>
      </c>
      <c r="C64" s="177"/>
      <c r="D64" s="257"/>
      <c r="E64" s="257"/>
      <c r="F64" s="257"/>
      <c r="G64" s="258">
        <f t="shared" si="9"/>
        <v>0</v>
      </c>
      <c r="H64" s="257"/>
      <c r="I64" s="258">
        <f t="shared" si="0"/>
        <v>0</v>
      </c>
      <c r="J64" s="258"/>
      <c r="K64" s="694"/>
      <c r="L64" s="258">
        <f t="shared" si="1"/>
        <v>0</v>
      </c>
      <c r="M64" s="258">
        <f t="shared" si="2"/>
        <v>0</v>
      </c>
      <c r="N64" s="258">
        <f t="shared" si="3"/>
        <v>0</v>
      </c>
      <c r="O64" s="191"/>
      <c r="P64" s="191">
        <f t="shared" si="7"/>
        <v>0</v>
      </c>
    </row>
    <row r="65" spans="1:16" x14ac:dyDescent="0.3">
      <c r="A65" s="180">
        <f>A63+0.1</f>
        <v>8.1</v>
      </c>
      <c r="B65" s="179" t="s">
        <v>359</v>
      </c>
      <c r="C65" s="177" t="s">
        <v>111</v>
      </c>
      <c r="D65" s="257">
        <v>4</v>
      </c>
      <c r="E65" s="257">
        <v>455</v>
      </c>
      <c r="F65" s="257">
        <f t="shared" ref="F65:F70" si="12">$D65*E65</f>
        <v>1820</v>
      </c>
      <c r="G65" s="258">
        <f t="shared" si="9"/>
        <v>4</v>
      </c>
      <c r="H65" s="257">
        <v>0</v>
      </c>
      <c r="I65" s="258">
        <f t="shared" si="0"/>
        <v>0</v>
      </c>
      <c r="J65" s="258">
        <f>'Elec Mb'!H62</f>
        <v>4</v>
      </c>
      <c r="K65" s="694">
        <v>1</v>
      </c>
      <c r="L65" s="258">
        <f t="shared" si="1"/>
        <v>0</v>
      </c>
      <c r="M65" s="258">
        <f t="shared" si="2"/>
        <v>1820</v>
      </c>
      <c r="N65" s="258">
        <f t="shared" si="3"/>
        <v>1820</v>
      </c>
      <c r="O65" s="191"/>
      <c r="P65" s="191">
        <f t="shared" si="7"/>
        <v>1</v>
      </c>
    </row>
    <row r="66" spans="1:16" x14ac:dyDescent="0.3">
      <c r="A66" s="180">
        <f>A65+0.1</f>
        <v>8.1999999999999993</v>
      </c>
      <c r="B66" s="179" t="s">
        <v>340</v>
      </c>
      <c r="C66" s="177" t="s">
        <v>111</v>
      </c>
      <c r="D66" s="257">
        <v>4</v>
      </c>
      <c r="E66" s="257">
        <v>280</v>
      </c>
      <c r="F66" s="257">
        <f t="shared" si="12"/>
        <v>1120</v>
      </c>
      <c r="G66" s="258">
        <f t="shared" si="9"/>
        <v>4</v>
      </c>
      <c r="H66" s="257">
        <v>0.7</v>
      </c>
      <c r="I66" s="258">
        <f t="shared" si="0"/>
        <v>-4</v>
      </c>
      <c r="J66" s="258">
        <f>'Elec Mb'!H63</f>
        <v>0</v>
      </c>
      <c r="K66" s="694">
        <v>0</v>
      </c>
      <c r="L66" s="258">
        <f t="shared" si="1"/>
        <v>784</v>
      </c>
      <c r="M66" s="258">
        <f t="shared" si="2"/>
        <v>-784</v>
      </c>
      <c r="N66" s="258">
        <f t="shared" si="3"/>
        <v>0</v>
      </c>
      <c r="O66" s="191"/>
      <c r="P66" s="191">
        <f t="shared" si="7"/>
        <v>-4</v>
      </c>
    </row>
    <row r="67" spans="1:16" x14ac:dyDescent="0.3">
      <c r="A67" s="180">
        <f>A66+0.1</f>
        <v>8.2999999999999989</v>
      </c>
      <c r="B67" s="179" t="s">
        <v>360</v>
      </c>
      <c r="C67" s="177" t="s">
        <v>111</v>
      </c>
      <c r="D67" s="257">
        <v>4</v>
      </c>
      <c r="E67" s="257">
        <v>250</v>
      </c>
      <c r="F67" s="257">
        <f t="shared" si="12"/>
        <v>1000</v>
      </c>
      <c r="G67" s="258">
        <f t="shared" si="9"/>
        <v>4</v>
      </c>
      <c r="H67" s="257">
        <v>0.7</v>
      </c>
      <c r="I67" s="258">
        <f t="shared" si="0"/>
        <v>0</v>
      </c>
      <c r="J67" s="258">
        <f>'Elec Mb'!H64</f>
        <v>4</v>
      </c>
      <c r="K67" s="694">
        <v>1</v>
      </c>
      <c r="L67" s="258">
        <f t="shared" si="1"/>
        <v>700</v>
      </c>
      <c r="M67" s="258">
        <f t="shared" si="2"/>
        <v>300</v>
      </c>
      <c r="N67" s="258">
        <f t="shared" si="3"/>
        <v>1000</v>
      </c>
      <c r="O67" s="191"/>
      <c r="P67" s="191">
        <f t="shared" si="7"/>
        <v>1</v>
      </c>
    </row>
    <row r="68" spans="1:16" x14ac:dyDescent="0.3">
      <c r="A68" s="180">
        <f>A67+0.1</f>
        <v>8.3999999999999986</v>
      </c>
      <c r="B68" s="179" t="s">
        <v>342</v>
      </c>
      <c r="C68" s="177" t="s">
        <v>111</v>
      </c>
      <c r="D68" s="257">
        <v>8</v>
      </c>
      <c r="E68" s="257">
        <v>390</v>
      </c>
      <c r="F68" s="257">
        <f t="shared" si="12"/>
        <v>3120</v>
      </c>
      <c r="G68" s="258">
        <f t="shared" si="9"/>
        <v>8</v>
      </c>
      <c r="H68" s="257">
        <v>0.7</v>
      </c>
      <c r="I68" s="258">
        <f t="shared" si="0"/>
        <v>0</v>
      </c>
      <c r="J68" s="258">
        <f>'Elec Mb'!H65</f>
        <v>8</v>
      </c>
      <c r="K68" s="694">
        <v>1</v>
      </c>
      <c r="L68" s="258">
        <f t="shared" si="1"/>
        <v>2184</v>
      </c>
      <c r="M68" s="258">
        <f t="shared" si="2"/>
        <v>936</v>
      </c>
      <c r="N68" s="258">
        <f t="shared" si="3"/>
        <v>3120</v>
      </c>
      <c r="O68" s="191"/>
      <c r="P68" s="191">
        <f t="shared" si="7"/>
        <v>1</v>
      </c>
    </row>
    <row r="69" spans="1:16" x14ac:dyDescent="0.3">
      <c r="A69" s="180">
        <f>A68+0.1</f>
        <v>8.4999999999999982</v>
      </c>
      <c r="B69" s="179" t="s">
        <v>361</v>
      </c>
      <c r="C69" s="177" t="s">
        <v>111</v>
      </c>
      <c r="D69" s="257">
        <v>4</v>
      </c>
      <c r="E69" s="257">
        <v>350</v>
      </c>
      <c r="F69" s="257">
        <f t="shared" si="12"/>
        <v>1400</v>
      </c>
      <c r="G69" s="258">
        <f t="shared" si="9"/>
        <v>4</v>
      </c>
      <c r="H69" s="257">
        <v>0.7</v>
      </c>
      <c r="I69" s="258">
        <f t="shared" si="0"/>
        <v>0</v>
      </c>
      <c r="J69" s="258">
        <f>'Elec Mb'!H66</f>
        <v>4</v>
      </c>
      <c r="K69" s="694">
        <v>1</v>
      </c>
      <c r="L69" s="258">
        <f t="shared" si="1"/>
        <v>979.99999999999989</v>
      </c>
      <c r="M69" s="258">
        <f t="shared" si="2"/>
        <v>420.00000000000011</v>
      </c>
      <c r="N69" s="258">
        <f t="shared" si="3"/>
        <v>1400</v>
      </c>
      <c r="O69" s="191"/>
      <c r="P69" s="191">
        <f t="shared" si="7"/>
        <v>1</v>
      </c>
    </row>
    <row r="70" spans="1:16" x14ac:dyDescent="0.3">
      <c r="A70" s="180">
        <f>A69+0.1</f>
        <v>8.5999999999999979</v>
      </c>
      <c r="B70" s="179" t="s">
        <v>344</v>
      </c>
      <c r="C70" s="177" t="s">
        <v>111</v>
      </c>
      <c r="D70" s="257">
        <v>4</v>
      </c>
      <c r="E70" s="257">
        <v>312</v>
      </c>
      <c r="F70" s="257">
        <f t="shared" si="12"/>
        <v>1248</v>
      </c>
      <c r="G70" s="258">
        <f t="shared" si="9"/>
        <v>4</v>
      </c>
      <c r="H70" s="257">
        <v>0.7</v>
      </c>
      <c r="I70" s="258">
        <f t="shared" si="0"/>
        <v>0</v>
      </c>
      <c r="J70" s="258">
        <f>'Elec Mb'!H67</f>
        <v>4</v>
      </c>
      <c r="K70" s="694">
        <v>1</v>
      </c>
      <c r="L70" s="258">
        <f t="shared" si="1"/>
        <v>873.59999999999991</v>
      </c>
      <c r="M70" s="258">
        <f t="shared" si="2"/>
        <v>374.40000000000009</v>
      </c>
      <c r="N70" s="258">
        <f t="shared" si="3"/>
        <v>1248</v>
      </c>
      <c r="O70" s="191"/>
      <c r="P70" s="191">
        <f t="shared" si="7"/>
        <v>1</v>
      </c>
    </row>
    <row r="71" spans="1:16" x14ac:dyDescent="0.3">
      <c r="A71" s="180"/>
      <c r="B71" s="179"/>
      <c r="C71" s="177"/>
      <c r="D71" s="257"/>
      <c r="E71" s="257"/>
      <c r="F71" s="257"/>
      <c r="G71" s="258">
        <f t="shared" si="9"/>
        <v>0</v>
      </c>
      <c r="H71" s="257"/>
      <c r="I71" s="258">
        <f t="shared" si="0"/>
        <v>0</v>
      </c>
      <c r="J71" s="258"/>
      <c r="K71" s="694"/>
      <c r="L71" s="258">
        <f t="shared" si="1"/>
        <v>0</v>
      </c>
      <c r="M71" s="258">
        <f t="shared" si="2"/>
        <v>0</v>
      </c>
      <c r="N71" s="258">
        <f t="shared" si="3"/>
        <v>0</v>
      </c>
      <c r="O71" s="191"/>
      <c r="P71" s="191">
        <f t="shared" si="7"/>
        <v>0</v>
      </c>
    </row>
    <row r="72" spans="1:16" x14ac:dyDescent="0.3">
      <c r="A72" s="180">
        <v>9</v>
      </c>
      <c r="B72" s="178" t="s">
        <v>362</v>
      </c>
      <c r="C72" s="177"/>
      <c r="D72" s="257"/>
      <c r="E72" s="257"/>
      <c r="F72" s="257"/>
      <c r="G72" s="258">
        <f t="shared" si="9"/>
        <v>0</v>
      </c>
      <c r="H72" s="257"/>
      <c r="I72" s="258">
        <f t="shared" si="0"/>
        <v>0</v>
      </c>
      <c r="J72" s="258"/>
      <c r="K72" s="694"/>
      <c r="L72" s="258">
        <f t="shared" si="1"/>
        <v>0</v>
      </c>
      <c r="M72" s="258">
        <f t="shared" si="2"/>
        <v>0</v>
      </c>
      <c r="N72" s="258">
        <f t="shared" si="3"/>
        <v>0</v>
      </c>
      <c r="O72" s="191"/>
      <c r="P72" s="191">
        <f t="shared" si="7"/>
        <v>0</v>
      </c>
    </row>
    <row r="73" spans="1:16" ht="96" x14ac:dyDescent="0.3">
      <c r="A73" s="180"/>
      <c r="B73" s="179" t="s">
        <v>589</v>
      </c>
      <c r="C73" s="177"/>
      <c r="D73" s="257"/>
      <c r="E73" s="257"/>
      <c r="F73" s="257"/>
      <c r="G73" s="258">
        <f t="shared" si="9"/>
        <v>0</v>
      </c>
      <c r="H73" s="257"/>
      <c r="I73" s="258">
        <f t="shared" si="0"/>
        <v>0</v>
      </c>
      <c r="J73" s="258"/>
      <c r="K73" s="694"/>
      <c r="L73" s="258">
        <f t="shared" si="1"/>
        <v>0</v>
      </c>
      <c r="M73" s="258">
        <f t="shared" si="2"/>
        <v>0</v>
      </c>
      <c r="N73" s="258">
        <f t="shared" si="3"/>
        <v>0</v>
      </c>
      <c r="O73" s="191"/>
      <c r="P73" s="191">
        <f t="shared" si="7"/>
        <v>0</v>
      </c>
    </row>
    <row r="74" spans="1:16" x14ac:dyDescent="0.3">
      <c r="A74" s="180">
        <v>9.1</v>
      </c>
      <c r="B74" s="178" t="s">
        <v>363</v>
      </c>
      <c r="C74" s="177"/>
      <c r="D74" s="257"/>
      <c r="E74" s="257"/>
      <c r="F74" s="257"/>
      <c r="G74" s="258">
        <f t="shared" si="9"/>
        <v>0</v>
      </c>
      <c r="H74" s="257"/>
      <c r="I74" s="258">
        <f t="shared" si="0"/>
        <v>0</v>
      </c>
      <c r="J74" s="258"/>
      <c r="K74" s="694"/>
      <c r="L74" s="258">
        <f t="shared" si="1"/>
        <v>0</v>
      </c>
      <c r="M74" s="258">
        <f t="shared" si="2"/>
        <v>0</v>
      </c>
      <c r="N74" s="258">
        <f t="shared" si="3"/>
        <v>0</v>
      </c>
      <c r="O74" s="191"/>
      <c r="P74" s="191">
        <f t="shared" si="7"/>
        <v>0</v>
      </c>
    </row>
    <row r="75" spans="1:16" x14ac:dyDescent="0.3">
      <c r="A75" s="180"/>
      <c r="B75" s="179" t="s">
        <v>364</v>
      </c>
      <c r="C75" s="177"/>
      <c r="D75" s="257"/>
      <c r="E75" s="257"/>
      <c r="F75" s="257"/>
      <c r="G75" s="258">
        <f t="shared" si="9"/>
        <v>0</v>
      </c>
      <c r="H75" s="257"/>
      <c r="I75" s="258">
        <f t="shared" si="0"/>
        <v>0</v>
      </c>
      <c r="J75" s="258"/>
      <c r="K75" s="694"/>
      <c r="L75" s="258">
        <f t="shared" si="1"/>
        <v>0</v>
      </c>
      <c r="M75" s="258">
        <f t="shared" si="2"/>
        <v>0</v>
      </c>
      <c r="N75" s="258">
        <f t="shared" si="3"/>
        <v>0</v>
      </c>
      <c r="O75" s="191"/>
      <c r="P75" s="191">
        <f t="shared" si="7"/>
        <v>0</v>
      </c>
    </row>
    <row r="76" spans="1:16" x14ac:dyDescent="0.3">
      <c r="A76" s="180"/>
      <c r="B76" s="179" t="s">
        <v>365</v>
      </c>
      <c r="C76" s="170"/>
      <c r="D76" s="257"/>
      <c r="E76" s="257"/>
      <c r="F76" s="257"/>
      <c r="G76" s="258">
        <f t="shared" si="9"/>
        <v>0</v>
      </c>
      <c r="H76" s="257"/>
      <c r="I76" s="258">
        <f t="shared" si="0"/>
        <v>0</v>
      </c>
      <c r="J76" s="258"/>
      <c r="K76" s="694"/>
      <c r="L76" s="258">
        <f t="shared" si="1"/>
        <v>0</v>
      </c>
      <c r="M76" s="258">
        <f t="shared" si="2"/>
        <v>0</v>
      </c>
      <c r="N76" s="258">
        <f t="shared" si="3"/>
        <v>0</v>
      </c>
      <c r="O76" s="191"/>
      <c r="P76" s="191">
        <f t="shared" si="7"/>
        <v>0</v>
      </c>
    </row>
    <row r="77" spans="1:16" x14ac:dyDescent="0.3">
      <c r="A77" s="180"/>
      <c r="B77" s="179" t="s">
        <v>366</v>
      </c>
      <c r="C77" s="177"/>
      <c r="D77" s="257"/>
      <c r="E77" s="257"/>
      <c r="F77" s="257"/>
      <c r="G77" s="258">
        <f t="shared" si="9"/>
        <v>0</v>
      </c>
      <c r="H77" s="257"/>
      <c r="I77" s="258">
        <f t="shared" si="0"/>
        <v>0</v>
      </c>
      <c r="J77" s="258"/>
      <c r="K77" s="694"/>
      <c r="L77" s="258">
        <f t="shared" si="1"/>
        <v>0</v>
      </c>
      <c r="M77" s="258">
        <f t="shared" si="2"/>
        <v>0</v>
      </c>
      <c r="N77" s="258">
        <f t="shared" si="3"/>
        <v>0</v>
      </c>
      <c r="O77" s="191"/>
      <c r="P77" s="191">
        <f t="shared" si="7"/>
        <v>0</v>
      </c>
    </row>
    <row r="78" spans="1:16" x14ac:dyDescent="0.3">
      <c r="A78" s="180"/>
      <c r="B78" s="179" t="s">
        <v>367</v>
      </c>
      <c r="C78" s="177"/>
      <c r="D78" s="257"/>
      <c r="E78" s="257"/>
      <c r="F78" s="257"/>
      <c r="G78" s="258">
        <f t="shared" si="9"/>
        <v>0</v>
      </c>
      <c r="H78" s="257"/>
      <c r="I78" s="258">
        <f t="shared" si="0"/>
        <v>0</v>
      </c>
      <c r="J78" s="258"/>
      <c r="K78" s="694"/>
      <c r="L78" s="258">
        <f t="shared" si="1"/>
        <v>0</v>
      </c>
      <c r="M78" s="258">
        <f t="shared" si="2"/>
        <v>0</v>
      </c>
      <c r="N78" s="258">
        <f t="shared" si="3"/>
        <v>0</v>
      </c>
      <c r="O78" s="191"/>
      <c r="P78" s="191">
        <f t="shared" si="7"/>
        <v>0</v>
      </c>
    </row>
    <row r="79" spans="1:16" x14ac:dyDescent="0.3">
      <c r="A79" s="180"/>
      <c r="B79" s="178" t="s">
        <v>368</v>
      </c>
      <c r="C79" s="177" t="s">
        <v>334</v>
      </c>
      <c r="D79" s="257">
        <v>1</v>
      </c>
      <c r="E79" s="257">
        <v>32456</v>
      </c>
      <c r="F79" s="257">
        <f>$D79*E79</f>
        <v>32456</v>
      </c>
      <c r="G79" s="258">
        <f t="shared" si="9"/>
        <v>1</v>
      </c>
      <c r="H79" s="257">
        <v>0.9</v>
      </c>
      <c r="I79" s="258">
        <f t="shared" si="0"/>
        <v>1</v>
      </c>
      <c r="J79" s="258">
        <f>'Elec Mb'!H75</f>
        <v>2</v>
      </c>
      <c r="K79" s="694">
        <v>1</v>
      </c>
      <c r="L79" s="258">
        <f t="shared" si="1"/>
        <v>29210.400000000001</v>
      </c>
      <c r="M79" s="258">
        <f t="shared" si="2"/>
        <v>35701.599999999999</v>
      </c>
      <c r="N79" s="258">
        <f t="shared" si="3"/>
        <v>64912</v>
      </c>
      <c r="O79" s="191"/>
      <c r="P79" s="191">
        <f t="shared" si="7"/>
        <v>2</v>
      </c>
    </row>
    <row r="80" spans="1:16" x14ac:dyDescent="0.3">
      <c r="A80" s="180"/>
      <c r="B80" s="179"/>
      <c r="C80" s="170"/>
      <c r="D80" s="255"/>
      <c r="E80" s="257"/>
      <c r="F80" s="257"/>
      <c r="G80" s="258">
        <f t="shared" si="9"/>
        <v>0</v>
      </c>
      <c r="H80" s="257"/>
      <c r="I80" s="258">
        <f t="shared" si="0"/>
        <v>0</v>
      </c>
      <c r="J80" s="258"/>
      <c r="K80" s="694"/>
      <c r="L80" s="258">
        <f t="shared" si="1"/>
        <v>0</v>
      </c>
      <c r="M80" s="258">
        <f t="shared" si="2"/>
        <v>0</v>
      </c>
      <c r="N80" s="258">
        <f t="shared" si="3"/>
        <v>0</v>
      </c>
      <c r="O80" s="191"/>
      <c r="P80" s="191">
        <f t="shared" si="7"/>
        <v>0</v>
      </c>
    </row>
    <row r="81" spans="1:16" x14ac:dyDescent="0.3">
      <c r="A81" s="180">
        <v>9.1999999999999993</v>
      </c>
      <c r="B81" s="178" t="s">
        <v>369</v>
      </c>
      <c r="C81" s="177"/>
      <c r="D81" s="257"/>
      <c r="E81" s="257"/>
      <c r="F81" s="257"/>
      <c r="G81" s="258">
        <f t="shared" si="9"/>
        <v>0</v>
      </c>
      <c r="H81" s="257"/>
      <c r="I81" s="258">
        <f t="shared" si="0"/>
        <v>0</v>
      </c>
      <c r="J81" s="258"/>
      <c r="K81" s="694"/>
      <c r="L81" s="258">
        <f t="shared" si="1"/>
        <v>0</v>
      </c>
      <c r="M81" s="258">
        <f t="shared" si="2"/>
        <v>0</v>
      </c>
      <c r="N81" s="258">
        <f t="shared" si="3"/>
        <v>0</v>
      </c>
      <c r="O81" s="191"/>
      <c r="P81" s="191">
        <f t="shared" si="7"/>
        <v>0</v>
      </c>
    </row>
    <row r="82" spans="1:16" x14ac:dyDescent="0.3">
      <c r="A82" s="180"/>
      <c r="B82" s="179" t="s">
        <v>364</v>
      </c>
      <c r="C82" s="177"/>
      <c r="D82" s="257"/>
      <c r="E82" s="257"/>
      <c r="F82" s="257"/>
      <c r="G82" s="258">
        <f t="shared" si="9"/>
        <v>0</v>
      </c>
      <c r="H82" s="257"/>
      <c r="I82" s="258">
        <f t="shared" si="0"/>
        <v>0</v>
      </c>
      <c r="J82" s="258"/>
      <c r="K82" s="694"/>
      <c r="L82" s="258">
        <f t="shared" si="1"/>
        <v>0</v>
      </c>
      <c r="M82" s="258">
        <f t="shared" si="2"/>
        <v>0</v>
      </c>
      <c r="N82" s="258">
        <f t="shared" si="3"/>
        <v>0</v>
      </c>
      <c r="O82" s="191"/>
      <c r="P82" s="191">
        <f t="shared" si="7"/>
        <v>0</v>
      </c>
    </row>
    <row r="83" spans="1:16" x14ac:dyDescent="0.3">
      <c r="A83" s="180"/>
      <c r="B83" s="179" t="s">
        <v>370</v>
      </c>
      <c r="C83" s="170"/>
      <c r="D83" s="257"/>
      <c r="E83" s="257"/>
      <c r="F83" s="257"/>
      <c r="G83" s="258">
        <f t="shared" si="9"/>
        <v>0</v>
      </c>
      <c r="H83" s="257"/>
      <c r="I83" s="258">
        <f t="shared" si="0"/>
        <v>0</v>
      </c>
      <c r="J83" s="258"/>
      <c r="K83" s="694"/>
      <c r="L83" s="258">
        <f t="shared" si="1"/>
        <v>0</v>
      </c>
      <c r="M83" s="258">
        <f t="shared" si="2"/>
        <v>0</v>
      </c>
      <c r="N83" s="258">
        <f t="shared" si="3"/>
        <v>0</v>
      </c>
      <c r="O83" s="191"/>
      <c r="P83" s="191">
        <f t="shared" si="7"/>
        <v>0</v>
      </c>
    </row>
    <row r="84" spans="1:16" x14ac:dyDescent="0.3">
      <c r="A84" s="180"/>
      <c r="B84" s="179" t="s">
        <v>366</v>
      </c>
      <c r="C84" s="177"/>
      <c r="D84" s="257"/>
      <c r="E84" s="257"/>
      <c r="F84" s="257"/>
      <c r="G84" s="258">
        <f t="shared" si="9"/>
        <v>0</v>
      </c>
      <c r="H84" s="257"/>
      <c r="I84" s="258">
        <f t="shared" si="0"/>
        <v>0</v>
      </c>
      <c r="J84" s="258"/>
      <c r="K84" s="694"/>
      <c r="L84" s="258">
        <f t="shared" si="1"/>
        <v>0</v>
      </c>
      <c r="M84" s="258">
        <f t="shared" si="2"/>
        <v>0</v>
      </c>
      <c r="N84" s="258">
        <f t="shared" si="3"/>
        <v>0</v>
      </c>
      <c r="O84" s="191"/>
      <c r="P84" s="191">
        <f t="shared" si="7"/>
        <v>0</v>
      </c>
    </row>
    <row r="85" spans="1:16" x14ac:dyDescent="0.3">
      <c r="A85" s="180"/>
      <c r="B85" s="179" t="s">
        <v>367</v>
      </c>
      <c r="C85" s="177"/>
      <c r="D85" s="257"/>
      <c r="E85" s="257"/>
      <c r="F85" s="257"/>
      <c r="G85" s="258">
        <f t="shared" si="9"/>
        <v>0</v>
      </c>
      <c r="H85" s="257"/>
      <c r="I85" s="258">
        <f t="shared" si="0"/>
        <v>0</v>
      </c>
      <c r="J85" s="258"/>
      <c r="K85" s="694"/>
      <c r="L85" s="258">
        <f t="shared" si="1"/>
        <v>0</v>
      </c>
      <c r="M85" s="258">
        <f t="shared" si="2"/>
        <v>0</v>
      </c>
      <c r="N85" s="258">
        <f t="shared" si="3"/>
        <v>0</v>
      </c>
      <c r="O85" s="191"/>
      <c r="P85" s="191">
        <f t="shared" si="7"/>
        <v>0</v>
      </c>
    </row>
    <row r="86" spans="1:16" x14ac:dyDescent="0.3">
      <c r="A86" s="180"/>
      <c r="B86" s="178" t="s">
        <v>371</v>
      </c>
      <c r="C86" s="177" t="s">
        <v>334</v>
      </c>
      <c r="D86" s="257">
        <v>1</v>
      </c>
      <c r="E86" s="257">
        <v>31234</v>
      </c>
      <c r="F86" s="257">
        <f>$D86*E86</f>
        <v>31234</v>
      </c>
      <c r="G86" s="258">
        <f t="shared" si="9"/>
        <v>1</v>
      </c>
      <c r="H86" s="257">
        <v>0.9</v>
      </c>
      <c r="I86" s="258">
        <f t="shared" si="0"/>
        <v>-1</v>
      </c>
      <c r="J86" s="258">
        <f>'Elec Mb'!H82</f>
        <v>0</v>
      </c>
      <c r="K86" s="694">
        <v>0</v>
      </c>
      <c r="L86" s="258">
        <f t="shared" si="1"/>
        <v>28110.600000000002</v>
      </c>
      <c r="M86" s="258">
        <f t="shared" si="2"/>
        <v>-28110.600000000002</v>
      </c>
      <c r="N86" s="258">
        <f t="shared" si="3"/>
        <v>0</v>
      </c>
      <c r="O86" s="191"/>
      <c r="P86" s="191">
        <f t="shared" si="7"/>
        <v>-1</v>
      </c>
    </row>
    <row r="87" spans="1:16" x14ac:dyDescent="0.3">
      <c r="A87" s="180"/>
      <c r="B87" s="178"/>
      <c r="C87" s="177"/>
      <c r="D87" s="257"/>
      <c r="E87" s="257"/>
      <c r="F87" s="257"/>
      <c r="G87" s="258">
        <f t="shared" si="9"/>
        <v>0</v>
      </c>
      <c r="H87" s="257"/>
      <c r="I87" s="258">
        <f t="shared" si="0"/>
        <v>0</v>
      </c>
      <c r="J87" s="258"/>
      <c r="K87" s="694"/>
      <c r="L87" s="258">
        <f t="shared" si="1"/>
        <v>0</v>
      </c>
      <c r="M87" s="258">
        <f t="shared" si="2"/>
        <v>0</v>
      </c>
      <c r="N87" s="258">
        <f t="shared" si="3"/>
        <v>0</v>
      </c>
      <c r="O87" s="191"/>
      <c r="P87" s="191">
        <f t="shared" si="7"/>
        <v>0</v>
      </c>
    </row>
    <row r="88" spans="1:16" ht="96" x14ac:dyDescent="0.3">
      <c r="A88" s="180">
        <v>10</v>
      </c>
      <c r="B88" s="179" t="s">
        <v>372</v>
      </c>
      <c r="C88" s="170"/>
      <c r="D88" s="255"/>
      <c r="E88" s="257"/>
      <c r="F88" s="257"/>
      <c r="G88" s="258">
        <f t="shared" si="9"/>
        <v>0</v>
      </c>
      <c r="H88" s="257"/>
      <c r="I88" s="258">
        <f t="shared" si="0"/>
        <v>0</v>
      </c>
      <c r="J88" s="258"/>
      <c r="K88" s="694"/>
      <c r="L88" s="258">
        <f t="shared" si="1"/>
        <v>0</v>
      </c>
      <c r="M88" s="258">
        <f t="shared" si="2"/>
        <v>0</v>
      </c>
      <c r="N88" s="258">
        <f t="shared" si="3"/>
        <v>0</v>
      </c>
      <c r="O88" s="191"/>
      <c r="P88" s="191">
        <f t="shared" si="7"/>
        <v>0</v>
      </c>
    </row>
    <row r="89" spans="1:16" x14ac:dyDescent="0.3">
      <c r="A89" s="180">
        <v>10.1</v>
      </c>
      <c r="B89" s="178" t="s">
        <v>373</v>
      </c>
      <c r="C89" s="177"/>
      <c r="D89" s="257"/>
      <c r="E89" s="257"/>
      <c r="F89" s="257"/>
      <c r="G89" s="258">
        <f t="shared" si="9"/>
        <v>0</v>
      </c>
      <c r="H89" s="257"/>
      <c r="I89" s="258">
        <f t="shared" si="0"/>
        <v>0</v>
      </c>
      <c r="J89" s="258"/>
      <c r="K89" s="694"/>
      <c r="L89" s="258">
        <f t="shared" si="1"/>
        <v>0</v>
      </c>
      <c r="M89" s="258">
        <f t="shared" si="2"/>
        <v>0</v>
      </c>
      <c r="N89" s="258">
        <f t="shared" si="3"/>
        <v>0</v>
      </c>
      <c r="O89" s="191"/>
      <c r="P89" s="191">
        <f t="shared" si="7"/>
        <v>0</v>
      </c>
    </row>
    <row r="90" spans="1:16" x14ac:dyDescent="0.3">
      <c r="A90" s="180"/>
      <c r="B90" s="179" t="s">
        <v>364</v>
      </c>
      <c r="C90" s="177"/>
      <c r="D90" s="257"/>
      <c r="E90" s="257"/>
      <c r="F90" s="257"/>
      <c r="G90" s="258">
        <f t="shared" si="9"/>
        <v>0</v>
      </c>
      <c r="H90" s="257"/>
      <c r="I90" s="258">
        <f t="shared" si="0"/>
        <v>0</v>
      </c>
      <c r="J90" s="258"/>
      <c r="K90" s="694"/>
      <c r="L90" s="258">
        <f t="shared" si="1"/>
        <v>0</v>
      </c>
      <c r="M90" s="258">
        <f t="shared" si="2"/>
        <v>0</v>
      </c>
      <c r="N90" s="258">
        <f t="shared" si="3"/>
        <v>0</v>
      </c>
      <c r="O90" s="191"/>
      <c r="P90" s="191">
        <f t="shared" si="7"/>
        <v>0</v>
      </c>
    </row>
    <row r="91" spans="1:16" x14ac:dyDescent="0.3">
      <c r="A91" s="180"/>
      <c r="B91" s="179" t="s">
        <v>374</v>
      </c>
      <c r="C91" s="170"/>
      <c r="D91" s="257"/>
      <c r="E91" s="257"/>
      <c r="F91" s="257"/>
      <c r="G91" s="258">
        <f t="shared" si="9"/>
        <v>0</v>
      </c>
      <c r="H91" s="257"/>
      <c r="I91" s="258">
        <f t="shared" si="0"/>
        <v>0</v>
      </c>
      <c r="J91" s="258"/>
      <c r="K91" s="694"/>
      <c r="L91" s="258">
        <f t="shared" si="1"/>
        <v>0</v>
      </c>
      <c r="M91" s="258">
        <f t="shared" si="2"/>
        <v>0</v>
      </c>
      <c r="N91" s="258">
        <f t="shared" si="3"/>
        <v>0</v>
      </c>
      <c r="O91" s="191"/>
      <c r="P91" s="191">
        <f t="shared" si="7"/>
        <v>0</v>
      </c>
    </row>
    <row r="92" spans="1:16" x14ac:dyDescent="0.3">
      <c r="A92" s="180"/>
      <c r="B92" s="179" t="s">
        <v>366</v>
      </c>
      <c r="C92" s="177"/>
      <c r="D92" s="257"/>
      <c r="E92" s="257"/>
      <c r="F92" s="257"/>
      <c r="G92" s="258">
        <f t="shared" si="9"/>
        <v>0</v>
      </c>
      <c r="H92" s="257"/>
      <c r="I92" s="258">
        <f t="shared" si="0"/>
        <v>0</v>
      </c>
      <c r="J92" s="258"/>
      <c r="K92" s="694"/>
      <c r="L92" s="258">
        <f t="shared" si="1"/>
        <v>0</v>
      </c>
      <c r="M92" s="258">
        <f t="shared" si="2"/>
        <v>0</v>
      </c>
      <c r="N92" s="258">
        <f t="shared" si="3"/>
        <v>0</v>
      </c>
      <c r="O92" s="191"/>
      <c r="P92" s="191">
        <f t="shared" si="7"/>
        <v>0</v>
      </c>
    </row>
    <row r="93" spans="1:16" x14ac:dyDescent="0.3">
      <c r="A93" s="180"/>
      <c r="B93" s="179" t="s">
        <v>375</v>
      </c>
      <c r="C93" s="177"/>
      <c r="D93" s="257"/>
      <c r="E93" s="257"/>
      <c r="F93" s="257"/>
      <c r="G93" s="258">
        <f t="shared" si="9"/>
        <v>0</v>
      </c>
      <c r="H93" s="257"/>
      <c r="I93" s="258">
        <f t="shared" si="0"/>
        <v>0</v>
      </c>
      <c r="J93" s="258"/>
      <c r="K93" s="694"/>
      <c r="L93" s="258">
        <f t="shared" si="1"/>
        <v>0</v>
      </c>
      <c r="M93" s="258">
        <f t="shared" si="2"/>
        <v>0</v>
      </c>
      <c r="N93" s="258">
        <f t="shared" si="3"/>
        <v>0</v>
      </c>
      <c r="O93" s="191"/>
      <c r="P93" s="191">
        <f t="shared" si="7"/>
        <v>0</v>
      </c>
    </row>
    <row r="94" spans="1:16" x14ac:dyDescent="0.3">
      <c r="A94" s="180"/>
      <c r="B94" s="178" t="s">
        <v>376</v>
      </c>
      <c r="C94" s="177" t="s">
        <v>334</v>
      </c>
      <c r="D94" s="257">
        <v>1</v>
      </c>
      <c r="E94" s="257">
        <v>11200</v>
      </c>
      <c r="F94" s="257">
        <f>$D94*E94</f>
        <v>11200</v>
      </c>
      <c r="G94" s="258">
        <f t="shared" si="9"/>
        <v>1</v>
      </c>
      <c r="H94" s="257">
        <v>0.9</v>
      </c>
      <c r="I94" s="258">
        <f t="shared" si="0"/>
        <v>0</v>
      </c>
      <c r="J94" s="258">
        <f>'Elec Mb'!H90</f>
        <v>1</v>
      </c>
      <c r="K94" s="694">
        <v>1</v>
      </c>
      <c r="L94" s="258">
        <f t="shared" si="1"/>
        <v>10080</v>
      </c>
      <c r="M94" s="258">
        <f t="shared" si="2"/>
        <v>1120</v>
      </c>
      <c r="N94" s="258">
        <f t="shared" si="3"/>
        <v>11200</v>
      </c>
      <c r="O94" s="191"/>
      <c r="P94" s="191">
        <f t="shared" si="7"/>
        <v>1</v>
      </c>
    </row>
    <row r="95" spans="1:16" x14ac:dyDescent="0.3">
      <c r="A95" s="180"/>
      <c r="B95" s="178"/>
      <c r="C95" s="177"/>
      <c r="D95" s="257"/>
      <c r="E95" s="257"/>
      <c r="F95" s="257"/>
      <c r="G95" s="258">
        <f t="shared" si="9"/>
        <v>0</v>
      </c>
      <c r="H95" s="257"/>
      <c r="I95" s="258">
        <f t="shared" si="0"/>
        <v>0</v>
      </c>
      <c r="J95" s="258"/>
      <c r="K95" s="694"/>
      <c r="L95" s="258">
        <f t="shared" si="1"/>
        <v>0</v>
      </c>
      <c r="M95" s="258">
        <f t="shared" si="2"/>
        <v>0</v>
      </c>
      <c r="N95" s="258">
        <f t="shared" si="3"/>
        <v>0</v>
      </c>
      <c r="O95" s="191"/>
      <c r="P95" s="191">
        <f t="shared" si="7"/>
        <v>0</v>
      </c>
    </row>
    <row r="96" spans="1:16" x14ac:dyDescent="0.3">
      <c r="A96" s="180">
        <v>12</v>
      </c>
      <c r="B96" s="178" t="s">
        <v>377</v>
      </c>
      <c r="C96" s="170"/>
      <c r="D96" s="255"/>
      <c r="E96" s="257"/>
      <c r="F96" s="257"/>
      <c r="G96" s="258">
        <f t="shared" si="9"/>
        <v>0</v>
      </c>
      <c r="H96" s="257"/>
      <c r="I96" s="258">
        <f t="shared" si="0"/>
        <v>0</v>
      </c>
      <c r="J96" s="258"/>
      <c r="K96" s="694"/>
      <c r="L96" s="258">
        <f t="shared" si="1"/>
        <v>0</v>
      </c>
      <c r="M96" s="258">
        <f t="shared" si="2"/>
        <v>0</v>
      </c>
      <c r="N96" s="258">
        <f t="shared" si="3"/>
        <v>0</v>
      </c>
      <c r="O96" s="191"/>
      <c r="P96" s="191">
        <f t="shared" si="7"/>
        <v>0</v>
      </c>
    </row>
    <row r="97" spans="1:16" x14ac:dyDescent="0.3">
      <c r="A97" s="180">
        <f>A96+0.1</f>
        <v>12.1</v>
      </c>
      <c r="B97" s="179" t="s">
        <v>378</v>
      </c>
      <c r="C97" s="177" t="s">
        <v>339</v>
      </c>
      <c r="D97" s="257">
        <v>150</v>
      </c>
      <c r="E97" s="257">
        <v>153</v>
      </c>
      <c r="F97" s="257">
        <f>$D97*E97</f>
        <v>22950</v>
      </c>
      <c r="G97" s="258">
        <f t="shared" si="9"/>
        <v>150</v>
      </c>
      <c r="H97" s="257">
        <v>0.7</v>
      </c>
      <c r="I97" s="258">
        <f t="shared" si="0"/>
        <v>-60</v>
      </c>
      <c r="J97" s="258">
        <f>'Elec Mb'!H93</f>
        <v>90</v>
      </c>
      <c r="K97" s="694">
        <v>1</v>
      </c>
      <c r="L97" s="258">
        <f t="shared" si="1"/>
        <v>16064.999999999998</v>
      </c>
      <c r="M97" s="258">
        <f t="shared" si="2"/>
        <v>-2294.9999999999982</v>
      </c>
      <c r="N97" s="258">
        <f t="shared" si="3"/>
        <v>13770</v>
      </c>
      <c r="O97" s="191"/>
      <c r="P97" s="191">
        <f t="shared" si="7"/>
        <v>-59</v>
      </c>
    </row>
    <row r="98" spans="1:16" x14ac:dyDescent="0.3">
      <c r="A98" s="180"/>
      <c r="B98" s="179"/>
      <c r="C98" s="177"/>
      <c r="D98" s="257"/>
      <c r="E98" s="257"/>
      <c r="F98" s="257"/>
      <c r="G98" s="258">
        <f t="shared" si="9"/>
        <v>0</v>
      </c>
      <c r="H98" s="257"/>
      <c r="I98" s="258">
        <f t="shared" si="0"/>
        <v>0</v>
      </c>
      <c r="J98" s="258"/>
      <c r="K98" s="694"/>
      <c r="L98" s="258">
        <f t="shared" si="1"/>
        <v>0</v>
      </c>
      <c r="M98" s="258">
        <f t="shared" si="2"/>
        <v>0</v>
      </c>
      <c r="N98" s="258">
        <f t="shared" si="3"/>
        <v>0</v>
      </c>
      <c r="O98" s="191"/>
      <c r="P98" s="191">
        <f t="shared" si="7"/>
        <v>0</v>
      </c>
    </row>
    <row r="99" spans="1:16" x14ac:dyDescent="0.3">
      <c r="A99" s="180">
        <f>A97+0.1</f>
        <v>12.2</v>
      </c>
      <c r="B99" s="178" t="s">
        <v>379</v>
      </c>
      <c r="C99" s="171"/>
      <c r="D99" s="258"/>
      <c r="E99" s="258"/>
      <c r="F99" s="258"/>
      <c r="G99" s="258">
        <f t="shared" si="9"/>
        <v>0</v>
      </c>
      <c r="H99" s="258"/>
      <c r="I99" s="258">
        <f t="shared" si="0"/>
        <v>0</v>
      </c>
      <c r="J99" s="258"/>
      <c r="K99" s="693"/>
      <c r="L99" s="258">
        <f t="shared" si="1"/>
        <v>0</v>
      </c>
      <c r="M99" s="258">
        <f t="shared" si="2"/>
        <v>0</v>
      </c>
      <c r="N99" s="258">
        <f t="shared" si="3"/>
        <v>0</v>
      </c>
      <c r="O99" s="191"/>
      <c r="P99" s="191">
        <f t="shared" si="7"/>
        <v>0</v>
      </c>
    </row>
    <row r="100" spans="1:16" ht="72" x14ac:dyDescent="0.3">
      <c r="A100" s="180"/>
      <c r="B100" s="179" t="s">
        <v>590</v>
      </c>
      <c r="C100" s="170"/>
      <c r="D100" s="255"/>
      <c r="E100" s="257"/>
      <c r="F100" s="257"/>
      <c r="G100" s="258">
        <f t="shared" si="9"/>
        <v>0</v>
      </c>
      <c r="H100" s="257"/>
      <c r="I100" s="258">
        <f t="shared" ref="I100:I163" si="13">J100-G100</f>
        <v>0</v>
      </c>
      <c r="J100" s="258"/>
      <c r="K100" s="694"/>
      <c r="L100" s="258">
        <f t="shared" ref="L100:L163" si="14">E100*G100*H100</f>
        <v>0</v>
      </c>
      <c r="M100" s="258">
        <f t="shared" ref="M100:M163" si="15">N100-L100</f>
        <v>0</v>
      </c>
      <c r="N100" s="258">
        <f t="shared" ref="N100:N163" si="16">E100*J100*K100</f>
        <v>0</v>
      </c>
      <c r="O100" s="191"/>
      <c r="P100" s="191">
        <f t="shared" si="7"/>
        <v>0</v>
      </c>
    </row>
    <row r="101" spans="1:16" x14ac:dyDescent="0.3">
      <c r="A101" s="180" t="s">
        <v>380</v>
      </c>
      <c r="B101" s="179" t="s">
        <v>381</v>
      </c>
      <c r="C101" s="177" t="s">
        <v>339</v>
      </c>
      <c r="D101" s="257">
        <v>100</v>
      </c>
      <c r="E101" s="257">
        <v>93</v>
      </c>
      <c r="F101" s="257">
        <f>$D101*E101</f>
        <v>9300</v>
      </c>
      <c r="G101" s="258">
        <f t="shared" si="9"/>
        <v>100</v>
      </c>
      <c r="H101" s="257">
        <v>0.7</v>
      </c>
      <c r="I101" s="258">
        <f t="shared" si="13"/>
        <v>120</v>
      </c>
      <c r="J101" s="258">
        <f>'Elec Mb'!H96</f>
        <v>220</v>
      </c>
      <c r="K101" s="694">
        <v>1</v>
      </c>
      <c r="L101" s="258">
        <f t="shared" si="14"/>
        <v>6510</v>
      </c>
      <c r="M101" s="258">
        <f t="shared" si="15"/>
        <v>13950</v>
      </c>
      <c r="N101" s="258">
        <f t="shared" si="16"/>
        <v>20460</v>
      </c>
      <c r="O101" s="191"/>
      <c r="P101" s="191">
        <f t="shared" si="7"/>
        <v>121</v>
      </c>
    </row>
    <row r="102" spans="1:16" x14ac:dyDescent="0.3">
      <c r="A102" s="180"/>
      <c r="B102" s="179"/>
      <c r="C102" s="170"/>
      <c r="D102" s="255"/>
      <c r="E102" s="257"/>
      <c r="F102" s="257"/>
      <c r="G102" s="258">
        <f t="shared" si="9"/>
        <v>0</v>
      </c>
      <c r="H102" s="257"/>
      <c r="I102" s="258">
        <f t="shared" si="13"/>
        <v>0</v>
      </c>
      <c r="J102" s="258"/>
      <c r="K102" s="694"/>
      <c r="L102" s="258">
        <f t="shared" si="14"/>
        <v>0</v>
      </c>
      <c r="M102" s="258">
        <f t="shared" si="15"/>
        <v>0</v>
      </c>
      <c r="N102" s="258">
        <f t="shared" si="16"/>
        <v>0</v>
      </c>
      <c r="O102" s="191"/>
      <c r="P102" s="191">
        <f t="shared" si="7"/>
        <v>0</v>
      </c>
    </row>
    <row r="103" spans="1:16" x14ac:dyDescent="0.3">
      <c r="A103" s="180">
        <v>13</v>
      </c>
      <c r="B103" s="178" t="s">
        <v>382</v>
      </c>
      <c r="C103" s="177"/>
      <c r="D103" s="257"/>
      <c r="E103" s="257"/>
      <c r="F103" s="257"/>
      <c r="G103" s="258">
        <f t="shared" si="9"/>
        <v>0</v>
      </c>
      <c r="H103" s="257"/>
      <c r="I103" s="258">
        <f t="shared" si="13"/>
        <v>0</v>
      </c>
      <c r="J103" s="258"/>
      <c r="K103" s="694"/>
      <c r="L103" s="258">
        <f t="shared" si="14"/>
        <v>0</v>
      </c>
      <c r="M103" s="258">
        <f t="shared" si="15"/>
        <v>0</v>
      </c>
      <c r="N103" s="258">
        <f t="shared" si="16"/>
        <v>0</v>
      </c>
      <c r="O103" s="191"/>
      <c r="P103" s="191">
        <f t="shared" si="7"/>
        <v>0</v>
      </c>
    </row>
    <row r="104" spans="1:16" x14ac:dyDescent="0.3">
      <c r="A104" s="180"/>
      <c r="B104" s="178" t="s">
        <v>383</v>
      </c>
      <c r="C104" s="177"/>
      <c r="D104" s="257"/>
      <c r="E104" s="257"/>
      <c r="F104" s="257"/>
      <c r="G104" s="258">
        <f t="shared" si="9"/>
        <v>0</v>
      </c>
      <c r="H104" s="257"/>
      <c r="I104" s="258">
        <f t="shared" si="13"/>
        <v>0</v>
      </c>
      <c r="J104" s="258"/>
      <c r="K104" s="694"/>
      <c r="L104" s="258">
        <f t="shared" si="14"/>
        <v>0</v>
      </c>
      <c r="M104" s="258">
        <f t="shared" si="15"/>
        <v>0</v>
      </c>
      <c r="N104" s="258">
        <f t="shared" si="16"/>
        <v>0</v>
      </c>
      <c r="O104" s="191"/>
      <c r="P104" s="191">
        <f t="shared" si="7"/>
        <v>0</v>
      </c>
    </row>
    <row r="105" spans="1:16" ht="96" x14ac:dyDescent="0.3">
      <c r="A105" s="180">
        <f>A103+0.1</f>
        <v>13.1</v>
      </c>
      <c r="B105" s="179" t="s">
        <v>591</v>
      </c>
      <c r="C105" s="177"/>
      <c r="D105" s="257"/>
      <c r="E105" s="257"/>
      <c r="F105" s="257"/>
      <c r="G105" s="258">
        <f t="shared" si="9"/>
        <v>0</v>
      </c>
      <c r="H105" s="257"/>
      <c r="I105" s="258">
        <f t="shared" si="13"/>
        <v>0</v>
      </c>
      <c r="J105" s="258"/>
      <c r="K105" s="694"/>
      <c r="L105" s="258">
        <f t="shared" si="14"/>
        <v>0</v>
      </c>
      <c r="M105" s="258">
        <f t="shared" si="15"/>
        <v>0</v>
      </c>
      <c r="N105" s="258">
        <f t="shared" si="16"/>
        <v>0</v>
      </c>
      <c r="O105" s="191"/>
      <c r="P105" s="191">
        <f t="shared" si="7"/>
        <v>0</v>
      </c>
    </row>
    <row r="106" spans="1:16" x14ac:dyDescent="0.3">
      <c r="A106" s="180" t="s">
        <v>384</v>
      </c>
      <c r="B106" s="179" t="s">
        <v>385</v>
      </c>
      <c r="C106" s="177" t="s">
        <v>111</v>
      </c>
      <c r="D106" s="257">
        <v>20</v>
      </c>
      <c r="E106" s="257">
        <v>1935</v>
      </c>
      <c r="F106" s="257">
        <f t="shared" ref="F106:F107" si="17">$D106*E106</f>
        <v>38700</v>
      </c>
      <c r="G106" s="258">
        <f t="shared" si="9"/>
        <v>20</v>
      </c>
      <c r="H106" s="257">
        <v>0.9</v>
      </c>
      <c r="I106" s="258">
        <f t="shared" si="13"/>
        <v>-1</v>
      </c>
      <c r="J106" s="258">
        <f>'Elec Mb'!H101</f>
        <v>19</v>
      </c>
      <c r="K106" s="694">
        <v>1</v>
      </c>
      <c r="L106" s="258">
        <f t="shared" si="14"/>
        <v>34830</v>
      </c>
      <c r="M106" s="258">
        <f t="shared" si="15"/>
        <v>1935</v>
      </c>
      <c r="N106" s="258">
        <f t="shared" si="16"/>
        <v>36765</v>
      </c>
      <c r="O106" s="191"/>
      <c r="P106" s="191">
        <f t="shared" si="7"/>
        <v>0</v>
      </c>
    </row>
    <row r="107" spans="1:16" x14ac:dyDescent="0.3">
      <c r="A107" s="180" t="s">
        <v>386</v>
      </c>
      <c r="B107" s="179" t="s">
        <v>387</v>
      </c>
      <c r="C107" s="177" t="s">
        <v>111</v>
      </c>
      <c r="D107" s="257">
        <v>17</v>
      </c>
      <c r="E107" s="257">
        <v>1020</v>
      </c>
      <c r="F107" s="257">
        <f t="shared" si="17"/>
        <v>17340</v>
      </c>
      <c r="G107" s="258">
        <f t="shared" si="9"/>
        <v>17</v>
      </c>
      <c r="H107" s="257">
        <v>0.9</v>
      </c>
      <c r="I107" s="258">
        <f t="shared" si="13"/>
        <v>9</v>
      </c>
      <c r="J107" s="258">
        <f>'Elec Mb'!H102</f>
        <v>26</v>
      </c>
      <c r="K107" s="694">
        <v>1</v>
      </c>
      <c r="L107" s="258">
        <f t="shared" si="14"/>
        <v>15606</v>
      </c>
      <c r="M107" s="258">
        <f t="shared" si="15"/>
        <v>10914</v>
      </c>
      <c r="N107" s="258">
        <f t="shared" si="16"/>
        <v>26520</v>
      </c>
      <c r="O107" s="191"/>
      <c r="P107" s="191">
        <f t="shared" si="7"/>
        <v>10</v>
      </c>
    </row>
    <row r="108" spans="1:16" x14ac:dyDescent="0.3">
      <c r="A108" s="180"/>
      <c r="B108" s="179"/>
      <c r="C108" s="177"/>
      <c r="D108" s="257"/>
      <c r="E108" s="257"/>
      <c r="F108" s="257"/>
      <c r="G108" s="258">
        <f t="shared" si="9"/>
        <v>0</v>
      </c>
      <c r="H108" s="257"/>
      <c r="I108" s="258">
        <f t="shared" si="13"/>
        <v>0</v>
      </c>
      <c r="J108" s="258"/>
      <c r="K108" s="694"/>
      <c r="L108" s="258">
        <f t="shared" si="14"/>
        <v>0</v>
      </c>
      <c r="M108" s="258">
        <f t="shared" si="15"/>
        <v>0</v>
      </c>
      <c r="N108" s="258">
        <f t="shared" si="16"/>
        <v>0</v>
      </c>
      <c r="O108" s="191"/>
      <c r="P108" s="191">
        <f t="shared" ref="P108:P171" si="18">I108+K108</f>
        <v>0</v>
      </c>
    </row>
    <row r="109" spans="1:16" ht="96" x14ac:dyDescent="0.3">
      <c r="A109" s="180">
        <v>13.2</v>
      </c>
      <c r="B109" s="179" t="s">
        <v>592</v>
      </c>
      <c r="C109" s="177"/>
      <c r="D109" s="257"/>
      <c r="E109" s="257"/>
      <c r="F109" s="257"/>
      <c r="G109" s="258">
        <f t="shared" si="9"/>
        <v>0</v>
      </c>
      <c r="H109" s="257"/>
      <c r="I109" s="258">
        <f t="shared" si="13"/>
        <v>0</v>
      </c>
      <c r="J109" s="258"/>
      <c r="K109" s="694"/>
      <c r="L109" s="258">
        <f t="shared" si="14"/>
        <v>0</v>
      </c>
      <c r="M109" s="258">
        <f t="shared" si="15"/>
        <v>0</v>
      </c>
      <c r="N109" s="258">
        <f t="shared" si="16"/>
        <v>0</v>
      </c>
      <c r="O109" s="191"/>
      <c r="P109" s="191">
        <f t="shared" si="18"/>
        <v>0</v>
      </c>
    </row>
    <row r="110" spans="1:16" x14ac:dyDescent="0.3">
      <c r="A110" s="180" t="s">
        <v>388</v>
      </c>
      <c r="B110" s="179" t="s">
        <v>389</v>
      </c>
      <c r="C110" s="177" t="s">
        <v>111</v>
      </c>
      <c r="D110" s="257">
        <v>6</v>
      </c>
      <c r="E110" s="257">
        <v>1956</v>
      </c>
      <c r="F110" s="257">
        <f t="shared" ref="F110:F111" si="19">$D110*E110</f>
        <v>11736</v>
      </c>
      <c r="G110" s="258">
        <f t="shared" si="9"/>
        <v>6</v>
      </c>
      <c r="H110" s="257">
        <v>0.9</v>
      </c>
      <c r="I110" s="258">
        <f t="shared" si="13"/>
        <v>6</v>
      </c>
      <c r="J110" s="258">
        <f>'Elec Mb'!H105</f>
        <v>12</v>
      </c>
      <c r="K110" s="694">
        <v>1</v>
      </c>
      <c r="L110" s="258">
        <f t="shared" si="14"/>
        <v>10562.4</v>
      </c>
      <c r="M110" s="258">
        <f t="shared" si="15"/>
        <v>12909.6</v>
      </c>
      <c r="N110" s="258">
        <f t="shared" si="16"/>
        <v>23472</v>
      </c>
      <c r="O110" s="191"/>
      <c r="P110" s="191">
        <f t="shared" si="18"/>
        <v>7</v>
      </c>
    </row>
    <row r="111" spans="1:16" x14ac:dyDescent="0.3">
      <c r="A111" s="180" t="s">
        <v>390</v>
      </c>
      <c r="B111" s="179" t="s">
        <v>391</v>
      </c>
      <c r="C111" s="177" t="s">
        <v>111</v>
      </c>
      <c r="D111" s="257">
        <v>6</v>
      </c>
      <c r="E111" s="257">
        <v>2560</v>
      </c>
      <c r="F111" s="257">
        <f t="shared" si="19"/>
        <v>15360</v>
      </c>
      <c r="G111" s="258">
        <f t="shared" si="9"/>
        <v>6</v>
      </c>
      <c r="H111" s="257">
        <v>0.9</v>
      </c>
      <c r="I111" s="258">
        <f t="shared" si="13"/>
        <v>13</v>
      </c>
      <c r="J111" s="258">
        <f>'Elec Mb'!H106</f>
        <v>19</v>
      </c>
      <c r="K111" s="694">
        <v>1</v>
      </c>
      <c r="L111" s="258">
        <f t="shared" si="14"/>
        <v>13824</v>
      </c>
      <c r="M111" s="258">
        <f t="shared" si="15"/>
        <v>34816</v>
      </c>
      <c r="N111" s="258">
        <f t="shared" si="16"/>
        <v>48640</v>
      </c>
      <c r="O111" s="191"/>
      <c r="P111" s="191">
        <f t="shared" si="18"/>
        <v>14</v>
      </c>
    </row>
    <row r="112" spans="1:16" x14ac:dyDescent="0.3">
      <c r="A112" s="180" t="s">
        <v>392</v>
      </c>
      <c r="B112" s="179" t="s">
        <v>393</v>
      </c>
      <c r="C112" s="177" t="s">
        <v>111</v>
      </c>
      <c r="D112" s="257"/>
      <c r="E112" s="257">
        <v>3120</v>
      </c>
      <c r="F112" s="257"/>
      <c r="G112" s="258">
        <f t="shared" si="9"/>
        <v>0</v>
      </c>
      <c r="H112" s="257">
        <v>0.9</v>
      </c>
      <c r="I112" s="258">
        <f t="shared" si="13"/>
        <v>6</v>
      </c>
      <c r="J112" s="258">
        <f>'Elec Mb'!H107</f>
        <v>6</v>
      </c>
      <c r="K112" s="694">
        <v>1</v>
      </c>
      <c r="L112" s="258">
        <f t="shared" si="14"/>
        <v>0</v>
      </c>
      <c r="M112" s="258">
        <f t="shared" si="15"/>
        <v>18720</v>
      </c>
      <c r="N112" s="258">
        <f t="shared" si="16"/>
        <v>18720</v>
      </c>
      <c r="O112" s="191"/>
      <c r="P112" s="191">
        <f t="shared" si="18"/>
        <v>7</v>
      </c>
    </row>
    <row r="113" spans="1:16" x14ac:dyDescent="0.3">
      <c r="A113" s="180" t="s">
        <v>394</v>
      </c>
      <c r="B113" s="179" t="s">
        <v>387</v>
      </c>
      <c r="C113" s="177" t="s">
        <v>111</v>
      </c>
      <c r="D113" s="257">
        <v>58</v>
      </c>
      <c r="E113" s="257">
        <v>1183</v>
      </c>
      <c r="F113" s="257">
        <f>$D113*E113</f>
        <v>68614</v>
      </c>
      <c r="G113" s="258">
        <f t="shared" si="9"/>
        <v>58</v>
      </c>
      <c r="H113" s="257">
        <v>0.9</v>
      </c>
      <c r="I113" s="258">
        <f t="shared" si="13"/>
        <v>-32</v>
      </c>
      <c r="J113" s="258">
        <f>'Elec Mb'!H108</f>
        <v>26</v>
      </c>
      <c r="K113" s="694">
        <v>1</v>
      </c>
      <c r="L113" s="258">
        <f t="shared" si="14"/>
        <v>61752.6</v>
      </c>
      <c r="M113" s="258">
        <f t="shared" si="15"/>
        <v>-30994.6</v>
      </c>
      <c r="N113" s="258">
        <f t="shared" si="16"/>
        <v>30758</v>
      </c>
      <c r="O113" s="191"/>
      <c r="P113" s="191">
        <f t="shared" si="18"/>
        <v>-31</v>
      </c>
    </row>
    <row r="114" spans="1:16" x14ac:dyDescent="0.3">
      <c r="A114" s="180"/>
      <c r="B114" s="179"/>
      <c r="C114" s="177"/>
      <c r="D114" s="257"/>
      <c r="E114" s="257"/>
      <c r="F114" s="257"/>
      <c r="G114" s="258">
        <f t="shared" ref="G114:G148" si="20">D114</f>
        <v>0</v>
      </c>
      <c r="H114" s="257"/>
      <c r="I114" s="258">
        <f t="shared" si="13"/>
        <v>0</v>
      </c>
      <c r="J114" s="258"/>
      <c r="K114" s="694"/>
      <c r="L114" s="258">
        <f t="shared" si="14"/>
        <v>0</v>
      </c>
      <c r="M114" s="258">
        <f t="shared" si="15"/>
        <v>0</v>
      </c>
      <c r="N114" s="258">
        <f t="shared" si="16"/>
        <v>0</v>
      </c>
      <c r="O114" s="191"/>
      <c r="P114" s="191">
        <f t="shared" si="18"/>
        <v>0</v>
      </c>
    </row>
    <row r="115" spans="1:16" ht="72" x14ac:dyDescent="0.3">
      <c r="A115" s="180">
        <f>A109+0.1</f>
        <v>13.299999999999999</v>
      </c>
      <c r="B115" s="179" t="s">
        <v>395</v>
      </c>
      <c r="C115" s="177" t="s">
        <v>396</v>
      </c>
      <c r="D115" s="257">
        <v>12</v>
      </c>
      <c r="E115" s="257">
        <v>3853</v>
      </c>
      <c r="F115" s="257">
        <f>$D115*E115</f>
        <v>46236</v>
      </c>
      <c r="G115" s="258">
        <f t="shared" si="20"/>
        <v>12</v>
      </c>
      <c r="H115" s="257">
        <v>0.9</v>
      </c>
      <c r="I115" s="258">
        <f t="shared" si="13"/>
        <v>20</v>
      </c>
      <c r="J115" s="258">
        <f>'Elec Mb'!H110</f>
        <v>32</v>
      </c>
      <c r="K115" s="694">
        <v>1</v>
      </c>
      <c r="L115" s="258">
        <f t="shared" si="14"/>
        <v>41612.400000000001</v>
      </c>
      <c r="M115" s="258">
        <f t="shared" si="15"/>
        <v>81683.600000000006</v>
      </c>
      <c r="N115" s="258">
        <f t="shared" si="16"/>
        <v>123296</v>
      </c>
      <c r="O115" s="191"/>
      <c r="P115" s="191">
        <f t="shared" si="18"/>
        <v>21</v>
      </c>
    </row>
    <row r="116" spans="1:16" x14ac:dyDescent="0.3">
      <c r="A116" s="180"/>
      <c r="B116" s="179"/>
      <c r="C116" s="177"/>
      <c r="D116" s="257"/>
      <c r="E116" s="257"/>
      <c r="F116" s="257"/>
      <c r="G116" s="258">
        <f t="shared" si="20"/>
        <v>0</v>
      </c>
      <c r="H116" s="257"/>
      <c r="I116" s="258">
        <f t="shared" si="13"/>
        <v>0</v>
      </c>
      <c r="J116" s="258"/>
      <c r="K116" s="694"/>
      <c r="L116" s="258">
        <f t="shared" si="14"/>
        <v>0</v>
      </c>
      <c r="M116" s="258">
        <f t="shared" si="15"/>
        <v>0</v>
      </c>
      <c r="N116" s="258">
        <f t="shared" si="16"/>
        <v>0</v>
      </c>
      <c r="O116" s="191"/>
      <c r="P116" s="191">
        <f t="shared" si="18"/>
        <v>0</v>
      </c>
    </row>
    <row r="117" spans="1:16" ht="72" x14ac:dyDescent="0.3">
      <c r="A117" s="180">
        <f>A115+0.1</f>
        <v>13.399999999999999</v>
      </c>
      <c r="B117" s="179" t="s">
        <v>593</v>
      </c>
      <c r="C117" s="177" t="s">
        <v>396</v>
      </c>
      <c r="D117" s="257">
        <v>10</v>
      </c>
      <c r="E117" s="257">
        <v>3865</v>
      </c>
      <c r="F117" s="257">
        <f>$D117*E117</f>
        <v>38650</v>
      </c>
      <c r="G117" s="258">
        <f t="shared" si="20"/>
        <v>10</v>
      </c>
      <c r="H117" s="257">
        <v>0.9</v>
      </c>
      <c r="I117" s="258">
        <f t="shared" si="13"/>
        <v>0</v>
      </c>
      <c r="J117" s="258">
        <f>'Elec Mb'!H112</f>
        <v>10</v>
      </c>
      <c r="K117" s="694">
        <v>1</v>
      </c>
      <c r="L117" s="258">
        <f t="shared" si="14"/>
        <v>34785</v>
      </c>
      <c r="M117" s="258">
        <f t="shared" si="15"/>
        <v>3865</v>
      </c>
      <c r="N117" s="258">
        <f t="shared" si="16"/>
        <v>38650</v>
      </c>
      <c r="O117" s="191"/>
      <c r="P117" s="191">
        <f t="shared" si="18"/>
        <v>1</v>
      </c>
    </row>
    <row r="118" spans="1:16" x14ac:dyDescent="0.3">
      <c r="A118" s="180"/>
      <c r="B118" s="179"/>
      <c r="C118" s="177"/>
      <c r="D118" s="257"/>
      <c r="E118" s="257"/>
      <c r="F118" s="257"/>
      <c r="G118" s="258">
        <f t="shared" si="20"/>
        <v>0</v>
      </c>
      <c r="H118" s="257"/>
      <c r="I118" s="258">
        <f t="shared" si="13"/>
        <v>0</v>
      </c>
      <c r="J118" s="258"/>
      <c r="K118" s="694"/>
      <c r="L118" s="258">
        <f t="shared" si="14"/>
        <v>0</v>
      </c>
      <c r="M118" s="258">
        <f t="shared" si="15"/>
        <v>0</v>
      </c>
      <c r="N118" s="258">
        <f t="shared" si="16"/>
        <v>0</v>
      </c>
      <c r="O118" s="191"/>
      <c r="P118" s="191">
        <f t="shared" si="18"/>
        <v>0</v>
      </c>
    </row>
    <row r="119" spans="1:16" ht="72" x14ac:dyDescent="0.3">
      <c r="A119" s="180">
        <f>A117+0.1</f>
        <v>13.499999999999998</v>
      </c>
      <c r="B119" s="179" t="s">
        <v>594</v>
      </c>
      <c r="C119" s="177" t="s">
        <v>396</v>
      </c>
      <c r="D119" s="257">
        <v>8</v>
      </c>
      <c r="E119" s="257">
        <v>3655</v>
      </c>
      <c r="F119" s="257">
        <f>$D119*E119</f>
        <v>29240</v>
      </c>
      <c r="G119" s="258">
        <f t="shared" si="20"/>
        <v>8</v>
      </c>
      <c r="H119" s="257">
        <v>0.9</v>
      </c>
      <c r="I119" s="258">
        <f t="shared" si="13"/>
        <v>-8</v>
      </c>
      <c r="J119" s="258">
        <f>'Elec Mb'!H114</f>
        <v>0</v>
      </c>
      <c r="K119" s="694">
        <v>0</v>
      </c>
      <c r="L119" s="258">
        <f t="shared" si="14"/>
        <v>26316</v>
      </c>
      <c r="M119" s="258">
        <f t="shared" si="15"/>
        <v>-26316</v>
      </c>
      <c r="N119" s="258">
        <f t="shared" si="16"/>
        <v>0</v>
      </c>
      <c r="O119" s="191"/>
      <c r="P119" s="191">
        <f t="shared" si="18"/>
        <v>-8</v>
      </c>
    </row>
    <row r="120" spans="1:16" x14ac:dyDescent="0.3">
      <c r="A120" s="180"/>
      <c r="B120" s="179"/>
      <c r="C120" s="177"/>
      <c r="D120" s="257"/>
      <c r="E120" s="257"/>
      <c r="F120" s="257"/>
      <c r="G120" s="258">
        <f t="shared" si="20"/>
        <v>0</v>
      </c>
      <c r="H120" s="257"/>
      <c r="I120" s="258">
        <f t="shared" si="13"/>
        <v>0</v>
      </c>
      <c r="J120" s="258"/>
      <c r="K120" s="694"/>
      <c r="L120" s="258">
        <f t="shared" si="14"/>
        <v>0</v>
      </c>
      <c r="M120" s="258">
        <f t="shared" si="15"/>
        <v>0</v>
      </c>
      <c r="N120" s="258">
        <f t="shared" si="16"/>
        <v>0</v>
      </c>
      <c r="O120" s="191"/>
      <c r="P120" s="191">
        <f t="shared" si="18"/>
        <v>0</v>
      </c>
    </row>
    <row r="121" spans="1:16" ht="60" x14ac:dyDescent="0.3">
      <c r="A121" s="180">
        <f>A119+0.1</f>
        <v>13.599999999999998</v>
      </c>
      <c r="B121" s="179" t="s">
        <v>397</v>
      </c>
      <c r="C121" s="177" t="s">
        <v>396</v>
      </c>
      <c r="D121" s="257">
        <v>8</v>
      </c>
      <c r="E121" s="257">
        <v>2130</v>
      </c>
      <c r="F121" s="257">
        <f>$D121*E121</f>
        <v>17040</v>
      </c>
      <c r="G121" s="258">
        <f t="shared" si="20"/>
        <v>8</v>
      </c>
      <c r="H121" s="257">
        <v>0.9</v>
      </c>
      <c r="I121" s="258">
        <f t="shared" si="13"/>
        <v>14</v>
      </c>
      <c r="J121" s="258">
        <f>'Elec Mb'!H116</f>
        <v>22</v>
      </c>
      <c r="K121" s="694">
        <v>1</v>
      </c>
      <c r="L121" s="258">
        <f t="shared" si="14"/>
        <v>15336</v>
      </c>
      <c r="M121" s="258">
        <f t="shared" si="15"/>
        <v>31524</v>
      </c>
      <c r="N121" s="258">
        <f t="shared" si="16"/>
        <v>46860</v>
      </c>
      <c r="O121" s="191"/>
      <c r="P121" s="191">
        <f t="shared" si="18"/>
        <v>15</v>
      </c>
    </row>
    <row r="122" spans="1:16" x14ac:dyDescent="0.3">
      <c r="A122" s="180"/>
      <c r="B122" s="179"/>
      <c r="C122" s="177"/>
      <c r="D122" s="257"/>
      <c r="E122" s="257"/>
      <c r="F122" s="257"/>
      <c r="G122" s="258">
        <f t="shared" si="20"/>
        <v>0</v>
      </c>
      <c r="H122" s="257"/>
      <c r="I122" s="258">
        <f t="shared" si="13"/>
        <v>0</v>
      </c>
      <c r="J122" s="258">
        <f>'Elec Mb'!H117</f>
        <v>0</v>
      </c>
      <c r="K122" s="694"/>
      <c r="L122" s="258">
        <f t="shared" si="14"/>
        <v>0</v>
      </c>
      <c r="M122" s="258">
        <f t="shared" si="15"/>
        <v>0</v>
      </c>
      <c r="N122" s="258">
        <f t="shared" si="16"/>
        <v>0</v>
      </c>
      <c r="O122" s="191"/>
      <c r="P122" s="191">
        <f t="shared" si="18"/>
        <v>0</v>
      </c>
    </row>
    <row r="123" spans="1:16" ht="60" x14ac:dyDescent="0.3">
      <c r="A123" s="180">
        <f>A121+0.1</f>
        <v>13.699999999999998</v>
      </c>
      <c r="B123" s="179" t="s">
        <v>595</v>
      </c>
      <c r="C123" s="177" t="s">
        <v>398</v>
      </c>
      <c r="D123" s="257">
        <v>20</v>
      </c>
      <c r="E123" s="257">
        <v>3455</v>
      </c>
      <c r="F123" s="257">
        <f>$D123*E123</f>
        <v>69100</v>
      </c>
      <c r="G123" s="258">
        <f t="shared" si="20"/>
        <v>20</v>
      </c>
      <c r="H123" s="257">
        <v>0.9</v>
      </c>
      <c r="I123" s="258">
        <f t="shared" si="13"/>
        <v>-6</v>
      </c>
      <c r="J123" s="258">
        <f>'Elec Mb'!H118</f>
        <v>14</v>
      </c>
      <c r="K123" s="694">
        <v>1</v>
      </c>
      <c r="L123" s="258">
        <f t="shared" si="14"/>
        <v>62190</v>
      </c>
      <c r="M123" s="258">
        <f t="shared" si="15"/>
        <v>-13820</v>
      </c>
      <c r="N123" s="258">
        <f t="shared" si="16"/>
        <v>48370</v>
      </c>
      <c r="O123" s="191"/>
      <c r="P123" s="191">
        <f t="shared" si="18"/>
        <v>-5</v>
      </c>
    </row>
    <row r="124" spans="1:16" x14ac:dyDescent="0.3">
      <c r="A124" s="180"/>
      <c r="B124" s="179"/>
      <c r="C124" s="177"/>
      <c r="D124" s="257"/>
      <c r="E124" s="257"/>
      <c r="F124" s="257"/>
      <c r="G124" s="258">
        <f t="shared" si="20"/>
        <v>0</v>
      </c>
      <c r="H124" s="257"/>
      <c r="I124" s="258">
        <f t="shared" si="13"/>
        <v>0</v>
      </c>
      <c r="J124" s="258">
        <f>'Elec Mb'!H119</f>
        <v>0</v>
      </c>
      <c r="K124" s="694"/>
      <c r="L124" s="258">
        <f t="shared" si="14"/>
        <v>0</v>
      </c>
      <c r="M124" s="258">
        <f t="shared" si="15"/>
        <v>0</v>
      </c>
      <c r="N124" s="258">
        <f t="shared" si="16"/>
        <v>0</v>
      </c>
      <c r="O124" s="191"/>
      <c r="P124" s="191">
        <f t="shared" si="18"/>
        <v>0</v>
      </c>
    </row>
    <row r="125" spans="1:16" ht="60" x14ac:dyDescent="0.3">
      <c r="A125" s="180">
        <f>A123+0.1</f>
        <v>13.799999999999997</v>
      </c>
      <c r="B125" s="179" t="s">
        <v>596</v>
      </c>
      <c r="C125" s="177" t="s">
        <v>398</v>
      </c>
      <c r="D125" s="257">
        <v>5</v>
      </c>
      <c r="E125" s="257">
        <v>3983</v>
      </c>
      <c r="F125" s="257">
        <f>$D125*E125</f>
        <v>19915</v>
      </c>
      <c r="G125" s="258">
        <f t="shared" si="20"/>
        <v>5</v>
      </c>
      <c r="H125" s="257">
        <v>0.9</v>
      </c>
      <c r="I125" s="258">
        <f t="shared" si="13"/>
        <v>1</v>
      </c>
      <c r="J125" s="258">
        <f>'Elec Mb'!H120</f>
        <v>6</v>
      </c>
      <c r="K125" s="694">
        <v>1</v>
      </c>
      <c r="L125" s="258">
        <f t="shared" si="14"/>
        <v>17923.5</v>
      </c>
      <c r="M125" s="258">
        <f t="shared" si="15"/>
        <v>5974.5</v>
      </c>
      <c r="N125" s="258">
        <f t="shared" si="16"/>
        <v>23898</v>
      </c>
      <c r="O125" s="191"/>
      <c r="P125" s="191">
        <f t="shared" si="18"/>
        <v>2</v>
      </c>
    </row>
    <row r="126" spans="1:16" x14ac:dyDescent="0.3">
      <c r="A126" s="180"/>
      <c r="B126" s="179"/>
      <c r="C126" s="177"/>
      <c r="D126" s="257"/>
      <c r="E126" s="257"/>
      <c r="F126" s="257"/>
      <c r="G126" s="258">
        <f t="shared" si="20"/>
        <v>0</v>
      </c>
      <c r="H126" s="257"/>
      <c r="I126" s="258">
        <f t="shared" si="13"/>
        <v>0</v>
      </c>
      <c r="J126" s="258"/>
      <c r="K126" s="694"/>
      <c r="L126" s="258">
        <f t="shared" si="14"/>
        <v>0</v>
      </c>
      <c r="M126" s="258">
        <f t="shared" si="15"/>
        <v>0</v>
      </c>
      <c r="N126" s="258">
        <f t="shared" si="16"/>
        <v>0</v>
      </c>
      <c r="O126" s="191"/>
      <c r="P126" s="191">
        <f t="shared" si="18"/>
        <v>0</v>
      </c>
    </row>
    <row r="127" spans="1:16" ht="60" x14ac:dyDescent="0.3">
      <c r="A127" s="180">
        <f>A125+0.1</f>
        <v>13.899999999999997</v>
      </c>
      <c r="B127" s="179" t="s">
        <v>597</v>
      </c>
      <c r="C127" s="177" t="s">
        <v>398</v>
      </c>
      <c r="D127" s="257">
        <v>4</v>
      </c>
      <c r="E127" s="257">
        <v>4356</v>
      </c>
      <c r="F127" s="257">
        <f>$D127*E127</f>
        <v>17424</v>
      </c>
      <c r="G127" s="258">
        <f t="shared" si="20"/>
        <v>4</v>
      </c>
      <c r="H127" s="257">
        <v>0.9</v>
      </c>
      <c r="I127" s="258">
        <f t="shared" si="13"/>
        <v>-2</v>
      </c>
      <c r="J127" s="258">
        <f>'Elec Mb'!H122</f>
        <v>2</v>
      </c>
      <c r="K127" s="694">
        <v>1</v>
      </c>
      <c r="L127" s="258">
        <f t="shared" si="14"/>
        <v>15681.6</v>
      </c>
      <c r="M127" s="258">
        <f t="shared" si="15"/>
        <v>-6969.6</v>
      </c>
      <c r="N127" s="258">
        <f t="shared" si="16"/>
        <v>8712</v>
      </c>
      <c r="O127" s="191"/>
      <c r="P127" s="191">
        <f t="shared" si="18"/>
        <v>-1</v>
      </c>
    </row>
    <row r="128" spans="1:16" x14ac:dyDescent="0.3">
      <c r="A128" s="180"/>
      <c r="B128" s="179"/>
      <c r="C128" s="177"/>
      <c r="D128" s="257"/>
      <c r="E128" s="257"/>
      <c r="F128" s="257"/>
      <c r="G128" s="258">
        <f t="shared" si="20"/>
        <v>0</v>
      </c>
      <c r="H128" s="257"/>
      <c r="I128" s="258">
        <f t="shared" si="13"/>
        <v>0</v>
      </c>
      <c r="J128" s="258"/>
      <c r="K128" s="694"/>
      <c r="L128" s="258">
        <f t="shared" si="14"/>
        <v>0</v>
      </c>
      <c r="M128" s="258">
        <f t="shared" si="15"/>
        <v>0</v>
      </c>
      <c r="N128" s="258">
        <f t="shared" si="16"/>
        <v>0</v>
      </c>
      <c r="O128" s="191"/>
      <c r="P128" s="191">
        <f t="shared" si="18"/>
        <v>0</v>
      </c>
    </row>
    <row r="129" spans="1:16" ht="60" x14ac:dyDescent="0.3">
      <c r="A129" s="192">
        <v>13.1</v>
      </c>
      <c r="B129" s="179" t="s">
        <v>598</v>
      </c>
      <c r="C129" s="177" t="s">
        <v>398</v>
      </c>
      <c r="D129" s="257">
        <v>4</v>
      </c>
      <c r="E129" s="257">
        <v>4435</v>
      </c>
      <c r="F129" s="257">
        <f>$D129*E129</f>
        <v>17740</v>
      </c>
      <c r="G129" s="258">
        <f t="shared" si="20"/>
        <v>4</v>
      </c>
      <c r="H129" s="257">
        <v>0.9</v>
      </c>
      <c r="I129" s="258">
        <f t="shared" si="13"/>
        <v>-3</v>
      </c>
      <c r="J129" s="258">
        <f>'Elec Mb'!H124</f>
        <v>1</v>
      </c>
      <c r="K129" s="694">
        <v>1</v>
      </c>
      <c r="L129" s="258">
        <f t="shared" si="14"/>
        <v>15966</v>
      </c>
      <c r="M129" s="258">
        <f t="shared" si="15"/>
        <v>-11531</v>
      </c>
      <c r="N129" s="258">
        <f t="shared" si="16"/>
        <v>4435</v>
      </c>
      <c r="O129" s="191"/>
      <c r="P129" s="191">
        <f t="shared" si="18"/>
        <v>-2</v>
      </c>
    </row>
    <row r="130" spans="1:16" x14ac:dyDescent="0.3">
      <c r="A130" s="180"/>
      <c r="B130" s="179"/>
      <c r="C130" s="177"/>
      <c r="D130" s="257"/>
      <c r="E130" s="257"/>
      <c r="F130" s="257"/>
      <c r="G130" s="258">
        <f t="shared" si="20"/>
        <v>0</v>
      </c>
      <c r="H130" s="257"/>
      <c r="I130" s="258">
        <f t="shared" si="13"/>
        <v>0</v>
      </c>
      <c r="J130" s="258"/>
      <c r="K130" s="694"/>
      <c r="L130" s="258">
        <f t="shared" si="14"/>
        <v>0</v>
      </c>
      <c r="M130" s="258">
        <f t="shared" si="15"/>
        <v>0</v>
      </c>
      <c r="N130" s="258">
        <f t="shared" si="16"/>
        <v>0</v>
      </c>
      <c r="O130" s="191"/>
      <c r="P130" s="191">
        <f t="shared" si="18"/>
        <v>0</v>
      </c>
    </row>
    <row r="131" spans="1:16" ht="60" x14ac:dyDescent="0.3">
      <c r="A131" s="192">
        <v>13.11</v>
      </c>
      <c r="B131" s="179" t="s">
        <v>599</v>
      </c>
      <c r="C131" s="177" t="s">
        <v>398</v>
      </c>
      <c r="D131" s="257">
        <v>4</v>
      </c>
      <c r="E131" s="257">
        <v>5434</v>
      </c>
      <c r="F131" s="257">
        <f>$D131*E131</f>
        <v>21736</v>
      </c>
      <c r="G131" s="258">
        <f t="shared" si="20"/>
        <v>4</v>
      </c>
      <c r="H131" s="257">
        <v>0.9</v>
      </c>
      <c r="I131" s="258">
        <f t="shared" si="13"/>
        <v>-4</v>
      </c>
      <c r="J131" s="258">
        <f>'Elec Mb'!H126</f>
        <v>0</v>
      </c>
      <c r="K131" s="694">
        <v>0</v>
      </c>
      <c r="L131" s="258">
        <f t="shared" si="14"/>
        <v>19562.400000000001</v>
      </c>
      <c r="M131" s="258">
        <f t="shared" si="15"/>
        <v>-19562.400000000001</v>
      </c>
      <c r="N131" s="258">
        <f t="shared" si="16"/>
        <v>0</v>
      </c>
      <c r="O131" s="191"/>
      <c r="P131" s="191">
        <f t="shared" si="18"/>
        <v>-4</v>
      </c>
    </row>
    <row r="132" spans="1:16" x14ac:dyDescent="0.3">
      <c r="A132" s="180"/>
      <c r="B132" s="179"/>
      <c r="C132" s="177"/>
      <c r="D132" s="257"/>
      <c r="E132" s="257"/>
      <c r="F132" s="257"/>
      <c r="G132" s="258">
        <f t="shared" si="20"/>
        <v>0</v>
      </c>
      <c r="H132" s="257"/>
      <c r="I132" s="258">
        <f t="shared" si="13"/>
        <v>0</v>
      </c>
      <c r="J132" s="258"/>
      <c r="K132" s="694"/>
      <c r="L132" s="258">
        <f t="shared" si="14"/>
        <v>0</v>
      </c>
      <c r="M132" s="258">
        <f t="shared" si="15"/>
        <v>0</v>
      </c>
      <c r="N132" s="258">
        <f t="shared" si="16"/>
        <v>0</v>
      </c>
      <c r="O132" s="191"/>
      <c r="P132" s="191">
        <f t="shared" si="18"/>
        <v>0</v>
      </c>
    </row>
    <row r="133" spans="1:16" ht="48" x14ac:dyDescent="0.3">
      <c r="A133" s="192">
        <v>13.12</v>
      </c>
      <c r="B133" s="179" t="s">
        <v>600</v>
      </c>
      <c r="C133" s="177" t="s">
        <v>398</v>
      </c>
      <c r="D133" s="257">
        <v>1</v>
      </c>
      <c r="E133" s="257">
        <v>4356</v>
      </c>
      <c r="F133" s="257">
        <f t="shared" ref="F133:F134" si="21">$D133*E133</f>
        <v>4356</v>
      </c>
      <c r="G133" s="258">
        <f t="shared" si="20"/>
        <v>1</v>
      </c>
      <c r="H133" s="257">
        <v>0.9</v>
      </c>
      <c r="I133" s="258">
        <f t="shared" si="13"/>
        <v>-1</v>
      </c>
      <c r="J133" s="258">
        <f>'Elec Mb'!H128</f>
        <v>0</v>
      </c>
      <c r="K133" s="694">
        <v>0</v>
      </c>
      <c r="L133" s="258">
        <f t="shared" si="14"/>
        <v>3920.4</v>
      </c>
      <c r="M133" s="258">
        <f t="shared" si="15"/>
        <v>-3920.4</v>
      </c>
      <c r="N133" s="258">
        <f t="shared" si="16"/>
        <v>0</v>
      </c>
      <c r="O133" s="191"/>
      <c r="P133" s="191">
        <f t="shared" si="18"/>
        <v>-1</v>
      </c>
    </row>
    <row r="134" spans="1:16" x14ac:dyDescent="0.3">
      <c r="A134" s="180"/>
      <c r="B134" s="179" t="s">
        <v>601</v>
      </c>
      <c r="C134" s="177" t="s">
        <v>398</v>
      </c>
      <c r="D134" s="257">
        <v>1</v>
      </c>
      <c r="E134" s="257">
        <v>569</v>
      </c>
      <c r="F134" s="257">
        <f t="shared" si="21"/>
        <v>569</v>
      </c>
      <c r="G134" s="258">
        <f t="shared" si="20"/>
        <v>1</v>
      </c>
      <c r="H134" s="257">
        <v>0.9</v>
      </c>
      <c r="I134" s="258">
        <f t="shared" si="13"/>
        <v>-1</v>
      </c>
      <c r="J134" s="258">
        <f>'Elec Mb'!H129</f>
        <v>0</v>
      </c>
      <c r="K134" s="694">
        <v>0</v>
      </c>
      <c r="L134" s="258">
        <f t="shared" si="14"/>
        <v>512.1</v>
      </c>
      <c r="M134" s="258">
        <f t="shared" si="15"/>
        <v>-512.1</v>
      </c>
      <c r="N134" s="258">
        <f t="shared" si="16"/>
        <v>0</v>
      </c>
      <c r="O134" s="191"/>
      <c r="P134" s="191">
        <f t="shared" si="18"/>
        <v>-1</v>
      </c>
    </row>
    <row r="135" spans="1:16" x14ac:dyDescent="0.3">
      <c r="A135" s="180"/>
      <c r="B135" s="179"/>
      <c r="C135" s="177"/>
      <c r="D135" s="257"/>
      <c r="E135" s="257"/>
      <c r="F135" s="257"/>
      <c r="G135" s="258">
        <f t="shared" si="20"/>
        <v>0</v>
      </c>
      <c r="H135" s="257"/>
      <c r="I135" s="258">
        <f t="shared" si="13"/>
        <v>0</v>
      </c>
      <c r="J135" s="258"/>
      <c r="K135" s="694"/>
      <c r="L135" s="258">
        <f t="shared" si="14"/>
        <v>0</v>
      </c>
      <c r="M135" s="258">
        <f t="shared" si="15"/>
        <v>0</v>
      </c>
      <c r="N135" s="258">
        <f t="shared" si="16"/>
        <v>0</v>
      </c>
      <c r="O135" s="191"/>
      <c r="P135" s="191">
        <f t="shared" si="18"/>
        <v>0</v>
      </c>
    </row>
    <row r="136" spans="1:16" ht="48" x14ac:dyDescent="0.3">
      <c r="A136" s="192">
        <v>13.13</v>
      </c>
      <c r="B136" s="179" t="s">
        <v>602</v>
      </c>
      <c r="C136" s="177" t="s">
        <v>398</v>
      </c>
      <c r="D136" s="257">
        <v>1</v>
      </c>
      <c r="E136" s="257">
        <v>6534</v>
      </c>
      <c r="F136" s="257">
        <f t="shared" ref="F136:F137" si="22">$D136*E136</f>
        <v>6534</v>
      </c>
      <c r="G136" s="258">
        <f t="shared" si="20"/>
        <v>1</v>
      </c>
      <c r="H136" s="257">
        <v>0.9</v>
      </c>
      <c r="I136" s="258">
        <f t="shared" si="13"/>
        <v>4</v>
      </c>
      <c r="J136" s="258">
        <f>'Elec Mb'!H131</f>
        <v>5</v>
      </c>
      <c r="K136" s="694">
        <v>1</v>
      </c>
      <c r="L136" s="258">
        <f t="shared" si="14"/>
        <v>5880.6</v>
      </c>
      <c r="M136" s="258">
        <f t="shared" si="15"/>
        <v>26789.4</v>
      </c>
      <c r="N136" s="258">
        <f t="shared" si="16"/>
        <v>32670</v>
      </c>
      <c r="O136" s="191"/>
      <c r="P136" s="191">
        <f t="shared" si="18"/>
        <v>5</v>
      </c>
    </row>
    <row r="137" spans="1:16" x14ac:dyDescent="0.3">
      <c r="A137" s="180">
        <v>13.14</v>
      </c>
      <c r="B137" s="179" t="s">
        <v>603</v>
      </c>
      <c r="C137" s="177" t="s">
        <v>398</v>
      </c>
      <c r="D137" s="257">
        <v>1</v>
      </c>
      <c r="E137" s="257">
        <v>1650</v>
      </c>
      <c r="F137" s="257">
        <f t="shared" si="22"/>
        <v>1650</v>
      </c>
      <c r="G137" s="258">
        <f t="shared" si="20"/>
        <v>1</v>
      </c>
      <c r="H137" s="257">
        <v>0.9</v>
      </c>
      <c r="I137" s="258">
        <f t="shared" si="13"/>
        <v>-1</v>
      </c>
      <c r="J137" s="258">
        <f>'Elec Mb'!H132</f>
        <v>0</v>
      </c>
      <c r="K137" s="694">
        <v>0</v>
      </c>
      <c r="L137" s="258">
        <f t="shared" si="14"/>
        <v>1485</v>
      </c>
      <c r="M137" s="258">
        <f t="shared" si="15"/>
        <v>-1485</v>
      </c>
      <c r="N137" s="258">
        <f t="shared" si="16"/>
        <v>0</v>
      </c>
      <c r="O137" s="191"/>
      <c r="P137" s="191">
        <f t="shared" si="18"/>
        <v>-1</v>
      </c>
    </row>
    <row r="138" spans="1:16" x14ac:dyDescent="0.3">
      <c r="A138" s="180"/>
      <c r="B138" s="179"/>
      <c r="C138" s="177"/>
      <c r="D138" s="257"/>
      <c r="E138" s="257"/>
      <c r="F138" s="257"/>
      <c r="G138" s="258">
        <f t="shared" si="20"/>
        <v>0</v>
      </c>
      <c r="H138" s="257"/>
      <c r="I138" s="258">
        <f t="shared" si="13"/>
        <v>0</v>
      </c>
      <c r="J138" s="258"/>
      <c r="K138" s="694"/>
      <c r="L138" s="258">
        <f t="shared" si="14"/>
        <v>0</v>
      </c>
      <c r="M138" s="258">
        <f t="shared" si="15"/>
        <v>0</v>
      </c>
      <c r="N138" s="258">
        <f t="shared" si="16"/>
        <v>0</v>
      </c>
      <c r="O138" s="191"/>
      <c r="P138" s="191">
        <f t="shared" si="18"/>
        <v>0</v>
      </c>
    </row>
    <row r="139" spans="1:16" x14ac:dyDescent="0.3">
      <c r="A139" s="180">
        <v>13.15</v>
      </c>
      <c r="B139" s="179" t="s">
        <v>399</v>
      </c>
      <c r="C139" s="177" t="s">
        <v>396</v>
      </c>
      <c r="D139" s="257">
        <v>0</v>
      </c>
      <c r="E139" s="257">
        <v>1923</v>
      </c>
      <c r="F139" s="257"/>
      <c r="G139" s="258">
        <f t="shared" si="20"/>
        <v>0</v>
      </c>
      <c r="H139" s="257">
        <v>0</v>
      </c>
      <c r="I139" s="258">
        <f t="shared" si="13"/>
        <v>26</v>
      </c>
      <c r="J139" s="258">
        <f>'Elec Mb'!H134</f>
        <v>26</v>
      </c>
      <c r="K139" s="694">
        <v>1</v>
      </c>
      <c r="L139" s="258">
        <f t="shared" si="14"/>
        <v>0</v>
      </c>
      <c r="M139" s="258">
        <f t="shared" si="15"/>
        <v>49998</v>
      </c>
      <c r="N139" s="258">
        <f t="shared" si="16"/>
        <v>49998</v>
      </c>
      <c r="O139" s="191"/>
      <c r="P139" s="191">
        <f t="shared" si="18"/>
        <v>27</v>
      </c>
    </row>
    <row r="140" spans="1:16" x14ac:dyDescent="0.3">
      <c r="A140" s="180"/>
      <c r="B140" s="179"/>
      <c r="C140" s="177"/>
      <c r="D140" s="257"/>
      <c r="E140" s="257"/>
      <c r="F140" s="257"/>
      <c r="G140" s="258">
        <f t="shared" si="20"/>
        <v>0</v>
      </c>
      <c r="H140" s="257"/>
      <c r="I140" s="258">
        <f t="shared" si="13"/>
        <v>0</v>
      </c>
      <c r="J140" s="258"/>
      <c r="K140" s="694"/>
      <c r="L140" s="258">
        <f t="shared" si="14"/>
        <v>0</v>
      </c>
      <c r="M140" s="258">
        <f t="shared" si="15"/>
        <v>0</v>
      </c>
      <c r="N140" s="258">
        <f t="shared" si="16"/>
        <v>0</v>
      </c>
      <c r="O140" s="191"/>
      <c r="P140" s="191">
        <f t="shared" si="18"/>
        <v>0</v>
      </c>
    </row>
    <row r="141" spans="1:16" x14ac:dyDescent="0.3">
      <c r="A141" s="180">
        <v>13.16</v>
      </c>
      <c r="B141" s="179" t="s">
        <v>400</v>
      </c>
      <c r="C141" s="177" t="s">
        <v>396</v>
      </c>
      <c r="D141" s="257">
        <v>20</v>
      </c>
      <c r="E141" s="257">
        <v>230</v>
      </c>
      <c r="F141" s="257">
        <f>$D141*E141</f>
        <v>4600</v>
      </c>
      <c r="G141" s="258">
        <f t="shared" si="20"/>
        <v>20</v>
      </c>
      <c r="H141" s="257">
        <v>0.7</v>
      </c>
      <c r="I141" s="258">
        <f t="shared" si="13"/>
        <v>-20</v>
      </c>
      <c r="J141" s="258">
        <f>'Elec Mb'!H136</f>
        <v>0</v>
      </c>
      <c r="K141" s="694">
        <v>0</v>
      </c>
      <c r="L141" s="258">
        <f t="shared" si="14"/>
        <v>3220</v>
      </c>
      <c r="M141" s="258">
        <f t="shared" si="15"/>
        <v>-3220</v>
      </c>
      <c r="N141" s="258">
        <f t="shared" si="16"/>
        <v>0</v>
      </c>
      <c r="O141" s="191"/>
      <c r="P141" s="191">
        <f t="shared" si="18"/>
        <v>-20</v>
      </c>
    </row>
    <row r="142" spans="1:16" x14ac:dyDescent="0.3">
      <c r="A142" s="180"/>
      <c r="B142" s="179"/>
      <c r="C142" s="177"/>
      <c r="D142" s="257"/>
      <c r="E142" s="257"/>
      <c r="F142" s="257"/>
      <c r="G142" s="258">
        <f t="shared" si="20"/>
        <v>0</v>
      </c>
      <c r="H142" s="257"/>
      <c r="I142" s="258">
        <f t="shared" si="13"/>
        <v>0</v>
      </c>
      <c r="J142" s="258"/>
      <c r="K142" s="694"/>
      <c r="L142" s="258">
        <f t="shared" si="14"/>
        <v>0</v>
      </c>
      <c r="M142" s="258">
        <f t="shared" si="15"/>
        <v>0</v>
      </c>
      <c r="N142" s="258">
        <f t="shared" si="16"/>
        <v>0</v>
      </c>
      <c r="O142" s="191"/>
      <c r="P142" s="191">
        <f t="shared" si="18"/>
        <v>0</v>
      </c>
    </row>
    <row r="143" spans="1:16" x14ac:dyDescent="0.3">
      <c r="A143" s="180">
        <v>14</v>
      </c>
      <c r="B143" s="178" t="s">
        <v>401</v>
      </c>
      <c r="C143" s="177"/>
      <c r="D143" s="257"/>
      <c r="E143" s="257"/>
      <c r="F143" s="257"/>
      <c r="G143" s="258">
        <f t="shared" si="20"/>
        <v>0</v>
      </c>
      <c r="H143" s="257"/>
      <c r="I143" s="258">
        <f t="shared" si="13"/>
        <v>0</v>
      </c>
      <c r="J143" s="258"/>
      <c r="K143" s="694"/>
      <c r="L143" s="258">
        <f t="shared" si="14"/>
        <v>0</v>
      </c>
      <c r="M143" s="258">
        <f t="shared" si="15"/>
        <v>0</v>
      </c>
      <c r="N143" s="258">
        <f t="shared" si="16"/>
        <v>0</v>
      </c>
      <c r="O143" s="191"/>
      <c r="P143" s="191">
        <f t="shared" si="18"/>
        <v>0</v>
      </c>
    </row>
    <row r="144" spans="1:16" ht="24" x14ac:dyDescent="0.3">
      <c r="A144" s="180"/>
      <c r="B144" s="179" t="s">
        <v>604</v>
      </c>
      <c r="C144" s="177"/>
      <c r="D144" s="257"/>
      <c r="E144" s="257"/>
      <c r="F144" s="257"/>
      <c r="G144" s="258">
        <f t="shared" si="20"/>
        <v>0</v>
      </c>
      <c r="H144" s="257"/>
      <c r="I144" s="258">
        <f t="shared" si="13"/>
        <v>0</v>
      </c>
      <c r="J144" s="258"/>
      <c r="K144" s="694"/>
      <c r="L144" s="258">
        <f t="shared" si="14"/>
        <v>0</v>
      </c>
      <c r="M144" s="258">
        <f t="shared" si="15"/>
        <v>0</v>
      </c>
      <c r="N144" s="258">
        <f t="shared" si="16"/>
        <v>0</v>
      </c>
      <c r="O144" s="191"/>
      <c r="P144" s="191">
        <f t="shared" si="18"/>
        <v>0</v>
      </c>
    </row>
    <row r="145" spans="1:16" x14ac:dyDescent="0.3">
      <c r="A145" s="180">
        <f>A143+0.1</f>
        <v>14.1</v>
      </c>
      <c r="B145" s="179" t="s">
        <v>402</v>
      </c>
      <c r="C145" s="177" t="s">
        <v>403</v>
      </c>
      <c r="D145" s="257">
        <v>0</v>
      </c>
      <c r="E145" s="257">
        <v>439</v>
      </c>
      <c r="F145" s="257"/>
      <c r="G145" s="258">
        <f t="shared" si="20"/>
        <v>0</v>
      </c>
      <c r="H145" s="257">
        <v>0.7</v>
      </c>
      <c r="I145" s="258">
        <f t="shared" si="13"/>
        <v>13</v>
      </c>
      <c r="J145" s="258">
        <f>'Elec Mb'!H140</f>
        <v>13</v>
      </c>
      <c r="K145" s="694">
        <v>1</v>
      </c>
      <c r="L145" s="258">
        <f t="shared" si="14"/>
        <v>0</v>
      </c>
      <c r="M145" s="258">
        <f t="shared" si="15"/>
        <v>5707</v>
      </c>
      <c r="N145" s="258">
        <f t="shared" si="16"/>
        <v>5707</v>
      </c>
      <c r="O145" s="191"/>
      <c r="P145" s="191">
        <f t="shared" si="18"/>
        <v>14</v>
      </c>
    </row>
    <row r="146" spans="1:16" x14ac:dyDescent="0.3">
      <c r="A146" s="180"/>
      <c r="B146" s="179"/>
      <c r="C146" s="177"/>
      <c r="D146" s="257"/>
      <c r="E146" s="257"/>
      <c r="F146" s="257"/>
      <c r="G146" s="258">
        <f t="shared" si="20"/>
        <v>0</v>
      </c>
      <c r="H146" s="257"/>
      <c r="I146" s="258">
        <f t="shared" si="13"/>
        <v>0</v>
      </c>
      <c r="J146" s="258"/>
      <c r="K146" s="694"/>
      <c r="L146" s="258">
        <f t="shared" si="14"/>
        <v>0</v>
      </c>
      <c r="M146" s="258">
        <f t="shared" si="15"/>
        <v>0</v>
      </c>
      <c r="N146" s="258">
        <f t="shared" si="16"/>
        <v>0</v>
      </c>
      <c r="O146" s="191"/>
      <c r="P146" s="191">
        <f t="shared" si="18"/>
        <v>0</v>
      </c>
    </row>
    <row r="147" spans="1:16" ht="24" x14ac:dyDescent="0.3">
      <c r="A147" s="180">
        <f>A145+0.1</f>
        <v>14.2</v>
      </c>
      <c r="B147" s="179" t="s">
        <v>605</v>
      </c>
      <c r="C147" s="177" t="s">
        <v>403</v>
      </c>
      <c r="D147" s="257">
        <v>4</v>
      </c>
      <c r="E147" s="257">
        <v>3856</v>
      </c>
      <c r="F147" s="257">
        <f>$D147*E147</f>
        <v>15424</v>
      </c>
      <c r="G147" s="258">
        <f t="shared" si="20"/>
        <v>4</v>
      </c>
      <c r="H147" s="257">
        <v>0.7</v>
      </c>
      <c r="I147" s="258">
        <f t="shared" si="13"/>
        <v>-3</v>
      </c>
      <c r="J147" s="258">
        <f>'Elec Mb'!H142</f>
        <v>1</v>
      </c>
      <c r="K147" s="694">
        <v>1</v>
      </c>
      <c r="L147" s="258">
        <f t="shared" si="14"/>
        <v>10796.8</v>
      </c>
      <c r="M147" s="258">
        <f t="shared" si="15"/>
        <v>-6940.7999999999993</v>
      </c>
      <c r="N147" s="258">
        <f t="shared" si="16"/>
        <v>3856</v>
      </c>
      <c r="O147" s="191"/>
      <c r="P147" s="191">
        <f t="shared" si="18"/>
        <v>-2</v>
      </c>
    </row>
    <row r="148" spans="1:16" x14ac:dyDescent="0.3">
      <c r="A148" s="180"/>
      <c r="B148" s="179"/>
      <c r="C148" s="177"/>
      <c r="D148" s="257"/>
      <c r="E148" s="257"/>
      <c r="F148" s="257"/>
      <c r="G148" s="258">
        <f t="shared" si="20"/>
        <v>0</v>
      </c>
      <c r="H148" s="257"/>
      <c r="I148" s="258">
        <f t="shared" si="13"/>
        <v>0</v>
      </c>
      <c r="J148" s="258"/>
      <c r="K148" s="694"/>
      <c r="L148" s="258">
        <f t="shared" si="14"/>
        <v>0</v>
      </c>
      <c r="M148" s="258">
        <f t="shared" si="15"/>
        <v>0</v>
      </c>
      <c r="N148" s="258">
        <f t="shared" si="16"/>
        <v>0</v>
      </c>
      <c r="O148" s="191"/>
      <c r="P148" s="191">
        <f t="shared" si="18"/>
        <v>0</v>
      </c>
    </row>
    <row r="149" spans="1:16" x14ac:dyDescent="0.3">
      <c r="A149" s="180">
        <f>A147+0.1</f>
        <v>14.299999999999999</v>
      </c>
      <c r="B149" s="179" t="s">
        <v>404</v>
      </c>
      <c r="C149" s="177" t="s">
        <v>403</v>
      </c>
      <c r="D149" s="257">
        <v>0</v>
      </c>
      <c r="E149" s="257">
        <v>655</v>
      </c>
      <c r="F149" s="257">
        <f>$D149*E149</f>
        <v>0</v>
      </c>
      <c r="G149" s="258">
        <v>0</v>
      </c>
      <c r="H149" s="257">
        <v>0</v>
      </c>
      <c r="I149" s="258">
        <f t="shared" si="13"/>
        <v>14</v>
      </c>
      <c r="J149" s="258">
        <f>'Elec Mb'!H144</f>
        <v>14</v>
      </c>
      <c r="K149" s="694">
        <v>1</v>
      </c>
      <c r="L149" s="258">
        <f t="shared" si="14"/>
        <v>0</v>
      </c>
      <c r="M149" s="258">
        <f t="shared" si="15"/>
        <v>9170</v>
      </c>
      <c r="N149" s="258">
        <f t="shared" si="16"/>
        <v>9170</v>
      </c>
      <c r="O149" s="191"/>
      <c r="P149" s="191">
        <f t="shared" si="18"/>
        <v>15</v>
      </c>
    </row>
    <row r="150" spans="1:16" x14ac:dyDescent="0.3">
      <c r="A150" s="180"/>
      <c r="B150" s="179"/>
      <c r="C150" s="177"/>
      <c r="D150" s="257"/>
      <c r="E150" s="257"/>
      <c r="F150" s="258"/>
      <c r="G150" s="258">
        <f t="shared" ref="G150:G155" si="23">D150</f>
        <v>0</v>
      </c>
      <c r="H150" s="257"/>
      <c r="I150" s="258">
        <f t="shared" si="13"/>
        <v>0</v>
      </c>
      <c r="J150" s="258"/>
      <c r="K150" s="694"/>
      <c r="L150" s="258">
        <f t="shared" si="14"/>
        <v>0</v>
      </c>
      <c r="M150" s="258">
        <f t="shared" si="15"/>
        <v>0</v>
      </c>
      <c r="N150" s="258">
        <f t="shared" si="16"/>
        <v>0</v>
      </c>
      <c r="O150" s="191"/>
      <c r="P150" s="191">
        <f t="shared" si="18"/>
        <v>0</v>
      </c>
    </row>
    <row r="151" spans="1:16" x14ac:dyDescent="0.3">
      <c r="A151" s="180">
        <f>A149+0.1</f>
        <v>14.399999999999999</v>
      </c>
      <c r="B151" s="179" t="s">
        <v>405</v>
      </c>
      <c r="C151" s="177" t="s">
        <v>403</v>
      </c>
      <c r="D151" s="257">
        <v>0</v>
      </c>
      <c r="E151" s="257">
        <v>455</v>
      </c>
      <c r="F151" s="257">
        <f>$D151*E151</f>
        <v>0</v>
      </c>
      <c r="G151" s="258">
        <f t="shared" si="23"/>
        <v>0</v>
      </c>
      <c r="H151" s="257">
        <v>0</v>
      </c>
      <c r="I151" s="258">
        <f t="shared" si="13"/>
        <v>66</v>
      </c>
      <c r="J151" s="258">
        <f>'Elec Mb'!H146</f>
        <v>66</v>
      </c>
      <c r="K151" s="694">
        <v>1</v>
      </c>
      <c r="L151" s="258">
        <f t="shared" si="14"/>
        <v>0</v>
      </c>
      <c r="M151" s="258">
        <f t="shared" si="15"/>
        <v>30030</v>
      </c>
      <c r="N151" s="258">
        <f t="shared" si="16"/>
        <v>30030</v>
      </c>
      <c r="O151" s="191"/>
      <c r="P151" s="191">
        <f t="shared" si="18"/>
        <v>67</v>
      </c>
    </row>
    <row r="152" spans="1:16" x14ac:dyDescent="0.3">
      <c r="A152" s="180"/>
      <c r="B152" s="179"/>
      <c r="C152" s="177"/>
      <c r="D152" s="257"/>
      <c r="E152" s="257"/>
      <c r="F152" s="258"/>
      <c r="G152" s="258">
        <f t="shared" si="23"/>
        <v>0</v>
      </c>
      <c r="H152" s="257"/>
      <c r="I152" s="258">
        <f t="shared" si="13"/>
        <v>0</v>
      </c>
      <c r="J152" s="258"/>
      <c r="K152" s="694"/>
      <c r="L152" s="258">
        <f t="shared" si="14"/>
        <v>0</v>
      </c>
      <c r="M152" s="258">
        <f t="shared" si="15"/>
        <v>0</v>
      </c>
      <c r="N152" s="258">
        <f t="shared" si="16"/>
        <v>0</v>
      </c>
      <c r="O152" s="191"/>
      <c r="P152" s="191">
        <f t="shared" si="18"/>
        <v>0</v>
      </c>
    </row>
    <row r="153" spans="1:16" ht="24" x14ac:dyDescent="0.3">
      <c r="A153" s="180">
        <f>A151+0.1</f>
        <v>14.499999999999998</v>
      </c>
      <c r="B153" s="179" t="s">
        <v>406</v>
      </c>
      <c r="C153" s="177" t="s">
        <v>403</v>
      </c>
      <c r="D153" s="257">
        <v>0</v>
      </c>
      <c r="E153" s="257">
        <v>2133</v>
      </c>
      <c r="F153" s="257">
        <f>$D153*E153</f>
        <v>0</v>
      </c>
      <c r="G153" s="258">
        <f t="shared" si="23"/>
        <v>0</v>
      </c>
      <c r="H153" s="257">
        <v>0</v>
      </c>
      <c r="I153" s="258">
        <f t="shared" si="13"/>
        <v>12</v>
      </c>
      <c r="J153" s="258">
        <f>'Elec Mb'!H148</f>
        <v>12</v>
      </c>
      <c r="K153" s="694">
        <v>1</v>
      </c>
      <c r="L153" s="258">
        <f t="shared" si="14"/>
        <v>0</v>
      </c>
      <c r="M153" s="258">
        <f t="shared" si="15"/>
        <v>25596</v>
      </c>
      <c r="N153" s="258">
        <f t="shared" si="16"/>
        <v>25596</v>
      </c>
      <c r="O153" s="191"/>
      <c r="P153" s="191">
        <f t="shared" si="18"/>
        <v>13</v>
      </c>
    </row>
    <row r="154" spans="1:16" x14ac:dyDescent="0.3">
      <c r="A154" s="180"/>
      <c r="B154" s="179"/>
      <c r="C154" s="177"/>
      <c r="D154" s="257"/>
      <c r="E154" s="257"/>
      <c r="F154" s="258"/>
      <c r="G154" s="258">
        <f t="shared" si="23"/>
        <v>0</v>
      </c>
      <c r="H154" s="257"/>
      <c r="I154" s="258">
        <f t="shared" si="13"/>
        <v>0</v>
      </c>
      <c r="J154" s="258"/>
      <c r="K154" s="694"/>
      <c r="L154" s="258">
        <f t="shared" si="14"/>
        <v>0</v>
      </c>
      <c r="M154" s="258">
        <f t="shared" si="15"/>
        <v>0</v>
      </c>
      <c r="N154" s="258">
        <f t="shared" si="16"/>
        <v>0</v>
      </c>
      <c r="O154" s="191"/>
      <c r="P154" s="191">
        <f t="shared" si="18"/>
        <v>0</v>
      </c>
    </row>
    <row r="155" spans="1:16" x14ac:dyDescent="0.3">
      <c r="A155" s="180">
        <f>A153+0.1</f>
        <v>14.599999999999998</v>
      </c>
      <c r="B155" s="179" t="s">
        <v>407</v>
      </c>
      <c r="C155" s="177" t="s">
        <v>355</v>
      </c>
      <c r="D155" s="257">
        <v>85</v>
      </c>
      <c r="E155" s="257">
        <v>35</v>
      </c>
      <c r="F155" s="258">
        <f>$D155*E155</f>
        <v>2975</v>
      </c>
      <c r="G155" s="258">
        <f t="shared" si="23"/>
        <v>85</v>
      </c>
      <c r="H155" s="257">
        <v>0.7</v>
      </c>
      <c r="I155" s="258">
        <f t="shared" si="13"/>
        <v>-65</v>
      </c>
      <c r="J155" s="258">
        <f>'Elec Mb'!H150</f>
        <v>20</v>
      </c>
      <c r="K155" s="694">
        <v>1</v>
      </c>
      <c r="L155" s="258">
        <f t="shared" si="14"/>
        <v>2082.5</v>
      </c>
      <c r="M155" s="258">
        <f t="shared" si="15"/>
        <v>-1382.5</v>
      </c>
      <c r="N155" s="258">
        <f t="shared" si="16"/>
        <v>700</v>
      </c>
      <c r="O155" s="191"/>
      <c r="P155" s="191">
        <f t="shared" si="18"/>
        <v>-64</v>
      </c>
    </row>
    <row r="156" spans="1:16" x14ac:dyDescent="0.3">
      <c r="A156" s="180"/>
      <c r="B156" s="179"/>
      <c r="C156" s="177"/>
      <c r="D156" s="257"/>
      <c r="E156" s="257"/>
      <c r="F156" s="258"/>
      <c r="G156" s="258"/>
      <c r="H156" s="257"/>
      <c r="I156" s="258">
        <f t="shared" si="13"/>
        <v>0</v>
      </c>
      <c r="J156" s="258"/>
      <c r="K156" s="694"/>
      <c r="L156" s="258">
        <f t="shared" si="14"/>
        <v>0</v>
      </c>
      <c r="M156" s="258">
        <f t="shared" si="15"/>
        <v>0</v>
      </c>
      <c r="N156" s="258">
        <f t="shared" si="16"/>
        <v>0</v>
      </c>
      <c r="O156" s="191"/>
      <c r="P156" s="191">
        <f t="shared" si="18"/>
        <v>0</v>
      </c>
    </row>
    <row r="157" spans="1:16" x14ac:dyDescent="0.3">
      <c r="A157" s="180"/>
      <c r="B157" s="178" t="s">
        <v>408</v>
      </c>
      <c r="C157" s="177"/>
      <c r="D157" s="257"/>
      <c r="E157" s="257"/>
      <c r="F157" s="258"/>
      <c r="G157" s="258"/>
      <c r="H157" s="257"/>
      <c r="I157" s="258">
        <f t="shared" si="13"/>
        <v>0</v>
      </c>
      <c r="J157" s="258"/>
      <c r="K157" s="694"/>
      <c r="L157" s="258">
        <f t="shared" si="14"/>
        <v>0</v>
      </c>
      <c r="M157" s="258">
        <f t="shared" si="15"/>
        <v>0</v>
      </c>
      <c r="N157" s="258">
        <f t="shared" si="16"/>
        <v>0</v>
      </c>
      <c r="O157" s="191"/>
      <c r="P157" s="191">
        <f t="shared" si="18"/>
        <v>0</v>
      </c>
    </row>
    <row r="158" spans="1:16" x14ac:dyDescent="0.3">
      <c r="A158" s="180"/>
      <c r="B158" s="179"/>
      <c r="C158" s="177"/>
      <c r="D158" s="257"/>
      <c r="E158" s="257"/>
      <c r="F158" s="258"/>
      <c r="G158" s="258"/>
      <c r="H158" s="257"/>
      <c r="I158" s="258">
        <f t="shared" si="13"/>
        <v>0</v>
      </c>
      <c r="J158" s="258"/>
      <c r="K158" s="694"/>
      <c r="L158" s="258">
        <f t="shared" si="14"/>
        <v>0</v>
      </c>
      <c r="M158" s="258">
        <f t="shared" si="15"/>
        <v>0</v>
      </c>
      <c r="N158" s="258">
        <f t="shared" si="16"/>
        <v>0</v>
      </c>
      <c r="O158" s="191"/>
      <c r="P158" s="191">
        <f t="shared" si="18"/>
        <v>0</v>
      </c>
    </row>
    <row r="159" spans="1:16" x14ac:dyDescent="0.3">
      <c r="A159" s="180">
        <v>15</v>
      </c>
      <c r="B159" s="178" t="s">
        <v>409</v>
      </c>
      <c r="C159" s="177"/>
      <c r="D159" s="257"/>
      <c r="E159" s="257"/>
      <c r="F159" s="254"/>
      <c r="G159" s="258"/>
      <c r="H159" s="257"/>
      <c r="I159" s="258">
        <f t="shared" si="13"/>
        <v>0</v>
      </c>
      <c r="J159" s="258"/>
      <c r="K159" s="694"/>
      <c r="L159" s="258">
        <f t="shared" si="14"/>
        <v>0</v>
      </c>
      <c r="M159" s="258">
        <f t="shared" si="15"/>
        <v>0</v>
      </c>
      <c r="N159" s="258">
        <f t="shared" si="16"/>
        <v>0</v>
      </c>
      <c r="O159" s="191"/>
      <c r="P159" s="191">
        <f t="shared" si="18"/>
        <v>0</v>
      </c>
    </row>
    <row r="160" spans="1:16" x14ac:dyDescent="0.3">
      <c r="A160" s="180">
        <f>A159+0.1</f>
        <v>15.1</v>
      </c>
      <c r="B160" s="179" t="s">
        <v>410</v>
      </c>
      <c r="C160" s="177" t="s">
        <v>411</v>
      </c>
      <c r="D160" s="257">
        <v>100</v>
      </c>
      <c r="E160" s="257">
        <v>58</v>
      </c>
      <c r="F160" s="258">
        <f>$D160*E160</f>
        <v>5800</v>
      </c>
      <c r="G160" s="258">
        <f t="shared" ref="G160:G172" si="24">D160</f>
        <v>100</v>
      </c>
      <c r="H160" s="257">
        <v>0.9</v>
      </c>
      <c r="I160" s="258">
        <f t="shared" si="13"/>
        <v>318.8</v>
      </c>
      <c r="J160" s="258">
        <f>'Elec Mb'!H170</f>
        <v>418.8</v>
      </c>
      <c r="K160" s="694">
        <v>1</v>
      </c>
      <c r="L160" s="258">
        <f t="shared" si="14"/>
        <v>5220</v>
      </c>
      <c r="M160" s="258">
        <f t="shared" si="15"/>
        <v>19070.400000000001</v>
      </c>
      <c r="N160" s="258">
        <f t="shared" si="16"/>
        <v>24290.400000000001</v>
      </c>
      <c r="O160" s="191"/>
      <c r="P160" s="191">
        <f t="shared" si="18"/>
        <v>319.8</v>
      </c>
    </row>
    <row r="161" spans="1:16" x14ac:dyDescent="0.3">
      <c r="A161" s="180"/>
      <c r="B161" s="179"/>
      <c r="C161" s="177"/>
      <c r="D161" s="257"/>
      <c r="E161" s="257"/>
      <c r="F161" s="258"/>
      <c r="G161" s="258">
        <f t="shared" si="24"/>
        <v>0</v>
      </c>
      <c r="H161" s="257"/>
      <c r="I161" s="258">
        <f t="shared" si="13"/>
        <v>0</v>
      </c>
      <c r="J161" s="258"/>
      <c r="K161" s="694"/>
      <c r="L161" s="258">
        <f t="shared" si="14"/>
        <v>0</v>
      </c>
      <c r="M161" s="258">
        <f t="shared" si="15"/>
        <v>0</v>
      </c>
      <c r="N161" s="258">
        <f t="shared" si="16"/>
        <v>0</v>
      </c>
      <c r="O161" s="191"/>
      <c r="P161" s="191">
        <f t="shared" si="18"/>
        <v>0</v>
      </c>
    </row>
    <row r="162" spans="1:16" x14ac:dyDescent="0.3">
      <c r="A162" s="180">
        <f>A160+0.1</f>
        <v>15.2</v>
      </c>
      <c r="B162" s="179" t="s">
        <v>412</v>
      </c>
      <c r="C162" s="177" t="s">
        <v>411</v>
      </c>
      <c r="D162" s="257">
        <v>30</v>
      </c>
      <c r="E162" s="257">
        <v>165</v>
      </c>
      <c r="F162" s="258">
        <f>$D162*E162</f>
        <v>4950</v>
      </c>
      <c r="G162" s="258">
        <f t="shared" si="24"/>
        <v>30</v>
      </c>
      <c r="H162" s="257">
        <v>0.9</v>
      </c>
      <c r="I162" s="258">
        <f t="shared" si="13"/>
        <v>388.8</v>
      </c>
      <c r="J162" s="258">
        <f>'Elec Mb'!H188</f>
        <v>418.8</v>
      </c>
      <c r="K162" s="694">
        <v>1</v>
      </c>
      <c r="L162" s="258">
        <f t="shared" si="14"/>
        <v>4455</v>
      </c>
      <c r="M162" s="258">
        <f t="shared" si="15"/>
        <v>64647</v>
      </c>
      <c r="N162" s="258">
        <f t="shared" si="16"/>
        <v>69102</v>
      </c>
      <c r="O162" s="191"/>
      <c r="P162" s="191">
        <f t="shared" si="18"/>
        <v>389.8</v>
      </c>
    </row>
    <row r="163" spans="1:16" x14ac:dyDescent="0.3">
      <c r="A163" s="180"/>
      <c r="B163" s="179"/>
      <c r="C163" s="177"/>
      <c r="D163" s="257"/>
      <c r="E163" s="257"/>
      <c r="F163" s="255"/>
      <c r="G163" s="258">
        <f t="shared" si="24"/>
        <v>0</v>
      </c>
      <c r="H163" s="257"/>
      <c r="I163" s="258">
        <f t="shared" si="13"/>
        <v>0</v>
      </c>
      <c r="J163" s="258"/>
      <c r="K163" s="694"/>
      <c r="L163" s="258">
        <f t="shared" si="14"/>
        <v>0</v>
      </c>
      <c r="M163" s="258">
        <f t="shared" si="15"/>
        <v>0</v>
      </c>
      <c r="N163" s="258">
        <f t="shared" si="16"/>
        <v>0</v>
      </c>
      <c r="O163" s="191"/>
      <c r="P163" s="191">
        <f t="shared" si="18"/>
        <v>0</v>
      </c>
    </row>
    <row r="164" spans="1:16" x14ac:dyDescent="0.3">
      <c r="A164" s="180">
        <f>A162+0.1</f>
        <v>15.299999999999999</v>
      </c>
      <c r="B164" s="179" t="s">
        <v>413</v>
      </c>
      <c r="C164" s="177" t="s">
        <v>403</v>
      </c>
      <c r="D164" s="257">
        <v>8</v>
      </c>
      <c r="E164" s="257">
        <v>655</v>
      </c>
      <c r="F164" s="257">
        <f>$D164*E164</f>
        <v>5240</v>
      </c>
      <c r="G164" s="258">
        <f t="shared" si="24"/>
        <v>8</v>
      </c>
      <c r="H164" s="257">
        <v>0.9</v>
      </c>
      <c r="I164" s="258">
        <f t="shared" ref="I164:I207" si="25">J164-G164</f>
        <v>-8</v>
      </c>
      <c r="J164" s="258">
        <f>'Elec Mb'!H190</f>
        <v>0</v>
      </c>
      <c r="K164" s="694">
        <v>0</v>
      </c>
      <c r="L164" s="258">
        <f t="shared" ref="L164:L209" si="26">E164*G164*H164</f>
        <v>4716</v>
      </c>
      <c r="M164" s="258">
        <f t="shared" ref="M164:M209" si="27">N164-L164</f>
        <v>-4716</v>
      </c>
      <c r="N164" s="258">
        <f t="shared" ref="N164:N209" si="28">E164*J164*K164</f>
        <v>0</v>
      </c>
      <c r="O164" s="191"/>
      <c r="P164" s="191">
        <f t="shared" si="18"/>
        <v>-8</v>
      </c>
    </row>
    <row r="165" spans="1:16" x14ac:dyDescent="0.3">
      <c r="A165" s="180"/>
      <c r="B165" s="179"/>
      <c r="C165" s="177"/>
      <c r="D165" s="257"/>
      <c r="E165" s="257"/>
      <c r="F165" s="255"/>
      <c r="G165" s="258">
        <f t="shared" si="24"/>
        <v>0</v>
      </c>
      <c r="H165" s="257"/>
      <c r="I165" s="258">
        <f t="shared" si="25"/>
        <v>0</v>
      </c>
      <c r="J165" s="258"/>
      <c r="K165" s="694"/>
      <c r="L165" s="258">
        <f t="shared" si="26"/>
        <v>0</v>
      </c>
      <c r="M165" s="258">
        <f t="shared" si="27"/>
        <v>0</v>
      </c>
      <c r="N165" s="258">
        <f t="shared" si="28"/>
        <v>0</v>
      </c>
      <c r="O165" s="191"/>
      <c r="P165" s="191">
        <f t="shared" si="18"/>
        <v>0</v>
      </c>
    </row>
    <row r="166" spans="1:16" x14ac:dyDescent="0.3">
      <c r="A166" s="180">
        <f>A164+0.1</f>
        <v>15.399999999999999</v>
      </c>
      <c r="B166" s="179" t="s">
        <v>414</v>
      </c>
      <c r="C166" s="177" t="s">
        <v>403</v>
      </c>
      <c r="D166" s="257">
        <v>16</v>
      </c>
      <c r="E166" s="257">
        <v>712</v>
      </c>
      <c r="F166" s="257">
        <f>$D166*E166</f>
        <v>11392</v>
      </c>
      <c r="G166" s="258">
        <f t="shared" si="24"/>
        <v>16</v>
      </c>
      <c r="H166" s="257">
        <v>0.9</v>
      </c>
      <c r="I166" s="258">
        <f t="shared" si="25"/>
        <v>-16</v>
      </c>
      <c r="J166" s="258">
        <f>'Elec Mb'!H192</f>
        <v>0</v>
      </c>
      <c r="K166" s="694">
        <v>0</v>
      </c>
      <c r="L166" s="258">
        <f t="shared" si="26"/>
        <v>10252.800000000001</v>
      </c>
      <c r="M166" s="258">
        <f t="shared" si="27"/>
        <v>-10252.800000000001</v>
      </c>
      <c r="N166" s="258">
        <f t="shared" si="28"/>
        <v>0</v>
      </c>
      <c r="O166" s="191"/>
      <c r="P166" s="191">
        <f t="shared" si="18"/>
        <v>-16</v>
      </c>
    </row>
    <row r="167" spans="1:16" x14ac:dyDescent="0.3">
      <c r="A167" s="180"/>
      <c r="B167" s="179"/>
      <c r="C167" s="177"/>
      <c r="D167" s="257"/>
      <c r="E167" s="257"/>
      <c r="F167" s="257"/>
      <c r="G167" s="258">
        <f t="shared" si="24"/>
        <v>0</v>
      </c>
      <c r="H167" s="257"/>
      <c r="I167" s="258">
        <f t="shared" si="25"/>
        <v>0</v>
      </c>
      <c r="J167" s="258"/>
      <c r="K167" s="694"/>
      <c r="L167" s="258">
        <f t="shared" si="26"/>
        <v>0</v>
      </c>
      <c r="M167" s="258">
        <f t="shared" si="27"/>
        <v>0</v>
      </c>
      <c r="N167" s="258">
        <f t="shared" si="28"/>
        <v>0</v>
      </c>
      <c r="O167" s="191"/>
      <c r="P167" s="191">
        <f t="shared" si="18"/>
        <v>0</v>
      </c>
    </row>
    <row r="168" spans="1:16" ht="24" x14ac:dyDescent="0.3">
      <c r="A168" s="180">
        <v>16</v>
      </c>
      <c r="B168" s="179" t="s">
        <v>606</v>
      </c>
      <c r="C168" s="177" t="s">
        <v>334</v>
      </c>
      <c r="D168" s="257">
        <v>1</v>
      </c>
      <c r="E168" s="257">
        <v>142356</v>
      </c>
      <c r="F168" s="260">
        <f>$D168*E168</f>
        <v>142356</v>
      </c>
      <c r="G168" s="258">
        <f t="shared" si="24"/>
        <v>1</v>
      </c>
      <c r="H168" s="257">
        <v>0.9</v>
      </c>
      <c r="I168" s="258">
        <f t="shared" si="25"/>
        <v>0</v>
      </c>
      <c r="J168" s="258">
        <f>'Elec Mb'!H194</f>
        <v>1</v>
      </c>
      <c r="K168" s="694">
        <v>1</v>
      </c>
      <c r="L168" s="258">
        <f t="shared" si="26"/>
        <v>128120.40000000001</v>
      </c>
      <c r="M168" s="258">
        <f t="shared" si="27"/>
        <v>14235.599999999991</v>
      </c>
      <c r="N168" s="258">
        <f t="shared" si="28"/>
        <v>142356</v>
      </c>
      <c r="O168" s="191"/>
      <c r="P168" s="191">
        <f t="shared" si="18"/>
        <v>1</v>
      </c>
    </row>
    <row r="169" spans="1:16" x14ac:dyDescent="0.3">
      <c r="A169" s="180"/>
      <c r="B169" s="179"/>
      <c r="C169" s="177"/>
      <c r="D169" s="257"/>
      <c r="E169" s="257"/>
      <c r="F169" s="257"/>
      <c r="G169" s="258">
        <f t="shared" si="24"/>
        <v>0</v>
      </c>
      <c r="H169" s="257"/>
      <c r="I169" s="258">
        <f t="shared" si="25"/>
        <v>0</v>
      </c>
      <c r="J169" s="258"/>
      <c r="K169" s="694"/>
      <c r="L169" s="258">
        <f t="shared" si="26"/>
        <v>0</v>
      </c>
      <c r="M169" s="258">
        <f t="shared" si="27"/>
        <v>0</v>
      </c>
      <c r="N169" s="258">
        <f t="shared" si="28"/>
        <v>0</v>
      </c>
      <c r="O169" s="191"/>
      <c r="P169" s="191">
        <f t="shared" si="18"/>
        <v>0</v>
      </c>
    </row>
    <row r="170" spans="1:16" s="71" customFormat="1" ht="108" x14ac:dyDescent="0.3">
      <c r="A170" s="193">
        <v>17</v>
      </c>
      <c r="B170" s="194" t="s">
        <v>415</v>
      </c>
      <c r="C170" s="177"/>
      <c r="D170" s="257"/>
      <c r="E170" s="257"/>
      <c r="F170" s="257"/>
      <c r="G170" s="258">
        <f t="shared" si="24"/>
        <v>0</v>
      </c>
      <c r="H170" s="257"/>
      <c r="I170" s="258">
        <f t="shared" si="25"/>
        <v>0</v>
      </c>
      <c r="J170" s="258"/>
      <c r="K170" s="694"/>
      <c r="L170" s="258">
        <f t="shared" si="26"/>
        <v>0</v>
      </c>
      <c r="M170" s="258">
        <f t="shared" si="27"/>
        <v>0</v>
      </c>
      <c r="N170" s="258">
        <f t="shared" si="28"/>
        <v>0</v>
      </c>
      <c r="O170" s="191"/>
      <c r="P170" s="191">
        <f t="shared" si="18"/>
        <v>0</v>
      </c>
    </row>
    <row r="171" spans="1:16" s="71" customFormat="1" x14ac:dyDescent="0.3">
      <c r="A171" s="193">
        <v>17.100000000000001</v>
      </c>
      <c r="B171" s="194" t="s">
        <v>416</v>
      </c>
      <c r="C171" s="177" t="s">
        <v>339</v>
      </c>
      <c r="D171" s="257">
        <v>50</v>
      </c>
      <c r="E171" s="257">
        <v>623</v>
      </c>
      <c r="F171" s="260">
        <f t="shared" ref="F171:F172" si="29">$D171*E171</f>
        <v>31150</v>
      </c>
      <c r="G171" s="258">
        <f t="shared" si="24"/>
        <v>50</v>
      </c>
      <c r="H171" s="257">
        <v>1</v>
      </c>
      <c r="I171" s="258">
        <f t="shared" si="25"/>
        <v>30.5</v>
      </c>
      <c r="J171" s="258">
        <f>'Elec Mb'!H203</f>
        <v>80.5</v>
      </c>
      <c r="K171" s="694">
        <v>1</v>
      </c>
      <c r="L171" s="258">
        <f t="shared" si="26"/>
        <v>31150</v>
      </c>
      <c r="M171" s="258">
        <f t="shared" si="27"/>
        <v>19001.5</v>
      </c>
      <c r="N171" s="258">
        <f t="shared" si="28"/>
        <v>50151.5</v>
      </c>
      <c r="O171" s="191"/>
      <c r="P171" s="191">
        <f t="shared" si="18"/>
        <v>31.5</v>
      </c>
    </row>
    <row r="172" spans="1:16" s="71" customFormat="1" x14ac:dyDescent="0.3">
      <c r="A172" s="193">
        <v>17.2</v>
      </c>
      <c r="B172" s="194" t="s">
        <v>417</v>
      </c>
      <c r="C172" s="177" t="s">
        <v>339</v>
      </c>
      <c r="D172" s="257">
        <v>50</v>
      </c>
      <c r="E172" s="257">
        <v>653</v>
      </c>
      <c r="F172" s="260">
        <f t="shared" si="29"/>
        <v>32650</v>
      </c>
      <c r="G172" s="258">
        <f t="shared" si="24"/>
        <v>50</v>
      </c>
      <c r="H172" s="257">
        <v>1</v>
      </c>
      <c r="I172" s="258">
        <f t="shared" si="25"/>
        <v>-50</v>
      </c>
      <c r="J172" s="258">
        <f>'Elec Mb'!H205</f>
        <v>0</v>
      </c>
      <c r="K172" s="694">
        <v>0</v>
      </c>
      <c r="L172" s="258">
        <f t="shared" si="26"/>
        <v>32650</v>
      </c>
      <c r="M172" s="258">
        <f t="shared" si="27"/>
        <v>-32650</v>
      </c>
      <c r="N172" s="258">
        <f t="shared" si="28"/>
        <v>0</v>
      </c>
      <c r="O172" s="191"/>
      <c r="P172" s="191">
        <f t="shared" ref="P172:P207" si="30">I172+K172</f>
        <v>-50</v>
      </c>
    </row>
    <row r="173" spans="1:16" x14ac:dyDescent="0.3">
      <c r="A173" s="180"/>
      <c r="B173" s="179"/>
      <c r="C173" s="177"/>
      <c r="D173" s="257"/>
      <c r="E173" s="257"/>
      <c r="F173" s="260"/>
      <c r="G173" s="258"/>
      <c r="H173" s="257"/>
      <c r="I173" s="258">
        <f t="shared" si="25"/>
        <v>0</v>
      </c>
      <c r="J173" s="258"/>
      <c r="K173" s="694"/>
      <c r="L173" s="258">
        <f t="shared" si="26"/>
        <v>0</v>
      </c>
      <c r="M173" s="258">
        <f t="shared" si="27"/>
        <v>0</v>
      </c>
      <c r="N173" s="258">
        <f t="shared" si="28"/>
        <v>0</v>
      </c>
      <c r="O173" s="191"/>
      <c r="P173" s="191">
        <f t="shared" si="30"/>
        <v>0</v>
      </c>
    </row>
    <row r="174" spans="1:16" x14ac:dyDescent="0.3">
      <c r="A174" s="195"/>
      <c r="B174" s="196" t="s">
        <v>418</v>
      </c>
      <c r="C174" s="197"/>
      <c r="D174" s="255"/>
      <c r="E174" s="255"/>
      <c r="F174" s="254"/>
      <c r="G174" s="258"/>
      <c r="H174" s="255"/>
      <c r="I174" s="258">
        <f t="shared" si="25"/>
        <v>0</v>
      </c>
      <c r="J174" s="258"/>
      <c r="K174" s="696"/>
      <c r="L174" s="258">
        <f t="shared" si="26"/>
        <v>0</v>
      </c>
      <c r="M174" s="258">
        <f t="shared" si="27"/>
        <v>0</v>
      </c>
      <c r="N174" s="258">
        <f t="shared" si="28"/>
        <v>0</v>
      </c>
      <c r="O174" s="191"/>
      <c r="P174" s="191">
        <f t="shared" si="30"/>
        <v>0</v>
      </c>
    </row>
    <row r="175" spans="1:16" x14ac:dyDescent="0.3">
      <c r="A175" s="195"/>
      <c r="B175" s="198"/>
      <c r="C175" s="197"/>
      <c r="D175" s="255"/>
      <c r="E175" s="255"/>
      <c r="F175" s="254"/>
      <c r="G175" s="258"/>
      <c r="H175" s="255"/>
      <c r="I175" s="258">
        <f t="shared" si="25"/>
        <v>0</v>
      </c>
      <c r="J175" s="258"/>
      <c r="K175" s="696"/>
      <c r="L175" s="258">
        <f t="shared" si="26"/>
        <v>0</v>
      </c>
      <c r="M175" s="258">
        <f t="shared" si="27"/>
        <v>0</v>
      </c>
      <c r="N175" s="258">
        <f t="shared" si="28"/>
        <v>0</v>
      </c>
      <c r="O175" s="191"/>
      <c r="P175" s="191">
        <f t="shared" si="30"/>
        <v>0</v>
      </c>
    </row>
    <row r="176" spans="1:16" x14ac:dyDescent="0.3">
      <c r="A176" s="174" t="s">
        <v>311</v>
      </c>
      <c r="B176" s="178" t="s">
        <v>419</v>
      </c>
      <c r="C176" s="173"/>
      <c r="D176" s="257"/>
      <c r="E176" s="258"/>
      <c r="F176" s="258"/>
      <c r="G176" s="258"/>
      <c r="H176" s="258"/>
      <c r="I176" s="258">
        <f t="shared" si="25"/>
        <v>0</v>
      </c>
      <c r="J176" s="258"/>
      <c r="K176" s="693"/>
      <c r="L176" s="258">
        <f t="shared" si="26"/>
        <v>0</v>
      </c>
      <c r="M176" s="258">
        <f t="shared" si="27"/>
        <v>0</v>
      </c>
      <c r="N176" s="258">
        <f t="shared" si="28"/>
        <v>0</v>
      </c>
      <c r="O176" s="191"/>
      <c r="P176" s="191">
        <f t="shared" si="30"/>
        <v>0</v>
      </c>
    </row>
    <row r="177" spans="1:16" x14ac:dyDescent="0.3">
      <c r="A177" s="174">
        <v>1</v>
      </c>
      <c r="B177" s="178" t="s">
        <v>420</v>
      </c>
      <c r="C177" s="173"/>
      <c r="D177" s="257"/>
      <c r="E177" s="258"/>
      <c r="F177" s="258"/>
      <c r="G177" s="258"/>
      <c r="H177" s="258"/>
      <c r="I177" s="258">
        <f t="shared" si="25"/>
        <v>0</v>
      </c>
      <c r="J177" s="258"/>
      <c r="K177" s="693"/>
      <c r="L177" s="258">
        <f t="shared" si="26"/>
        <v>0</v>
      </c>
      <c r="M177" s="258">
        <f t="shared" si="27"/>
        <v>0</v>
      </c>
      <c r="N177" s="258">
        <f t="shared" si="28"/>
        <v>0</v>
      </c>
      <c r="O177" s="191"/>
      <c r="P177" s="191">
        <f t="shared" si="30"/>
        <v>0</v>
      </c>
    </row>
    <row r="178" spans="1:16" x14ac:dyDescent="0.3">
      <c r="A178" s="180"/>
      <c r="B178" s="178" t="s">
        <v>421</v>
      </c>
      <c r="C178" s="173"/>
      <c r="D178" s="257"/>
      <c r="E178" s="258"/>
      <c r="F178" s="258"/>
      <c r="G178" s="258"/>
      <c r="H178" s="258"/>
      <c r="I178" s="258">
        <f t="shared" si="25"/>
        <v>0</v>
      </c>
      <c r="J178" s="258"/>
      <c r="K178" s="693"/>
      <c r="L178" s="258">
        <f t="shared" si="26"/>
        <v>0</v>
      </c>
      <c r="M178" s="258">
        <f t="shared" si="27"/>
        <v>0</v>
      </c>
      <c r="N178" s="258">
        <f t="shared" si="28"/>
        <v>0</v>
      </c>
      <c r="O178" s="191"/>
      <c r="P178" s="191">
        <f t="shared" si="30"/>
        <v>0</v>
      </c>
    </row>
    <row r="179" spans="1:16" x14ac:dyDescent="0.3">
      <c r="A179" s="180">
        <f>A177+0.1</f>
        <v>1.1000000000000001</v>
      </c>
      <c r="B179" s="179" t="s">
        <v>422</v>
      </c>
      <c r="C179" s="177" t="s">
        <v>403</v>
      </c>
      <c r="D179" s="257">
        <v>1</v>
      </c>
      <c r="E179" s="257">
        <v>125000</v>
      </c>
      <c r="F179" s="257">
        <f>$D179*E179</f>
        <v>125000</v>
      </c>
      <c r="G179" s="258">
        <f t="shared" ref="G179:G189" si="31">D179</f>
        <v>1</v>
      </c>
      <c r="H179" s="257">
        <v>1</v>
      </c>
      <c r="I179" s="258">
        <f t="shared" si="25"/>
        <v>0</v>
      </c>
      <c r="J179" s="258">
        <f>'Elec Mb'!H212</f>
        <v>1</v>
      </c>
      <c r="K179" s="694">
        <v>1</v>
      </c>
      <c r="L179" s="258">
        <f t="shared" si="26"/>
        <v>125000</v>
      </c>
      <c r="M179" s="258">
        <f t="shared" si="27"/>
        <v>0</v>
      </c>
      <c r="N179" s="258">
        <f t="shared" si="28"/>
        <v>125000</v>
      </c>
      <c r="O179" s="191"/>
      <c r="P179" s="191">
        <f t="shared" si="30"/>
        <v>1</v>
      </c>
    </row>
    <row r="180" spans="1:16" x14ac:dyDescent="0.3">
      <c r="A180" s="180"/>
      <c r="B180" s="178"/>
      <c r="C180" s="177"/>
      <c r="D180" s="257"/>
      <c r="E180" s="257"/>
      <c r="F180" s="257"/>
      <c r="G180" s="258">
        <f t="shared" si="31"/>
        <v>0</v>
      </c>
      <c r="H180" s="257"/>
      <c r="I180" s="258">
        <f t="shared" si="25"/>
        <v>0</v>
      </c>
      <c r="J180" s="258"/>
      <c r="K180" s="694"/>
      <c r="L180" s="258">
        <f t="shared" si="26"/>
        <v>0</v>
      </c>
      <c r="M180" s="258">
        <f t="shared" si="27"/>
        <v>0</v>
      </c>
      <c r="N180" s="258">
        <f t="shared" si="28"/>
        <v>0</v>
      </c>
      <c r="O180" s="191"/>
      <c r="P180" s="191">
        <f t="shared" si="30"/>
        <v>0</v>
      </c>
    </row>
    <row r="181" spans="1:16" ht="48" x14ac:dyDescent="0.3">
      <c r="A181" s="180">
        <f>A179+0.1</f>
        <v>1.2000000000000002</v>
      </c>
      <c r="B181" s="179" t="s">
        <v>423</v>
      </c>
      <c r="C181" s="177" t="s">
        <v>424</v>
      </c>
      <c r="D181" s="257">
        <v>120</v>
      </c>
      <c r="E181" s="257">
        <v>185</v>
      </c>
      <c r="F181" s="257">
        <f>$D181*E181</f>
        <v>22200</v>
      </c>
      <c r="G181" s="258">
        <f t="shared" si="31"/>
        <v>120</v>
      </c>
      <c r="H181" s="257">
        <v>1</v>
      </c>
      <c r="I181" s="258">
        <f t="shared" si="25"/>
        <v>140.69999999999999</v>
      </c>
      <c r="J181" s="258">
        <f>'Elec Mb'!H237</f>
        <v>260.7</v>
      </c>
      <c r="K181" s="694">
        <v>1</v>
      </c>
      <c r="L181" s="258">
        <f t="shared" si="26"/>
        <v>22200</v>
      </c>
      <c r="M181" s="258">
        <f t="shared" si="27"/>
        <v>26029.5</v>
      </c>
      <c r="N181" s="258">
        <f t="shared" si="28"/>
        <v>48229.5</v>
      </c>
      <c r="O181" s="191"/>
      <c r="P181" s="191">
        <f t="shared" si="30"/>
        <v>141.69999999999999</v>
      </c>
    </row>
    <row r="182" spans="1:16" x14ac:dyDescent="0.3">
      <c r="A182" s="180"/>
      <c r="B182" s="179"/>
      <c r="C182" s="177"/>
      <c r="D182" s="257"/>
      <c r="E182" s="257"/>
      <c r="F182" s="257"/>
      <c r="G182" s="258">
        <f t="shared" si="31"/>
        <v>0</v>
      </c>
      <c r="H182" s="257"/>
      <c r="I182" s="258">
        <f t="shared" si="25"/>
        <v>0</v>
      </c>
      <c r="J182" s="258"/>
      <c r="K182" s="694"/>
      <c r="L182" s="258">
        <f t="shared" si="26"/>
        <v>0</v>
      </c>
      <c r="M182" s="258">
        <f t="shared" si="27"/>
        <v>0</v>
      </c>
      <c r="N182" s="258">
        <f t="shared" si="28"/>
        <v>0</v>
      </c>
      <c r="O182" s="191"/>
      <c r="P182" s="191">
        <f t="shared" si="30"/>
        <v>0</v>
      </c>
    </row>
    <row r="183" spans="1:16" ht="36" x14ac:dyDescent="0.3">
      <c r="A183" s="180">
        <f>A181+0.1</f>
        <v>1.3000000000000003</v>
      </c>
      <c r="B183" s="179" t="s">
        <v>425</v>
      </c>
      <c r="C183" s="177" t="s">
        <v>111</v>
      </c>
      <c r="D183" s="257">
        <v>10</v>
      </c>
      <c r="E183" s="257">
        <v>3183</v>
      </c>
      <c r="F183" s="257">
        <f>$D183*E183</f>
        <v>31830</v>
      </c>
      <c r="G183" s="258">
        <f t="shared" si="31"/>
        <v>10</v>
      </c>
      <c r="H183" s="257">
        <v>1</v>
      </c>
      <c r="I183" s="258">
        <f t="shared" si="25"/>
        <v>4</v>
      </c>
      <c r="J183" s="258">
        <f>'Elec Mb'!H240</f>
        <v>14</v>
      </c>
      <c r="K183" s="694">
        <v>1</v>
      </c>
      <c r="L183" s="258">
        <f t="shared" si="26"/>
        <v>31830</v>
      </c>
      <c r="M183" s="258">
        <f t="shared" si="27"/>
        <v>12732</v>
      </c>
      <c r="N183" s="258">
        <f t="shared" si="28"/>
        <v>44562</v>
      </c>
      <c r="O183" s="191"/>
      <c r="P183" s="191">
        <f t="shared" si="30"/>
        <v>5</v>
      </c>
    </row>
    <row r="184" spans="1:16" x14ac:dyDescent="0.3">
      <c r="A184" s="180"/>
      <c r="B184" s="179"/>
      <c r="C184" s="177"/>
      <c r="D184" s="257"/>
      <c r="E184" s="257"/>
      <c r="F184" s="257"/>
      <c r="G184" s="258">
        <f t="shared" si="31"/>
        <v>0</v>
      </c>
      <c r="H184" s="257"/>
      <c r="I184" s="258">
        <f t="shared" si="25"/>
        <v>0</v>
      </c>
      <c r="J184" s="258"/>
      <c r="K184" s="694"/>
      <c r="L184" s="258">
        <f t="shared" si="26"/>
        <v>0</v>
      </c>
      <c r="M184" s="258">
        <f t="shared" si="27"/>
        <v>0</v>
      </c>
      <c r="N184" s="258">
        <f t="shared" si="28"/>
        <v>0</v>
      </c>
      <c r="O184" s="191"/>
      <c r="P184" s="191">
        <f t="shared" si="30"/>
        <v>0</v>
      </c>
    </row>
    <row r="185" spans="1:16" x14ac:dyDescent="0.3">
      <c r="A185" s="180">
        <f>A183+0.1</f>
        <v>1.4000000000000004</v>
      </c>
      <c r="B185" s="179" t="s">
        <v>426</v>
      </c>
      <c r="C185" s="177" t="s">
        <v>111</v>
      </c>
      <c r="D185" s="257">
        <v>3</v>
      </c>
      <c r="E185" s="257">
        <v>355</v>
      </c>
      <c r="F185" s="257">
        <f>$D185*E185</f>
        <v>1065</v>
      </c>
      <c r="G185" s="258">
        <f t="shared" si="31"/>
        <v>3</v>
      </c>
      <c r="H185" s="257">
        <v>1</v>
      </c>
      <c r="I185" s="258">
        <f t="shared" si="25"/>
        <v>2</v>
      </c>
      <c r="J185" s="258">
        <f>'Elec Mb'!H242</f>
        <v>5</v>
      </c>
      <c r="K185" s="694">
        <v>1</v>
      </c>
      <c r="L185" s="258">
        <f t="shared" si="26"/>
        <v>1065</v>
      </c>
      <c r="M185" s="258">
        <f t="shared" si="27"/>
        <v>710</v>
      </c>
      <c r="N185" s="258">
        <f t="shared" si="28"/>
        <v>1775</v>
      </c>
      <c r="O185" s="191"/>
      <c r="P185" s="191">
        <f t="shared" si="30"/>
        <v>3</v>
      </c>
    </row>
    <row r="186" spans="1:16" x14ac:dyDescent="0.3">
      <c r="A186" s="180"/>
      <c r="B186" s="179"/>
      <c r="C186" s="177"/>
      <c r="D186" s="257"/>
      <c r="E186" s="257"/>
      <c r="F186" s="257"/>
      <c r="G186" s="258">
        <f t="shared" si="31"/>
        <v>0</v>
      </c>
      <c r="H186" s="257"/>
      <c r="I186" s="258">
        <f t="shared" si="25"/>
        <v>0</v>
      </c>
      <c r="J186" s="258"/>
      <c r="K186" s="694"/>
      <c r="L186" s="258">
        <f t="shared" si="26"/>
        <v>0</v>
      </c>
      <c r="M186" s="258">
        <f t="shared" si="27"/>
        <v>0</v>
      </c>
      <c r="N186" s="258">
        <f t="shared" si="28"/>
        <v>0</v>
      </c>
      <c r="O186" s="191"/>
      <c r="P186" s="191">
        <f t="shared" si="30"/>
        <v>0</v>
      </c>
    </row>
    <row r="187" spans="1:16" ht="24" x14ac:dyDescent="0.3">
      <c r="A187" s="180">
        <f>A185+0.1</f>
        <v>1.5000000000000004</v>
      </c>
      <c r="B187" s="179" t="s">
        <v>607</v>
      </c>
      <c r="C187" s="177" t="s">
        <v>111</v>
      </c>
      <c r="D187" s="257">
        <f>'Elec Mb'!H244</f>
        <v>2</v>
      </c>
      <c r="E187" s="257">
        <v>2856</v>
      </c>
      <c r="F187" s="257">
        <f>$D187*E187</f>
        <v>5712</v>
      </c>
      <c r="G187" s="258">
        <f t="shared" si="31"/>
        <v>2</v>
      </c>
      <c r="H187" s="257">
        <v>1</v>
      </c>
      <c r="I187" s="258">
        <f t="shared" si="25"/>
        <v>0</v>
      </c>
      <c r="J187" s="258">
        <f>'Elec Mb'!H244</f>
        <v>2</v>
      </c>
      <c r="K187" s="694">
        <v>1</v>
      </c>
      <c r="L187" s="258">
        <f t="shared" si="26"/>
        <v>5712</v>
      </c>
      <c r="M187" s="258">
        <f t="shared" si="27"/>
        <v>0</v>
      </c>
      <c r="N187" s="258">
        <f t="shared" si="28"/>
        <v>5712</v>
      </c>
      <c r="O187" s="191"/>
      <c r="P187" s="191">
        <f t="shared" si="30"/>
        <v>1</v>
      </c>
    </row>
    <row r="188" spans="1:16" x14ac:dyDescent="0.3">
      <c r="A188" s="180"/>
      <c r="B188" s="179"/>
      <c r="C188" s="177"/>
      <c r="D188" s="257"/>
      <c r="E188" s="257"/>
      <c r="F188" s="257"/>
      <c r="G188" s="258">
        <f t="shared" si="31"/>
        <v>0</v>
      </c>
      <c r="H188" s="257"/>
      <c r="I188" s="258">
        <f t="shared" si="25"/>
        <v>0</v>
      </c>
      <c r="J188" s="258"/>
      <c r="K188" s="694"/>
      <c r="L188" s="258">
        <f t="shared" si="26"/>
        <v>0</v>
      </c>
      <c r="M188" s="258">
        <f t="shared" si="27"/>
        <v>0</v>
      </c>
      <c r="N188" s="258">
        <f t="shared" si="28"/>
        <v>0</v>
      </c>
      <c r="O188" s="191"/>
      <c r="P188" s="191">
        <f t="shared" si="30"/>
        <v>0</v>
      </c>
    </row>
    <row r="189" spans="1:16" ht="36" x14ac:dyDescent="0.3">
      <c r="A189" s="180">
        <f>A187+0.1</f>
        <v>1.6000000000000005</v>
      </c>
      <c r="B189" s="179" t="s">
        <v>427</v>
      </c>
      <c r="C189" s="177" t="s">
        <v>111</v>
      </c>
      <c r="D189" s="257">
        <f>'Elec Mb'!H246</f>
        <v>2</v>
      </c>
      <c r="E189" s="257">
        <v>2025</v>
      </c>
      <c r="F189" s="257">
        <f>$D189*E189</f>
        <v>4050</v>
      </c>
      <c r="G189" s="258">
        <f t="shared" si="31"/>
        <v>2</v>
      </c>
      <c r="H189" s="257">
        <v>1</v>
      </c>
      <c r="I189" s="258">
        <f t="shared" si="25"/>
        <v>0</v>
      </c>
      <c r="J189" s="258">
        <f>'Elec Mb'!H246</f>
        <v>2</v>
      </c>
      <c r="K189" s="694">
        <v>1</v>
      </c>
      <c r="L189" s="258">
        <f t="shared" si="26"/>
        <v>4050</v>
      </c>
      <c r="M189" s="258">
        <f t="shared" si="27"/>
        <v>0</v>
      </c>
      <c r="N189" s="258">
        <f t="shared" si="28"/>
        <v>4050</v>
      </c>
      <c r="O189" s="191"/>
      <c r="P189" s="191">
        <f t="shared" si="30"/>
        <v>1</v>
      </c>
    </row>
    <row r="190" spans="1:16" x14ac:dyDescent="0.3">
      <c r="A190" s="180"/>
      <c r="B190" s="179"/>
      <c r="C190" s="177"/>
      <c r="D190" s="257"/>
      <c r="E190" s="257"/>
      <c r="F190" s="257"/>
      <c r="G190" s="258"/>
      <c r="H190" s="257"/>
      <c r="I190" s="258">
        <f t="shared" si="25"/>
        <v>0</v>
      </c>
      <c r="J190" s="258"/>
      <c r="K190" s="694"/>
      <c r="L190" s="258">
        <f t="shared" si="26"/>
        <v>0</v>
      </c>
      <c r="M190" s="258">
        <f t="shared" si="27"/>
        <v>0</v>
      </c>
      <c r="N190" s="258">
        <f t="shared" si="28"/>
        <v>0</v>
      </c>
      <c r="O190" s="191"/>
      <c r="P190" s="191">
        <f t="shared" si="30"/>
        <v>0</v>
      </c>
    </row>
    <row r="191" spans="1:16" x14ac:dyDescent="0.3">
      <c r="A191" s="180">
        <v>2</v>
      </c>
      <c r="B191" s="178" t="s">
        <v>428</v>
      </c>
      <c r="C191" s="177"/>
      <c r="D191" s="257"/>
      <c r="E191" s="257"/>
      <c r="F191" s="257"/>
      <c r="G191" s="258"/>
      <c r="H191" s="257"/>
      <c r="I191" s="258">
        <f t="shared" si="25"/>
        <v>0</v>
      </c>
      <c r="J191" s="258"/>
      <c r="K191" s="694"/>
      <c r="L191" s="258">
        <f t="shared" si="26"/>
        <v>0</v>
      </c>
      <c r="M191" s="258">
        <f t="shared" si="27"/>
        <v>0</v>
      </c>
      <c r="N191" s="258">
        <f t="shared" si="28"/>
        <v>0</v>
      </c>
      <c r="O191" s="191"/>
      <c r="P191" s="191">
        <f t="shared" si="30"/>
        <v>0</v>
      </c>
    </row>
    <row r="192" spans="1:16" x14ac:dyDescent="0.3">
      <c r="A192" s="180"/>
      <c r="B192" s="178" t="s">
        <v>421</v>
      </c>
      <c r="C192" s="177"/>
      <c r="D192" s="257"/>
      <c r="E192" s="257"/>
      <c r="F192" s="257"/>
      <c r="G192" s="258"/>
      <c r="H192" s="257"/>
      <c r="I192" s="258">
        <f t="shared" si="25"/>
        <v>0</v>
      </c>
      <c r="J192" s="258"/>
      <c r="K192" s="694"/>
      <c r="L192" s="258">
        <f t="shared" si="26"/>
        <v>0</v>
      </c>
      <c r="M192" s="258">
        <f t="shared" si="27"/>
        <v>0</v>
      </c>
      <c r="N192" s="258">
        <f t="shared" si="28"/>
        <v>0</v>
      </c>
      <c r="O192" s="191"/>
      <c r="P192" s="191">
        <f t="shared" si="30"/>
        <v>0</v>
      </c>
    </row>
    <row r="193" spans="1:16" ht="36" x14ac:dyDescent="0.3">
      <c r="A193" s="180">
        <f>A191+0.1</f>
        <v>2.1</v>
      </c>
      <c r="B193" s="179" t="s">
        <v>429</v>
      </c>
      <c r="C193" s="177"/>
      <c r="D193" s="257"/>
      <c r="E193" s="257"/>
      <c r="F193" s="257"/>
      <c r="G193" s="258"/>
      <c r="H193" s="257"/>
      <c r="I193" s="258">
        <f t="shared" si="25"/>
        <v>0</v>
      </c>
      <c r="J193" s="258"/>
      <c r="K193" s="694"/>
      <c r="L193" s="258">
        <f t="shared" si="26"/>
        <v>0</v>
      </c>
      <c r="M193" s="258">
        <f t="shared" si="27"/>
        <v>0</v>
      </c>
      <c r="N193" s="258">
        <f t="shared" si="28"/>
        <v>0</v>
      </c>
      <c r="O193" s="191"/>
      <c r="P193" s="191">
        <f t="shared" si="30"/>
        <v>0</v>
      </c>
    </row>
    <row r="194" spans="1:16" x14ac:dyDescent="0.3">
      <c r="A194" s="180"/>
      <c r="B194" s="179" t="s">
        <v>430</v>
      </c>
      <c r="C194" s="177" t="s">
        <v>403</v>
      </c>
      <c r="D194" s="257">
        <v>8</v>
      </c>
      <c r="E194" s="257">
        <v>2100</v>
      </c>
      <c r="F194" s="257">
        <f>$D194*E194</f>
        <v>16800</v>
      </c>
      <c r="G194" s="258">
        <f t="shared" ref="G194:G207" si="32">D194</f>
        <v>8</v>
      </c>
      <c r="H194" s="257">
        <v>1</v>
      </c>
      <c r="I194" s="258">
        <f t="shared" si="25"/>
        <v>-2</v>
      </c>
      <c r="J194" s="258">
        <f>'Elec Mb'!H251</f>
        <v>6</v>
      </c>
      <c r="K194" s="694">
        <v>1</v>
      </c>
      <c r="L194" s="258">
        <f t="shared" si="26"/>
        <v>16800</v>
      </c>
      <c r="M194" s="258">
        <f t="shared" si="27"/>
        <v>-4200</v>
      </c>
      <c r="N194" s="258">
        <f t="shared" si="28"/>
        <v>12600</v>
      </c>
      <c r="O194" s="191"/>
      <c r="P194" s="191">
        <f t="shared" si="30"/>
        <v>-1</v>
      </c>
    </row>
    <row r="195" spans="1:16" x14ac:dyDescent="0.3">
      <c r="A195" s="180"/>
      <c r="B195" s="179"/>
      <c r="C195" s="177"/>
      <c r="D195" s="257"/>
      <c r="E195" s="257"/>
      <c r="F195" s="257"/>
      <c r="G195" s="258">
        <f t="shared" si="32"/>
        <v>0</v>
      </c>
      <c r="H195" s="257"/>
      <c r="I195" s="258">
        <f t="shared" si="25"/>
        <v>0</v>
      </c>
      <c r="J195" s="258"/>
      <c r="K195" s="694"/>
      <c r="L195" s="258">
        <f t="shared" si="26"/>
        <v>0</v>
      </c>
      <c r="M195" s="258">
        <f t="shared" si="27"/>
        <v>0</v>
      </c>
      <c r="N195" s="258">
        <f t="shared" si="28"/>
        <v>0</v>
      </c>
      <c r="O195" s="191"/>
      <c r="P195" s="191">
        <f t="shared" si="30"/>
        <v>0</v>
      </c>
    </row>
    <row r="196" spans="1:16" ht="36" x14ac:dyDescent="0.3">
      <c r="A196" s="180">
        <f>A193+0.1</f>
        <v>2.2000000000000002</v>
      </c>
      <c r="B196" s="179" t="s">
        <v>431</v>
      </c>
      <c r="C196" s="177"/>
      <c r="D196" s="257"/>
      <c r="E196" s="257"/>
      <c r="F196" s="257"/>
      <c r="G196" s="258">
        <f t="shared" si="32"/>
        <v>0</v>
      </c>
      <c r="H196" s="257"/>
      <c r="I196" s="258">
        <f t="shared" si="25"/>
        <v>0</v>
      </c>
      <c r="J196" s="258"/>
      <c r="K196" s="694"/>
      <c r="L196" s="258">
        <f t="shared" si="26"/>
        <v>0</v>
      </c>
      <c r="M196" s="258">
        <f t="shared" si="27"/>
        <v>0</v>
      </c>
      <c r="N196" s="258">
        <f t="shared" si="28"/>
        <v>0</v>
      </c>
      <c r="O196" s="191"/>
      <c r="P196" s="191">
        <f t="shared" si="30"/>
        <v>0</v>
      </c>
    </row>
    <row r="197" spans="1:16" x14ac:dyDescent="0.3">
      <c r="A197" s="180" t="s">
        <v>432</v>
      </c>
      <c r="B197" s="179" t="s">
        <v>433</v>
      </c>
      <c r="C197" s="177" t="s">
        <v>411</v>
      </c>
      <c r="D197" s="257">
        <v>80</v>
      </c>
      <c r="E197" s="257">
        <v>57</v>
      </c>
      <c r="F197" s="257">
        <f t="shared" ref="F197:F198" si="33">$D197*E197</f>
        <v>4560</v>
      </c>
      <c r="G197" s="258">
        <f t="shared" si="32"/>
        <v>80</v>
      </c>
      <c r="H197" s="257">
        <v>1</v>
      </c>
      <c r="I197" s="258">
        <f t="shared" si="25"/>
        <v>-30</v>
      </c>
      <c r="J197" s="258">
        <f>'Elec Mb'!H260</f>
        <v>50</v>
      </c>
      <c r="K197" s="694">
        <v>1</v>
      </c>
      <c r="L197" s="258">
        <f t="shared" si="26"/>
        <v>4560</v>
      </c>
      <c r="M197" s="258">
        <f t="shared" si="27"/>
        <v>-1710</v>
      </c>
      <c r="N197" s="258">
        <f t="shared" si="28"/>
        <v>2850</v>
      </c>
      <c r="O197" s="191"/>
      <c r="P197" s="191">
        <f t="shared" si="30"/>
        <v>-29</v>
      </c>
    </row>
    <row r="198" spans="1:16" x14ac:dyDescent="0.3">
      <c r="A198" s="180" t="s">
        <v>434</v>
      </c>
      <c r="B198" s="179" t="s">
        <v>435</v>
      </c>
      <c r="C198" s="177" t="s">
        <v>411</v>
      </c>
      <c r="D198" s="257">
        <v>80</v>
      </c>
      <c r="E198" s="257">
        <v>165</v>
      </c>
      <c r="F198" s="257">
        <f t="shared" si="33"/>
        <v>13200</v>
      </c>
      <c r="G198" s="258">
        <f t="shared" si="32"/>
        <v>80</v>
      </c>
      <c r="H198" s="257">
        <v>1</v>
      </c>
      <c r="I198" s="258">
        <f t="shared" si="25"/>
        <v>-37.5</v>
      </c>
      <c r="J198" s="258">
        <f>'Elec Mb'!H267</f>
        <v>42.5</v>
      </c>
      <c r="K198" s="694">
        <v>1</v>
      </c>
      <c r="L198" s="258">
        <f t="shared" si="26"/>
        <v>13200</v>
      </c>
      <c r="M198" s="258">
        <f t="shared" si="27"/>
        <v>-6187.5</v>
      </c>
      <c r="N198" s="258">
        <f t="shared" si="28"/>
        <v>7012.5</v>
      </c>
      <c r="O198" s="191"/>
      <c r="P198" s="191">
        <f t="shared" si="30"/>
        <v>-36.5</v>
      </c>
    </row>
    <row r="199" spans="1:16" x14ac:dyDescent="0.3">
      <c r="A199" s="180"/>
      <c r="B199" s="179"/>
      <c r="C199" s="177"/>
      <c r="D199" s="257"/>
      <c r="E199" s="257"/>
      <c r="F199" s="257"/>
      <c r="G199" s="258">
        <f t="shared" si="32"/>
        <v>0</v>
      </c>
      <c r="H199" s="257"/>
      <c r="I199" s="258">
        <f t="shared" si="25"/>
        <v>0</v>
      </c>
      <c r="J199" s="258"/>
      <c r="K199" s="694"/>
      <c r="L199" s="258">
        <f t="shared" si="26"/>
        <v>0</v>
      </c>
      <c r="M199" s="258">
        <f t="shared" si="27"/>
        <v>0</v>
      </c>
      <c r="N199" s="258">
        <f t="shared" si="28"/>
        <v>0</v>
      </c>
      <c r="O199" s="191"/>
      <c r="P199" s="191">
        <f t="shared" si="30"/>
        <v>0</v>
      </c>
    </row>
    <row r="200" spans="1:16" ht="48" x14ac:dyDescent="0.3">
      <c r="A200" s="180">
        <v>2.2999999999999998</v>
      </c>
      <c r="B200" s="179" t="s">
        <v>436</v>
      </c>
      <c r="C200" s="177" t="s">
        <v>403</v>
      </c>
      <c r="D200" s="257">
        <f>'Elec Mb'!H269</f>
        <v>1</v>
      </c>
      <c r="E200" s="257">
        <v>2133</v>
      </c>
      <c r="F200" s="257">
        <f>$D200*E200</f>
        <v>2133</v>
      </c>
      <c r="G200" s="258">
        <f t="shared" si="32"/>
        <v>1</v>
      </c>
      <c r="H200" s="257">
        <v>0</v>
      </c>
      <c r="I200" s="258">
        <f t="shared" si="25"/>
        <v>0</v>
      </c>
      <c r="J200" s="258">
        <f>'Elec Mb'!H269</f>
        <v>1</v>
      </c>
      <c r="K200" s="694">
        <v>1</v>
      </c>
      <c r="L200" s="258">
        <f t="shared" si="26"/>
        <v>0</v>
      </c>
      <c r="M200" s="258">
        <f t="shared" si="27"/>
        <v>2133</v>
      </c>
      <c r="N200" s="258">
        <f t="shared" si="28"/>
        <v>2133</v>
      </c>
      <c r="O200" s="191"/>
      <c r="P200" s="191">
        <f t="shared" si="30"/>
        <v>1</v>
      </c>
    </row>
    <row r="201" spans="1:16" x14ac:dyDescent="0.3">
      <c r="A201" s="195"/>
      <c r="B201" s="198"/>
      <c r="C201" s="197"/>
      <c r="D201" s="255"/>
      <c r="E201" s="255"/>
      <c r="F201" s="254"/>
      <c r="G201" s="258">
        <f t="shared" si="32"/>
        <v>0</v>
      </c>
      <c r="H201" s="255"/>
      <c r="I201" s="258">
        <f t="shared" si="25"/>
        <v>0</v>
      </c>
      <c r="J201" s="258"/>
      <c r="K201" s="696"/>
      <c r="L201" s="258">
        <f t="shared" si="26"/>
        <v>0</v>
      </c>
      <c r="M201" s="258">
        <f t="shared" si="27"/>
        <v>0</v>
      </c>
      <c r="N201" s="258">
        <f t="shared" si="28"/>
        <v>0</v>
      </c>
      <c r="O201" s="191"/>
      <c r="P201" s="191">
        <f t="shared" si="30"/>
        <v>0</v>
      </c>
    </row>
    <row r="202" spans="1:16" x14ac:dyDescent="0.3">
      <c r="A202" s="180">
        <v>3</v>
      </c>
      <c r="B202" s="178" t="s">
        <v>437</v>
      </c>
      <c r="C202" s="177"/>
      <c r="D202" s="257"/>
      <c r="E202" s="257"/>
      <c r="F202" s="257"/>
      <c r="G202" s="258">
        <f t="shared" si="32"/>
        <v>0</v>
      </c>
      <c r="H202" s="257"/>
      <c r="I202" s="258">
        <f t="shared" si="25"/>
        <v>0</v>
      </c>
      <c r="J202" s="258"/>
      <c r="K202" s="694"/>
      <c r="L202" s="258">
        <f t="shared" si="26"/>
        <v>0</v>
      </c>
      <c r="M202" s="258">
        <f t="shared" si="27"/>
        <v>0</v>
      </c>
      <c r="N202" s="258">
        <f t="shared" si="28"/>
        <v>0</v>
      </c>
      <c r="O202" s="191"/>
      <c r="P202" s="191">
        <f t="shared" si="30"/>
        <v>0</v>
      </c>
    </row>
    <row r="203" spans="1:16" x14ac:dyDescent="0.3">
      <c r="A203" s="180">
        <f>A202+0.1</f>
        <v>3.1</v>
      </c>
      <c r="B203" s="179" t="s">
        <v>438</v>
      </c>
      <c r="C203" s="177" t="s">
        <v>411</v>
      </c>
      <c r="D203" s="257">
        <v>250</v>
      </c>
      <c r="E203" s="257">
        <v>58</v>
      </c>
      <c r="F203" s="257">
        <f>$D203*E203</f>
        <v>14500</v>
      </c>
      <c r="G203" s="258">
        <f t="shared" si="32"/>
        <v>250</v>
      </c>
      <c r="H203" s="257">
        <v>1</v>
      </c>
      <c r="I203" s="258">
        <f t="shared" si="25"/>
        <v>127.19999999999999</v>
      </c>
      <c r="J203" s="258">
        <f>'Elec Mb'!H286</f>
        <v>377.2</v>
      </c>
      <c r="K203" s="694">
        <v>1</v>
      </c>
      <c r="L203" s="258">
        <f t="shared" si="26"/>
        <v>14500</v>
      </c>
      <c r="M203" s="258">
        <f t="shared" si="27"/>
        <v>7377.5999999999985</v>
      </c>
      <c r="N203" s="258">
        <f t="shared" si="28"/>
        <v>21877.599999999999</v>
      </c>
      <c r="O203" s="191"/>
      <c r="P203" s="191">
        <f t="shared" si="30"/>
        <v>128.19999999999999</v>
      </c>
    </row>
    <row r="204" spans="1:16" x14ac:dyDescent="0.3">
      <c r="A204" s="180"/>
      <c r="B204" s="179"/>
      <c r="C204" s="177"/>
      <c r="D204" s="257"/>
      <c r="E204" s="257"/>
      <c r="F204" s="257"/>
      <c r="G204" s="258">
        <f t="shared" si="32"/>
        <v>0</v>
      </c>
      <c r="H204" s="257"/>
      <c r="I204" s="258">
        <f t="shared" si="25"/>
        <v>0</v>
      </c>
      <c r="J204" s="258"/>
      <c r="K204" s="694"/>
      <c r="L204" s="258">
        <f t="shared" si="26"/>
        <v>0</v>
      </c>
      <c r="M204" s="258">
        <f t="shared" si="27"/>
        <v>0</v>
      </c>
      <c r="N204" s="258">
        <f t="shared" si="28"/>
        <v>0</v>
      </c>
      <c r="O204" s="191"/>
      <c r="P204" s="191">
        <f t="shared" si="30"/>
        <v>0</v>
      </c>
    </row>
    <row r="205" spans="1:16" x14ac:dyDescent="0.3">
      <c r="A205" s="180">
        <f>A203+0.1</f>
        <v>3.2</v>
      </c>
      <c r="B205" s="179" t="s">
        <v>439</v>
      </c>
      <c r="C205" s="177" t="s">
        <v>411</v>
      </c>
      <c r="D205" s="257">
        <v>125</v>
      </c>
      <c r="E205" s="257">
        <v>180</v>
      </c>
      <c r="F205" s="257">
        <f>$D205*E205</f>
        <v>22500</v>
      </c>
      <c r="G205" s="258">
        <f t="shared" si="32"/>
        <v>125</v>
      </c>
      <c r="H205" s="257">
        <v>1</v>
      </c>
      <c r="I205" s="258">
        <f t="shared" si="25"/>
        <v>220.03999999999996</v>
      </c>
      <c r="J205" s="258">
        <f>'Elec Mb'!H302</f>
        <v>345.03999999999996</v>
      </c>
      <c r="K205" s="694">
        <v>1</v>
      </c>
      <c r="L205" s="258">
        <f t="shared" si="26"/>
        <v>22500</v>
      </c>
      <c r="M205" s="258">
        <f t="shared" si="27"/>
        <v>39607.199999999997</v>
      </c>
      <c r="N205" s="258">
        <f t="shared" si="28"/>
        <v>62107.199999999997</v>
      </c>
      <c r="O205" s="191"/>
      <c r="P205" s="191">
        <f t="shared" si="30"/>
        <v>221.03999999999996</v>
      </c>
    </row>
    <row r="206" spans="1:16" x14ac:dyDescent="0.3">
      <c r="A206" s="180"/>
      <c r="B206" s="179"/>
      <c r="C206" s="177"/>
      <c r="D206" s="257"/>
      <c r="E206" s="257"/>
      <c r="F206" s="257"/>
      <c r="G206" s="258">
        <f t="shared" si="32"/>
        <v>0</v>
      </c>
      <c r="H206" s="257"/>
      <c r="I206" s="258">
        <f t="shared" si="25"/>
        <v>0</v>
      </c>
      <c r="J206" s="258"/>
      <c r="K206" s="694"/>
      <c r="L206" s="258">
        <f t="shared" si="26"/>
        <v>0</v>
      </c>
      <c r="M206" s="258">
        <f t="shared" si="27"/>
        <v>0</v>
      </c>
      <c r="N206" s="258">
        <f t="shared" si="28"/>
        <v>0</v>
      </c>
      <c r="O206" s="191"/>
      <c r="P206" s="191">
        <f t="shared" si="30"/>
        <v>0</v>
      </c>
    </row>
    <row r="207" spans="1:16" ht="72" x14ac:dyDescent="0.3">
      <c r="A207" s="180">
        <f>A205+0.1</f>
        <v>3.3000000000000003</v>
      </c>
      <c r="B207" s="179" t="s">
        <v>608</v>
      </c>
      <c r="C207" s="177" t="s">
        <v>111</v>
      </c>
      <c r="D207" s="257">
        <v>16</v>
      </c>
      <c r="E207" s="257">
        <v>2865</v>
      </c>
      <c r="F207" s="257">
        <f>$D207*E207</f>
        <v>45840</v>
      </c>
      <c r="G207" s="258">
        <f t="shared" si="32"/>
        <v>16</v>
      </c>
      <c r="H207" s="257">
        <v>1</v>
      </c>
      <c r="I207" s="258">
        <f t="shared" si="25"/>
        <v>-16</v>
      </c>
      <c r="J207" s="258">
        <f>'Elec Mb'!H304</f>
        <v>0</v>
      </c>
      <c r="K207" s="694">
        <v>0</v>
      </c>
      <c r="L207" s="258">
        <f t="shared" si="26"/>
        <v>45840</v>
      </c>
      <c r="M207" s="258">
        <f t="shared" si="27"/>
        <v>-45840</v>
      </c>
      <c r="N207" s="258">
        <f t="shared" si="28"/>
        <v>0</v>
      </c>
      <c r="O207" s="191"/>
      <c r="P207" s="191">
        <f t="shared" si="30"/>
        <v>-16</v>
      </c>
    </row>
    <row r="208" spans="1:16" x14ac:dyDescent="0.3">
      <c r="A208" s="180"/>
      <c r="B208" s="179"/>
      <c r="C208" s="177"/>
      <c r="D208" s="257"/>
      <c r="E208" s="257"/>
      <c r="F208" s="257"/>
      <c r="G208" s="258">
        <f t="shared" ref="G208" si="34">D208</f>
        <v>0</v>
      </c>
      <c r="H208" s="257"/>
      <c r="I208" s="257"/>
      <c r="J208" s="258"/>
      <c r="K208" s="693"/>
      <c r="L208" s="258">
        <f t="shared" si="26"/>
        <v>0</v>
      </c>
      <c r="M208" s="258">
        <f t="shared" si="27"/>
        <v>0</v>
      </c>
      <c r="N208" s="258">
        <f t="shared" si="28"/>
        <v>0</v>
      </c>
      <c r="O208" s="256"/>
    </row>
    <row r="209" spans="1:15" x14ac:dyDescent="0.3">
      <c r="A209" s="199"/>
      <c r="B209" s="200" t="s">
        <v>440</v>
      </c>
      <c r="C209" s="201"/>
      <c r="D209" s="257"/>
      <c r="E209" s="257"/>
      <c r="F209" s="254"/>
      <c r="G209" s="254"/>
      <c r="H209" s="257"/>
      <c r="I209" s="254"/>
      <c r="J209" s="258"/>
      <c r="K209" s="693"/>
      <c r="L209" s="258">
        <f t="shared" si="26"/>
        <v>0</v>
      </c>
      <c r="M209" s="258">
        <f t="shared" si="27"/>
        <v>0</v>
      </c>
      <c r="N209" s="258">
        <f t="shared" si="28"/>
        <v>0</v>
      </c>
      <c r="O209" s="256"/>
    </row>
    <row r="210" spans="1:15" x14ac:dyDescent="0.3">
      <c r="A210" s="202"/>
      <c r="B210" s="171"/>
      <c r="C210" s="173"/>
      <c r="D210" s="257"/>
      <c r="E210" s="257"/>
      <c r="F210" s="258"/>
      <c r="G210" s="258"/>
      <c r="H210" s="257"/>
      <c r="I210" s="258"/>
      <c r="J210" s="258"/>
      <c r="K210" s="693"/>
      <c r="L210" s="258"/>
      <c r="M210" s="258"/>
      <c r="N210" s="258"/>
      <c r="O210" s="256"/>
    </row>
    <row r="211" spans="1:15" x14ac:dyDescent="0.3">
      <c r="A211" s="316"/>
      <c r="B211" s="317" t="s">
        <v>609</v>
      </c>
      <c r="C211" s="318"/>
      <c r="D211" s="687"/>
      <c r="E211" s="687"/>
      <c r="F211" s="688">
        <f>SUM(F10:F207)</f>
        <v>1676413</v>
      </c>
      <c r="G211" s="688"/>
      <c r="H211" s="687"/>
      <c r="I211" s="688"/>
      <c r="J211" s="689"/>
      <c r="K211" s="697"/>
      <c r="L211" s="688">
        <f t="shared" ref="L211:N211" si="35">SUM(L10:L207)</f>
        <v>1493608.9</v>
      </c>
      <c r="M211" s="688">
        <f>SUM(M10:M207)</f>
        <v>333758.8</v>
      </c>
      <c r="N211" s="688">
        <f t="shared" si="35"/>
        <v>1827367.7</v>
      </c>
      <c r="O211" s="319"/>
    </row>
  </sheetData>
  <protectedRanges>
    <protectedRange sqref="C1:C5" name="Range1_8_1_1"/>
    <protectedRange sqref="F1:O5" name="Range1_6_3_1_1"/>
    <protectedRange sqref="F6:N6" name="Range1_9_1_1"/>
  </protectedRanges>
  <mergeCells count="12">
    <mergeCell ref="A1:O1"/>
    <mergeCell ref="A2:O2"/>
    <mergeCell ref="A3:O3"/>
    <mergeCell ref="A4:O4"/>
    <mergeCell ref="A5:O5"/>
    <mergeCell ref="L6:N6"/>
    <mergeCell ref="O6:O7"/>
    <mergeCell ref="A6:A7"/>
    <mergeCell ref="B6:B7"/>
    <mergeCell ref="C6:C7"/>
    <mergeCell ref="D6:F6"/>
    <mergeCell ref="G6:K6"/>
  </mergeCells>
  <printOptions horizontalCentered="1" gridLines="1"/>
  <pageMargins left="0.196850393700787" right="0.196850393700787" top="0.55118110236220497" bottom="0.35433070866141703" header="0" footer="0"/>
  <pageSetup paperSize="9" scale="63" orientation="portrait" r:id="rId1"/>
  <headerFooter>
    <oddFooter>&amp;RFOUR SQUARE ENGINEERING SERVICES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4"/>
  <sheetViews>
    <sheetView topLeftCell="A119" workbookViewId="0">
      <selection activeCell="I42" sqref="I42"/>
    </sheetView>
  </sheetViews>
  <sheetFormatPr defaultColWidth="8.81640625" defaultRowHeight="12.5" x14ac:dyDescent="0.25"/>
  <cols>
    <col min="1" max="1" width="8.81640625" style="459"/>
    <col min="2" max="2" width="77.54296875" style="459" customWidth="1"/>
    <col min="3" max="3" width="8.81640625" style="492"/>
    <col min="4" max="6" width="9.453125" style="608" bestFit="1" customWidth="1"/>
    <col min="7" max="8" width="8.81640625" style="608"/>
    <col min="9" max="16384" width="8.81640625" style="459"/>
  </cols>
  <sheetData>
    <row r="1" spans="1:8" ht="16" thickBot="1" x14ac:dyDescent="0.3">
      <c r="A1" s="815" t="s">
        <v>804</v>
      </c>
      <c r="B1" s="815"/>
      <c r="C1" s="815"/>
      <c r="D1" s="815"/>
      <c r="E1" s="815"/>
      <c r="F1" s="815"/>
      <c r="G1" s="815"/>
      <c r="H1" s="815"/>
    </row>
    <row r="2" spans="1:8" ht="16" thickBot="1" x14ac:dyDescent="0.3">
      <c r="A2" s="816" t="s">
        <v>669</v>
      </c>
      <c r="B2" s="817" t="s">
        <v>670</v>
      </c>
      <c r="C2" s="818" t="s">
        <v>672</v>
      </c>
      <c r="D2" s="819" t="s">
        <v>805</v>
      </c>
      <c r="E2" s="820"/>
      <c r="F2" s="820"/>
      <c r="G2" s="820"/>
      <c r="H2" s="821"/>
    </row>
    <row r="3" spans="1:8" ht="16" thickBot="1" x14ac:dyDescent="0.3">
      <c r="A3" s="816"/>
      <c r="B3" s="817"/>
      <c r="C3" s="818"/>
      <c r="D3" s="598" t="s">
        <v>675</v>
      </c>
      <c r="E3" s="598" t="s">
        <v>162</v>
      </c>
      <c r="F3" s="598" t="s">
        <v>676</v>
      </c>
      <c r="G3" s="598" t="s">
        <v>677</v>
      </c>
      <c r="H3" s="598" t="s">
        <v>678</v>
      </c>
    </row>
    <row r="4" spans="1:8" ht="13" x14ac:dyDescent="0.25">
      <c r="A4" s="599">
        <v>1</v>
      </c>
      <c r="B4" s="172" t="s">
        <v>313</v>
      </c>
      <c r="C4" s="600"/>
      <c r="D4" s="601"/>
      <c r="E4" s="601"/>
      <c r="F4" s="601"/>
      <c r="G4" s="601"/>
      <c r="H4" s="602"/>
    </row>
    <row r="5" spans="1:8" ht="132" x14ac:dyDescent="0.25">
      <c r="A5" s="599"/>
      <c r="B5" s="603" t="s">
        <v>314</v>
      </c>
      <c r="C5" s="600" t="s">
        <v>334</v>
      </c>
      <c r="D5" s="601"/>
      <c r="E5" s="601"/>
      <c r="F5" s="601"/>
      <c r="G5" s="601">
        <v>1</v>
      </c>
      <c r="H5" s="604">
        <f>PRODUCT(D5:G5)</f>
        <v>1</v>
      </c>
    </row>
    <row r="6" spans="1:8" ht="13" x14ac:dyDescent="0.25">
      <c r="A6" s="599"/>
      <c r="B6" s="605"/>
      <c r="C6" s="600"/>
      <c r="D6" s="601"/>
      <c r="E6" s="601"/>
      <c r="F6" s="601"/>
      <c r="G6" s="601"/>
      <c r="H6" s="602"/>
    </row>
    <row r="7" spans="1:8" ht="13" x14ac:dyDescent="0.25">
      <c r="A7" s="180"/>
      <c r="B7" s="178"/>
      <c r="C7" s="177"/>
      <c r="D7" s="479"/>
      <c r="E7" s="479"/>
      <c r="F7" s="479"/>
      <c r="G7" s="479"/>
      <c r="H7" s="602"/>
    </row>
    <row r="8" spans="1:8" ht="13" x14ac:dyDescent="0.25">
      <c r="A8" s="180">
        <v>4</v>
      </c>
      <c r="B8" s="178" t="s">
        <v>336</v>
      </c>
      <c r="C8" s="177"/>
      <c r="D8" s="479"/>
      <c r="E8" s="479"/>
      <c r="F8" s="479"/>
      <c r="G8" s="479"/>
      <c r="H8" s="602"/>
    </row>
    <row r="9" spans="1:8" ht="13" x14ac:dyDescent="0.25">
      <c r="A9" s="180">
        <f>A8+0.1</f>
        <v>4.0999999999999996</v>
      </c>
      <c r="B9" s="179" t="s">
        <v>338</v>
      </c>
      <c r="C9" s="177" t="s">
        <v>339</v>
      </c>
      <c r="D9" s="479">
        <v>0</v>
      </c>
      <c r="E9" s="479"/>
      <c r="F9" s="479"/>
      <c r="G9" s="479"/>
      <c r="H9" s="602">
        <f t="shared" ref="H9:H16" si="0">PRODUCT(D9:G9)</f>
        <v>0</v>
      </c>
    </row>
    <row r="10" spans="1:8" ht="13" x14ac:dyDescent="0.25">
      <c r="A10" s="180">
        <f t="shared" ref="A10:A11" si="1">A9+0.1</f>
        <v>4.1999999999999993</v>
      </c>
      <c r="B10" s="179" t="s">
        <v>340</v>
      </c>
      <c r="C10" s="177" t="s">
        <v>339</v>
      </c>
      <c r="D10" s="479">
        <v>0</v>
      </c>
      <c r="E10" s="479"/>
      <c r="F10" s="479"/>
      <c r="G10" s="479"/>
      <c r="H10" s="602">
        <f t="shared" si="0"/>
        <v>0</v>
      </c>
    </row>
    <row r="11" spans="1:8" ht="13" x14ac:dyDescent="0.25">
      <c r="A11" s="180">
        <f t="shared" si="1"/>
        <v>4.2999999999999989</v>
      </c>
      <c r="B11" s="179" t="s">
        <v>341</v>
      </c>
      <c r="C11" s="177" t="s">
        <v>339</v>
      </c>
      <c r="D11" s="479"/>
      <c r="E11" s="479"/>
      <c r="F11" s="479"/>
      <c r="G11" s="479"/>
      <c r="H11" s="602"/>
    </row>
    <row r="12" spans="1:8" customFormat="1" ht="13" x14ac:dyDescent="0.25">
      <c r="A12" s="180"/>
      <c r="B12" s="179" t="s">
        <v>902</v>
      </c>
      <c r="C12" s="177" t="s">
        <v>339</v>
      </c>
      <c r="D12" s="673">
        <v>22</v>
      </c>
      <c r="E12" s="673"/>
      <c r="F12" s="673"/>
      <c r="G12" s="673"/>
      <c r="H12" s="602">
        <f t="shared" si="0"/>
        <v>22</v>
      </c>
    </row>
    <row r="13" spans="1:8" customFormat="1" ht="13" x14ac:dyDescent="0.25">
      <c r="A13" s="180"/>
      <c r="B13" s="179" t="s">
        <v>903</v>
      </c>
      <c r="C13" s="177" t="s">
        <v>339</v>
      </c>
      <c r="D13" s="673">
        <v>20</v>
      </c>
      <c r="E13" s="673"/>
      <c r="F13" s="673"/>
      <c r="G13" s="673"/>
      <c r="H13" s="602">
        <f t="shared" si="0"/>
        <v>20</v>
      </c>
    </row>
    <row r="14" spans="1:8" customFormat="1" ht="13" x14ac:dyDescent="0.25">
      <c r="A14" s="180"/>
      <c r="B14" s="179" t="s">
        <v>904</v>
      </c>
      <c r="C14" s="177" t="s">
        <v>339</v>
      </c>
      <c r="D14" s="673">
        <v>22</v>
      </c>
      <c r="E14" s="673"/>
      <c r="F14" s="673"/>
      <c r="G14" s="673"/>
      <c r="H14" s="602">
        <f t="shared" si="0"/>
        <v>22</v>
      </c>
    </row>
    <row r="15" spans="1:8" customFormat="1" ht="13" x14ac:dyDescent="0.25">
      <c r="A15" s="180"/>
      <c r="B15" s="179" t="s">
        <v>905</v>
      </c>
      <c r="C15" s="177" t="s">
        <v>339</v>
      </c>
      <c r="D15" s="673">
        <v>8</v>
      </c>
      <c r="E15" s="673"/>
      <c r="F15" s="673"/>
      <c r="G15" s="673"/>
      <c r="H15" s="602">
        <f t="shared" si="0"/>
        <v>8</v>
      </c>
    </row>
    <row r="16" spans="1:8" customFormat="1" ht="13" x14ac:dyDescent="0.25">
      <c r="A16" s="180"/>
      <c r="B16" s="179" t="s">
        <v>906</v>
      </c>
      <c r="C16" s="177" t="s">
        <v>339</v>
      </c>
      <c r="D16" s="673">
        <v>10</v>
      </c>
      <c r="E16" s="673"/>
      <c r="F16" s="673"/>
      <c r="G16" s="673"/>
      <c r="H16" s="602">
        <f t="shared" si="0"/>
        <v>10</v>
      </c>
    </row>
    <row r="17" spans="1:9" customFormat="1" ht="13" x14ac:dyDescent="0.25">
      <c r="A17" s="180"/>
      <c r="B17" s="179"/>
      <c r="C17" s="177"/>
      <c r="D17" s="673"/>
      <c r="E17" s="673"/>
      <c r="F17" s="673"/>
      <c r="G17" s="673"/>
      <c r="H17" s="675"/>
    </row>
    <row r="18" spans="1:9" customFormat="1" ht="13" x14ac:dyDescent="0.25">
      <c r="A18" s="180"/>
      <c r="B18" s="642" t="s">
        <v>684</v>
      </c>
      <c r="C18" s="677" t="s">
        <v>907</v>
      </c>
      <c r="D18" s="676"/>
      <c r="E18" s="676"/>
      <c r="F18" s="676"/>
      <c r="G18" s="676"/>
      <c r="H18" s="674">
        <v>80</v>
      </c>
      <c r="I18">
        <v>80</v>
      </c>
    </row>
    <row r="19" spans="1:9" customFormat="1" ht="13" x14ac:dyDescent="0.25">
      <c r="A19" s="180"/>
      <c r="B19" s="179"/>
      <c r="C19" s="177"/>
      <c r="D19" s="673"/>
      <c r="E19" s="673"/>
      <c r="F19" s="673"/>
      <c r="G19" s="673"/>
      <c r="H19" s="675"/>
    </row>
    <row r="20" spans="1:9" ht="13" x14ac:dyDescent="0.25">
      <c r="A20" s="180">
        <f>A11+0.1</f>
        <v>4.3999999999999986</v>
      </c>
      <c r="B20" s="179" t="s">
        <v>342</v>
      </c>
      <c r="C20" s="177" t="s">
        <v>339</v>
      </c>
      <c r="D20" s="479"/>
      <c r="E20" s="479"/>
      <c r="F20" s="479"/>
      <c r="G20" s="479"/>
      <c r="H20" s="675"/>
    </row>
    <row r="21" spans="1:9" customFormat="1" ht="13" x14ac:dyDescent="0.25">
      <c r="A21" s="180"/>
      <c r="B21" s="179" t="s">
        <v>908</v>
      </c>
      <c r="C21" s="177" t="s">
        <v>339</v>
      </c>
      <c r="D21" s="673">
        <v>60</v>
      </c>
      <c r="E21" s="673"/>
      <c r="F21" s="673"/>
      <c r="G21" s="673"/>
      <c r="H21" s="602">
        <f t="shared" ref="H21:H22" si="2">PRODUCT(D21:G21)</f>
        <v>60</v>
      </c>
    </row>
    <row r="22" spans="1:9" customFormat="1" ht="13" x14ac:dyDescent="0.25">
      <c r="A22" s="180"/>
      <c r="B22" s="179"/>
      <c r="C22" s="177"/>
      <c r="D22" s="673"/>
      <c r="E22" s="673"/>
      <c r="F22" s="673"/>
      <c r="G22" s="673"/>
      <c r="H22" s="602">
        <f t="shared" si="2"/>
        <v>0</v>
      </c>
    </row>
    <row r="23" spans="1:9" customFormat="1" ht="13" x14ac:dyDescent="0.25">
      <c r="A23" s="180"/>
      <c r="B23" s="642" t="s">
        <v>684</v>
      </c>
      <c r="C23" s="677" t="s">
        <v>907</v>
      </c>
      <c r="D23" s="678"/>
      <c r="E23" s="678"/>
      <c r="F23" s="678"/>
      <c r="G23" s="678"/>
      <c r="H23" s="674">
        <f>SUM(H21:H22)</f>
        <v>60</v>
      </c>
    </row>
    <row r="24" spans="1:9" customFormat="1" ht="13" x14ac:dyDescent="0.25">
      <c r="A24" s="180"/>
      <c r="B24" s="179"/>
      <c r="C24" s="177"/>
      <c r="D24" s="673"/>
      <c r="E24" s="673"/>
      <c r="F24" s="673"/>
      <c r="G24" s="673"/>
      <c r="H24" s="675"/>
    </row>
    <row r="25" spans="1:9" ht="13" x14ac:dyDescent="0.25">
      <c r="A25" s="180">
        <f>A20+0.1</f>
        <v>4.4999999999999982</v>
      </c>
      <c r="B25" s="179" t="s">
        <v>343</v>
      </c>
      <c r="C25" s="177" t="s">
        <v>339</v>
      </c>
      <c r="D25" s="479"/>
      <c r="E25" s="479"/>
      <c r="F25" s="479"/>
      <c r="G25" s="479"/>
      <c r="H25" s="602"/>
    </row>
    <row r="26" spans="1:9" customFormat="1" ht="13" x14ac:dyDescent="0.25">
      <c r="A26" s="180"/>
      <c r="B26" s="179" t="s">
        <v>909</v>
      </c>
      <c r="C26" s="177" t="s">
        <v>339</v>
      </c>
      <c r="D26" s="673">
        <v>28</v>
      </c>
      <c r="E26" s="673"/>
      <c r="F26" s="673"/>
      <c r="G26" s="673"/>
      <c r="H26" s="602">
        <f t="shared" ref="H26:H31" si="3">PRODUCT(D26:G26)</f>
        <v>28</v>
      </c>
    </row>
    <row r="27" spans="1:9" customFormat="1" ht="13" x14ac:dyDescent="0.25">
      <c r="A27" s="180"/>
      <c r="B27" s="179" t="s">
        <v>910</v>
      </c>
      <c r="C27" s="177" t="s">
        <v>339</v>
      </c>
      <c r="D27" s="673">
        <v>26</v>
      </c>
      <c r="E27" s="673"/>
      <c r="F27" s="673"/>
      <c r="G27" s="673"/>
      <c r="H27" s="602">
        <f t="shared" si="3"/>
        <v>26</v>
      </c>
    </row>
    <row r="28" spans="1:9" customFormat="1" ht="13" x14ac:dyDescent="0.25">
      <c r="A28" s="180"/>
      <c r="B28" s="179" t="s">
        <v>911</v>
      </c>
      <c r="C28" s="177" t="s">
        <v>339</v>
      </c>
      <c r="D28" s="673">
        <v>26.3</v>
      </c>
      <c r="E28" s="673"/>
      <c r="F28" s="673"/>
      <c r="G28" s="673"/>
      <c r="H28" s="602">
        <f t="shared" si="3"/>
        <v>26.3</v>
      </c>
    </row>
    <row r="29" spans="1:9" customFormat="1" ht="13" x14ac:dyDescent="0.25">
      <c r="A29" s="180"/>
      <c r="B29" s="179" t="s">
        <v>912</v>
      </c>
      <c r="C29" s="177" t="s">
        <v>339</v>
      </c>
      <c r="D29" s="673">
        <v>30</v>
      </c>
      <c r="E29" s="673"/>
      <c r="F29" s="673"/>
      <c r="G29" s="673"/>
      <c r="H29" s="602">
        <f t="shared" si="3"/>
        <v>30</v>
      </c>
    </row>
    <row r="30" spans="1:9" customFormat="1" ht="13" x14ac:dyDescent="0.25">
      <c r="A30" s="180"/>
      <c r="B30" s="179" t="s">
        <v>913</v>
      </c>
      <c r="C30" s="177" t="s">
        <v>339</v>
      </c>
      <c r="D30" s="673">
        <v>21.5</v>
      </c>
      <c r="E30" s="673"/>
      <c r="F30" s="673"/>
      <c r="G30" s="673"/>
      <c r="H30" s="602">
        <f t="shared" si="3"/>
        <v>21.5</v>
      </c>
    </row>
    <row r="31" spans="1:9" customFormat="1" ht="13" x14ac:dyDescent="0.25">
      <c r="A31" s="180"/>
      <c r="B31" s="179"/>
      <c r="C31" s="177"/>
      <c r="D31" s="673"/>
      <c r="E31" s="673"/>
      <c r="F31" s="673"/>
      <c r="G31" s="673"/>
      <c r="H31" s="602">
        <f t="shared" si="3"/>
        <v>0</v>
      </c>
    </row>
    <row r="32" spans="1:9" customFormat="1" ht="13" x14ac:dyDescent="0.25">
      <c r="A32" s="180"/>
      <c r="B32" s="179"/>
      <c r="C32" s="177"/>
      <c r="D32" s="673"/>
      <c r="E32" s="673"/>
      <c r="F32" s="673"/>
      <c r="G32" s="673"/>
      <c r="H32" s="602"/>
    </row>
    <row r="33" spans="1:9" customFormat="1" ht="13" x14ac:dyDescent="0.25">
      <c r="A33" s="180"/>
      <c r="B33" s="642" t="s">
        <v>684</v>
      </c>
      <c r="C33" s="677" t="s">
        <v>907</v>
      </c>
      <c r="D33" s="678"/>
      <c r="E33" s="678"/>
      <c r="F33" s="678"/>
      <c r="G33" s="678"/>
      <c r="H33" s="674">
        <v>47</v>
      </c>
      <c r="I33">
        <v>47</v>
      </c>
    </row>
    <row r="34" spans="1:9" customFormat="1" ht="13" x14ac:dyDescent="0.25">
      <c r="A34" s="180"/>
      <c r="B34" s="179"/>
      <c r="C34" s="177"/>
      <c r="D34" s="673"/>
      <c r="E34" s="673"/>
      <c r="F34" s="673"/>
      <c r="G34" s="673"/>
      <c r="H34" s="675"/>
    </row>
    <row r="35" spans="1:9" ht="13" x14ac:dyDescent="0.25">
      <c r="A35" s="180">
        <f>A25+0.1</f>
        <v>4.5999999999999979</v>
      </c>
      <c r="B35" s="179" t="s">
        <v>344</v>
      </c>
      <c r="C35" s="177" t="s">
        <v>339</v>
      </c>
      <c r="D35" s="479"/>
      <c r="E35" s="479"/>
      <c r="F35" s="479"/>
      <c r="G35" s="479"/>
      <c r="H35" s="602"/>
    </row>
    <row r="36" spans="1:9" customFormat="1" ht="13" x14ac:dyDescent="0.25">
      <c r="A36" s="180"/>
      <c r="B36" s="179" t="s">
        <v>914</v>
      </c>
      <c r="C36" s="177" t="s">
        <v>339</v>
      </c>
      <c r="D36" s="673">
        <v>10</v>
      </c>
      <c r="E36" s="673"/>
      <c r="F36" s="673"/>
      <c r="G36" s="673"/>
      <c r="H36" s="602">
        <f t="shared" ref="H36:H40" si="4">PRODUCT(D36:G36)</f>
        <v>10</v>
      </c>
    </row>
    <row r="37" spans="1:9" customFormat="1" ht="13" x14ac:dyDescent="0.25">
      <c r="A37" s="180"/>
      <c r="B37" s="179" t="s">
        <v>915</v>
      </c>
      <c r="C37" s="177" t="s">
        <v>339</v>
      </c>
      <c r="D37" s="673">
        <v>3.5</v>
      </c>
      <c r="E37" s="673"/>
      <c r="F37" s="673"/>
      <c r="G37" s="673"/>
      <c r="H37" s="602">
        <f t="shared" si="4"/>
        <v>3.5</v>
      </c>
    </row>
    <row r="38" spans="1:9" customFormat="1" ht="13" x14ac:dyDescent="0.25">
      <c r="A38" s="180"/>
      <c r="B38" s="179" t="s">
        <v>916</v>
      </c>
      <c r="C38" s="177" t="s">
        <v>339</v>
      </c>
      <c r="D38" s="673">
        <v>8.9</v>
      </c>
      <c r="E38" s="673"/>
      <c r="F38" s="673"/>
      <c r="G38" s="673"/>
      <c r="H38" s="602">
        <f t="shared" si="4"/>
        <v>8.9</v>
      </c>
    </row>
    <row r="39" spans="1:9" customFormat="1" ht="13" x14ac:dyDescent="0.25">
      <c r="A39" s="180"/>
      <c r="B39" s="179" t="s">
        <v>917</v>
      </c>
      <c r="C39" s="177" t="s">
        <v>339</v>
      </c>
      <c r="D39" s="673">
        <v>19.5</v>
      </c>
      <c r="E39" s="673"/>
      <c r="F39" s="673"/>
      <c r="G39" s="673"/>
      <c r="H39" s="602">
        <f t="shared" si="4"/>
        <v>19.5</v>
      </c>
    </row>
    <row r="40" spans="1:9" customFormat="1" ht="13" x14ac:dyDescent="0.25">
      <c r="A40" s="180"/>
      <c r="B40" s="179"/>
      <c r="C40" s="177" t="s">
        <v>339</v>
      </c>
      <c r="D40" s="673"/>
      <c r="E40" s="673"/>
      <c r="F40" s="673"/>
      <c r="G40" s="673"/>
      <c r="H40" s="602">
        <f t="shared" si="4"/>
        <v>0</v>
      </c>
    </row>
    <row r="41" spans="1:9" customFormat="1" ht="13" x14ac:dyDescent="0.25">
      <c r="A41" s="180"/>
      <c r="B41" s="642" t="s">
        <v>684</v>
      </c>
      <c r="C41" s="677"/>
      <c r="D41" s="678"/>
      <c r="E41" s="678"/>
      <c r="F41" s="678"/>
      <c r="G41" s="678"/>
      <c r="H41" s="674">
        <v>40</v>
      </c>
      <c r="I41">
        <v>40</v>
      </c>
    </row>
    <row r="42" spans="1:9" x14ac:dyDescent="0.25">
      <c r="A42" s="180"/>
      <c r="B42" s="179"/>
      <c r="C42" s="177"/>
      <c r="D42" s="479"/>
      <c r="E42" s="479"/>
      <c r="F42" s="479"/>
      <c r="G42" s="479"/>
      <c r="H42" s="471"/>
    </row>
    <row r="43" spans="1:9" ht="48" x14ac:dyDescent="0.25">
      <c r="A43" s="180">
        <f>A8+1</f>
        <v>5</v>
      </c>
      <c r="B43" s="179" t="s">
        <v>345</v>
      </c>
      <c r="C43" s="177"/>
      <c r="D43" s="479"/>
      <c r="E43" s="479"/>
      <c r="F43" s="479"/>
      <c r="G43" s="479"/>
      <c r="H43" s="471"/>
    </row>
    <row r="44" spans="1:9" ht="13" x14ac:dyDescent="0.25">
      <c r="A44" s="180">
        <f>A43+0.1</f>
        <v>5.0999999999999996</v>
      </c>
      <c r="B44" s="179" t="s">
        <v>346</v>
      </c>
      <c r="C44" s="177" t="s">
        <v>347</v>
      </c>
      <c r="D44" s="479">
        <v>0</v>
      </c>
      <c r="E44" s="479"/>
      <c r="F44" s="479"/>
      <c r="G44" s="479"/>
      <c r="H44" s="602">
        <f t="shared" ref="H44:H47" si="5">PRODUCT(D44:G44)</f>
        <v>0</v>
      </c>
    </row>
    <row r="45" spans="1:9" ht="13" x14ac:dyDescent="0.25">
      <c r="A45" s="180">
        <f>A44+0.1</f>
        <v>5.1999999999999993</v>
      </c>
      <c r="B45" s="179" t="s">
        <v>348</v>
      </c>
      <c r="C45" s="177" t="s">
        <v>347</v>
      </c>
      <c r="D45" s="479">
        <v>0</v>
      </c>
      <c r="E45" s="479"/>
      <c r="F45" s="479"/>
      <c r="G45" s="479"/>
      <c r="H45" s="602">
        <f t="shared" si="5"/>
        <v>0</v>
      </c>
    </row>
    <row r="46" spans="1:9" ht="13" x14ac:dyDescent="0.25">
      <c r="A46" s="180">
        <f>A45+0.1</f>
        <v>5.2999999999999989</v>
      </c>
      <c r="B46" s="179" t="s">
        <v>349</v>
      </c>
      <c r="C46" s="177" t="s">
        <v>347</v>
      </c>
      <c r="D46" s="479">
        <v>0</v>
      </c>
      <c r="E46" s="479"/>
      <c r="F46" s="479"/>
      <c r="G46" s="479"/>
      <c r="H46" s="602">
        <f t="shared" si="5"/>
        <v>0</v>
      </c>
    </row>
    <row r="47" spans="1:9" ht="13" x14ac:dyDescent="0.25">
      <c r="A47" s="180">
        <f>A46+0.1</f>
        <v>5.3999999999999986</v>
      </c>
      <c r="B47" s="179" t="s">
        <v>350</v>
      </c>
      <c r="C47" s="177" t="s">
        <v>347</v>
      </c>
      <c r="D47" s="479">
        <v>0</v>
      </c>
      <c r="E47" s="479"/>
      <c r="F47" s="479"/>
      <c r="G47" s="479"/>
      <c r="H47" s="602">
        <f t="shared" si="5"/>
        <v>0</v>
      </c>
    </row>
    <row r="48" spans="1:9" x14ac:dyDescent="0.25">
      <c r="A48" s="180"/>
      <c r="B48" s="179"/>
      <c r="C48" s="177"/>
      <c r="D48" s="479"/>
      <c r="E48" s="479"/>
      <c r="F48" s="479"/>
      <c r="G48" s="479"/>
      <c r="H48" s="471"/>
    </row>
    <row r="49" spans="1:8" ht="36" x14ac:dyDescent="0.25">
      <c r="A49" s="180">
        <v>6</v>
      </c>
      <c r="B49" s="179" t="s">
        <v>351</v>
      </c>
      <c r="C49" s="177"/>
      <c r="D49" s="479"/>
      <c r="E49" s="479"/>
      <c r="F49" s="479"/>
      <c r="G49" s="479"/>
      <c r="H49" s="471"/>
    </row>
    <row r="50" spans="1:8" ht="13" x14ac:dyDescent="0.25">
      <c r="A50" s="180">
        <f>A49+0.1</f>
        <v>6.1</v>
      </c>
      <c r="B50" s="603" t="s">
        <v>352</v>
      </c>
      <c r="C50" s="177" t="s">
        <v>347</v>
      </c>
      <c r="D50" s="479">
        <v>0</v>
      </c>
      <c r="E50" s="479"/>
      <c r="F50" s="479"/>
      <c r="G50" s="479"/>
      <c r="H50" s="602">
        <f t="shared" ref="H50" si="6">PRODUCT(D50:G50)</f>
        <v>0</v>
      </c>
    </row>
    <row r="51" spans="1:8" ht="13" x14ac:dyDescent="0.25">
      <c r="A51" s="180">
        <f>A50+0.1</f>
        <v>6.1999999999999993</v>
      </c>
      <c r="B51" s="603" t="s">
        <v>353</v>
      </c>
      <c r="C51" s="177" t="s">
        <v>347</v>
      </c>
      <c r="D51" s="479"/>
      <c r="E51" s="479"/>
      <c r="F51" s="479"/>
      <c r="G51" s="479"/>
      <c r="H51" s="602"/>
    </row>
    <row r="52" spans="1:8" customFormat="1" ht="13" x14ac:dyDescent="0.25">
      <c r="A52" s="180"/>
      <c r="B52" s="179" t="s">
        <v>918</v>
      </c>
      <c r="C52" s="177" t="s">
        <v>339</v>
      </c>
      <c r="D52" s="673">
        <v>300</v>
      </c>
      <c r="E52" s="673"/>
      <c r="F52" s="673"/>
      <c r="G52" s="673"/>
      <c r="H52" s="602">
        <f t="shared" ref="H52:H53" si="7">PRODUCT(D52:G52)</f>
        <v>300</v>
      </c>
    </row>
    <row r="53" spans="1:8" customFormat="1" ht="13" x14ac:dyDescent="0.25">
      <c r="A53" s="180"/>
      <c r="B53" s="179"/>
      <c r="C53" s="177" t="s">
        <v>339</v>
      </c>
      <c r="D53" s="673"/>
      <c r="E53" s="673"/>
      <c r="F53" s="673"/>
      <c r="G53" s="673"/>
      <c r="H53" s="602">
        <f t="shared" si="7"/>
        <v>0</v>
      </c>
    </row>
    <row r="54" spans="1:8" customFormat="1" ht="13" x14ac:dyDescent="0.25">
      <c r="A54" s="180"/>
      <c r="B54" s="642" t="s">
        <v>684</v>
      </c>
      <c r="C54" s="677"/>
      <c r="D54" s="678"/>
      <c r="E54" s="678"/>
      <c r="F54" s="678"/>
      <c r="G54" s="678"/>
      <c r="H54" s="674">
        <f>SUM(H52:H53)</f>
        <v>300</v>
      </c>
    </row>
    <row r="55" spans="1:8" x14ac:dyDescent="0.25">
      <c r="A55" s="606"/>
      <c r="B55" s="603"/>
      <c r="C55" s="177"/>
      <c r="D55" s="479"/>
      <c r="E55" s="479"/>
      <c r="F55" s="479"/>
      <c r="G55" s="479"/>
      <c r="H55" s="471"/>
    </row>
    <row r="56" spans="1:8" ht="60" x14ac:dyDescent="0.25">
      <c r="A56" s="606">
        <v>7</v>
      </c>
      <c r="B56" s="179" t="s">
        <v>588</v>
      </c>
      <c r="C56" s="177"/>
      <c r="D56" s="479"/>
      <c r="E56" s="479"/>
      <c r="F56" s="479"/>
      <c r="G56" s="479"/>
      <c r="H56" s="471"/>
    </row>
    <row r="57" spans="1:8" ht="13" x14ac:dyDescent="0.25">
      <c r="A57" s="180">
        <f>A56+0.1</f>
        <v>7.1</v>
      </c>
      <c r="B57" s="603" t="s">
        <v>354</v>
      </c>
      <c r="C57" s="606" t="s">
        <v>355</v>
      </c>
      <c r="D57" s="673">
        <v>32</v>
      </c>
      <c r="E57" s="479"/>
      <c r="F57" s="479"/>
      <c r="G57" s="479"/>
      <c r="H57" s="674">
        <f t="shared" ref="H57:H58" si="8">PRODUCT(D57:G57)</f>
        <v>32</v>
      </c>
    </row>
    <row r="58" spans="1:8" ht="13" x14ac:dyDescent="0.25">
      <c r="A58" s="180">
        <f>A57+0.1</f>
        <v>7.1999999999999993</v>
      </c>
      <c r="B58" s="603" t="s">
        <v>356</v>
      </c>
      <c r="C58" s="606" t="s">
        <v>355</v>
      </c>
      <c r="D58" s="673">
        <v>28</v>
      </c>
      <c r="E58" s="479"/>
      <c r="F58" s="479"/>
      <c r="G58" s="479"/>
      <c r="H58" s="674">
        <f t="shared" si="8"/>
        <v>28</v>
      </c>
    </row>
    <row r="59" spans="1:8" x14ac:dyDescent="0.25">
      <c r="A59" s="180"/>
      <c r="B59" s="179"/>
      <c r="C59" s="177"/>
      <c r="D59" s="479"/>
      <c r="E59" s="479"/>
      <c r="F59" s="479"/>
      <c r="G59" s="479"/>
      <c r="H59" s="471"/>
    </row>
    <row r="60" spans="1:8" x14ac:dyDescent="0.25">
      <c r="A60" s="180">
        <v>8</v>
      </c>
      <c r="B60" s="178" t="s">
        <v>357</v>
      </c>
      <c r="C60" s="177"/>
      <c r="D60" s="479"/>
      <c r="E60" s="479"/>
      <c r="F60" s="479"/>
      <c r="G60" s="479"/>
      <c r="H60" s="471"/>
    </row>
    <row r="61" spans="1:8" ht="36" x14ac:dyDescent="0.25">
      <c r="A61" s="180" t="s">
        <v>311</v>
      </c>
      <c r="B61" s="179" t="s">
        <v>358</v>
      </c>
      <c r="C61" s="177"/>
      <c r="D61" s="479"/>
      <c r="E61" s="479"/>
      <c r="F61" s="479"/>
      <c r="G61" s="479"/>
      <c r="H61" s="471"/>
    </row>
    <row r="62" spans="1:8" ht="13" x14ac:dyDescent="0.25">
      <c r="A62" s="180">
        <f>A60+0.1</f>
        <v>8.1</v>
      </c>
      <c r="B62" s="179" t="s">
        <v>359</v>
      </c>
      <c r="C62" s="177" t="s">
        <v>111</v>
      </c>
      <c r="D62" s="679">
        <v>4</v>
      </c>
      <c r="E62" s="479"/>
      <c r="F62" s="479"/>
      <c r="G62" s="479"/>
      <c r="H62" s="674">
        <f t="shared" ref="H62:H67" si="9">PRODUCT(D62:G62)</f>
        <v>4</v>
      </c>
    </row>
    <row r="63" spans="1:8" ht="13" x14ac:dyDescent="0.25">
      <c r="A63" s="180">
        <f>A62+0.1</f>
        <v>8.1999999999999993</v>
      </c>
      <c r="B63" s="179" t="s">
        <v>340</v>
      </c>
      <c r="C63" s="177" t="s">
        <v>111</v>
      </c>
      <c r="D63" s="679"/>
      <c r="E63" s="479"/>
      <c r="F63" s="479"/>
      <c r="G63" s="479"/>
      <c r="H63" s="674">
        <f t="shared" si="9"/>
        <v>0</v>
      </c>
    </row>
    <row r="64" spans="1:8" ht="13" x14ac:dyDescent="0.25">
      <c r="A64" s="180">
        <f>A63+0.1</f>
        <v>8.2999999999999989</v>
      </c>
      <c r="B64" s="179" t="s">
        <v>360</v>
      </c>
      <c r="C64" s="177" t="s">
        <v>111</v>
      </c>
      <c r="D64" s="679">
        <v>4</v>
      </c>
      <c r="E64" s="479"/>
      <c r="F64" s="479"/>
      <c r="G64" s="479"/>
      <c r="H64" s="674">
        <f t="shared" si="9"/>
        <v>4</v>
      </c>
    </row>
    <row r="65" spans="1:8" ht="13" x14ac:dyDescent="0.25">
      <c r="A65" s="180">
        <f>A64+0.1</f>
        <v>8.3999999999999986</v>
      </c>
      <c r="B65" s="179" t="s">
        <v>342</v>
      </c>
      <c r="C65" s="177" t="s">
        <v>111</v>
      </c>
      <c r="D65" s="679">
        <v>8</v>
      </c>
      <c r="E65" s="479"/>
      <c r="F65" s="479"/>
      <c r="G65" s="479"/>
      <c r="H65" s="674">
        <f t="shared" si="9"/>
        <v>8</v>
      </c>
    </row>
    <row r="66" spans="1:8" ht="13" x14ac:dyDescent="0.25">
      <c r="A66" s="180">
        <f>A65+0.1</f>
        <v>8.4999999999999982</v>
      </c>
      <c r="B66" s="179" t="s">
        <v>361</v>
      </c>
      <c r="C66" s="177" t="s">
        <v>111</v>
      </c>
      <c r="D66" s="679">
        <v>4</v>
      </c>
      <c r="E66" s="479"/>
      <c r="F66" s="479"/>
      <c r="G66" s="479"/>
      <c r="H66" s="674">
        <f t="shared" si="9"/>
        <v>4</v>
      </c>
    </row>
    <row r="67" spans="1:8" ht="13" x14ac:dyDescent="0.25">
      <c r="A67" s="180">
        <f>A66+0.1</f>
        <v>8.5999999999999979</v>
      </c>
      <c r="B67" s="179" t="s">
        <v>344</v>
      </c>
      <c r="C67" s="177" t="s">
        <v>111</v>
      </c>
      <c r="D67" s="679">
        <v>4</v>
      </c>
      <c r="E67" s="479"/>
      <c r="F67" s="479"/>
      <c r="G67" s="479"/>
      <c r="H67" s="674">
        <f t="shared" si="9"/>
        <v>4</v>
      </c>
    </row>
    <row r="68" spans="1:8" x14ac:dyDescent="0.25">
      <c r="A68" s="180"/>
      <c r="B68" s="179"/>
      <c r="C68" s="177"/>
      <c r="D68" s="479"/>
      <c r="E68" s="479"/>
      <c r="F68" s="479"/>
      <c r="G68" s="479"/>
      <c r="H68" s="471"/>
    </row>
    <row r="69" spans="1:8" x14ac:dyDescent="0.25">
      <c r="A69" s="180">
        <v>9</v>
      </c>
      <c r="B69" s="178" t="s">
        <v>362</v>
      </c>
      <c r="C69" s="177"/>
      <c r="D69" s="479"/>
      <c r="E69" s="479"/>
      <c r="F69" s="479"/>
      <c r="G69" s="479"/>
      <c r="H69" s="471"/>
    </row>
    <row r="70" spans="1:8" x14ac:dyDescent="0.25">
      <c r="A70" s="180">
        <v>9.1</v>
      </c>
      <c r="B70" s="178" t="s">
        <v>363</v>
      </c>
      <c r="C70" s="177"/>
      <c r="D70" s="479"/>
      <c r="E70" s="479"/>
      <c r="F70" s="479"/>
      <c r="G70" s="479"/>
      <c r="H70" s="471"/>
    </row>
    <row r="71" spans="1:8" x14ac:dyDescent="0.25">
      <c r="A71" s="180"/>
      <c r="B71" s="179" t="s">
        <v>364</v>
      </c>
      <c r="C71" s="177"/>
      <c r="D71" s="479"/>
      <c r="E71" s="479"/>
      <c r="F71" s="479"/>
      <c r="G71" s="479"/>
      <c r="H71" s="471"/>
    </row>
    <row r="72" spans="1:8" x14ac:dyDescent="0.25">
      <c r="A72" s="180"/>
      <c r="B72" s="179" t="s">
        <v>365</v>
      </c>
      <c r="C72" s="170"/>
      <c r="D72" s="479"/>
      <c r="E72" s="479"/>
      <c r="F72" s="479"/>
      <c r="G72" s="479"/>
      <c r="H72" s="471"/>
    </row>
    <row r="73" spans="1:8" x14ac:dyDescent="0.25">
      <c r="A73" s="180"/>
      <c r="B73" s="179" t="s">
        <v>366</v>
      </c>
      <c r="C73" s="177"/>
      <c r="D73" s="479"/>
      <c r="E73" s="479"/>
      <c r="F73" s="479"/>
      <c r="G73" s="479"/>
      <c r="H73" s="471"/>
    </row>
    <row r="74" spans="1:8" x14ac:dyDescent="0.25">
      <c r="A74" s="180"/>
      <c r="B74" s="179" t="s">
        <v>367</v>
      </c>
      <c r="C74" s="177"/>
      <c r="D74" s="479"/>
      <c r="E74" s="479"/>
      <c r="F74" s="479"/>
      <c r="G74" s="479"/>
      <c r="H74" s="471"/>
    </row>
    <row r="75" spans="1:8" ht="13" x14ac:dyDescent="0.25">
      <c r="A75" s="180"/>
      <c r="B75" s="178" t="s">
        <v>368</v>
      </c>
      <c r="C75" s="177" t="s">
        <v>334</v>
      </c>
      <c r="D75" s="479">
        <v>2</v>
      </c>
      <c r="E75" s="479"/>
      <c r="F75" s="479"/>
      <c r="G75" s="479"/>
      <c r="H75" s="674">
        <f t="shared" ref="H75" si="10">PRODUCT(D75:G75)</f>
        <v>2</v>
      </c>
    </row>
    <row r="76" spans="1:8" x14ac:dyDescent="0.25">
      <c r="A76" s="180"/>
      <c r="B76" s="179"/>
      <c r="C76" s="170"/>
      <c r="D76" s="479"/>
      <c r="E76" s="479"/>
      <c r="F76" s="479"/>
      <c r="G76" s="479"/>
      <c r="H76" s="471"/>
    </row>
    <row r="77" spans="1:8" x14ac:dyDescent="0.25">
      <c r="A77" s="180">
        <v>9.1999999999999993</v>
      </c>
      <c r="B77" s="178" t="s">
        <v>369</v>
      </c>
      <c r="C77" s="177"/>
      <c r="D77" s="479"/>
      <c r="E77" s="479"/>
      <c r="F77" s="479"/>
      <c r="G77" s="479"/>
      <c r="H77" s="471"/>
    </row>
    <row r="78" spans="1:8" x14ac:dyDescent="0.25">
      <c r="A78" s="180"/>
      <c r="B78" s="179" t="s">
        <v>364</v>
      </c>
      <c r="C78" s="177"/>
      <c r="D78" s="479"/>
      <c r="E78" s="479"/>
      <c r="F78" s="479"/>
      <c r="G78" s="479"/>
      <c r="H78" s="471"/>
    </row>
    <row r="79" spans="1:8" x14ac:dyDescent="0.25">
      <c r="A79" s="180"/>
      <c r="B79" s="179" t="s">
        <v>370</v>
      </c>
      <c r="C79" s="170"/>
      <c r="D79" s="479"/>
      <c r="E79" s="479"/>
      <c r="F79" s="479"/>
      <c r="G79" s="479"/>
      <c r="H79" s="471"/>
    </row>
    <row r="80" spans="1:8" x14ac:dyDescent="0.25">
      <c r="A80" s="180"/>
      <c r="B80" s="179" t="s">
        <v>366</v>
      </c>
      <c r="C80" s="177"/>
      <c r="D80" s="479"/>
      <c r="E80" s="479"/>
      <c r="F80" s="479"/>
      <c r="G80" s="479"/>
      <c r="H80" s="471"/>
    </row>
    <row r="81" spans="1:8" x14ac:dyDescent="0.25">
      <c r="A81" s="180"/>
      <c r="B81" s="179" t="s">
        <v>367</v>
      </c>
      <c r="C81" s="177"/>
      <c r="D81" s="479"/>
      <c r="E81" s="479"/>
      <c r="F81" s="479"/>
      <c r="G81" s="479"/>
      <c r="H81" s="471"/>
    </row>
    <row r="82" spans="1:8" ht="13" x14ac:dyDescent="0.25">
      <c r="A82" s="180"/>
      <c r="B82" s="178" t="s">
        <v>371</v>
      </c>
      <c r="C82" s="177" t="s">
        <v>334</v>
      </c>
      <c r="D82" s="479"/>
      <c r="E82" s="479"/>
      <c r="F82" s="479"/>
      <c r="G82" s="479"/>
      <c r="H82" s="674">
        <f t="shared" ref="H82" si="11">PRODUCT(D82:G82)</f>
        <v>0</v>
      </c>
    </row>
    <row r="83" spans="1:8" x14ac:dyDescent="0.25">
      <c r="A83" s="180"/>
      <c r="B83" s="178"/>
      <c r="C83" s="177"/>
      <c r="D83" s="479"/>
      <c r="E83" s="479"/>
      <c r="F83" s="479"/>
      <c r="G83" s="479"/>
      <c r="H83" s="471"/>
    </row>
    <row r="84" spans="1:8" x14ac:dyDescent="0.25">
      <c r="A84" s="180">
        <v>10</v>
      </c>
      <c r="B84" s="179" t="s">
        <v>806</v>
      </c>
      <c r="C84" s="170"/>
      <c r="D84" s="479"/>
      <c r="E84" s="479"/>
      <c r="F84" s="479"/>
      <c r="G84" s="479"/>
      <c r="H84" s="471"/>
    </row>
    <row r="85" spans="1:8" x14ac:dyDescent="0.25">
      <c r="A85" s="180">
        <v>10.1</v>
      </c>
      <c r="B85" s="178" t="s">
        <v>373</v>
      </c>
      <c r="C85" s="177"/>
      <c r="D85" s="479"/>
      <c r="E85" s="479"/>
      <c r="F85" s="479"/>
      <c r="G85" s="479"/>
      <c r="H85" s="471"/>
    </row>
    <row r="86" spans="1:8" x14ac:dyDescent="0.25">
      <c r="A86" s="180"/>
      <c r="B86" s="179" t="s">
        <v>364</v>
      </c>
      <c r="C86" s="177"/>
      <c r="D86" s="479"/>
      <c r="E86" s="479"/>
      <c r="F86" s="479"/>
      <c r="G86" s="479"/>
      <c r="H86" s="471"/>
    </row>
    <row r="87" spans="1:8" x14ac:dyDescent="0.25">
      <c r="A87" s="180"/>
      <c r="B87" s="179" t="s">
        <v>374</v>
      </c>
      <c r="C87" s="170"/>
      <c r="D87" s="479"/>
      <c r="E87" s="479"/>
      <c r="F87" s="479"/>
      <c r="G87" s="479"/>
      <c r="H87" s="471"/>
    </row>
    <row r="88" spans="1:8" x14ac:dyDescent="0.25">
      <c r="A88" s="180"/>
      <c r="B88" s="179" t="s">
        <v>366</v>
      </c>
      <c r="C88" s="177"/>
      <c r="D88" s="479"/>
      <c r="E88" s="479"/>
      <c r="F88" s="479"/>
      <c r="G88" s="479"/>
      <c r="H88" s="471"/>
    </row>
    <row r="89" spans="1:8" x14ac:dyDescent="0.25">
      <c r="A89" s="180"/>
      <c r="B89" s="179" t="s">
        <v>375</v>
      </c>
      <c r="C89" s="177"/>
      <c r="D89" s="479"/>
      <c r="E89" s="479"/>
      <c r="F89" s="479"/>
      <c r="G89" s="479"/>
      <c r="H89" s="471"/>
    </row>
    <row r="90" spans="1:8" ht="13" x14ac:dyDescent="0.25">
      <c r="A90" s="180"/>
      <c r="B90" s="178" t="s">
        <v>376</v>
      </c>
      <c r="C90" s="177" t="s">
        <v>334</v>
      </c>
      <c r="D90" s="479">
        <v>1</v>
      </c>
      <c r="E90" s="479"/>
      <c r="F90" s="479"/>
      <c r="G90" s="479"/>
      <c r="H90" s="674">
        <f t="shared" ref="H90" si="12">PRODUCT(D90:G90)</f>
        <v>1</v>
      </c>
    </row>
    <row r="91" spans="1:8" x14ac:dyDescent="0.25">
      <c r="A91" s="180"/>
      <c r="B91" s="178"/>
      <c r="C91" s="177"/>
      <c r="D91" s="479"/>
      <c r="E91" s="479"/>
      <c r="F91" s="479"/>
      <c r="G91" s="479"/>
      <c r="H91" s="471"/>
    </row>
    <row r="92" spans="1:8" x14ac:dyDescent="0.25">
      <c r="A92" s="180">
        <v>12</v>
      </c>
      <c r="B92" s="178" t="s">
        <v>377</v>
      </c>
      <c r="C92" s="170"/>
      <c r="D92" s="479"/>
      <c r="E92" s="479"/>
      <c r="F92" s="479"/>
      <c r="G92" s="479"/>
      <c r="H92" s="471"/>
    </row>
    <row r="93" spans="1:8" ht="13" x14ac:dyDescent="0.25">
      <c r="A93" s="180">
        <f>A92+0.1</f>
        <v>12.1</v>
      </c>
      <c r="B93" s="179" t="s">
        <v>378</v>
      </c>
      <c r="C93" s="177" t="s">
        <v>339</v>
      </c>
      <c r="D93" s="479">
        <v>90</v>
      </c>
      <c r="E93" s="479"/>
      <c r="F93" s="479"/>
      <c r="G93" s="479"/>
      <c r="H93" s="674">
        <f t="shared" ref="H93" si="13">PRODUCT(D93:G93)</f>
        <v>90</v>
      </c>
    </row>
    <row r="94" spans="1:8" x14ac:dyDescent="0.25">
      <c r="A94" s="180"/>
      <c r="B94" s="179"/>
      <c r="C94" s="177"/>
      <c r="D94" s="479"/>
      <c r="E94" s="479"/>
      <c r="F94" s="479"/>
      <c r="G94" s="479"/>
      <c r="H94" s="471"/>
    </row>
    <row r="95" spans="1:8" ht="13" x14ac:dyDescent="0.3">
      <c r="A95" s="180">
        <f>A93+0.1</f>
        <v>12.2</v>
      </c>
      <c r="B95" s="178" t="s">
        <v>379</v>
      </c>
      <c r="C95" s="171"/>
      <c r="D95" s="479"/>
      <c r="E95" s="479"/>
      <c r="F95" s="479"/>
      <c r="G95" s="479"/>
      <c r="H95" s="471"/>
    </row>
    <row r="96" spans="1:8" ht="13" x14ac:dyDescent="0.25">
      <c r="A96" s="180" t="s">
        <v>380</v>
      </c>
      <c r="B96" s="179" t="s">
        <v>381</v>
      </c>
      <c r="C96" s="177" t="s">
        <v>339</v>
      </c>
      <c r="D96" s="673">
        <v>220</v>
      </c>
      <c r="E96" s="479"/>
      <c r="F96" s="479"/>
      <c r="G96" s="479"/>
      <c r="H96" s="674">
        <f t="shared" ref="H96" si="14">PRODUCT(D96:G96)</f>
        <v>220</v>
      </c>
    </row>
    <row r="97" spans="1:8" x14ac:dyDescent="0.25">
      <c r="A97" s="180"/>
      <c r="B97" s="179"/>
      <c r="C97" s="170"/>
      <c r="D97" s="479"/>
      <c r="E97" s="479"/>
      <c r="F97" s="479"/>
      <c r="G97" s="479"/>
      <c r="H97" s="471"/>
    </row>
    <row r="98" spans="1:8" x14ac:dyDescent="0.25">
      <c r="A98" s="180">
        <v>13</v>
      </c>
      <c r="B98" s="178" t="s">
        <v>382</v>
      </c>
      <c r="C98" s="177"/>
      <c r="D98" s="479"/>
      <c r="E98" s="479"/>
      <c r="F98" s="479"/>
      <c r="G98" s="479"/>
      <c r="H98" s="471"/>
    </row>
    <row r="99" spans="1:8" x14ac:dyDescent="0.25">
      <c r="A99" s="180"/>
      <c r="B99" s="178" t="s">
        <v>383</v>
      </c>
      <c r="C99" s="177"/>
      <c r="D99" s="479"/>
      <c r="E99" s="479"/>
      <c r="F99" s="479"/>
      <c r="G99" s="479"/>
      <c r="H99" s="471"/>
    </row>
    <row r="100" spans="1:8" ht="84" x14ac:dyDescent="0.25">
      <c r="A100" s="180">
        <f>A98+0.1</f>
        <v>13.1</v>
      </c>
      <c r="B100" s="179" t="s">
        <v>591</v>
      </c>
      <c r="C100" s="177"/>
      <c r="D100" s="479"/>
      <c r="E100" s="479"/>
      <c r="F100" s="479"/>
      <c r="G100" s="479"/>
      <c r="H100" s="471"/>
    </row>
    <row r="101" spans="1:8" ht="13" x14ac:dyDescent="0.25">
      <c r="A101" s="180" t="s">
        <v>384</v>
      </c>
      <c r="B101" s="179" t="s">
        <v>385</v>
      </c>
      <c r="C101" s="177" t="s">
        <v>111</v>
      </c>
      <c r="D101" s="673">
        <v>19</v>
      </c>
      <c r="E101" s="479"/>
      <c r="F101" s="479"/>
      <c r="G101" s="479"/>
      <c r="H101" s="674">
        <f t="shared" ref="H101:H102" si="15">PRODUCT(D101:G101)</f>
        <v>19</v>
      </c>
    </row>
    <row r="102" spans="1:8" ht="13" x14ac:dyDescent="0.25">
      <c r="A102" s="180" t="s">
        <v>386</v>
      </c>
      <c r="B102" s="179" t="s">
        <v>387</v>
      </c>
      <c r="C102" s="177" t="s">
        <v>111</v>
      </c>
      <c r="D102" s="673">
        <v>26</v>
      </c>
      <c r="E102" s="479"/>
      <c r="F102" s="479"/>
      <c r="G102" s="479"/>
      <c r="H102" s="674">
        <f t="shared" si="15"/>
        <v>26</v>
      </c>
    </row>
    <row r="103" spans="1:8" x14ac:dyDescent="0.25">
      <c r="A103" s="180"/>
      <c r="B103" s="179"/>
      <c r="C103" s="177"/>
      <c r="D103" s="479"/>
      <c r="E103" s="479"/>
      <c r="F103" s="479"/>
      <c r="G103" s="479"/>
      <c r="H103" s="471"/>
    </row>
    <row r="104" spans="1:8" ht="84" x14ac:dyDescent="0.25">
      <c r="A104" s="180">
        <v>13.2</v>
      </c>
      <c r="B104" s="179" t="s">
        <v>592</v>
      </c>
      <c r="C104" s="177"/>
      <c r="D104" s="479"/>
      <c r="E104" s="479"/>
      <c r="F104" s="479"/>
      <c r="G104" s="479"/>
      <c r="H104" s="471"/>
    </row>
    <row r="105" spans="1:8" ht="13" x14ac:dyDescent="0.25">
      <c r="A105" s="180" t="s">
        <v>388</v>
      </c>
      <c r="B105" s="179" t="s">
        <v>389</v>
      </c>
      <c r="C105" s="177" t="s">
        <v>111</v>
      </c>
      <c r="D105" s="673">
        <v>12</v>
      </c>
      <c r="E105" s="479"/>
      <c r="F105" s="479"/>
      <c r="G105" s="479"/>
      <c r="H105" s="674">
        <f t="shared" ref="H105:H124" si="16">PRODUCT(D105:G105)</f>
        <v>12</v>
      </c>
    </row>
    <row r="106" spans="1:8" ht="13" x14ac:dyDescent="0.25">
      <c r="A106" s="180" t="s">
        <v>390</v>
      </c>
      <c r="B106" s="179" t="s">
        <v>391</v>
      </c>
      <c r="C106" s="177" t="s">
        <v>111</v>
      </c>
      <c r="D106" s="673">
        <v>19</v>
      </c>
      <c r="E106" s="479"/>
      <c r="F106" s="479"/>
      <c r="G106" s="479"/>
      <c r="H106" s="674">
        <f t="shared" si="16"/>
        <v>19</v>
      </c>
    </row>
    <row r="107" spans="1:8" ht="13" x14ac:dyDescent="0.25">
      <c r="A107" s="180" t="s">
        <v>392</v>
      </c>
      <c r="B107" s="179" t="s">
        <v>393</v>
      </c>
      <c r="C107" s="177" t="s">
        <v>111</v>
      </c>
      <c r="D107" s="673">
        <v>6</v>
      </c>
      <c r="E107" s="479"/>
      <c r="F107" s="479"/>
      <c r="G107" s="479"/>
      <c r="H107" s="674">
        <f t="shared" si="16"/>
        <v>6</v>
      </c>
    </row>
    <row r="108" spans="1:8" ht="13" x14ac:dyDescent="0.25">
      <c r="A108" s="180" t="s">
        <v>394</v>
      </c>
      <c r="B108" s="179" t="s">
        <v>387</v>
      </c>
      <c r="C108" s="177" t="s">
        <v>111</v>
      </c>
      <c r="D108" s="673">
        <v>26</v>
      </c>
      <c r="E108" s="479"/>
      <c r="F108" s="479"/>
      <c r="G108" s="479"/>
      <c r="H108" s="674">
        <f t="shared" si="16"/>
        <v>26</v>
      </c>
    </row>
    <row r="109" spans="1:8" x14ac:dyDescent="0.25">
      <c r="A109" s="180"/>
      <c r="B109" s="179"/>
      <c r="C109" s="177"/>
      <c r="D109" s="479"/>
      <c r="E109" s="479"/>
      <c r="F109" s="479"/>
      <c r="G109" s="479"/>
      <c r="H109" s="471"/>
    </row>
    <row r="110" spans="1:8" ht="72" x14ac:dyDescent="0.25">
      <c r="A110" s="180">
        <f>A104+0.1</f>
        <v>13.299999999999999</v>
      </c>
      <c r="B110" s="179" t="s">
        <v>395</v>
      </c>
      <c r="C110" s="177" t="s">
        <v>396</v>
      </c>
      <c r="D110" s="673">
        <v>32</v>
      </c>
      <c r="E110" s="479"/>
      <c r="F110" s="479"/>
      <c r="G110" s="479"/>
      <c r="H110" s="674">
        <f t="shared" si="16"/>
        <v>32</v>
      </c>
    </row>
    <row r="111" spans="1:8" x14ac:dyDescent="0.25">
      <c r="A111" s="180"/>
      <c r="B111" s="179"/>
      <c r="C111" s="177"/>
      <c r="D111" s="673"/>
      <c r="E111" s="479"/>
      <c r="F111" s="479"/>
      <c r="G111" s="479"/>
      <c r="H111" s="471"/>
    </row>
    <row r="112" spans="1:8" ht="72" x14ac:dyDescent="0.25">
      <c r="A112" s="180">
        <f>A110+0.1</f>
        <v>13.399999999999999</v>
      </c>
      <c r="B112" s="179" t="s">
        <v>593</v>
      </c>
      <c r="C112" s="177" t="s">
        <v>396</v>
      </c>
      <c r="D112" s="673">
        <v>10</v>
      </c>
      <c r="E112" s="479"/>
      <c r="F112" s="479"/>
      <c r="G112" s="479"/>
      <c r="H112" s="674">
        <f t="shared" si="16"/>
        <v>10</v>
      </c>
    </row>
    <row r="113" spans="1:8" x14ac:dyDescent="0.25">
      <c r="A113" s="180"/>
      <c r="B113" s="179"/>
      <c r="C113" s="177"/>
      <c r="D113" s="479"/>
      <c r="E113" s="479"/>
      <c r="F113" s="479"/>
      <c r="G113" s="479"/>
      <c r="H113" s="471"/>
    </row>
    <row r="114" spans="1:8" ht="72" x14ac:dyDescent="0.25">
      <c r="A114" s="180">
        <f>A112+0.1</f>
        <v>13.499999999999998</v>
      </c>
      <c r="B114" s="179" t="s">
        <v>594</v>
      </c>
      <c r="C114" s="177" t="s">
        <v>396</v>
      </c>
      <c r="D114" s="479"/>
      <c r="E114" s="479"/>
      <c r="F114" s="479"/>
      <c r="G114" s="479"/>
      <c r="H114" s="674">
        <f t="shared" si="16"/>
        <v>0</v>
      </c>
    </row>
    <row r="115" spans="1:8" x14ac:dyDescent="0.25">
      <c r="A115" s="180"/>
      <c r="B115" s="179"/>
      <c r="C115" s="177"/>
      <c r="D115" s="479"/>
      <c r="E115" s="479"/>
      <c r="F115" s="479"/>
      <c r="G115" s="479"/>
      <c r="H115" s="471"/>
    </row>
    <row r="116" spans="1:8" ht="60" x14ac:dyDescent="0.25">
      <c r="A116" s="180">
        <f>A114+0.1</f>
        <v>13.599999999999998</v>
      </c>
      <c r="B116" s="179" t="s">
        <v>397</v>
      </c>
      <c r="C116" s="177" t="s">
        <v>396</v>
      </c>
      <c r="D116" s="673">
        <v>22</v>
      </c>
      <c r="E116" s="479"/>
      <c r="F116" s="479"/>
      <c r="G116" s="479"/>
      <c r="H116" s="674">
        <f t="shared" si="16"/>
        <v>22</v>
      </c>
    </row>
    <row r="117" spans="1:8" x14ac:dyDescent="0.25">
      <c r="A117" s="180"/>
      <c r="B117" s="179"/>
      <c r="C117" s="177"/>
      <c r="D117" s="673"/>
      <c r="E117" s="479"/>
      <c r="F117" s="479"/>
      <c r="G117" s="479"/>
      <c r="H117" s="471"/>
    </row>
    <row r="118" spans="1:8" ht="60" x14ac:dyDescent="0.25">
      <c r="A118" s="180">
        <f>A116+0.1</f>
        <v>13.699999999999998</v>
      </c>
      <c r="B118" s="179" t="s">
        <v>595</v>
      </c>
      <c r="C118" s="177" t="s">
        <v>398</v>
      </c>
      <c r="D118" s="673">
        <v>14</v>
      </c>
      <c r="E118" s="479"/>
      <c r="F118" s="479"/>
      <c r="G118" s="479"/>
      <c r="H118" s="674">
        <f t="shared" si="16"/>
        <v>14</v>
      </c>
    </row>
    <row r="119" spans="1:8" x14ac:dyDescent="0.25">
      <c r="A119" s="180"/>
      <c r="B119" s="179"/>
      <c r="C119" s="177"/>
      <c r="D119" s="673"/>
      <c r="E119" s="479"/>
      <c r="F119" s="479"/>
      <c r="G119" s="479"/>
      <c r="H119" s="471"/>
    </row>
    <row r="120" spans="1:8" ht="60" x14ac:dyDescent="0.25">
      <c r="A120" s="180">
        <f>A118+0.1</f>
        <v>13.799999999999997</v>
      </c>
      <c r="B120" s="179" t="s">
        <v>596</v>
      </c>
      <c r="C120" s="177" t="s">
        <v>398</v>
      </c>
      <c r="D120" s="673">
        <v>6</v>
      </c>
      <c r="E120" s="479"/>
      <c r="F120" s="479"/>
      <c r="G120" s="479"/>
      <c r="H120" s="674">
        <f t="shared" si="16"/>
        <v>6</v>
      </c>
    </row>
    <row r="121" spans="1:8" x14ac:dyDescent="0.25">
      <c r="A121" s="180"/>
      <c r="B121" s="179"/>
      <c r="C121" s="177"/>
      <c r="D121" s="479"/>
      <c r="E121" s="479"/>
      <c r="F121" s="479"/>
      <c r="G121" s="479"/>
      <c r="H121" s="471"/>
    </row>
    <row r="122" spans="1:8" ht="60" x14ac:dyDescent="0.25">
      <c r="A122" s="180">
        <f>A120+0.1</f>
        <v>13.899999999999997</v>
      </c>
      <c r="B122" s="179" t="s">
        <v>597</v>
      </c>
      <c r="C122" s="177" t="s">
        <v>398</v>
      </c>
      <c r="D122" s="479">
        <v>2</v>
      </c>
      <c r="E122" s="479"/>
      <c r="F122" s="479"/>
      <c r="G122" s="479"/>
      <c r="H122" s="674">
        <f t="shared" si="16"/>
        <v>2</v>
      </c>
    </row>
    <row r="123" spans="1:8" x14ac:dyDescent="0.25">
      <c r="A123" s="180"/>
      <c r="B123" s="179"/>
      <c r="C123" s="177"/>
      <c r="D123" s="479"/>
      <c r="E123" s="479"/>
      <c r="F123" s="479"/>
      <c r="G123" s="479"/>
      <c r="H123" s="471"/>
    </row>
    <row r="124" spans="1:8" ht="60" x14ac:dyDescent="0.25">
      <c r="A124" s="192">
        <v>13.1</v>
      </c>
      <c r="B124" s="179" t="s">
        <v>598</v>
      </c>
      <c r="C124" s="177" t="s">
        <v>398</v>
      </c>
      <c r="D124" s="479">
        <v>1</v>
      </c>
      <c r="E124" s="479"/>
      <c r="F124" s="479"/>
      <c r="G124" s="479"/>
      <c r="H124" s="674">
        <f t="shared" si="16"/>
        <v>1</v>
      </c>
    </row>
    <row r="125" spans="1:8" x14ac:dyDescent="0.25">
      <c r="A125" s="180"/>
      <c r="B125" s="179"/>
      <c r="C125" s="177"/>
      <c r="D125" s="479"/>
      <c r="E125" s="479"/>
      <c r="F125" s="479"/>
      <c r="G125" s="479"/>
      <c r="H125" s="471"/>
    </row>
    <row r="126" spans="1:8" ht="60" x14ac:dyDescent="0.25">
      <c r="A126" s="192">
        <v>13.11</v>
      </c>
      <c r="B126" s="179" t="s">
        <v>599</v>
      </c>
      <c r="C126" s="177" t="s">
        <v>398</v>
      </c>
      <c r="D126" s="479"/>
      <c r="E126" s="479"/>
      <c r="F126" s="479"/>
      <c r="G126" s="479"/>
      <c r="H126" s="602"/>
    </row>
    <row r="127" spans="1:8" x14ac:dyDescent="0.25">
      <c r="A127" s="180"/>
      <c r="B127" s="179"/>
      <c r="C127" s="177"/>
      <c r="D127" s="479"/>
      <c r="E127" s="479"/>
      <c r="F127" s="479"/>
      <c r="G127" s="479"/>
      <c r="H127" s="471"/>
    </row>
    <row r="128" spans="1:8" ht="48" x14ac:dyDescent="0.25">
      <c r="A128" s="192">
        <v>13.12</v>
      </c>
      <c r="B128" s="179" t="s">
        <v>600</v>
      </c>
      <c r="C128" s="177" t="s">
        <v>398</v>
      </c>
      <c r="D128" s="479"/>
      <c r="E128" s="479"/>
      <c r="F128" s="479"/>
      <c r="G128" s="479"/>
      <c r="H128" s="602"/>
    </row>
    <row r="129" spans="1:8" x14ac:dyDescent="0.25">
      <c r="A129" s="180"/>
      <c r="B129" s="179" t="s">
        <v>601</v>
      </c>
      <c r="C129" s="177" t="s">
        <v>398</v>
      </c>
      <c r="D129" s="479"/>
      <c r="E129" s="479"/>
      <c r="F129" s="479"/>
      <c r="G129" s="479"/>
      <c r="H129" s="471"/>
    </row>
    <row r="130" spans="1:8" x14ac:dyDescent="0.25">
      <c r="A130" s="180"/>
      <c r="B130" s="179"/>
      <c r="C130" s="177"/>
      <c r="D130" s="479"/>
      <c r="E130" s="479"/>
      <c r="F130" s="479"/>
      <c r="G130" s="479"/>
      <c r="H130" s="471"/>
    </row>
    <row r="131" spans="1:8" ht="48" x14ac:dyDescent="0.25">
      <c r="A131" s="192">
        <v>13.13</v>
      </c>
      <c r="B131" s="179" t="s">
        <v>602</v>
      </c>
      <c r="C131" s="177" t="s">
        <v>398</v>
      </c>
      <c r="D131" s="673">
        <v>5</v>
      </c>
      <c r="E131" s="479"/>
      <c r="F131" s="479"/>
      <c r="G131" s="479"/>
      <c r="H131" s="674">
        <f t="shared" ref="H131" si="17">PRODUCT(D131:G131)</f>
        <v>5</v>
      </c>
    </row>
    <row r="132" spans="1:8" ht="13" x14ac:dyDescent="0.25">
      <c r="A132" s="180">
        <v>13.14</v>
      </c>
      <c r="B132" s="179" t="s">
        <v>603</v>
      </c>
      <c r="C132" s="177" t="s">
        <v>398</v>
      </c>
      <c r="D132" s="673">
        <v>0</v>
      </c>
      <c r="E132" s="479"/>
      <c r="F132" s="479"/>
      <c r="G132" s="479"/>
      <c r="H132" s="602"/>
    </row>
    <row r="133" spans="1:8" x14ac:dyDescent="0.25">
      <c r="A133" s="180"/>
      <c r="B133" s="179"/>
      <c r="C133" s="177"/>
      <c r="D133" s="673"/>
      <c r="E133" s="479"/>
      <c r="F133" s="479"/>
      <c r="G133" s="479"/>
      <c r="H133" s="471"/>
    </row>
    <row r="134" spans="1:8" ht="13" x14ac:dyDescent="0.25">
      <c r="A134" s="180">
        <v>13.15</v>
      </c>
      <c r="B134" s="179" t="s">
        <v>399</v>
      </c>
      <c r="C134" s="177" t="s">
        <v>396</v>
      </c>
      <c r="D134" s="673">
        <v>26</v>
      </c>
      <c r="E134" s="479"/>
      <c r="F134" s="479"/>
      <c r="G134" s="479"/>
      <c r="H134" s="674">
        <f t="shared" ref="H134" si="18">PRODUCT(D134:G134)</f>
        <v>26</v>
      </c>
    </row>
    <row r="135" spans="1:8" x14ac:dyDescent="0.25">
      <c r="A135" s="180"/>
      <c r="B135" s="179"/>
      <c r="C135" s="177"/>
      <c r="D135" s="479"/>
      <c r="E135" s="479"/>
      <c r="F135" s="479"/>
      <c r="G135" s="479"/>
      <c r="H135" s="471"/>
    </row>
    <row r="136" spans="1:8" ht="13" x14ac:dyDescent="0.25">
      <c r="A136" s="180">
        <v>13.16</v>
      </c>
      <c r="B136" s="179" t="s">
        <v>400</v>
      </c>
      <c r="C136" s="177" t="s">
        <v>396</v>
      </c>
      <c r="D136" s="479"/>
      <c r="E136" s="479"/>
      <c r="F136" s="479"/>
      <c r="G136" s="479"/>
      <c r="H136" s="602"/>
    </row>
    <row r="137" spans="1:8" x14ac:dyDescent="0.25">
      <c r="A137" s="180"/>
      <c r="B137" s="179"/>
      <c r="C137" s="177"/>
      <c r="D137" s="479"/>
      <c r="E137" s="479"/>
      <c r="F137" s="479"/>
      <c r="G137" s="479"/>
      <c r="H137" s="471"/>
    </row>
    <row r="138" spans="1:8" x14ac:dyDescent="0.25">
      <c r="A138" s="180">
        <v>14</v>
      </c>
      <c r="B138" s="178" t="s">
        <v>401</v>
      </c>
      <c r="C138" s="177"/>
      <c r="D138" s="479"/>
      <c r="E138" s="479"/>
      <c r="F138" s="479"/>
      <c r="G138" s="479"/>
      <c r="H138" s="471"/>
    </row>
    <row r="139" spans="1:8" ht="24" x14ac:dyDescent="0.25">
      <c r="A139" s="180"/>
      <c r="B139" s="179" t="s">
        <v>604</v>
      </c>
      <c r="C139" s="177"/>
      <c r="D139" s="479"/>
      <c r="E139" s="479"/>
      <c r="F139" s="479"/>
      <c r="G139" s="479"/>
      <c r="H139" s="471"/>
    </row>
    <row r="140" spans="1:8" ht="13" x14ac:dyDescent="0.25">
      <c r="A140" s="180">
        <f>A138+0.1</f>
        <v>14.1</v>
      </c>
      <c r="B140" s="179" t="s">
        <v>402</v>
      </c>
      <c r="C140" s="177" t="s">
        <v>403</v>
      </c>
      <c r="D140" s="479">
        <v>13</v>
      </c>
      <c r="E140" s="479"/>
      <c r="F140" s="479"/>
      <c r="G140" s="479"/>
      <c r="H140" s="674">
        <f t="shared" ref="H140:H148" si="19">PRODUCT(D140:G140)</f>
        <v>13</v>
      </c>
    </row>
    <row r="141" spans="1:8" x14ac:dyDescent="0.25">
      <c r="A141" s="180"/>
      <c r="B141" s="179"/>
      <c r="C141" s="177"/>
      <c r="D141" s="479"/>
      <c r="E141" s="479"/>
      <c r="F141" s="479"/>
      <c r="G141" s="479"/>
      <c r="H141" s="471"/>
    </row>
    <row r="142" spans="1:8" ht="24" x14ac:dyDescent="0.25">
      <c r="A142" s="180">
        <f>A140+0.1</f>
        <v>14.2</v>
      </c>
      <c r="B142" s="179" t="s">
        <v>605</v>
      </c>
      <c r="C142" s="177" t="s">
        <v>403</v>
      </c>
      <c r="D142" s="479">
        <v>1</v>
      </c>
      <c r="E142" s="479"/>
      <c r="F142" s="479"/>
      <c r="G142" s="479"/>
      <c r="H142" s="674">
        <f t="shared" si="19"/>
        <v>1</v>
      </c>
    </row>
    <row r="143" spans="1:8" x14ac:dyDescent="0.25">
      <c r="A143" s="180"/>
      <c r="B143" s="179"/>
      <c r="C143" s="177"/>
      <c r="D143" s="479"/>
      <c r="E143" s="479"/>
      <c r="F143" s="479"/>
      <c r="G143" s="479"/>
      <c r="H143" s="471"/>
    </row>
    <row r="144" spans="1:8" ht="13" x14ac:dyDescent="0.25">
      <c r="A144" s="180">
        <f>A142+0.1</f>
        <v>14.299999999999999</v>
      </c>
      <c r="B144" s="179" t="s">
        <v>404</v>
      </c>
      <c r="C144" s="177" t="s">
        <v>403</v>
      </c>
      <c r="D144" s="479">
        <v>14</v>
      </c>
      <c r="E144" s="479"/>
      <c r="F144" s="479"/>
      <c r="G144" s="479"/>
      <c r="H144" s="674">
        <f t="shared" si="19"/>
        <v>14</v>
      </c>
    </row>
    <row r="145" spans="1:8" x14ac:dyDescent="0.25">
      <c r="A145" s="180"/>
      <c r="B145" s="179"/>
      <c r="C145" s="177"/>
      <c r="D145" s="479"/>
      <c r="E145" s="479"/>
      <c r="F145" s="479"/>
      <c r="G145" s="479"/>
      <c r="H145" s="471"/>
    </row>
    <row r="146" spans="1:8" ht="13" x14ac:dyDescent="0.25">
      <c r="A146" s="180">
        <f>A144+0.1</f>
        <v>14.399999999999999</v>
      </c>
      <c r="B146" s="179" t="s">
        <v>405</v>
      </c>
      <c r="C146" s="177" t="s">
        <v>403</v>
      </c>
      <c r="D146" s="479">
        <v>66</v>
      </c>
      <c r="E146" s="479"/>
      <c r="F146" s="479"/>
      <c r="G146" s="479"/>
      <c r="H146" s="674">
        <f t="shared" si="19"/>
        <v>66</v>
      </c>
    </row>
    <row r="147" spans="1:8" x14ac:dyDescent="0.25">
      <c r="A147" s="180"/>
      <c r="B147" s="179"/>
      <c r="C147" s="177"/>
      <c r="D147" s="479"/>
      <c r="E147" s="479"/>
      <c r="F147" s="479"/>
      <c r="G147" s="479"/>
      <c r="H147" s="471"/>
    </row>
    <row r="148" spans="1:8" ht="13" x14ac:dyDescent="0.25">
      <c r="A148" s="180">
        <f>A146+0.1</f>
        <v>14.499999999999998</v>
      </c>
      <c r="B148" s="179" t="s">
        <v>406</v>
      </c>
      <c r="C148" s="177" t="s">
        <v>403</v>
      </c>
      <c r="D148" s="479">
        <v>12</v>
      </c>
      <c r="E148" s="479"/>
      <c r="F148" s="479"/>
      <c r="G148" s="479"/>
      <c r="H148" s="674">
        <f t="shared" si="19"/>
        <v>12</v>
      </c>
    </row>
    <row r="149" spans="1:8" x14ac:dyDescent="0.25">
      <c r="A149" s="180"/>
      <c r="B149" s="179"/>
      <c r="C149" s="177"/>
      <c r="D149" s="479"/>
      <c r="E149" s="479"/>
      <c r="F149" s="479"/>
      <c r="G149" s="479"/>
      <c r="H149" s="471"/>
    </row>
    <row r="150" spans="1:8" ht="13" x14ac:dyDescent="0.25">
      <c r="A150" s="180">
        <f>A148+0.1</f>
        <v>14.599999999999998</v>
      </c>
      <c r="B150" s="179" t="s">
        <v>407</v>
      </c>
      <c r="C150" s="177" t="s">
        <v>355</v>
      </c>
      <c r="D150" s="673">
        <v>20</v>
      </c>
      <c r="E150" s="479"/>
      <c r="F150" s="479"/>
      <c r="G150" s="479"/>
      <c r="H150" s="674">
        <f t="shared" ref="H150" si="20">PRODUCT(D150:G150)</f>
        <v>20</v>
      </c>
    </row>
    <row r="151" spans="1:8" x14ac:dyDescent="0.25">
      <c r="A151" s="180"/>
      <c r="B151" s="179"/>
      <c r="C151" s="177"/>
      <c r="D151" s="479"/>
      <c r="E151" s="479"/>
      <c r="F151" s="479"/>
      <c r="G151" s="479"/>
      <c r="H151" s="471"/>
    </row>
    <row r="152" spans="1:8" x14ac:dyDescent="0.25">
      <c r="A152" s="180"/>
      <c r="B152" s="178" t="s">
        <v>408</v>
      </c>
      <c r="C152" s="177"/>
      <c r="D152" s="479"/>
      <c r="E152" s="479"/>
      <c r="F152" s="479"/>
      <c r="G152" s="479"/>
      <c r="H152" s="471"/>
    </row>
    <row r="153" spans="1:8" x14ac:dyDescent="0.25">
      <c r="A153" s="180"/>
      <c r="B153" s="179"/>
      <c r="C153" s="177"/>
      <c r="D153" s="479"/>
      <c r="E153" s="479"/>
      <c r="F153" s="479"/>
      <c r="G153" s="479"/>
      <c r="H153" s="471"/>
    </row>
    <row r="154" spans="1:8" x14ac:dyDescent="0.25">
      <c r="A154" s="180">
        <v>15</v>
      </c>
      <c r="B154" s="178" t="s">
        <v>409</v>
      </c>
      <c r="C154" s="177"/>
      <c r="D154" s="479"/>
      <c r="E154" s="479"/>
      <c r="F154" s="479"/>
      <c r="G154" s="479"/>
      <c r="H154" s="471"/>
    </row>
    <row r="155" spans="1:8" ht="13" x14ac:dyDescent="0.25">
      <c r="A155" s="180">
        <f>A154+0.1</f>
        <v>15.1</v>
      </c>
      <c r="B155" s="179" t="s">
        <v>410</v>
      </c>
      <c r="C155" s="177" t="s">
        <v>411</v>
      </c>
      <c r="D155" s="479"/>
      <c r="E155" s="479"/>
      <c r="F155" s="479"/>
      <c r="G155" s="479"/>
      <c r="H155" s="602"/>
    </row>
    <row r="156" spans="1:8" customFormat="1" x14ac:dyDescent="0.25">
      <c r="A156" s="180"/>
      <c r="B156" s="179" t="s">
        <v>919</v>
      </c>
      <c r="C156" s="177" t="s">
        <v>411</v>
      </c>
      <c r="D156" s="673">
        <v>13.1</v>
      </c>
      <c r="E156" s="673"/>
      <c r="F156" s="673"/>
      <c r="G156" s="673">
        <v>3</v>
      </c>
      <c r="H156" s="682">
        <f t="shared" ref="H156:H169" si="21">PRODUCT(D156:G156)</f>
        <v>39.299999999999997</v>
      </c>
    </row>
    <row r="157" spans="1:8" customFormat="1" x14ac:dyDescent="0.25">
      <c r="A157" s="180"/>
      <c r="B157" s="179" t="s">
        <v>920</v>
      </c>
      <c r="C157" s="177" t="s">
        <v>411</v>
      </c>
      <c r="D157" s="673">
        <v>13.5</v>
      </c>
      <c r="E157" s="673"/>
      <c r="F157" s="673"/>
      <c r="G157" s="673">
        <v>3</v>
      </c>
      <c r="H157" s="682">
        <f t="shared" si="21"/>
        <v>40.5</v>
      </c>
    </row>
    <row r="158" spans="1:8" customFormat="1" x14ac:dyDescent="0.25">
      <c r="A158" s="180"/>
      <c r="B158" s="179" t="s">
        <v>921</v>
      </c>
      <c r="C158" s="177" t="s">
        <v>411</v>
      </c>
      <c r="D158" s="673">
        <v>14.5</v>
      </c>
      <c r="E158" s="673"/>
      <c r="F158" s="673"/>
      <c r="G158" s="673">
        <v>2</v>
      </c>
      <c r="H158" s="682">
        <f t="shared" si="21"/>
        <v>29</v>
      </c>
    </row>
    <row r="159" spans="1:8" customFormat="1" x14ac:dyDescent="0.25">
      <c r="A159" s="180"/>
      <c r="B159" s="179" t="s">
        <v>922</v>
      </c>
      <c r="C159" s="177" t="s">
        <v>411</v>
      </c>
      <c r="D159" s="673">
        <v>15</v>
      </c>
      <c r="E159" s="673"/>
      <c r="F159" s="673"/>
      <c r="G159" s="673">
        <v>3</v>
      </c>
      <c r="H159" s="682">
        <f t="shared" si="21"/>
        <v>45</v>
      </c>
    </row>
    <row r="160" spans="1:8" customFormat="1" x14ac:dyDescent="0.25">
      <c r="A160" s="180"/>
      <c r="B160" s="179" t="s">
        <v>923</v>
      </c>
      <c r="C160" s="177" t="s">
        <v>411</v>
      </c>
      <c r="D160" s="673">
        <v>10</v>
      </c>
      <c r="E160" s="673"/>
      <c r="F160" s="673"/>
      <c r="G160" s="673">
        <v>3</v>
      </c>
      <c r="H160" s="682">
        <f t="shared" si="21"/>
        <v>30</v>
      </c>
    </row>
    <row r="161" spans="1:8" customFormat="1" x14ac:dyDescent="0.25">
      <c r="A161" s="180"/>
      <c r="B161" s="179" t="s">
        <v>924</v>
      </c>
      <c r="C161" s="177" t="s">
        <v>411</v>
      </c>
      <c r="D161" s="673">
        <v>16</v>
      </c>
      <c r="E161" s="673"/>
      <c r="F161" s="673"/>
      <c r="G161" s="673">
        <v>1</v>
      </c>
      <c r="H161" s="682">
        <f t="shared" si="21"/>
        <v>16</v>
      </c>
    </row>
    <row r="162" spans="1:8" customFormat="1" x14ac:dyDescent="0.25">
      <c r="A162" s="180"/>
      <c r="B162" s="179" t="s">
        <v>925</v>
      </c>
      <c r="C162" s="177" t="s">
        <v>411</v>
      </c>
      <c r="D162" s="673">
        <v>18</v>
      </c>
      <c r="E162" s="673"/>
      <c r="F162" s="673"/>
      <c r="G162" s="673">
        <v>1</v>
      </c>
      <c r="H162" s="682">
        <f t="shared" si="21"/>
        <v>18</v>
      </c>
    </row>
    <row r="163" spans="1:8" customFormat="1" x14ac:dyDescent="0.25">
      <c r="A163" s="180"/>
      <c r="B163" s="179" t="s">
        <v>926</v>
      </c>
      <c r="C163" s="177" t="s">
        <v>411</v>
      </c>
      <c r="D163" s="673">
        <v>13</v>
      </c>
      <c r="E163" s="673"/>
      <c r="F163" s="673"/>
      <c r="G163" s="673">
        <v>1</v>
      </c>
      <c r="H163" s="682">
        <f t="shared" si="21"/>
        <v>13</v>
      </c>
    </row>
    <row r="164" spans="1:8" customFormat="1" x14ac:dyDescent="0.25">
      <c r="A164" s="180"/>
      <c r="B164" s="179" t="s">
        <v>927</v>
      </c>
      <c r="C164" s="177" t="s">
        <v>411</v>
      </c>
      <c r="D164" s="673">
        <v>18</v>
      </c>
      <c r="E164" s="673"/>
      <c r="F164" s="673"/>
      <c r="G164" s="673">
        <v>1</v>
      </c>
      <c r="H164" s="682">
        <f t="shared" si="21"/>
        <v>18</v>
      </c>
    </row>
    <row r="165" spans="1:8" customFormat="1" x14ac:dyDescent="0.25">
      <c r="A165" s="180"/>
      <c r="B165" s="179" t="s">
        <v>928</v>
      </c>
      <c r="C165" s="177" t="s">
        <v>411</v>
      </c>
      <c r="D165" s="673">
        <v>28</v>
      </c>
      <c r="E165" s="673"/>
      <c r="F165" s="673"/>
      <c r="G165" s="673">
        <v>1</v>
      </c>
      <c r="H165" s="682">
        <f t="shared" si="21"/>
        <v>28</v>
      </c>
    </row>
    <row r="166" spans="1:8" customFormat="1" x14ac:dyDescent="0.25">
      <c r="A166" s="180"/>
      <c r="B166" s="179" t="s">
        <v>929</v>
      </c>
      <c r="C166" s="177" t="s">
        <v>411</v>
      </c>
      <c r="D166" s="673">
        <v>30</v>
      </c>
      <c r="E166" s="673"/>
      <c r="F166" s="673"/>
      <c r="G166" s="673">
        <v>1</v>
      </c>
      <c r="H166" s="682">
        <f t="shared" si="21"/>
        <v>30</v>
      </c>
    </row>
    <row r="167" spans="1:8" customFormat="1" x14ac:dyDescent="0.25">
      <c r="A167" s="180"/>
      <c r="B167" s="179" t="s">
        <v>930</v>
      </c>
      <c r="C167" s="177" t="s">
        <v>411</v>
      </c>
      <c r="D167" s="673">
        <v>30</v>
      </c>
      <c r="E167" s="673"/>
      <c r="F167" s="673"/>
      <c r="G167" s="673">
        <v>1</v>
      </c>
      <c r="H167" s="682">
        <f t="shared" si="21"/>
        <v>30</v>
      </c>
    </row>
    <row r="168" spans="1:8" customFormat="1" x14ac:dyDescent="0.25">
      <c r="A168" s="180"/>
      <c r="B168" s="179" t="s">
        <v>931</v>
      </c>
      <c r="C168" s="177" t="s">
        <v>411</v>
      </c>
      <c r="D168" s="673">
        <v>82</v>
      </c>
      <c r="E168" s="673"/>
      <c r="F168" s="673"/>
      <c r="G168" s="673">
        <v>1</v>
      </c>
      <c r="H168" s="682">
        <f t="shared" si="21"/>
        <v>82</v>
      </c>
    </row>
    <row r="169" spans="1:8" customFormat="1" ht="13" x14ac:dyDescent="0.25">
      <c r="A169" s="180"/>
      <c r="B169" s="179"/>
      <c r="C169" s="177"/>
      <c r="D169" s="673"/>
      <c r="E169" s="673"/>
      <c r="F169" s="673"/>
      <c r="G169" s="673"/>
      <c r="H169" s="675">
        <f t="shared" si="21"/>
        <v>0</v>
      </c>
    </row>
    <row r="170" spans="1:8" customFormat="1" ht="13" x14ac:dyDescent="0.25">
      <c r="A170" s="180"/>
      <c r="B170" s="642" t="s">
        <v>684</v>
      </c>
      <c r="C170" s="677" t="s">
        <v>907</v>
      </c>
      <c r="D170" s="678"/>
      <c r="E170" s="678"/>
      <c r="F170" s="678"/>
      <c r="G170" s="678"/>
      <c r="H170" s="681">
        <f>SUM(H156:H169)</f>
        <v>418.8</v>
      </c>
    </row>
    <row r="171" spans="1:8" customFormat="1" ht="13" x14ac:dyDescent="0.25">
      <c r="A171" s="180"/>
      <c r="B171" s="179"/>
      <c r="C171" s="177"/>
      <c r="D171" s="673"/>
      <c r="E171" s="673"/>
      <c r="F171" s="673"/>
      <c r="G171" s="673"/>
      <c r="H171" s="680"/>
    </row>
    <row r="172" spans="1:8" x14ac:dyDescent="0.25">
      <c r="A172" s="180"/>
      <c r="B172" s="179"/>
      <c r="C172" s="177"/>
      <c r="D172" s="479"/>
      <c r="E172" s="479"/>
      <c r="F172" s="479"/>
      <c r="G172" s="479"/>
      <c r="H172" s="471"/>
    </row>
    <row r="173" spans="1:8" ht="13" x14ac:dyDescent="0.25">
      <c r="A173" s="180">
        <f>A155+0.1</f>
        <v>15.2</v>
      </c>
      <c r="B173" s="179" t="s">
        <v>412</v>
      </c>
      <c r="C173" s="177" t="s">
        <v>411</v>
      </c>
      <c r="D173" s="479"/>
      <c r="E173" s="479"/>
      <c r="F173" s="479"/>
      <c r="G173" s="479"/>
      <c r="H173" s="602"/>
    </row>
    <row r="174" spans="1:8" customFormat="1" x14ac:dyDescent="0.25">
      <c r="A174" s="180"/>
      <c r="B174" s="179" t="s">
        <v>919</v>
      </c>
      <c r="C174" s="177" t="s">
        <v>411</v>
      </c>
      <c r="D174" s="673">
        <v>13.1</v>
      </c>
      <c r="E174" s="673"/>
      <c r="F174" s="673"/>
      <c r="G174" s="673">
        <v>3</v>
      </c>
      <c r="H174" s="682">
        <f t="shared" ref="H174:H186" si="22">PRODUCT(D174:G174)</f>
        <v>39.299999999999997</v>
      </c>
    </row>
    <row r="175" spans="1:8" customFormat="1" x14ac:dyDescent="0.25">
      <c r="A175" s="180"/>
      <c r="B175" s="179" t="s">
        <v>920</v>
      </c>
      <c r="C175" s="177" t="s">
        <v>411</v>
      </c>
      <c r="D175" s="673">
        <v>13.5</v>
      </c>
      <c r="E175" s="673"/>
      <c r="F175" s="673"/>
      <c r="G175" s="673">
        <v>3</v>
      </c>
      <c r="H175" s="682">
        <f t="shared" si="22"/>
        <v>40.5</v>
      </c>
    </row>
    <row r="176" spans="1:8" customFormat="1" x14ac:dyDescent="0.25">
      <c r="A176" s="180"/>
      <c r="B176" s="179" t="s">
        <v>921</v>
      </c>
      <c r="C176" s="177" t="s">
        <v>411</v>
      </c>
      <c r="D176" s="673">
        <v>14.5</v>
      </c>
      <c r="E176" s="673"/>
      <c r="F176" s="673"/>
      <c r="G176" s="673">
        <v>2</v>
      </c>
      <c r="H176" s="682">
        <f t="shared" si="22"/>
        <v>29</v>
      </c>
    </row>
    <row r="177" spans="1:8" customFormat="1" x14ac:dyDescent="0.25">
      <c r="A177" s="180"/>
      <c r="B177" s="179" t="s">
        <v>922</v>
      </c>
      <c r="C177" s="177" t="s">
        <v>411</v>
      </c>
      <c r="D177" s="673">
        <v>15</v>
      </c>
      <c r="E177" s="673"/>
      <c r="F177" s="673"/>
      <c r="G177" s="673">
        <v>3</v>
      </c>
      <c r="H177" s="682">
        <f t="shared" si="22"/>
        <v>45</v>
      </c>
    </row>
    <row r="178" spans="1:8" customFormat="1" x14ac:dyDescent="0.25">
      <c r="A178" s="180"/>
      <c r="B178" s="179" t="s">
        <v>923</v>
      </c>
      <c r="C178" s="177" t="s">
        <v>411</v>
      </c>
      <c r="D178" s="673">
        <v>10</v>
      </c>
      <c r="E178" s="673"/>
      <c r="F178" s="673"/>
      <c r="G178" s="673">
        <v>3</v>
      </c>
      <c r="H178" s="682">
        <f t="shared" si="22"/>
        <v>30</v>
      </c>
    </row>
    <row r="179" spans="1:8" customFormat="1" x14ac:dyDescent="0.25">
      <c r="A179" s="180"/>
      <c r="B179" s="179" t="s">
        <v>924</v>
      </c>
      <c r="C179" s="177" t="s">
        <v>411</v>
      </c>
      <c r="D179" s="673">
        <v>16</v>
      </c>
      <c r="E179" s="673"/>
      <c r="F179" s="673"/>
      <c r="G179" s="673">
        <v>1</v>
      </c>
      <c r="H179" s="682">
        <f t="shared" si="22"/>
        <v>16</v>
      </c>
    </row>
    <row r="180" spans="1:8" customFormat="1" x14ac:dyDescent="0.25">
      <c r="A180" s="180"/>
      <c r="B180" s="179" t="s">
        <v>925</v>
      </c>
      <c r="C180" s="177" t="s">
        <v>411</v>
      </c>
      <c r="D180" s="673">
        <v>18</v>
      </c>
      <c r="E180" s="673"/>
      <c r="F180" s="673"/>
      <c r="G180" s="673">
        <v>1</v>
      </c>
      <c r="H180" s="682">
        <f t="shared" si="22"/>
        <v>18</v>
      </c>
    </row>
    <row r="181" spans="1:8" customFormat="1" x14ac:dyDescent="0.25">
      <c r="A181" s="180"/>
      <c r="B181" s="179" t="s">
        <v>926</v>
      </c>
      <c r="C181" s="177" t="s">
        <v>411</v>
      </c>
      <c r="D181" s="673">
        <v>13</v>
      </c>
      <c r="E181" s="673"/>
      <c r="F181" s="673"/>
      <c r="G181" s="673">
        <v>1</v>
      </c>
      <c r="H181" s="682">
        <f t="shared" si="22"/>
        <v>13</v>
      </c>
    </row>
    <row r="182" spans="1:8" customFormat="1" x14ac:dyDescent="0.25">
      <c r="A182" s="180"/>
      <c r="B182" s="179" t="s">
        <v>927</v>
      </c>
      <c r="C182" s="177" t="s">
        <v>411</v>
      </c>
      <c r="D182" s="673">
        <v>18</v>
      </c>
      <c r="E182" s="673"/>
      <c r="F182" s="673"/>
      <c r="G182" s="673">
        <v>1</v>
      </c>
      <c r="H182" s="682">
        <f t="shared" si="22"/>
        <v>18</v>
      </c>
    </row>
    <row r="183" spans="1:8" customFormat="1" x14ac:dyDescent="0.25">
      <c r="A183" s="180"/>
      <c r="B183" s="179" t="s">
        <v>928</v>
      </c>
      <c r="C183" s="177" t="s">
        <v>411</v>
      </c>
      <c r="D183" s="673">
        <v>28</v>
      </c>
      <c r="E183" s="673"/>
      <c r="F183" s="673"/>
      <c r="G183" s="673">
        <v>1</v>
      </c>
      <c r="H183" s="682">
        <f t="shared" si="22"/>
        <v>28</v>
      </c>
    </row>
    <row r="184" spans="1:8" customFormat="1" x14ac:dyDescent="0.25">
      <c r="A184" s="180"/>
      <c r="B184" s="179" t="s">
        <v>929</v>
      </c>
      <c r="C184" s="177" t="s">
        <v>411</v>
      </c>
      <c r="D184" s="673">
        <v>30</v>
      </c>
      <c r="E184" s="673"/>
      <c r="F184" s="673"/>
      <c r="G184" s="673">
        <v>1</v>
      </c>
      <c r="H184" s="682">
        <f t="shared" si="22"/>
        <v>30</v>
      </c>
    </row>
    <row r="185" spans="1:8" customFormat="1" x14ac:dyDescent="0.25">
      <c r="A185" s="180"/>
      <c r="B185" s="179" t="s">
        <v>930</v>
      </c>
      <c r="C185" s="177" t="s">
        <v>411</v>
      </c>
      <c r="D185" s="673">
        <v>30</v>
      </c>
      <c r="E185" s="673"/>
      <c r="F185" s="673"/>
      <c r="G185" s="673">
        <v>1</v>
      </c>
      <c r="H185" s="682">
        <f t="shared" si="22"/>
        <v>30</v>
      </c>
    </row>
    <row r="186" spans="1:8" customFormat="1" x14ac:dyDescent="0.25">
      <c r="A186" s="180"/>
      <c r="B186" s="179" t="s">
        <v>931</v>
      </c>
      <c r="C186" s="177" t="s">
        <v>411</v>
      </c>
      <c r="D186" s="673">
        <v>82</v>
      </c>
      <c r="E186" s="673"/>
      <c r="F186" s="673"/>
      <c r="G186" s="673">
        <v>1</v>
      </c>
      <c r="H186" s="682">
        <f t="shared" si="22"/>
        <v>82</v>
      </c>
    </row>
    <row r="187" spans="1:8" customFormat="1" ht="13" x14ac:dyDescent="0.25">
      <c r="A187" s="180"/>
      <c r="B187" s="179"/>
      <c r="C187" s="177"/>
      <c r="D187" s="673"/>
      <c r="E187" s="673"/>
      <c r="F187" s="673"/>
      <c r="G187" s="673"/>
      <c r="H187" s="680"/>
    </row>
    <row r="188" spans="1:8" customFormat="1" ht="13" x14ac:dyDescent="0.25">
      <c r="A188" s="180"/>
      <c r="B188" s="642" t="s">
        <v>684</v>
      </c>
      <c r="C188" s="677" t="s">
        <v>907</v>
      </c>
      <c r="D188" s="678"/>
      <c r="E188" s="678"/>
      <c r="F188" s="678"/>
      <c r="G188" s="678"/>
      <c r="H188" s="681">
        <f>SUM(H174:H187)</f>
        <v>418.8</v>
      </c>
    </row>
    <row r="189" spans="1:8" x14ac:dyDescent="0.25">
      <c r="A189" s="180"/>
      <c r="B189" s="179"/>
      <c r="C189" s="177"/>
      <c r="D189" s="479"/>
      <c r="E189" s="479"/>
      <c r="F189" s="479"/>
      <c r="G189" s="479"/>
      <c r="H189" s="471"/>
    </row>
    <row r="190" spans="1:8" ht="13" x14ac:dyDescent="0.25">
      <c r="A190" s="180">
        <f>A173+0.1</f>
        <v>15.299999999999999</v>
      </c>
      <c r="B190" s="179" t="s">
        <v>413</v>
      </c>
      <c r="C190" s="177" t="s">
        <v>403</v>
      </c>
      <c r="D190" s="479"/>
      <c r="E190" s="479"/>
      <c r="F190" s="479"/>
      <c r="G190" s="479"/>
      <c r="H190" s="602"/>
    </row>
    <row r="191" spans="1:8" x14ac:dyDescent="0.25">
      <c r="A191" s="180"/>
      <c r="B191" s="179"/>
      <c r="C191" s="177"/>
      <c r="D191" s="479"/>
      <c r="E191" s="479"/>
      <c r="F191" s="479"/>
      <c r="G191" s="479"/>
      <c r="H191" s="471"/>
    </row>
    <row r="192" spans="1:8" ht="13" x14ac:dyDescent="0.25">
      <c r="A192" s="180">
        <f>A190+0.1</f>
        <v>15.399999999999999</v>
      </c>
      <c r="B192" s="179" t="s">
        <v>414</v>
      </c>
      <c r="C192" s="177" t="s">
        <v>403</v>
      </c>
      <c r="D192" s="479"/>
      <c r="E192" s="479"/>
      <c r="F192" s="479"/>
      <c r="G192" s="479"/>
      <c r="H192" s="602"/>
    </row>
    <row r="193" spans="1:8" x14ac:dyDescent="0.25">
      <c r="A193" s="180"/>
      <c r="B193" s="179"/>
      <c r="C193" s="177"/>
      <c r="D193" s="479"/>
      <c r="E193" s="479"/>
      <c r="F193" s="479"/>
      <c r="G193" s="479"/>
      <c r="H193" s="471"/>
    </row>
    <row r="194" spans="1:8" ht="24" x14ac:dyDescent="0.25">
      <c r="A194" s="180">
        <v>16</v>
      </c>
      <c r="B194" s="179" t="s">
        <v>606</v>
      </c>
      <c r="C194" s="177" t="s">
        <v>334</v>
      </c>
      <c r="D194" s="673">
        <v>1</v>
      </c>
      <c r="E194" s="479"/>
      <c r="F194" s="479"/>
      <c r="G194" s="479"/>
      <c r="H194" s="674">
        <f t="shared" ref="H194" si="23">PRODUCT(D194:G194)</f>
        <v>1</v>
      </c>
    </row>
    <row r="195" spans="1:8" x14ac:dyDescent="0.25">
      <c r="A195" s="180"/>
      <c r="B195" s="179"/>
      <c r="C195" s="177"/>
      <c r="D195" s="479"/>
      <c r="E195" s="479"/>
      <c r="F195" s="479"/>
      <c r="G195" s="479"/>
      <c r="H195" s="471"/>
    </row>
    <row r="196" spans="1:8" ht="108" x14ac:dyDescent="0.25">
      <c r="A196" s="193">
        <v>17</v>
      </c>
      <c r="B196" s="607" t="s">
        <v>415</v>
      </c>
      <c r="C196" s="177"/>
      <c r="D196" s="479"/>
      <c r="E196" s="479"/>
      <c r="F196" s="479"/>
      <c r="G196" s="479"/>
      <c r="H196" s="471"/>
    </row>
    <row r="197" spans="1:8" ht="13" x14ac:dyDescent="0.25">
      <c r="A197" s="193">
        <v>17.100000000000001</v>
      </c>
      <c r="B197" s="607" t="s">
        <v>416</v>
      </c>
      <c r="C197" s="177" t="s">
        <v>339</v>
      </c>
      <c r="D197" s="479"/>
      <c r="E197" s="479"/>
      <c r="F197" s="479"/>
      <c r="G197" s="479"/>
      <c r="H197" s="602"/>
    </row>
    <row r="198" spans="1:8" customFormat="1" x14ac:dyDescent="0.25">
      <c r="A198" s="193"/>
      <c r="B198" s="194" t="s">
        <v>932</v>
      </c>
      <c r="C198" s="177" t="s">
        <v>339</v>
      </c>
      <c r="D198" s="673">
        <v>28.9</v>
      </c>
      <c r="E198" s="673"/>
      <c r="F198" s="673"/>
      <c r="G198" s="673"/>
      <c r="H198" s="682">
        <f t="shared" ref="H198:H202" si="24">PRODUCT(D198:G198)</f>
        <v>28.9</v>
      </c>
    </row>
    <row r="199" spans="1:8" customFormat="1" x14ac:dyDescent="0.25">
      <c r="A199" s="193"/>
      <c r="B199" s="194" t="s">
        <v>933</v>
      </c>
      <c r="C199" s="177" t="s">
        <v>339</v>
      </c>
      <c r="D199" s="673">
        <v>15</v>
      </c>
      <c r="E199" s="673"/>
      <c r="F199" s="673"/>
      <c r="G199" s="673"/>
      <c r="H199" s="682">
        <f t="shared" si="24"/>
        <v>15</v>
      </c>
    </row>
    <row r="200" spans="1:8" customFormat="1" x14ac:dyDescent="0.25">
      <c r="A200" s="193"/>
      <c r="B200" s="194" t="s">
        <v>934</v>
      </c>
      <c r="C200" s="177" t="s">
        <v>339</v>
      </c>
      <c r="D200" s="673">
        <v>5.5</v>
      </c>
      <c r="E200" s="673"/>
      <c r="F200" s="673"/>
      <c r="G200" s="673"/>
      <c r="H200" s="682">
        <f t="shared" si="24"/>
        <v>5.5</v>
      </c>
    </row>
    <row r="201" spans="1:8" customFormat="1" x14ac:dyDescent="0.25">
      <c r="A201" s="193"/>
      <c r="B201" s="194" t="s">
        <v>935</v>
      </c>
      <c r="C201" s="177" t="s">
        <v>339</v>
      </c>
      <c r="D201" s="673">
        <v>31.099999999999998</v>
      </c>
      <c r="E201" s="673"/>
      <c r="F201" s="673"/>
      <c r="G201" s="673"/>
      <c r="H201" s="682">
        <f t="shared" si="24"/>
        <v>31.099999999999998</v>
      </c>
    </row>
    <row r="202" spans="1:8" customFormat="1" x14ac:dyDescent="0.25">
      <c r="A202" s="193"/>
      <c r="B202" s="194"/>
      <c r="C202" s="177"/>
      <c r="D202" s="673"/>
      <c r="E202" s="673"/>
      <c r="F202" s="673"/>
      <c r="G202" s="673"/>
      <c r="H202" s="682">
        <f t="shared" si="24"/>
        <v>0</v>
      </c>
    </row>
    <row r="203" spans="1:8" customFormat="1" ht="13" x14ac:dyDescent="0.25">
      <c r="A203" s="193"/>
      <c r="B203" s="683" t="s">
        <v>684</v>
      </c>
      <c r="C203" s="677" t="s">
        <v>339</v>
      </c>
      <c r="D203" s="678"/>
      <c r="E203" s="678"/>
      <c r="F203" s="678"/>
      <c r="G203" s="678"/>
      <c r="H203" s="674">
        <f>SUM(H198:H202)</f>
        <v>80.5</v>
      </c>
    </row>
    <row r="204" spans="1:8" customFormat="1" ht="13" x14ac:dyDescent="0.25">
      <c r="A204" s="193"/>
      <c r="B204" s="194"/>
      <c r="C204" s="177"/>
      <c r="D204" s="673"/>
      <c r="E204" s="673"/>
      <c r="F204" s="673"/>
      <c r="G204" s="673"/>
      <c r="H204" s="675"/>
    </row>
    <row r="205" spans="1:8" ht="13" x14ac:dyDescent="0.25">
      <c r="A205" s="193">
        <v>17.2</v>
      </c>
      <c r="B205" s="607" t="s">
        <v>417</v>
      </c>
      <c r="C205" s="177" t="s">
        <v>339</v>
      </c>
      <c r="D205" s="673">
        <v>0</v>
      </c>
      <c r="E205" s="479"/>
      <c r="F205" s="479"/>
      <c r="G205" s="479"/>
      <c r="H205" s="674">
        <f t="shared" ref="H205" si="25">PRODUCT(D205:G205)</f>
        <v>0</v>
      </c>
    </row>
    <row r="206" spans="1:8" x14ac:dyDescent="0.25">
      <c r="A206" s="180"/>
      <c r="B206" s="179"/>
      <c r="C206" s="177"/>
      <c r="D206" s="479"/>
      <c r="E206" s="479"/>
      <c r="F206" s="479"/>
      <c r="G206" s="479"/>
      <c r="H206" s="471"/>
    </row>
    <row r="207" spans="1:8" ht="13" x14ac:dyDescent="0.3">
      <c r="A207" s="195"/>
      <c r="B207" s="196" t="s">
        <v>418</v>
      </c>
      <c r="C207" s="197"/>
      <c r="D207" s="479"/>
      <c r="E207" s="479"/>
      <c r="F207" s="479"/>
      <c r="G207" s="479"/>
      <c r="H207" s="471"/>
    </row>
    <row r="208" spans="1:8" ht="13" x14ac:dyDescent="0.3">
      <c r="A208" s="195"/>
      <c r="B208" s="198"/>
      <c r="C208" s="197"/>
      <c r="D208" s="479"/>
      <c r="E208" s="479"/>
      <c r="F208" s="479"/>
      <c r="G208" s="479"/>
      <c r="H208" s="471"/>
    </row>
    <row r="209" spans="1:8" ht="13" x14ac:dyDescent="0.3">
      <c r="A209" s="174" t="s">
        <v>311</v>
      </c>
      <c r="B209" s="178" t="s">
        <v>419</v>
      </c>
      <c r="C209" s="173"/>
      <c r="D209" s="479"/>
      <c r="E209" s="479"/>
      <c r="F209" s="479"/>
      <c r="G209" s="479"/>
      <c r="H209" s="471"/>
    </row>
    <row r="210" spans="1:8" ht="13" x14ac:dyDescent="0.3">
      <c r="A210" s="174">
        <v>1</v>
      </c>
      <c r="B210" s="178" t="s">
        <v>420</v>
      </c>
      <c r="C210" s="173"/>
      <c r="D210" s="479"/>
      <c r="E210" s="479"/>
      <c r="F210" s="479"/>
      <c r="G210" s="479"/>
      <c r="H210" s="471"/>
    </row>
    <row r="211" spans="1:8" ht="13" x14ac:dyDescent="0.3">
      <c r="A211" s="180"/>
      <c r="B211" s="178" t="s">
        <v>421</v>
      </c>
      <c r="C211" s="173"/>
      <c r="D211" s="479"/>
      <c r="E211" s="479"/>
      <c r="F211" s="479"/>
      <c r="G211" s="479"/>
      <c r="H211" s="471"/>
    </row>
    <row r="212" spans="1:8" ht="13" x14ac:dyDescent="0.25">
      <c r="A212" s="180">
        <f>A210+0.1</f>
        <v>1.1000000000000001</v>
      </c>
      <c r="B212" s="179" t="s">
        <v>422</v>
      </c>
      <c r="C212" s="177" t="s">
        <v>403</v>
      </c>
      <c r="D212" s="479">
        <v>1</v>
      </c>
      <c r="E212" s="479"/>
      <c r="F212" s="479"/>
      <c r="G212" s="479"/>
      <c r="H212" s="674">
        <f t="shared" ref="H212" si="26">PRODUCT(D212:G212)</f>
        <v>1</v>
      </c>
    </row>
    <row r="213" spans="1:8" x14ac:dyDescent="0.25">
      <c r="A213" s="180"/>
      <c r="B213" s="178"/>
      <c r="C213" s="177"/>
      <c r="D213" s="479"/>
      <c r="E213" s="479"/>
      <c r="F213" s="479"/>
      <c r="G213" s="479"/>
      <c r="H213" s="471"/>
    </row>
    <row r="214" spans="1:8" ht="36" x14ac:dyDescent="0.25">
      <c r="A214" s="180">
        <f>A212+0.1</f>
        <v>1.2000000000000002</v>
      </c>
      <c r="B214" s="179" t="s">
        <v>423</v>
      </c>
      <c r="C214" s="177" t="s">
        <v>424</v>
      </c>
      <c r="D214" s="479"/>
      <c r="E214" s="479"/>
      <c r="F214" s="479"/>
      <c r="G214" s="479"/>
      <c r="H214" s="602"/>
    </row>
    <row r="215" spans="1:8" customFormat="1" x14ac:dyDescent="0.25">
      <c r="A215" s="180"/>
      <c r="B215" s="179" t="s">
        <v>936</v>
      </c>
      <c r="C215" s="177" t="s">
        <v>424</v>
      </c>
      <c r="D215" s="673">
        <v>11</v>
      </c>
      <c r="E215" s="673"/>
      <c r="F215" s="673"/>
      <c r="G215" s="673"/>
      <c r="H215" s="682">
        <f t="shared" ref="H215:H234" si="27">PRODUCT(D215:G215)</f>
        <v>11</v>
      </c>
    </row>
    <row r="216" spans="1:8" customFormat="1" x14ac:dyDescent="0.25">
      <c r="A216" s="180"/>
      <c r="B216" s="179" t="s">
        <v>937</v>
      </c>
      <c r="C216" s="177" t="s">
        <v>424</v>
      </c>
      <c r="D216" s="673">
        <v>7</v>
      </c>
      <c r="E216" s="673"/>
      <c r="F216" s="673"/>
      <c r="G216" s="673"/>
      <c r="H216" s="682">
        <f t="shared" si="27"/>
        <v>7</v>
      </c>
    </row>
    <row r="217" spans="1:8" customFormat="1" x14ac:dyDescent="0.25">
      <c r="A217" s="180"/>
      <c r="B217" s="179" t="s">
        <v>938</v>
      </c>
      <c r="C217" s="177" t="s">
        <v>424</v>
      </c>
      <c r="D217" s="673">
        <v>10</v>
      </c>
      <c r="E217" s="673"/>
      <c r="F217" s="673"/>
      <c r="G217" s="673"/>
      <c r="H217" s="682">
        <f t="shared" si="27"/>
        <v>10</v>
      </c>
    </row>
    <row r="218" spans="1:8" customFormat="1" x14ac:dyDescent="0.25">
      <c r="A218" s="180"/>
      <c r="B218" s="179" t="s">
        <v>939</v>
      </c>
      <c r="C218" s="177" t="s">
        <v>424</v>
      </c>
      <c r="D218" s="673">
        <v>10.8</v>
      </c>
      <c r="E218" s="673"/>
      <c r="F218" s="673"/>
      <c r="G218" s="673"/>
      <c r="H218" s="682">
        <f t="shared" si="27"/>
        <v>10.8</v>
      </c>
    </row>
    <row r="219" spans="1:8" customFormat="1" x14ac:dyDescent="0.25">
      <c r="A219" s="180"/>
      <c r="B219" s="179" t="s">
        <v>940</v>
      </c>
      <c r="C219" s="177" t="s">
        <v>424</v>
      </c>
      <c r="D219" s="673">
        <v>4.7</v>
      </c>
      <c r="E219" s="673"/>
      <c r="F219" s="673"/>
      <c r="G219" s="673"/>
      <c r="H219" s="682">
        <f t="shared" si="27"/>
        <v>4.7</v>
      </c>
    </row>
    <row r="220" spans="1:8" customFormat="1" x14ac:dyDescent="0.25">
      <c r="A220" s="180"/>
      <c r="B220" s="179" t="s">
        <v>941</v>
      </c>
      <c r="C220" s="177" t="s">
        <v>424</v>
      </c>
      <c r="D220" s="673">
        <v>2</v>
      </c>
      <c r="E220" s="673"/>
      <c r="F220" s="673"/>
      <c r="G220" s="673"/>
      <c r="H220" s="682">
        <f t="shared" si="27"/>
        <v>2</v>
      </c>
    </row>
    <row r="221" spans="1:8" customFormat="1" x14ac:dyDescent="0.25">
      <c r="A221" s="180"/>
      <c r="B221" s="179" t="s">
        <v>942</v>
      </c>
      <c r="C221" s="177" t="s">
        <v>424</v>
      </c>
      <c r="D221" s="673">
        <v>2</v>
      </c>
      <c r="E221" s="673"/>
      <c r="F221" s="673"/>
      <c r="G221" s="673"/>
      <c r="H221" s="682">
        <f t="shared" si="27"/>
        <v>2</v>
      </c>
    </row>
    <row r="222" spans="1:8" customFormat="1" x14ac:dyDescent="0.25">
      <c r="A222" s="180"/>
      <c r="B222" s="179" t="s">
        <v>943</v>
      </c>
      <c r="C222" s="177" t="s">
        <v>424</v>
      </c>
      <c r="D222" s="673">
        <v>6</v>
      </c>
      <c r="E222" s="673"/>
      <c r="F222" s="673"/>
      <c r="G222" s="673"/>
      <c r="H222" s="682">
        <f t="shared" si="27"/>
        <v>6</v>
      </c>
    </row>
    <row r="223" spans="1:8" customFormat="1" x14ac:dyDescent="0.25">
      <c r="A223" s="180"/>
      <c r="B223" s="179" t="s">
        <v>944</v>
      </c>
      <c r="C223" s="177" t="s">
        <v>424</v>
      </c>
      <c r="D223" s="673">
        <v>2.5</v>
      </c>
      <c r="E223" s="673"/>
      <c r="F223" s="673"/>
      <c r="G223" s="673"/>
      <c r="H223" s="682">
        <f t="shared" si="27"/>
        <v>2.5</v>
      </c>
    </row>
    <row r="224" spans="1:8" customFormat="1" x14ac:dyDescent="0.25">
      <c r="A224" s="180"/>
      <c r="B224" s="179" t="s">
        <v>945</v>
      </c>
      <c r="C224" s="177" t="s">
        <v>424</v>
      </c>
      <c r="D224" s="673">
        <v>2</v>
      </c>
      <c r="E224" s="673"/>
      <c r="F224" s="673"/>
      <c r="G224" s="673"/>
      <c r="H224" s="682">
        <f t="shared" si="27"/>
        <v>2</v>
      </c>
    </row>
    <row r="225" spans="1:8" customFormat="1" x14ac:dyDescent="0.25">
      <c r="A225" s="180"/>
      <c r="B225" s="179" t="s">
        <v>946</v>
      </c>
      <c r="C225" s="177" t="s">
        <v>424</v>
      </c>
      <c r="D225" s="673">
        <v>12.2</v>
      </c>
      <c r="E225" s="673"/>
      <c r="F225" s="673"/>
      <c r="G225" s="673"/>
      <c r="H225" s="682">
        <f t="shared" si="27"/>
        <v>12.2</v>
      </c>
    </row>
    <row r="226" spans="1:8" customFormat="1" x14ac:dyDescent="0.25">
      <c r="A226" s="180"/>
      <c r="B226" s="179" t="s">
        <v>947</v>
      </c>
      <c r="C226" s="177" t="s">
        <v>424</v>
      </c>
      <c r="D226" s="673">
        <v>9.5</v>
      </c>
      <c r="E226" s="673"/>
      <c r="F226" s="673"/>
      <c r="G226" s="673"/>
      <c r="H226" s="682">
        <f t="shared" si="27"/>
        <v>9.5</v>
      </c>
    </row>
    <row r="227" spans="1:8" customFormat="1" x14ac:dyDescent="0.25">
      <c r="A227" s="180"/>
      <c r="B227" s="179" t="s">
        <v>948</v>
      </c>
      <c r="C227" s="177" t="s">
        <v>424</v>
      </c>
      <c r="D227" s="673">
        <v>11</v>
      </c>
      <c r="E227" s="673"/>
      <c r="F227" s="673"/>
      <c r="G227" s="673"/>
      <c r="H227" s="682">
        <f t="shared" si="27"/>
        <v>11</v>
      </c>
    </row>
    <row r="228" spans="1:8" customFormat="1" x14ac:dyDescent="0.25">
      <c r="A228" s="180"/>
      <c r="B228" s="179" t="s">
        <v>949</v>
      </c>
      <c r="C228" s="177" t="s">
        <v>424</v>
      </c>
      <c r="D228" s="673">
        <v>60</v>
      </c>
      <c r="E228" s="673"/>
      <c r="F228" s="673"/>
      <c r="G228" s="673"/>
      <c r="H228" s="682">
        <f t="shared" si="27"/>
        <v>60</v>
      </c>
    </row>
    <row r="229" spans="1:8" customFormat="1" x14ac:dyDescent="0.25">
      <c r="A229" s="180"/>
      <c r="B229" s="179" t="s">
        <v>950</v>
      </c>
      <c r="C229" s="177" t="s">
        <v>424</v>
      </c>
      <c r="D229" s="673">
        <v>1.5</v>
      </c>
      <c r="E229" s="673"/>
      <c r="F229" s="673"/>
      <c r="G229" s="673"/>
      <c r="H229" s="682">
        <f t="shared" si="27"/>
        <v>1.5</v>
      </c>
    </row>
    <row r="230" spans="1:8" customFormat="1" x14ac:dyDescent="0.25">
      <c r="A230" s="180"/>
      <c r="B230" s="179" t="s">
        <v>951</v>
      </c>
      <c r="C230" s="177" t="s">
        <v>424</v>
      </c>
      <c r="D230" s="673">
        <v>1.5</v>
      </c>
      <c r="E230" s="673"/>
      <c r="F230" s="673"/>
      <c r="G230" s="673"/>
      <c r="H230" s="682">
        <f t="shared" si="27"/>
        <v>1.5</v>
      </c>
    </row>
    <row r="231" spans="1:8" customFormat="1" x14ac:dyDescent="0.25">
      <c r="A231" s="180"/>
      <c r="B231" s="179" t="s">
        <v>952</v>
      </c>
      <c r="C231" s="177" t="s">
        <v>424</v>
      </c>
      <c r="D231" s="673">
        <v>70</v>
      </c>
      <c r="E231" s="673"/>
      <c r="F231" s="673"/>
      <c r="G231" s="673"/>
      <c r="H231" s="682">
        <f t="shared" si="27"/>
        <v>70</v>
      </c>
    </row>
    <row r="232" spans="1:8" customFormat="1" x14ac:dyDescent="0.25">
      <c r="A232" s="180"/>
      <c r="B232" s="179" t="s">
        <v>953</v>
      </c>
      <c r="C232" s="177" t="s">
        <v>424</v>
      </c>
      <c r="D232" s="673">
        <v>8</v>
      </c>
      <c r="E232" s="673"/>
      <c r="F232" s="673"/>
      <c r="G232" s="673"/>
      <c r="H232" s="682">
        <f t="shared" si="27"/>
        <v>8</v>
      </c>
    </row>
    <row r="233" spans="1:8" customFormat="1" x14ac:dyDescent="0.25">
      <c r="A233" s="180"/>
      <c r="B233" s="179" t="s">
        <v>954</v>
      </c>
      <c r="C233" s="177" t="s">
        <v>424</v>
      </c>
      <c r="D233" s="673">
        <v>9</v>
      </c>
      <c r="E233" s="673"/>
      <c r="F233" s="673"/>
      <c r="G233" s="673"/>
      <c r="H233" s="682">
        <f t="shared" si="27"/>
        <v>9</v>
      </c>
    </row>
    <row r="234" spans="1:8" customFormat="1" x14ac:dyDescent="0.25">
      <c r="A234" s="180"/>
      <c r="B234" s="179" t="s">
        <v>955</v>
      </c>
      <c r="C234" s="177" t="s">
        <v>424</v>
      </c>
      <c r="D234" s="673">
        <v>20</v>
      </c>
      <c r="E234" s="673"/>
      <c r="F234" s="673"/>
      <c r="G234" s="673"/>
      <c r="H234" s="682">
        <f t="shared" si="27"/>
        <v>20</v>
      </c>
    </row>
    <row r="235" spans="1:8" customFormat="1" ht="13" x14ac:dyDescent="0.25">
      <c r="A235" s="180"/>
      <c r="B235" s="179"/>
      <c r="C235" s="177"/>
      <c r="D235" s="673"/>
      <c r="E235" s="673"/>
      <c r="F235" s="673"/>
      <c r="G235" s="673"/>
      <c r="H235" s="680"/>
    </row>
    <row r="236" spans="1:8" customFormat="1" x14ac:dyDescent="0.25">
      <c r="A236" s="193"/>
      <c r="B236" s="194"/>
      <c r="C236" s="177"/>
      <c r="D236" s="673"/>
      <c r="E236" s="673"/>
      <c r="F236" s="673"/>
      <c r="G236" s="673"/>
      <c r="H236" s="682">
        <f t="shared" ref="H236" si="28">PRODUCT(D236:G236)</f>
        <v>0</v>
      </c>
    </row>
    <row r="237" spans="1:8" customFormat="1" ht="13" x14ac:dyDescent="0.25">
      <c r="A237" s="193"/>
      <c r="B237" s="683" t="s">
        <v>684</v>
      </c>
      <c r="C237" s="677" t="s">
        <v>339</v>
      </c>
      <c r="D237" s="678"/>
      <c r="E237" s="678"/>
      <c r="F237" s="678"/>
      <c r="G237" s="678"/>
      <c r="H237" s="674">
        <f>SUM(H215:H236)</f>
        <v>260.7</v>
      </c>
    </row>
    <row r="238" spans="1:8" customFormat="1" ht="13" x14ac:dyDescent="0.25">
      <c r="A238" s="193"/>
      <c r="B238" s="194"/>
      <c r="C238" s="177"/>
      <c r="D238" s="673"/>
      <c r="E238" s="673"/>
      <c r="F238" s="673"/>
      <c r="G238" s="673"/>
      <c r="H238" s="675"/>
    </row>
    <row r="239" spans="1:8" x14ac:dyDescent="0.25">
      <c r="A239" s="180"/>
      <c r="B239" s="179"/>
      <c r="C239" s="177"/>
      <c r="D239" s="479"/>
      <c r="E239" s="479"/>
      <c r="F239" s="479"/>
      <c r="G239" s="479"/>
      <c r="H239" s="471"/>
    </row>
    <row r="240" spans="1:8" ht="36" x14ac:dyDescent="0.25">
      <c r="A240" s="180">
        <f>A214+0.1</f>
        <v>1.3000000000000003</v>
      </c>
      <c r="B240" s="179" t="s">
        <v>425</v>
      </c>
      <c r="C240" s="177" t="s">
        <v>111</v>
      </c>
      <c r="D240" s="673">
        <v>14</v>
      </c>
      <c r="E240" s="479"/>
      <c r="F240" s="479"/>
      <c r="G240" s="479"/>
      <c r="H240" s="674">
        <f t="shared" ref="H240:H246" si="29">PRODUCT(D240:G240)</f>
        <v>14</v>
      </c>
    </row>
    <row r="241" spans="1:8" ht="13" x14ac:dyDescent="0.25">
      <c r="A241" s="180"/>
      <c r="B241" s="179"/>
      <c r="C241" s="177"/>
      <c r="D241" s="673"/>
      <c r="E241" s="479"/>
      <c r="F241" s="479"/>
      <c r="G241" s="479"/>
      <c r="H241" s="675">
        <f t="shared" si="29"/>
        <v>0</v>
      </c>
    </row>
    <row r="242" spans="1:8" ht="13" x14ac:dyDescent="0.25">
      <c r="A242" s="180">
        <f>A240+0.1</f>
        <v>1.4000000000000004</v>
      </c>
      <c r="B242" s="179" t="s">
        <v>426</v>
      </c>
      <c r="C242" s="177" t="s">
        <v>111</v>
      </c>
      <c r="D242" s="673">
        <v>5</v>
      </c>
      <c r="E242" s="479"/>
      <c r="F242" s="479"/>
      <c r="G242" s="479"/>
      <c r="H242" s="674">
        <f t="shared" si="29"/>
        <v>5</v>
      </c>
    </row>
    <row r="243" spans="1:8" ht="13" x14ac:dyDescent="0.25">
      <c r="A243" s="180"/>
      <c r="B243" s="179"/>
      <c r="C243" s="177"/>
      <c r="D243" s="673"/>
      <c r="E243" s="479"/>
      <c r="F243" s="479"/>
      <c r="G243" s="479"/>
      <c r="H243" s="675">
        <f t="shared" si="29"/>
        <v>0</v>
      </c>
    </row>
    <row r="244" spans="1:8" ht="24" x14ac:dyDescent="0.25">
      <c r="A244" s="180">
        <f>A242+0.1</f>
        <v>1.5000000000000004</v>
      </c>
      <c r="B244" s="179" t="s">
        <v>607</v>
      </c>
      <c r="C244" s="177" t="s">
        <v>111</v>
      </c>
      <c r="D244" s="673">
        <v>2</v>
      </c>
      <c r="E244" s="479"/>
      <c r="F244" s="479"/>
      <c r="G244" s="479"/>
      <c r="H244" s="674">
        <f t="shared" si="29"/>
        <v>2</v>
      </c>
    </row>
    <row r="245" spans="1:8" ht="13" x14ac:dyDescent="0.25">
      <c r="A245" s="180"/>
      <c r="B245" s="179"/>
      <c r="C245" s="177"/>
      <c r="D245" s="673"/>
      <c r="E245" s="479"/>
      <c r="F245" s="479"/>
      <c r="G245" s="479"/>
      <c r="H245" s="675">
        <f t="shared" si="29"/>
        <v>0</v>
      </c>
    </row>
    <row r="246" spans="1:8" ht="36" x14ac:dyDescent="0.25">
      <c r="A246" s="180">
        <f>A244+0.1</f>
        <v>1.6000000000000005</v>
      </c>
      <c r="B246" s="179" t="s">
        <v>427</v>
      </c>
      <c r="C246" s="177" t="s">
        <v>111</v>
      </c>
      <c r="D246" s="673">
        <v>2</v>
      </c>
      <c r="E246" s="479"/>
      <c r="F246" s="479"/>
      <c r="G246" s="479"/>
      <c r="H246" s="674">
        <f t="shared" si="29"/>
        <v>2</v>
      </c>
    </row>
    <row r="247" spans="1:8" x14ac:dyDescent="0.25">
      <c r="A247" s="180"/>
      <c r="B247" s="179"/>
      <c r="C247" s="177"/>
      <c r="D247" s="479"/>
      <c r="E247" s="479"/>
      <c r="F247" s="479"/>
      <c r="G247" s="479"/>
      <c r="H247" s="471"/>
    </row>
    <row r="248" spans="1:8" x14ac:dyDescent="0.25">
      <c r="A248" s="180">
        <v>2</v>
      </c>
      <c r="B248" s="178" t="s">
        <v>428</v>
      </c>
      <c r="C248" s="177"/>
      <c r="D248" s="479"/>
      <c r="E248" s="479"/>
      <c r="F248" s="479"/>
      <c r="G248" s="479"/>
      <c r="H248" s="471"/>
    </row>
    <row r="249" spans="1:8" x14ac:dyDescent="0.25">
      <c r="A249" s="180"/>
      <c r="B249" s="178" t="s">
        <v>421</v>
      </c>
      <c r="C249" s="177"/>
      <c r="D249" s="479"/>
      <c r="E249" s="479"/>
      <c r="F249" s="479"/>
      <c r="G249" s="479"/>
      <c r="H249" s="471"/>
    </row>
    <row r="250" spans="1:8" ht="36" x14ac:dyDescent="0.25">
      <c r="A250" s="180">
        <f>A248+0.1</f>
        <v>2.1</v>
      </c>
      <c r="B250" s="179" t="s">
        <v>429</v>
      </c>
      <c r="C250" s="177"/>
      <c r="D250" s="479"/>
      <c r="E250" s="479"/>
      <c r="F250" s="479"/>
      <c r="G250" s="479"/>
      <c r="H250" s="471"/>
    </row>
    <row r="251" spans="1:8" ht="13" x14ac:dyDescent="0.25">
      <c r="A251" s="180"/>
      <c r="B251" s="179" t="s">
        <v>430</v>
      </c>
      <c r="C251" s="177" t="s">
        <v>403</v>
      </c>
      <c r="D251" s="673">
        <v>6</v>
      </c>
      <c r="E251" s="479"/>
      <c r="F251" s="479"/>
      <c r="G251" s="479"/>
      <c r="H251" s="674">
        <f t="shared" ref="H251" si="30">PRODUCT(D251:G251)</f>
        <v>6</v>
      </c>
    </row>
    <row r="252" spans="1:8" x14ac:dyDescent="0.25">
      <c r="A252" s="180"/>
      <c r="B252" s="179"/>
      <c r="C252" s="177"/>
      <c r="D252" s="479"/>
      <c r="E252" s="479"/>
      <c r="F252" s="479"/>
      <c r="G252" s="479"/>
      <c r="H252" s="471"/>
    </row>
    <row r="253" spans="1:8" ht="36" x14ac:dyDescent="0.25">
      <c r="A253" s="180">
        <f>A250+0.1</f>
        <v>2.2000000000000002</v>
      </c>
      <c r="B253" s="179" t="s">
        <v>431</v>
      </c>
      <c r="C253" s="177"/>
      <c r="D253" s="479"/>
      <c r="E253" s="479"/>
      <c r="F253" s="479"/>
      <c r="G253" s="479"/>
      <c r="H253" s="471"/>
    </row>
    <row r="254" spans="1:8" ht="13" x14ac:dyDescent="0.25">
      <c r="A254" s="180" t="s">
        <v>432</v>
      </c>
      <c r="B254" s="179" t="s">
        <v>433</v>
      </c>
      <c r="C254" s="177" t="s">
        <v>411</v>
      </c>
      <c r="D254" s="479"/>
      <c r="E254" s="479"/>
      <c r="F254" s="479"/>
      <c r="G254" s="479"/>
      <c r="H254" s="602"/>
    </row>
    <row r="255" spans="1:8" customFormat="1" x14ac:dyDescent="0.25">
      <c r="A255" s="180"/>
      <c r="B255" s="179" t="s">
        <v>956</v>
      </c>
      <c r="C255" s="177" t="s">
        <v>411</v>
      </c>
      <c r="D255" s="673">
        <v>20.3</v>
      </c>
      <c r="E255" s="673"/>
      <c r="F255" s="673"/>
      <c r="G255" s="673"/>
      <c r="H255" s="682">
        <f t="shared" ref="H255:H259" si="31">PRODUCT(D255:G255)</f>
        <v>20.3</v>
      </c>
    </row>
    <row r="256" spans="1:8" customFormat="1" x14ac:dyDescent="0.25">
      <c r="A256" s="180"/>
      <c r="B256" s="179" t="s">
        <v>957</v>
      </c>
      <c r="C256" s="177" t="s">
        <v>411</v>
      </c>
      <c r="D256" s="673">
        <v>13.5</v>
      </c>
      <c r="E256" s="673"/>
      <c r="F256" s="673"/>
      <c r="G256" s="673"/>
      <c r="H256" s="682">
        <f t="shared" si="31"/>
        <v>13.5</v>
      </c>
    </row>
    <row r="257" spans="1:9" customFormat="1" x14ac:dyDescent="0.25">
      <c r="A257" s="180"/>
      <c r="B257" s="179" t="s">
        <v>958</v>
      </c>
      <c r="C257" s="177" t="s">
        <v>411</v>
      </c>
      <c r="D257" s="673">
        <v>10</v>
      </c>
      <c r="E257" s="673"/>
      <c r="F257" s="673"/>
      <c r="G257" s="673"/>
      <c r="H257" s="682">
        <f t="shared" si="31"/>
        <v>10</v>
      </c>
    </row>
    <row r="258" spans="1:9" customFormat="1" x14ac:dyDescent="0.25">
      <c r="A258" s="180"/>
      <c r="B258" s="179"/>
      <c r="C258" s="177"/>
      <c r="D258" s="673">
        <v>6.2</v>
      </c>
      <c r="E258" s="673"/>
      <c r="F258" s="673"/>
      <c r="G258" s="673"/>
      <c r="H258" s="682">
        <f t="shared" si="31"/>
        <v>6.2</v>
      </c>
    </row>
    <row r="259" spans="1:9" customFormat="1" x14ac:dyDescent="0.25">
      <c r="A259" s="180"/>
      <c r="B259" s="179"/>
      <c r="C259" s="177"/>
      <c r="D259" s="673"/>
      <c r="E259" s="673"/>
      <c r="F259" s="673"/>
      <c r="G259" s="673"/>
      <c r="H259" s="682">
        <f t="shared" si="31"/>
        <v>0</v>
      </c>
    </row>
    <row r="260" spans="1:9" customFormat="1" ht="13" x14ac:dyDescent="0.25">
      <c r="A260" s="180"/>
      <c r="B260" s="642" t="s">
        <v>684</v>
      </c>
      <c r="C260" s="677" t="s">
        <v>411</v>
      </c>
      <c r="D260" s="678"/>
      <c r="E260" s="678"/>
      <c r="F260" s="678"/>
      <c r="G260" s="678"/>
      <c r="H260" s="674">
        <f>SUM(H255:H259)</f>
        <v>50</v>
      </c>
    </row>
    <row r="261" spans="1:9" customFormat="1" ht="13" x14ac:dyDescent="0.25">
      <c r="A261" s="180"/>
      <c r="B261" s="179"/>
      <c r="C261" s="177"/>
      <c r="D261" s="673"/>
      <c r="E261" s="673"/>
      <c r="F261" s="673"/>
      <c r="G261" s="673"/>
      <c r="H261" s="675"/>
    </row>
    <row r="262" spans="1:9" ht="13" x14ac:dyDescent="0.25">
      <c r="A262" s="180" t="s">
        <v>434</v>
      </c>
      <c r="B262" s="179" t="s">
        <v>435</v>
      </c>
      <c r="C262" s="177" t="s">
        <v>411</v>
      </c>
      <c r="D262" s="479"/>
      <c r="E262" s="479"/>
      <c r="F262" s="479"/>
      <c r="G262" s="479"/>
      <c r="H262" s="602"/>
    </row>
    <row r="263" spans="1:9" customFormat="1" x14ac:dyDescent="0.25">
      <c r="A263" s="180"/>
      <c r="B263" s="179" t="s">
        <v>956</v>
      </c>
      <c r="C263" s="177" t="s">
        <v>411</v>
      </c>
      <c r="D263" s="673">
        <v>14.5</v>
      </c>
      <c r="E263" s="673"/>
      <c r="F263" s="673"/>
      <c r="G263" s="673"/>
      <c r="H263" s="682">
        <f t="shared" ref="H263:H266" si="32">PRODUCT(D263:G263)</f>
        <v>14.5</v>
      </c>
    </row>
    <row r="264" spans="1:9" customFormat="1" x14ac:dyDescent="0.25">
      <c r="A264" s="180"/>
      <c r="B264" s="179" t="s">
        <v>957</v>
      </c>
      <c r="C264" s="177" t="s">
        <v>411</v>
      </c>
      <c r="D264" s="673">
        <v>12.5</v>
      </c>
      <c r="E264" s="673"/>
      <c r="F264" s="673"/>
      <c r="G264" s="673"/>
      <c r="H264" s="682">
        <f t="shared" si="32"/>
        <v>12.5</v>
      </c>
    </row>
    <row r="265" spans="1:9" customFormat="1" x14ac:dyDescent="0.25">
      <c r="A265" s="180"/>
      <c r="B265" s="179" t="s">
        <v>958</v>
      </c>
      <c r="C265" s="177" t="s">
        <v>411</v>
      </c>
      <c r="D265" s="673">
        <v>15.5</v>
      </c>
      <c r="E265" s="673"/>
      <c r="F265" s="673"/>
      <c r="G265" s="673"/>
      <c r="H265" s="682">
        <f t="shared" si="32"/>
        <v>15.5</v>
      </c>
    </row>
    <row r="266" spans="1:9" customFormat="1" x14ac:dyDescent="0.25">
      <c r="A266" s="180"/>
      <c r="B266" s="179"/>
      <c r="C266" s="177"/>
      <c r="D266" s="673"/>
      <c r="E266" s="673"/>
      <c r="F266" s="673"/>
      <c r="G266" s="673"/>
      <c r="H266" s="682">
        <f t="shared" si="32"/>
        <v>0</v>
      </c>
    </row>
    <row r="267" spans="1:9" customFormat="1" ht="13" x14ac:dyDescent="0.25">
      <c r="A267" s="180"/>
      <c r="B267" s="642" t="s">
        <v>684</v>
      </c>
      <c r="C267" s="677" t="s">
        <v>411</v>
      </c>
      <c r="D267" s="678"/>
      <c r="E267" s="678"/>
      <c r="F267" s="678"/>
      <c r="G267" s="678"/>
      <c r="H267" s="674">
        <f>SUM(H263:H266)</f>
        <v>42.5</v>
      </c>
      <c r="I267" s="684"/>
    </row>
    <row r="268" spans="1:9" customFormat="1" ht="13" x14ac:dyDescent="0.25">
      <c r="A268" s="180"/>
      <c r="B268" s="179"/>
      <c r="C268" s="177"/>
      <c r="D268" s="673"/>
      <c r="E268" s="673"/>
      <c r="F268" s="673"/>
      <c r="G268" s="673"/>
      <c r="H268" s="675"/>
    </row>
    <row r="269" spans="1:9" ht="48" x14ac:dyDescent="0.25">
      <c r="A269" s="180">
        <v>2.2999999999999998</v>
      </c>
      <c r="B269" s="179" t="s">
        <v>436</v>
      </c>
      <c r="C269" s="177" t="s">
        <v>403</v>
      </c>
      <c r="D269" s="479">
        <v>1</v>
      </c>
      <c r="E269" s="479"/>
      <c r="F269" s="479"/>
      <c r="G269" s="479"/>
      <c r="H269" s="674">
        <f t="shared" ref="H269" si="33">PRODUCT(D269:G269)</f>
        <v>1</v>
      </c>
    </row>
    <row r="270" spans="1:9" ht="13" x14ac:dyDescent="0.3">
      <c r="A270" s="195"/>
      <c r="B270" s="198"/>
      <c r="C270" s="197"/>
      <c r="D270" s="479"/>
      <c r="E270" s="479"/>
      <c r="F270" s="479"/>
      <c r="G270" s="479"/>
      <c r="H270" s="471"/>
    </row>
    <row r="271" spans="1:9" x14ac:dyDescent="0.25">
      <c r="A271" s="180">
        <v>3</v>
      </c>
      <c r="B271" s="178" t="s">
        <v>437</v>
      </c>
      <c r="C271" s="177"/>
      <c r="D271" s="479"/>
      <c r="E271" s="479"/>
      <c r="F271" s="479"/>
      <c r="G271" s="479"/>
      <c r="H271" s="471"/>
    </row>
    <row r="272" spans="1:9" ht="13" x14ac:dyDescent="0.25">
      <c r="A272" s="180">
        <f>A271+0.1</f>
        <v>3.1</v>
      </c>
      <c r="B272" s="179" t="s">
        <v>438</v>
      </c>
      <c r="C272" s="177" t="s">
        <v>411</v>
      </c>
      <c r="D272" s="479"/>
      <c r="E272" s="479"/>
      <c r="F272" s="479"/>
      <c r="G272" s="479"/>
      <c r="H272" s="602"/>
    </row>
    <row r="273" spans="1:8" customFormat="1" x14ac:dyDescent="0.25">
      <c r="A273" s="180"/>
      <c r="B273" s="179" t="s">
        <v>959</v>
      </c>
      <c r="C273" s="177" t="s">
        <v>411</v>
      </c>
      <c r="D273" s="673">
        <v>11</v>
      </c>
      <c r="E273" s="673"/>
      <c r="F273" s="673"/>
      <c r="G273" s="673"/>
      <c r="H273" s="682">
        <f t="shared" ref="H273:H285" si="34">PRODUCT(D273:G273)</f>
        <v>11</v>
      </c>
    </row>
    <row r="274" spans="1:8" customFormat="1" x14ac:dyDescent="0.25">
      <c r="A274" s="180"/>
      <c r="B274" s="179" t="s">
        <v>960</v>
      </c>
      <c r="C274" s="177" t="s">
        <v>411</v>
      </c>
      <c r="D274" s="673">
        <v>15.7</v>
      </c>
      <c r="E274" s="673"/>
      <c r="F274" s="673"/>
      <c r="G274" s="673"/>
      <c r="H274" s="682">
        <f t="shared" si="34"/>
        <v>15.7</v>
      </c>
    </row>
    <row r="275" spans="1:8" customFormat="1" x14ac:dyDescent="0.25">
      <c r="A275" s="180"/>
      <c r="B275" s="179" t="s">
        <v>959</v>
      </c>
      <c r="C275" s="177" t="s">
        <v>411</v>
      </c>
      <c r="D275" s="673">
        <v>10.5</v>
      </c>
      <c r="E275" s="673"/>
      <c r="F275" s="673"/>
      <c r="G275" s="673"/>
      <c r="H275" s="682">
        <f t="shared" si="34"/>
        <v>10.5</v>
      </c>
    </row>
    <row r="276" spans="1:8" customFormat="1" x14ac:dyDescent="0.25">
      <c r="A276" s="180"/>
      <c r="B276" s="179" t="s">
        <v>961</v>
      </c>
      <c r="C276" s="177" t="s">
        <v>411</v>
      </c>
      <c r="D276" s="673">
        <v>14</v>
      </c>
      <c r="E276" s="673"/>
      <c r="F276" s="673"/>
      <c r="G276" s="673"/>
      <c r="H276" s="682">
        <f t="shared" si="34"/>
        <v>14</v>
      </c>
    </row>
    <row r="277" spans="1:8" customFormat="1" x14ac:dyDescent="0.25">
      <c r="A277" s="180"/>
      <c r="B277" s="179" t="s">
        <v>962</v>
      </c>
      <c r="C277" s="177" t="s">
        <v>411</v>
      </c>
      <c r="D277" s="673">
        <v>22.5</v>
      </c>
      <c r="E277" s="673"/>
      <c r="F277" s="673"/>
      <c r="G277" s="673"/>
      <c r="H277" s="682">
        <f t="shared" si="34"/>
        <v>22.5</v>
      </c>
    </row>
    <row r="278" spans="1:8" customFormat="1" x14ac:dyDescent="0.25">
      <c r="A278" s="180"/>
      <c r="B278" s="179" t="s">
        <v>713</v>
      </c>
      <c r="C278" s="177" t="s">
        <v>411</v>
      </c>
      <c r="D278" s="673">
        <v>36</v>
      </c>
      <c r="E278" s="673"/>
      <c r="F278" s="673"/>
      <c r="G278" s="673"/>
      <c r="H278" s="682">
        <f t="shared" si="34"/>
        <v>36</v>
      </c>
    </row>
    <row r="279" spans="1:8" customFormat="1" x14ac:dyDescent="0.25">
      <c r="A279" s="180"/>
      <c r="B279" s="179" t="s">
        <v>63</v>
      </c>
      <c r="C279" s="177" t="s">
        <v>411</v>
      </c>
      <c r="D279" s="673">
        <v>40</v>
      </c>
      <c r="E279" s="673"/>
      <c r="F279" s="673"/>
      <c r="G279" s="673"/>
      <c r="H279" s="682">
        <f t="shared" si="34"/>
        <v>40</v>
      </c>
    </row>
    <row r="280" spans="1:8" customFormat="1" x14ac:dyDescent="0.25">
      <c r="A280" s="180"/>
      <c r="B280" s="179" t="s">
        <v>928</v>
      </c>
      <c r="C280" s="177" t="s">
        <v>411</v>
      </c>
      <c r="D280" s="673">
        <v>26</v>
      </c>
      <c r="E280" s="673"/>
      <c r="F280" s="673"/>
      <c r="G280" s="673"/>
      <c r="H280" s="682">
        <f t="shared" si="34"/>
        <v>26</v>
      </c>
    </row>
    <row r="281" spans="1:8" customFormat="1" x14ac:dyDescent="0.25">
      <c r="A281" s="180"/>
      <c r="B281" s="179" t="s">
        <v>963</v>
      </c>
      <c r="C281" s="177" t="s">
        <v>411</v>
      </c>
      <c r="D281" s="673">
        <v>24.5</v>
      </c>
      <c r="E281" s="673"/>
      <c r="F281" s="673"/>
      <c r="G281" s="673"/>
      <c r="H281" s="682">
        <f t="shared" si="34"/>
        <v>24.5</v>
      </c>
    </row>
    <row r="282" spans="1:8" customFormat="1" x14ac:dyDescent="0.25">
      <c r="A282" s="180"/>
      <c r="B282" s="179" t="s">
        <v>964</v>
      </c>
      <c r="C282" s="177" t="s">
        <v>411</v>
      </c>
      <c r="D282" s="673">
        <v>75</v>
      </c>
      <c r="E282" s="673"/>
      <c r="F282" s="673"/>
      <c r="G282" s="673"/>
      <c r="H282" s="682">
        <f t="shared" si="34"/>
        <v>75</v>
      </c>
    </row>
    <row r="283" spans="1:8" customFormat="1" x14ac:dyDescent="0.25">
      <c r="A283" s="180"/>
      <c r="B283" s="179" t="s">
        <v>965</v>
      </c>
      <c r="C283" s="177" t="s">
        <v>411</v>
      </c>
      <c r="D283" s="673">
        <v>72</v>
      </c>
      <c r="E283" s="673"/>
      <c r="F283" s="673"/>
      <c r="G283" s="673"/>
      <c r="H283" s="682">
        <f t="shared" si="34"/>
        <v>72</v>
      </c>
    </row>
    <row r="284" spans="1:8" customFormat="1" x14ac:dyDescent="0.25">
      <c r="A284" s="180"/>
      <c r="B284" s="179" t="s">
        <v>966</v>
      </c>
      <c r="C284" s="177" t="s">
        <v>411</v>
      </c>
      <c r="D284" s="673">
        <v>30</v>
      </c>
      <c r="E284" s="673"/>
      <c r="F284" s="673"/>
      <c r="G284" s="673"/>
      <c r="H284" s="682">
        <f t="shared" si="34"/>
        <v>30</v>
      </c>
    </row>
    <row r="285" spans="1:8" customFormat="1" x14ac:dyDescent="0.25">
      <c r="A285" s="180"/>
      <c r="B285" s="179"/>
      <c r="C285" s="177"/>
      <c r="D285" s="673"/>
      <c r="E285" s="673"/>
      <c r="F285" s="673"/>
      <c r="G285" s="673"/>
      <c r="H285" s="682">
        <f t="shared" si="34"/>
        <v>0</v>
      </c>
    </row>
    <row r="286" spans="1:8" customFormat="1" ht="13" x14ac:dyDescent="0.25">
      <c r="A286" s="180"/>
      <c r="B286" s="642" t="s">
        <v>684</v>
      </c>
      <c r="C286" s="677" t="s">
        <v>411</v>
      </c>
      <c r="D286" s="678"/>
      <c r="E286" s="678"/>
      <c r="F286" s="678"/>
      <c r="G286" s="678"/>
      <c r="H286" s="674">
        <f>SUM(H273:H285)</f>
        <v>377.2</v>
      </c>
    </row>
    <row r="287" spans="1:8" customFormat="1" ht="13" x14ac:dyDescent="0.25">
      <c r="A287" s="180"/>
      <c r="B287" s="179"/>
      <c r="C287" s="177"/>
      <c r="D287" s="673"/>
      <c r="E287" s="673"/>
      <c r="F287" s="673"/>
      <c r="G287" s="673"/>
      <c r="H287" s="675"/>
    </row>
    <row r="288" spans="1:8" ht="13" x14ac:dyDescent="0.25">
      <c r="A288" s="180">
        <f>A272+0.1</f>
        <v>3.2</v>
      </c>
      <c r="B288" s="179" t="s">
        <v>439</v>
      </c>
      <c r="C288" s="177" t="s">
        <v>411</v>
      </c>
      <c r="D288" s="479"/>
      <c r="E288" s="479"/>
      <c r="F288" s="479"/>
      <c r="G288" s="479"/>
      <c r="H288" s="602"/>
    </row>
    <row r="289" spans="1:10" customFormat="1" x14ac:dyDescent="0.25">
      <c r="A289" s="180"/>
      <c r="B289" s="179" t="s">
        <v>959</v>
      </c>
      <c r="C289" s="177" t="s">
        <v>411</v>
      </c>
      <c r="D289" s="673">
        <v>4.82</v>
      </c>
      <c r="E289" s="673"/>
      <c r="F289" s="673"/>
      <c r="G289" s="673"/>
      <c r="H289" s="682">
        <f t="shared" ref="H289:H301" si="35">PRODUCT(D289:G289)</f>
        <v>4.82</v>
      </c>
      <c r="I289" s="685"/>
    </row>
    <row r="290" spans="1:10" customFormat="1" x14ac:dyDescent="0.25">
      <c r="A290" s="180"/>
      <c r="B290" s="179" t="s">
        <v>960</v>
      </c>
      <c r="C290" s="177" t="s">
        <v>411</v>
      </c>
      <c r="D290" s="673">
        <v>9.52</v>
      </c>
      <c r="E290" s="673"/>
      <c r="F290" s="673"/>
      <c r="G290" s="673"/>
      <c r="H290" s="682">
        <f t="shared" si="35"/>
        <v>9.52</v>
      </c>
      <c r="I290" s="685"/>
    </row>
    <row r="291" spans="1:10" customFormat="1" x14ac:dyDescent="0.25">
      <c r="A291" s="180"/>
      <c r="B291" s="179" t="s">
        <v>959</v>
      </c>
      <c r="C291" s="177" t="s">
        <v>411</v>
      </c>
      <c r="D291" s="673">
        <v>4.32</v>
      </c>
      <c r="E291" s="673"/>
      <c r="F291" s="673"/>
      <c r="G291" s="673"/>
      <c r="H291" s="682">
        <f t="shared" si="35"/>
        <v>4.32</v>
      </c>
      <c r="I291" s="685"/>
    </row>
    <row r="292" spans="1:10" customFormat="1" x14ac:dyDescent="0.25">
      <c r="A292" s="180"/>
      <c r="B292" s="179" t="s">
        <v>967</v>
      </c>
      <c r="C292" s="177" t="s">
        <v>411</v>
      </c>
      <c r="D292" s="673">
        <v>7.82</v>
      </c>
      <c r="E292" s="673"/>
      <c r="F292" s="673"/>
      <c r="G292" s="673"/>
      <c r="H292" s="682">
        <f t="shared" si="35"/>
        <v>7.82</v>
      </c>
      <c r="I292" s="685"/>
    </row>
    <row r="293" spans="1:10" customFormat="1" x14ac:dyDescent="0.25">
      <c r="A293" s="180"/>
      <c r="B293" s="179" t="s">
        <v>967</v>
      </c>
      <c r="C293" s="177" t="s">
        <v>411</v>
      </c>
      <c r="D293" s="673">
        <v>16.82</v>
      </c>
      <c r="E293" s="673"/>
      <c r="F293" s="673"/>
      <c r="G293" s="673"/>
      <c r="H293" s="682">
        <f t="shared" si="35"/>
        <v>16.82</v>
      </c>
      <c r="I293" s="685"/>
    </row>
    <row r="294" spans="1:10" customFormat="1" x14ac:dyDescent="0.25">
      <c r="A294" s="180"/>
      <c r="B294" s="179" t="s">
        <v>713</v>
      </c>
      <c r="C294" s="177" t="s">
        <v>411</v>
      </c>
      <c r="D294" s="673">
        <v>34.82</v>
      </c>
      <c r="E294" s="673"/>
      <c r="F294" s="673"/>
      <c r="G294" s="673"/>
      <c r="H294" s="682">
        <f t="shared" si="35"/>
        <v>34.82</v>
      </c>
      <c r="I294" s="685"/>
    </row>
    <row r="295" spans="1:10" customFormat="1" x14ac:dyDescent="0.25">
      <c r="A295" s="180"/>
      <c r="B295" s="179" t="s">
        <v>63</v>
      </c>
      <c r="C295" s="177" t="s">
        <v>411</v>
      </c>
      <c r="D295" s="673">
        <v>30.32</v>
      </c>
      <c r="E295" s="673"/>
      <c r="F295" s="673"/>
      <c r="G295" s="673"/>
      <c r="H295" s="682">
        <f t="shared" si="35"/>
        <v>30.32</v>
      </c>
      <c r="I295" s="685"/>
    </row>
    <row r="296" spans="1:10" customFormat="1" x14ac:dyDescent="0.25">
      <c r="A296" s="180"/>
      <c r="B296" s="179" t="s">
        <v>928</v>
      </c>
      <c r="C296" s="177" t="s">
        <v>411</v>
      </c>
      <c r="D296" s="673">
        <v>20.32</v>
      </c>
      <c r="E296" s="673"/>
      <c r="F296" s="673"/>
      <c r="G296" s="673"/>
      <c r="H296" s="682">
        <f t="shared" si="35"/>
        <v>20.32</v>
      </c>
      <c r="I296" s="685"/>
    </row>
    <row r="297" spans="1:10" customFormat="1" x14ac:dyDescent="0.25">
      <c r="A297" s="180"/>
      <c r="B297" s="179" t="s">
        <v>968</v>
      </c>
      <c r="C297" s="177" t="s">
        <v>411</v>
      </c>
      <c r="D297" s="673">
        <v>18.32</v>
      </c>
      <c r="E297" s="673"/>
      <c r="F297" s="673"/>
      <c r="G297" s="673"/>
      <c r="H297" s="682">
        <f t="shared" si="35"/>
        <v>18.32</v>
      </c>
      <c r="I297" s="685"/>
    </row>
    <row r="298" spans="1:10" customFormat="1" x14ac:dyDescent="0.25">
      <c r="A298" s="180"/>
      <c r="B298" s="179" t="s">
        <v>964</v>
      </c>
      <c r="C298" s="177" t="s">
        <v>411</v>
      </c>
      <c r="D298" s="673">
        <v>87.32</v>
      </c>
      <c r="E298" s="673"/>
      <c r="F298" s="673"/>
      <c r="G298" s="673"/>
      <c r="H298" s="682">
        <f t="shared" si="35"/>
        <v>87.32</v>
      </c>
      <c r="I298" s="685"/>
    </row>
    <row r="299" spans="1:10" customFormat="1" x14ac:dyDescent="0.25">
      <c r="A299" s="180"/>
      <c r="B299" s="179" t="s">
        <v>965</v>
      </c>
      <c r="C299" s="177" t="s">
        <v>411</v>
      </c>
      <c r="D299" s="673">
        <v>86.32</v>
      </c>
      <c r="E299" s="673"/>
      <c r="F299" s="673"/>
      <c r="G299" s="673"/>
      <c r="H299" s="682">
        <f t="shared" si="35"/>
        <v>86.32</v>
      </c>
      <c r="I299" s="685"/>
    </row>
    <row r="300" spans="1:10" customFormat="1" x14ac:dyDescent="0.25">
      <c r="A300" s="180"/>
      <c r="B300" s="179" t="s">
        <v>63</v>
      </c>
      <c r="C300" s="177" t="s">
        <v>411</v>
      </c>
      <c r="D300" s="673">
        <v>24.32</v>
      </c>
      <c r="E300" s="673"/>
      <c r="F300" s="673"/>
      <c r="G300" s="673"/>
      <c r="H300" s="682">
        <f t="shared" si="35"/>
        <v>24.32</v>
      </c>
      <c r="I300" s="685"/>
    </row>
    <row r="301" spans="1:10" customFormat="1" x14ac:dyDescent="0.25">
      <c r="A301" s="180"/>
      <c r="B301" s="179"/>
      <c r="C301" s="177"/>
      <c r="D301" s="673"/>
      <c r="E301" s="673"/>
      <c r="F301" s="673"/>
      <c r="G301" s="673"/>
      <c r="H301" s="682">
        <f t="shared" si="35"/>
        <v>0</v>
      </c>
      <c r="I301" s="685"/>
    </row>
    <row r="302" spans="1:10" customFormat="1" ht="13" x14ac:dyDescent="0.25">
      <c r="A302" s="180"/>
      <c r="B302" s="642" t="s">
        <v>684</v>
      </c>
      <c r="C302" s="677" t="s">
        <v>411</v>
      </c>
      <c r="D302" s="678"/>
      <c r="E302" s="678"/>
      <c r="F302" s="678"/>
      <c r="G302" s="678"/>
      <c r="H302" s="674">
        <f>SUM(H289:H301)</f>
        <v>345.03999999999996</v>
      </c>
      <c r="I302" s="686"/>
      <c r="J302" s="684"/>
    </row>
    <row r="303" spans="1:10" customFormat="1" ht="13" x14ac:dyDescent="0.25">
      <c r="A303" s="180"/>
      <c r="B303" s="179"/>
      <c r="C303" s="177"/>
      <c r="D303" s="673"/>
      <c r="E303" s="673"/>
      <c r="F303" s="673"/>
      <c r="G303" s="673"/>
      <c r="H303" s="675"/>
      <c r="I303" s="686"/>
    </row>
    <row r="304" spans="1:10" ht="72" x14ac:dyDescent="0.25">
      <c r="A304" s="180">
        <f>A288+0.1</f>
        <v>3.3000000000000003</v>
      </c>
      <c r="B304" s="179" t="s">
        <v>608</v>
      </c>
      <c r="C304" s="177" t="s">
        <v>111</v>
      </c>
      <c r="D304" s="479"/>
      <c r="E304" s="479"/>
      <c r="F304" s="479"/>
      <c r="G304" s="479"/>
      <c r="H304" s="602"/>
    </row>
  </sheetData>
  <protectedRanges>
    <protectedRange sqref="F1" name="Range1"/>
  </protectedRanges>
  <mergeCells count="5">
    <mergeCell ref="A1:H1"/>
    <mergeCell ref="A2:A3"/>
    <mergeCell ref="B2:B3"/>
    <mergeCell ref="C2:C3"/>
    <mergeCell ref="D2:H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69"/>
  <sheetViews>
    <sheetView topLeftCell="A49" zoomScaleSheetLayoutView="100" workbookViewId="0">
      <selection activeCell="K42" sqref="K42"/>
    </sheetView>
  </sheetViews>
  <sheetFormatPr defaultColWidth="9.1796875" defaultRowHeight="12" x14ac:dyDescent="0.3"/>
  <cols>
    <col min="1" max="1" width="4.453125" style="74" bestFit="1" customWidth="1"/>
    <col min="2" max="2" width="54.81640625" style="75" customWidth="1"/>
    <col min="3" max="3" width="6.453125" style="74" bestFit="1" customWidth="1"/>
    <col min="4" max="4" width="8.453125" style="268" bestFit="1" customWidth="1"/>
    <col min="5" max="5" width="9.453125" style="268" bestFit="1" customWidth="1"/>
    <col min="6" max="6" width="11" style="269" customWidth="1"/>
    <col min="7" max="7" width="10" style="268" bestFit="1" customWidth="1"/>
    <col min="8" max="8" width="11" style="82" customWidth="1"/>
    <col min="9" max="9" width="11" style="269" customWidth="1"/>
    <col min="10" max="10" width="11" style="82" customWidth="1"/>
    <col min="11" max="11" width="11" style="269" customWidth="1"/>
    <col min="12" max="12" width="10" style="269" bestFit="1" customWidth="1"/>
    <col min="13" max="13" width="9.1796875" style="269"/>
    <col min="14" max="14" width="12.453125" style="269" bestFit="1" customWidth="1"/>
    <col min="15" max="16384" width="9.1796875" style="73"/>
  </cols>
  <sheetData>
    <row r="1" spans="1:15" s="356" customFormat="1" ht="18" customHeight="1" x14ac:dyDescent="0.3">
      <c r="A1" s="766" t="s">
        <v>654</v>
      </c>
      <c r="B1" s="767"/>
      <c r="C1" s="767"/>
      <c r="D1" s="767"/>
      <c r="E1" s="767"/>
      <c r="F1" s="767"/>
      <c r="G1" s="767"/>
      <c r="H1" s="767"/>
      <c r="I1" s="767"/>
      <c r="J1" s="767"/>
      <c r="K1" s="767"/>
      <c r="L1" s="767"/>
      <c r="M1" s="767"/>
      <c r="N1" s="767"/>
      <c r="O1" s="767"/>
    </row>
    <row r="2" spans="1:15" s="356" customFormat="1" ht="18" customHeight="1" x14ac:dyDescent="0.3">
      <c r="A2" s="766" t="s">
        <v>666</v>
      </c>
      <c r="B2" s="767"/>
      <c r="C2" s="767"/>
      <c r="D2" s="767"/>
      <c r="E2" s="767"/>
      <c r="F2" s="767"/>
      <c r="G2" s="767"/>
      <c r="H2" s="767"/>
      <c r="I2" s="767"/>
      <c r="J2" s="767"/>
      <c r="K2" s="767"/>
      <c r="L2" s="767"/>
      <c r="M2" s="767"/>
      <c r="N2" s="767"/>
      <c r="O2" s="767"/>
    </row>
    <row r="3" spans="1:15" s="356" customFormat="1" ht="18" customHeight="1" x14ac:dyDescent="0.3">
      <c r="A3" s="766" t="s">
        <v>653</v>
      </c>
      <c r="B3" s="767"/>
      <c r="C3" s="767"/>
      <c r="D3" s="767"/>
      <c r="E3" s="767"/>
      <c r="F3" s="767"/>
      <c r="G3" s="767"/>
      <c r="H3" s="767"/>
      <c r="I3" s="767"/>
      <c r="J3" s="767"/>
      <c r="K3" s="767"/>
      <c r="L3" s="767"/>
      <c r="M3" s="767"/>
      <c r="N3" s="767"/>
      <c r="O3" s="767"/>
    </row>
    <row r="4" spans="1:15" s="356" customFormat="1" ht="18" customHeight="1" x14ac:dyDescent="0.3">
      <c r="A4" s="766" t="s">
        <v>657</v>
      </c>
      <c r="B4" s="767"/>
      <c r="C4" s="767"/>
      <c r="D4" s="767"/>
      <c r="E4" s="767"/>
      <c r="F4" s="767"/>
      <c r="G4" s="767"/>
      <c r="H4" s="767"/>
      <c r="I4" s="767"/>
      <c r="J4" s="767"/>
      <c r="K4" s="767"/>
      <c r="L4" s="767"/>
      <c r="M4" s="767"/>
      <c r="N4" s="767"/>
      <c r="O4" s="767"/>
    </row>
    <row r="5" spans="1:15" s="356" customFormat="1" ht="18" customHeight="1" x14ac:dyDescent="0.3">
      <c r="A5" s="764" t="s">
        <v>746</v>
      </c>
      <c r="B5" s="765"/>
      <c r="C5" s="765"/>
      <c r="D5" s="765"/>
      <c r="E5" s="765"/>
      <c r="F5" s="765"/>
      <c r="G5" s="765"/>
      <c r="H5" s="765"/>
      <c r="I5" s="765"/>
      <c r="J5" s="765"/>
      <c r="K5" s="765"/>
      <c r="L5" s="765"/>
      <c r="M5" s="765"/>
      <c r="N5" s="765"/>
      <c r="O5" s="765"/>
    </row>
    <row r="6" spans="1:15" s="56" customFormat="1" x14ac:dyDescent="0.3">
      <c r="A6" s="771" t="s">
        <v>8</v>
      </c>
      <c r="B6" s="771" t="s">
        <v>9</v>
      </c>
      <c r="C6" s="775" t="s">
        <v>10</v>
      </c>
      <c r="D6" s="768" t="s">
        <v>650</v>
      </c>
      <c r="E6" s="769"/>
      <c r="F6" s="770"/>
      <c r="G6" s="768" t="s">
        <v>651</v>
      </c>
      <c r="H6" s="769"/>
      <c r="I6" s="769"/>
      <c r="J6" s="769"/>
      <c r="K6" s="770"/>
      <c r="L6" s="768" t="s">
        <v>652</v>
      </c>
      <c r="M6" s="769"/>
      <c r="N6" s="770"/>
      <c r="O6" s="775" t="s">
        <v>661</v>
      </c>
    </row>
    <row r="7" spans="1:15" s="56" customFormat="1" x14ac:dyDescent="0.3">
      <c r="A7" s="772"/>
      <c r="B7" s="772"/>
      <c r="C7" s="776"/>
      <c r="D7" s="225" t="s">
        <v>16</v>
      </c>
      <c r="E7" s="225" t="s">
        <v>15</v>
      </c>
      <c r="F7" s="225" t="s">
        <v>11</v>
      </c>
      <c r="G7" s="225" t="s">
        <v>645</v>
      </c>
      <c r="H7" s="348" t="s">
        <v>648</v>
      </c>
      <c r="I7" s="225" t="s">
        <v>646</v>
      </c>
      <c r="J7" s="225" t="s">
        <v>647</v>
      </c>
      <c r="K7" s="348" t="s">
        <v>649</v>
      </c>
      <c r="L7" s="225" t="s">
        <v>645</v>
      </c>
      <c r="M7" s="225" t="s">
        <v>646</v>
      </c>
      <c r="N7" s="225" t="s">
        <v>647</v>
      </c>
      <c r="O7" s="776"/>
    </row>
    <row r="8" spans="1:15" x14ac:dyDescent="0.3">
      <c r="A8" s="203" t="s">
        <v>158</v>
      </c>
      <c r="B8" s="204" t="s">
        <v>491</v>
      </c>
      <c r="C8" s="205"/>
      <c r="D8" s="259"/>
      <c r="E8" s="259"/>
      <c r="F8" s="262"/>
      <c r="G8" s="259"/>
      <c r="H8" s="83"/>
      <c r="I8" s="262"/>
      <c r="J8" s="83"/>
      <c r="K8" s="262"/>
      <c r="L8" s="261"/>
      <c r="M8" s="261"/>
      <c r="N8" s="261"/>
      <c r="O8" s="270"/>
    </row>
    <row r="9" spans="1:15" x14ac:dyDescent="0.3">
      <c r="A9" s="206"/>
      <c r="B9" s="204" t="s">
        <v>492</v>
      </c>
      <c r="C9" s="205"/>
      <c r="D9" s="259"/>
      <c r="E9" s="259"/>
      <c r="F9" s="262"/>
      <c r="G9" s="259"/>
      <c r="H9" s="83"/>
      <c r="I9" s="262"/>
      <c r="J9" s="83"/>
      <c r="K9" s="262"/>
      <c r="L9" s="261"/>
      <c r="M9" s="261"/>
      <c r="N9" s="261"/>
      <c r="O9" s="270"/>
    </row>
    <row r="10" spans="1:15" x14ac:dyDescent="0.3">
      <c r="A10" s="206"/>
      <c r="B10" s="207"/>
      <c r="C10" s="206"/>
      <c r="D10" s="263"/>
      <c r="E10" s="259"/>
      <c r="F10" s="262"/>
      <c r="G10" s="259"/>
      <c r="H10" s="83"/>
      <c r="I10" s="262"/>
      <c r="J10" s="83"/>
      <c r="K10" s="262"/>
      <c r="L10" s="261"/>
      <c r="M10" s="261"/>
      <c r="N10" s="261"/>
      <c r="O10" s="270"/>
    </row>
    <row r="11" spans="1:15" ht="108" x14ac:dyDescent="0.3">
      <c r="A11" s="206">
        <v>1</v>
      </c>
      <c r="B11" s="179" t="s">
        <v>610</v>
      </c>
      <c r="C11" s="206"/>
      <c r="D11" s="259"/>
      <c r="E11" s="259"/>
      <c r="F11" s="262"/>
      <c r="G11" s="259"/>
      <c r="H11" s="83"/>
      <c r="I11" s="262"/>
      <c r="J11" s="83"/>
      <c r="K11" s="262"/>
      <c r="L11" s="261"/>
      <c r="M11" s="261"/>
      <c r="N11" s="261"/>
      <c r="O11" s="270"/>
    </row>
    <row r="12" spans="1:15" x14ac:dyDescent="0.3">
      <c r="A12" s="206" t="s">
        <v>493</v>
      </c>
      <c r="B12" s="207" t="s">
        <v>494</v>
      </c>
      <c r="C12" s="208" t="s">
        <v>347</v>
      </c>
      <c r="D12" s="662">
        <v>85</v>
      </c>
      <c r="E12" s="662">
        <v>1021</v>
      </c>
      <c r="F12" s="262">
        <f>$D12*E12</f>
        <v>86785</v>
      </c>
      <c r="G12" s="259">
        <f>D12</f>
        <v>85</v>
      </c>
      <c r="H12" s="83">
        <v>0.95</v>
      </c>
      <c r="I12" s="262">
        <f>J12-G12</f>
        <v>-26</v>
      </c>
      <c r="J12" s="259">
        <f>'Phe Mb'!H15</f>
        <v>59</v>
      </c>
      <c r="K12" s="83">
        <v>1</v>
      </c>
      <c r="L12" s="261">
        <f>E12*G12*H12</f>
        <v>82445.75</v>
      </c>
      <c r="M12" s="261">
        <f>N12-L12</f>
        <v>-22206.75</v>
      </c>
      <c r="N12" s="261">
        <f>E12*J12*K12</f>
        <v>60239</v>
      </c>
      <c r="O12" s="270"/>
    </row>
    <row r="13" spans="1:15" x14ac:dyDescent="0.3">
      <c r="A13" s="206" t="s">
        <v>495</v>
      </c>
      <c r="B13" s="207" t="s">
        <v>496</v>
      </c>
      <c r="C13" s="208" t="s">
        <v>347</v>
      </c>
      <c r="D13" s="662">
        <v>0</v>
      </c>
      <c r="E13" s="662">
        <v>1433</v>
      </c>
      <c r="F13" s="262"/>
      <c r="G13" s="259">
        <v>0</v>
      </c>
      <c r="H13" s="83">
        <v>0</v>
      </c>
      <c r="I13" s="262">
        <f t="shared" ref="I13:I66" si="0">J13-G13</f>
        <v>0</v>
      </c>
      <c r="J13" s="259"/>
      <c r="K13" s="83"/>
      <c r="L13" s="261">
        <f t="shared" ref="L13:L66" si="1">E13*G13*H13</f>
        <v>0</v>
      </c>
      <c r="M13" s="261">
        <f t="shared" ref="M13:M66" si="2">N13-L13</f>
        <v>0</v>
      </c>
      <c r="N13" s="261">
        <f t="shared" ref="N13:N66" si="3">E13*J13*K13</f>
        <v>0</v>
      </c>
      <c r="O13" s="270"/>
    </row>
    <row r="14" spans="1:15" x14ac:dyDescent="0.3">
      <c r="A14" s="206"/>
      <c r="B14" s="207"/>
      <c r="C14" s="206"/>
      <c r="D14" s="662"/>
      <c r="E14" s="662"/>
      <c r="F14" s="262"/>
      <c r="G14" s="259"/>
      <c r="H14" s="83"/>
      <c r="I14" s="262"/>
      <c r="J14" s="259"/>
      <c r="K14" s="83"/>
      <c r="L14" s="261"/>
      <c r="M14" s="261"/>
      <c r="N14" s="261"/>
      <c r="O14" s="270"/>
    </row>
    <row r="15" spans="1:15" ht="48" x14ac:dyDescent="0.3">
      <c r="A15" s="206">
        <v>2</v>
      </c>
      <c r="B15" s="207" t="s">
        <v>611</v>
      </c>
      <c r="C15" s="209"/>
      <c r="D15" s="662"/>
      <c r="E15" s="662"/>
      <c r="F15" s="262"/>
      <c r="G15" s="259">
        <f t="shared" ref="G15" si="4">D15</f>
        <v>0</v>
      </c>
      <c r="H15" s="83"/>
      <c r="I15" s="262">
        <f t="shared" si="0"/>
        <v>0</v>
      </c>
      <c r="J15" s="259"/>
      <c r="K15" s="83"/>
      <c r="L15" s="261">
        <f t="shared" si="1"/>
        <v>0</v>
      </c>
      <c r="M15" s="261">
        <f t="shared" si="2"/>
        <v>0</v>
      </c>
      <c r="N15" s="261">
        <f t="shared" si="3"/>
        <v>0</v>
      </c>
      <c r="O15" s="270"/>
    </row>
    <row r="16" spans="1:15" x14ac:dyDescent="0.3">
      <c r="A16" s="206" t="s">
        <v>493</v>
      </c>
      <c r="B16" s="210" t="s">
        <v>497</v>
      </c>
      <c r="C16" s="208" t="s">
        <v>347</v>
      </c>
      <c r="D16" s="662">
        <v>0</v>
      </c>
      <c r="E16" s="662">
        <v>497</v>
      </c>
      <c r="F16" s="262"/>
      <c r="G16" s="259">
        <v>0</v>
      </c>
      <c r="H16" s="83">
        <v>0</v>
      </c>
      <c r="I16" s="262">
        <f t="shared" si="0"/>
        <v>0</v>
      </c>
      <c r="J16" s="259"/>
      <c r="K16" s="83"/>
      <c r="L16" s="261">
        <f t="shared" si="1"/>
        <v>0</v>
      </c>
      <c r="M16" s="261">
        <f t="shared" si="2"/>
        <v>0</v>
      </c>
      <c r="N16" s="261">
        <f t="shared" si="3"/>
        <v>0</v>
      </c>
      <c r="O16" s="270"/>
    </row>
    <row r="17" spans="1:15" x14ac:dyDescent="0.3">
      <c r="A17" s="206" t="s">
        <v>495</v>
      </c>
      <c r="B17" s="210" t="s">
        <v>498</v>
      </c>
      <c r="C17" s="208" t="s">
        <v>347</v>
      </c>
      <c r="D17" s="664">
        <v>10</v>
      </c>
      <c r="E17" s="662">
        <v>612</v>
      </c>
      <c r="F17" s="262">
        <f>$D17*E17</f>
        <v>6120</v>
      </c>
      <c r="G17" s="259">
        <f t="shared" ref="G17" si="5">D17</f>
        <v>10</v>
      </c>
      <c r="H17" s="83">
        <v>0.95</v>
      </c>
      <c r="I17" s="262">
        <f t="shared" si="0"/>
        <v>0</v>
      </c>
      <c r="J17" s="259">
        <f>'Phe Mb'!H21</f>
        <v>10</v>
      </c>
      <c r="K17" s="83">
        <v>1</v>
      </c>
      <c r="L17" s="261">
        <f t="shared" si="1"/>
        <v>5814</v>
      </c>
      <c r="M17" s="261">
        <f t="shared" si="2"/>
        <v>306</v>
      </c>
      <c r="N17" s="261">
        <f t="shared" si="3"/>
        <v>6120</v>
      </c>
      <c r="O17" s="270"/>
    </row>
    <row r="18" spans="1:15" x14ac:dyDescent="0.3">
      <c r="A18" s="206" t="s">
        <v>499</v>
      </c>
      <c r="B18" s="210" t="s">
        <v>500</v>
      </c>
      <c r="C18" s="208" t="s">
        <v>347</v>
      </c>
      <c r="D18" s="662">
        <v>0</v>
      </c>
      <c r="E18" s="662">
        <v>712</v>
      </c>
      <c r="F18" s="262"/>
      <c r="G18" s="259">
        <v>0</v>
      </c>
      <c r="H18" s="83">
        <v>0</v>
      </c>
      <c r="I18" s="262">
        <f t="shared" si="0"/>
        <v>0</v>
      </c>
      <c r="J18" s="259"/>
      <c r="K18" s="83"/>
      <c r="L18" s="261">
        <f t="shared" si="1"/>
        <v>0</v>
      </c>
      <c r="M18" s="261">
        <f t="shared" si="2"/>
        <v>0</v>
      </c>
      <c r="N18" s="261">
        <f t="shared" si="3"/>
        <v>0</v>
      </c>
      <c r="O18" s="270"/>
    </row>
    <row r="19" spans="1:15" x14ac:dyDescent="0.3">
      <c r="A19" s="206"/>
      <c r="B19" s="207"/>
      <c r="C19" s="206"/>
      <c r="D19" s="662"/>
      <c r="E19" s="662"/>
      <c r="F19" s="262"/>
      <c r="G19" s="259"/>
      <c r="H19" s="83"/>
      <c r="I19" s="262"/>
      <c r="J19" s="259"/>
      <c r="K19" s="83"/>
      <c r="L19" s="261"/>
      <c r="M19" s="261"/>
      <c r="N19" s="261"/>
      <c r="O19" s="270"/>
    </row>
    <row r="20" spans="1:15" ht="36" x14ac:dyDescent="0.3">
      <c r="A20" s="206">
        <v>3</v>
      </c>
      <c r="B20" s="207" t="s">
        <v>501</v>
      </c>
      <c r="C20" s="208"/>
      <c r="D20" s="665"/>
      <c r="E20" s="662"/>
      <c r="F20" s="262"/>
      <c r="G20" s="259">
        <f t="shared" ref="G20:G21" si="6">D20</f>
        <v>0</v>
      </c>
      <c r="H20" s="83"/>
      <c r="I20" s="262">
        <f t="shared" si="0"/>
        <v>0</v>
      </c>
      <c r="J20" s="259"/>
      <c r="K20" s="83"/>
      <c r="L20" s="261">
        <f t="shared" si="1"/>
        <v>0</v>
      </c>
      <c r="M20" s="261">
        <f t="shared" si="2"/>
        <v>0</v>
      </c>
      <c r="N20" s="261">
        <f t="shared" si="3"/>
        <v>0</v>
      </c>
      <c r="O20" s="270"/>
    </row>
    <row r="21" spans="1:15" x14ac:dyDescent="0.3">
      <c r="A21" s="206" t="s">
        <v>493</v>
      </c>
      <c r="B21" s="210" t="s">
        <v>502</v>
      </c>
      <c r="C21" s="208" t="s">
        <v>398</v>
      </c>
      <c r="D21" s="664">
        <v>1</v>
      </c>
      <c r="E21" s="662">
        <v>1230</v>
      </c>
      <c r="F21" s="262">
        <f>$D21*E21</f>
        <v>1230</v>
      </c>
      <c r="G21" s="259">
        <f t="shared" si="6"/>
        <v>1</v>
      </c>
      <c r="H21" s="83">
        <v>0</v>
      </c>
      <c r="I21" s="262">
        <f t="shared" si="0"/>
        <v>-1</v>
      </c>
      <c r="J21" s="259"/>
      <c r="K21" s="83"/>
      <c r="L21" s="261">
        <f t="shared" si="1"/>
        <v>0</v>
      </c>
      <c r="M21" s="261">
        <f t="shared" si="2"/>
        <v>0</v>
      </c>
      <c r="N21" s="261">
        <f t="shared" si="3"/>
        <v>0</v>
      </c>
      <c r="O21" s="270"/>
    </row>
    <row r="22" spans="1:15" x14ac:dyDescent="0.3">
      <c r="A22" s="206" t="s">
        <v>495</v>
      </c>
      <c r="B22" s="210" t="s">
        <v>503</v>
      </c>
      <c r="C22" s="208" t="s">
        <v>398</v>
      </c>
      <c r="D22" s="662">
        <v>0</v>
      </c>
      <c r="E22" s="662">
        <v>1764</v>
      </c>
      <c r="F22" s="262"/>
      <c r="G22" s="259">
        <v>0</v>
      </c>
      <c r="H22" s="83">
        <v>0</v>
      </c>
      <c r="I22" s="262">
        <f t="shared" si="0"/>
        <v>1</v>
      </c>
      <c r="J22" s="259">
        <f>'Phe Mb'!H26</f>
        <v>1</v>
      </c>
      <c r="K22" s="83">
        <v>1</v>
      </c>
      <c r="L22" s="261">
        <f t="shared" si="1"/>
        <v>0</v>
      </c>
      <c r="M22" s="261">
        <f t="shared" si="2"/>
        <v>1764</v>
      </c>
      <c r="N22" s="261">
        <f t="shared" si="3"/>
        <v>1764</v>
      </c>
      <c r="O22" s="270"/>
    </row>
    <row r="23" spans="1:15" x14ac:dyDescent="0.3">
      <c r="A23" s="206"/>
      <c r="B23" s="207"/>
      <c r="C23" s="206"/>
      <c r="D23" s="662"/>
      <c r="E23" s="662"/>
      <c r="F23" s="262"/>
      <c r="G23" s="259"/>
      <c r="H23" s="83"/>
      <c r="I23" s="262"/>
      <c r="J23" s="259"/>
      <c r="K23" s="83"/>
      <c r="L23" s="261"/>
      <c r="M23" s="261"/>
      <c r="N23" s="261"/>
      <c r="O23" s="270"/>
    </row>
    <row r="24" spans="1:15" ht="60" x14ac:dyDescent="0.3">
      <c r="A24" s="206">
        <v>4</v>
      </c>
      <c r="B24" s="207" t="s">
        <v>504</v>
      </c>
      <c r="C24" s="206"/>
      <c r="D24" s="662"/>
      <c r="E24" s="662"/>
      <c r="F24" s="262"/>
      <c r="G24" s="259">
        <f t="shared" ref="G24:G25" si="7">D24</f>
        <v>0</v>
      </c>
      <c r="H24" s="83"/>
      <c r="I24" s="262">
        <f t="shared" si="0"/>
        <v>0</v>
      </c>
      <c r="J24" s="259"/>
      <c r="K24" s="83"/>
      <c r="L24" s="261">
        <f t="shared" si="1"/>
        <v>0</v>
      </c>
      <c r="M24" s="261">
        <f t="shared" si="2"/>
        <v>0</v>
      </c>
      <c r="N24" s="261">
        <f t="shared" si="3"/>
        <v>0</v>
      </c>
      <c r="O24" s="270"/>
    </row>
    <row r="25" spans="1:15" x14ac:dyDescent="0.3">
      <c r="A25" s="206"/>
      <c r="B25" s="207" t="s">
        <v>505</v>
      </c>
      <c r="C25" s="208" t="s">
        <v>398</v>
      </c>
      <c r="D25" s="664">
        <v>15</v>
      </c>
      <c r="E25" s="662">
        <v>980</v>
      </c>
      <c r="F25" s="262">
        <f>$D25*E25</f>
        <v>14700</v>
      </c>
      <c r="G25" s="259">
        <f t="shared" si="7"/>
        <v>15</v>
      </c>
      <c r="H25" s="83">
        <v>0.95</v>
      </c>
      <c r="I25" s="262">
        <f t="shared" si="0"/>
        <v>-3</v>
      </c>
      <c r="J25" s="259">
        <f>'Phe Mb'!H29</f>
        <v>12</v>
      </c>
      <c r="K25" s="83">
        <v>1</v>
      </c>
      <c r="L25" s="261">
        <f t="shared" si="1"/>
        <v>13965</v>
      </c>
      <c r="M25" s="261">
        <f t="shared" si="2"/>
        <v>-2205</v>
      </c>
      <c r="N25" s="261">
        <f t="shared" si="3"/>
        <v>11760</v>
      </c>
      <c r="O25" s="270"/>
    </row>
    <row r="26" spans="1:15" x14ac:dyDescent="0.3">
      <c r="A26" s="206"/>
      <c r="B26" s="207"/>
      <c r="C26" s="208"/>
      <c r="D26" s="664"/>
      <c r="E26" s="662"/>
      <c r="F26" s="262"/>
      <c r="G26" s="259"/>
      <c r="H26" s="83"/>
      <c r="I26" s="262"/>
      <c r="J26" s="259"/>
      <c r="K26" s="83"/>
      <c r="L26" s="261"/>
      <c r="M26" s="261"/>
      <c r="N26" s="261"/>
      <c r="O26" s="270"/>
    </row>
    <row r="27" spans="1:15" ht="36" x14ac:dyDescent="0.3">
      <c r="A27" s="206">
        <v>5</v>
      </c>
      <c r="B27" s="211" t="s">
        <v>506</v>
      </c>
      <c r="C27" s="208"/>
      <c r="D27" s="664"/>
      <c r="E27" s="662"/>
      <c r="F27" s="262"/>
      <c r="G27" s="259">
        <f t="shared" ref="G27:G28" si="8">D27</f>
        <v>0</v>
      </c>
      <c r="H27" s="83"/>
      <c r="I27" s="262">
        <f t="shared" si="0"/>
        <v>0</v>
      </c>
      <c r="J27" s="259"/>
      <c r="K27" s="83"/>
      <c r="L27" s="261">
        <f t="shared" si="1"/>
        <v>0</v>
      </c>
      <c r="M27" s="261">
        <f t="shared" si="2"/>
        <v>0</v>
      </c>
      <c r="N27" s="261">
        <f t="shared" si="3"/>
        <v>0</v>
      </c>
      <c r="O27" s="270"/>
    </row>
    <row r="28" spans="1:15" x14ac:dyDescent="0.3">
      <c r="A28" s="206"/>
      <c r="B28" s="212" t="s">
        <v>507</v>
      </c>
      <c r="C28" s="208" t="s">
        <v>398</v>
      </c>
      <c r="D28" s="662">
        <v>3</v>
      </c>
      <c r="E28" s="662">
        <v>1121</v>
      </c>
      <c r="F28" s="262">
        <f>$D28*E28</f>
        <v>3363</v>
      </c>
      <c r="G28" s="259">
        <f t="shared" si="8"/>
        <v>3</v>
      </c>
      <c r="H28" s="83">
        <v>0.95</v>
      </c>
      <c r="I28" s="262">
        <f t="shared" si="0"/>
        <v>0</v>
      </c>
      <c r="J28" s="259">
        <f>'Phe Mb'!H32</f>
        <v>3</v>
      </c>
      <c r="K28" s="83">
        <v>1</v>
      </c>
      <c r="L28" s="261">
        <f t="shared" si="1"/>
        <v>3194.85</v>
      </c>
      <c r="M28" s="261">
        <f t="shared" si="2"/>
        <v>168.15000000000009</v>
      </c>
      <c r="N28" s="261">
        <f t="shared" si="3"/>
        <v>3363</v>
      </c>
      <c r="O28" s="270"/>
    </row>
    <row r="29" spans="1:15" x14ac:dyDescent="0.3">
      <c r="A29" s="206"/>
      <c r="B29" s="207"/>
      <c r="C29" s="208"/>
      <c r="D29" s="664"/>
      <c r="E29" s="662"/>
      <c r="F29" s="262"/>
      <c r="G29" s="259"/>
      <c r="H29" s="83"/>
      <c r="I29" s="262"/>
      <c r="J29" s="259"/>
      <c r="K29" s="83"/>
      <c r="L29" s="261"/>
      <c r="M29" s="261"/>
      <c r="N29" s="261"/>
      <c r="O29" s="270"/>
    </row>
    <row r="30" spans="1:15" ht="36" x14ac:dyDescent="0.3">
      <c r="A30" s="206">
        <v>6</v>
      </c>
      <c r="B30" s="207" t="s">
        <v>508</v>
      </c>
      <c r="C30" s="208" t="s">
        <v>398</v>
      </c>
      <c r="D30" s="662">
        <v>0</v>
      </c>
      <c r="E30" s="664">
        <v>3122</v>
      </c>
      <c r="F30" s="262">
        <f>$D30*E30</f>
        <v>0</v>
      </c>
      <c r="G30" s="259">
        <v>0</v>
      </c>
      <c r="H30" s="83">
        <v>0</v>
      </c>
      <c r="I30" s="262">
        <f t="shared" si="0"/>
        <v>0</v>
      </c>
      <c r="J30" s="259">
        <f>'Phe Mb'!H34</f>
        <v>0</v>
      </c>
      <c r="K30" s="83"/>
      <c r="L30" s="261">
        <f t="shared" si="1"/>
        <v>0</v>
      </c>
      <c r="M30" s="261">
        <f t="shared" si="2"/>
        <v>0</v>
      </c>
      <c r="N30" s="261">
        <f t="shared" si="3"/>
        <v>0</v>
      </c>
      <c r="O30" s="270"/>
    </row>
    <row r="31" spans="1:15" x14ac:dyDescent="0.3">
      <c r="A31" s="206"/>
      <c r="B31" s="213"/>
      <c r="C31" s="206"/>
      <c r="D31" s="662"/>
      <c r="E31" s="662"/>
      <c r="F31" s="262"/>
      <c r="G31" s="259"/>
      <c r="H31" s="83"/>
      <c r="I31" s="262"/>
      <c r="J31" s="259"/>
      <c r="K31" s="83"/>
      <c r="L31" s="261"/>
      <c r="M31" s="261"/>
      <c r="N31" s="261"/>
      <c r="O31" s="270"/>
    </row>
    <row r="32" spans="1:15" ht="36" x14ac:dyDescent="0.3">
      <c r="A32" s="206">
        <v>7</v>
      </c>
      <c r="B32" s="207" t="s">
        <v>509</v>
      </c>
      <c r="C32" s="208" t="s">
        <v>398</v>
      </c>
      <c r="D32" s="662">
        <v>18</v>
      </c>
      <c r="E32" s="662">
        <v>980</v>
      </c>
      <c r="F32" s="262">
        <f>$D32*E32</f>
        <v>17640</v>
      </c>
      <c r="G32" s="259">
        <f t="shared" ref="G32" si="9">D32</f>
        <v>18</v>
      </c>
      <c r="H32" s="83">
        <v>0.95</v>
      </c>
      <c r="I32" s="262">
        <f t="shared" si="0"/>
        <v>-2</v>
      </c>
      <c r="J32" s="259">
        <f>'Phe Mb'!H36</f>
        <v>16</v>
      </c>
      <c r="K32" s="83">
        <v>1</v>
      </c>
      <c r="L32" s="261">
        <f t="shared" si="1"/>
        <v>16758</v>
      </c>
      <c r="M32" s="261">
        <f t="shared" si="2"/>
        <v>-1078</v>
      </c>
      <c r="N32" s="261">
        <f t="shared" si="3"/>
        <v>15680</v>
      </c>
      <c r="O32" s="270"/>
    </row>
    <row r="33" spans="1:15" x14ac:dyDescent="0.3">
      <c r="A33" s="206"/>
      <c r="B33" s="213"/>
      <c r="C33" s="206"/>
      <c r="D33" s="662"/>
      <c r="E33" s="662"/>
      <c r="F33" s="262"/>
      <c r="G33" s="259"/>
      <c r="H33" s="83"/>
      <c r="I33" s="262"/>
      <c r="J33" s="259"/>
      <c r="K33" s="83"/>
      <c r="L33" s="261"/>
      <c r="M33" s="261"/>
      <c r="N33" s="261"/>
      <c r="O33" s="270"/>
    </row>
    <row r="34" spans="1:15" ht="24" x14ac:dyDescent="0.3">
      <c r="A34" s="206">
        <v>8</v>
      </c>
      <c r="B34" s="207" t="s">
        <v>510</v>
      </c>
      <c r="C34" s="206"/>
      <c r="D34" s="662"/>
      <c r="E34" s="662"/>
      <c r="F34" s="262"/>
      <c r="G34" s="259">
        <f t="shared" ref="G34:G35" si="10">D34</f>
        <v>0</v>
      </c>
      <c r="H34" s="83"/>
      <c r="I34" s="262">
        <f t="shared" si="0"/>
        <v>0</v>
      </c>
      <c r="J34" s="259"/>
      <c r="K34" s="83"/>
      <c r="L34" s="261">
        <f t="shared" si="1"/>
        <v>0</v>
      </c>
      <c r="M34" s="261">
        <f t="shared" si="2"/>
        <v>0</v>
      </c>
      <c r="N34" s="261">
        <f t="shared" si="3"/>
        <v>0</v>
      </c>
      <c r="O34" s="270"/>
    </row>
    <row r="35" spans="1:15" x14ac:dyDescent="0.3">
      <c r="A35" s="206"/>
      <c r="B35" s="207" t="s">
        <v>511</v>
      </c>
      <c r="C35" s="208" t="s">
        <v>398</v>
      </c>
      <c r="D35" s="662">
        <v>18</v>
      </c>
      <c r="E35" s="662">
        <v>312</v>
      </c>
      <c r="F35" s="262">
        <f>$D35*E35</f>
        <v>5616</v>
      </c>
      <c r="G35" s="259">
        <f t="shared" si="10"/>
        <v>18</v>
      </c>
      <c r="H35" s="83">
        <v>0.95</v>
      </c>
      <c r="I35" s="262">
        <f t="shared" si="0"/>
        <v>-2</v>
      </c>
      <c r="J35" s="259">
        <f>'Phe Mb'!H39</f>
        <v>16</v>
      </c>
      <c r="K35" s="83">
        <v>1</v>
      </c>
      <c r="L35" s="261">
        <f t="shared" si="1"/>
        <v>5335.2</v>
      </c>
      <c r="M35" s="261">
        <f t="shared" si="2"/>
        <v>-343.19999999999982</v>
      </c>
      <c r="N35" s="261">
        <f t="shared" si="3"/>
        <v>4992</v>
      </c>
      <c r="O35" s="270"/>
    </row>
    <row r="36" spans="1:15" x14ac:dyDescent="0.3">
      <c r="A36" s="206"/>
      <c r="B36" s="213"/>
      <c r="C36" s="206"/>
      <c r="D36" s="662"/>
      <c r="E36" s="662"/>
      <c r="F36" s="262"/>
      <c r="G36" s="259"/>
      <c r="H36" s="83"/>
      <c r="I36" s="262"/>
      <c r="J36" s="259"/>
      <c r="K36" s="83"/>
      <c r="L36" s="261"/>
      <c r="M36" s="261"/>
      <c r="N36" s="261"/>
      <c r="O36" s="270"/>
    </row>
    <row r="37" spans="1:15" ht="36" x14ac:dyDescent="0.3">
      <c r="A37" s="206">
        <v>9</v>
      </c>
      <c r="B37" s="207" t="s">
        <v>512</v>
      </c>
      <c r="C37" s="206"/>
      <c r="D37" s="662"/>
      <c r="E37" s="662"/>
      <c r="F37" s="262"/>
      <c r="G37" s="259">
        <f t="shared" ref="G37:G39" si="11">D37</f>
        <v>0</v>
      </c>
      <c r="H37" s="83"/>
      <c r="I37" s="262">
        <f t="shared" si="0"/>
        <v>0</v>
      </c>
      <c r="J37" s="259"/>
      <c r="K37" s="83"/>
      <c r="L37" s="261">
        <f t="shared" si="1"/>
        <v>0</v>
      </c>
      <c r="M37" s="261">
        <f t="shared" si="2"/>
        <v>0</v>
      </c>
      <c r="N37" s="261">
        <f t="shared" si="3"/>
        <v>0</v>
      </c>
      <c r="O37" s="270"/>
    </row>
    <row r="38" spans="1:15" x14ac:dyDescent="0.3">
      <c r="A38" s="206" t="s">
        <v>493</v>
      </c>
      <c r="B38" s="207" t="s">
        <v>513</v>
      </c>
      <c r="C38" s="208" t="s">
        <v>398</v>
      </c>
      <c r="D38" s="662">
        <v>6</v>
      </c>
      <c r="E38" s="662">
        <v>5346</v>
      </c>
      <c r="F38" s="262">
        <f t="shared" ref="F38:F39" si="12">$D38*E38</f>
        <v>32076</v>
      </c>
      <c r="G38" s="259">
        <f t="shared" si="11"/>
        <v>6</v>
      </c>
      <c r="H38" s="83">
        <v>0.7</v>
      </c>
      <c r="I38" s="262">
        <f t="shared" si="0"/>
        <v>-5</v>
      </c>
      <c r="J38" s="259">
        <f>'Phe Mb'!H42</f>
        <v>1</v>
      </c>
      <c r="K38" s="83">
        <v>1</v>
      </c>
      <c r="L38" s="261">
        <f t="shared" si="1"/>
        <v>22453.199999999997</v>
      </c>
      <c r="M38" s="261">
        <f t="shared" si="2"/>
        <v>-17107.199999999997</v>
      </c>
      <c r="N38" s="261">
        <f t="shared" si="3"/>
        <v>5346</v>
      </c>
      <c r="O38" s="270"/>
    </row>
    <row r="39" spans="1:15" x14ac:dyDescent="0.3">
      <c r="A39" s="206" t="s">
        <v>495</v>
      </c>
      <c r="B39" s="207" t="s">
        <v>514</v>
      </c>
      <c r="C39" s="208" t="s">
        <v>398</v>
      </c>
      <c r="D39" s="662">
        <v>2</v>
      </c>
      <c r="E39" s="662">
        <v>4560</v>
      </c>
      <c r="F39" s="262">
        <f t="shared" si="12"/>
        <v>9120</v>
      </c>
      <c r="G39" s="259">
        <f t="shared" si="11"/>
        <v>2</v>
      </c>
      <c r="H39" s="83">
        <v>0.7</v>
      </c>
      <c r="I39" s="262">
        <f t="shared" si="0"/>
        <v>6</v>
      </c>
      <c r="J39" s="259">
        <f>'Phe Mb'!H43</f>
        <v>8</v>
      </c>
      <c r="K39" s="83">
        <v>1</v>
      </c>
      <c r="L39" s="261">
        <f t="shared" si="1"/>
        <v>6384</v>
      </c>
      <c r="M39" s="261">
        <f t="shared" si="2"/>
        <v>30096</v>
      </c>
      <c r="N39" s="261">
        <f t="shared" si="3"/>
        <v>36480</v>
      </c>
      <c r="O39" s="270"/>
    </row>
    <row r="40" spans="1:15" x14ac:dyDescent="0.3">
      <c r="A40" s="206"/>
      <c r="B40" s="207"/>
      <c r="C40" s="206"/>
      <c r="D40" s="662"/>
      <c r="E40" s="662"/>
      <c r="F40" s="262"/>
      <c r="G40" s="259"/>
      <c r="H40" s="83"/>
      <c r="I40" s="262"/>
      <c r="J40" s="259"/>
      <c r="K40" s="83"/>
      <c r="L40" s="261"/>
      <c r="M40" s="261"/>
      <c r="N40" s="261"/>
      <c r="O40" s="270"/>
    </row>
    <row r="41" spans="1:15" ht="24" x14ac:dyDescent="0.3">
      <c r="A41" s="206">
        <v>10</v>
      </c>
      <c r="B41" s="207" t="s">
        <v>515</v>
      </c>
      <c r="C41" s="208" t="s">
        <v>398</v>
      </c>
      <c r="D41" s="662">
        <v>0</v>
      </c>
      <c r="E41" s="662">
        <v>123500</v>
      </c>
      <c r="F41" s="262"/>
      <c r="G41" s="259">
        <v>0</v>
      </c>
      <c r="H41" s="83">
        <v>0</v>
      </c>
      <c r="I41" s="262">
        <f t="shared" si="0"/>
        <v>0</v>
      </c>
      <c r="J41" s="259">
        <v>0</v>
      </c>
      <c r="K41" s="83">
        <v>0</v>
      </c>
      <c r="L41" s="261">
        <f t="shared" si="1"/>
        <v>0</v>
      </c>
      <c r="M41" s="261">
        <f t="shared" si="2"/>
        <v>0</v>
      </c>
      <c r="N41" s="261">
        <f t="shared" si="3"/>
        <v>0</v>
      </c>
      <c r="O41" s="270"/>
    </row>
    <row r="42" spans="1:15" x14ac:dyDescent="0.3">
      <c r="A42" s="206"/>
      <c r="B42" s="207"/>
      <c r="C42" s="205"/>
      <c r="D42" s="259"/>
      <c r="E42" s="259"/>
      <c r="F42" s="262"/>
      <c r="G42" s="259"/>
      <c r="H42" s="83"/>
      <c r="I42" s="262"/>
      <c r="J42" s="259"/>
      <c r="K42" s="83"/>
      <c r="L42" s="261"/>
      <c r="M42" s="261"/>
      <c r="N42" s="261"/>
      <c r="O42" s="270"/>
    </row>
    <row r="43" spans="1:15" x14ac:dyDescent="0.3">
      <c r="A43" s="206"/>
      <c r="B43" s="213" t="s">
        <v>516</v>
      </c>
      <c r="C43" s="205"/>
      <c r="D43" s="262"/>
      <c r="E43" s="259"/>
      <c r="F43" s="262"/>
      <c r="G43" s="259"/>
      <c r="H43" s="83"/>
      <c r="I43" s="262"/>
      <c r="J43" s="259"/>
      <c r="K43" s="83"/>
      <c r="L43" s="261"/>
      <c r="M43" s="261">
        <f t="shared" si="2"/>
        <v>0</v>
      </c>
      <c r="N43" s="261">
        <f t="shared" si="3"/>
        <v>0</v>
      </c>
      <c r="O43" s="270"/>
    </row>
    <row r="44" spans="1:15" x14ac:dyDescent="0.3">
      <c r="A44" s="206"/>
      <c r="B44" s="207"/>
      <c r="C44" s="205"/>
      <c r="D44" s="259"/>
      <c r="E44" s="259"/>
      <c r="F44" s="262"/>
      <c r="G44" s="259"/>
      <c r="H44" s="83"/>
      <c r="I44" s="262"/>
      <c r="J44" s="259"/>
      <c r="K44" s="83"/>
      <c r="L44" s="261"/>
      <c r="M44" s="261"/>
      <c r="N44" s="261"/>
      <c r="O44" s="270"/>
    </row>
    <row r="45" spans="1:15" ht="168" x14ac:dyDescent="0.3">
      <c r="A45" s="206">
        <v>11</v>
      </c>
      <c r="B45" s="207" t="s">
        <v>612</v>
      </c>
      <c r="C45" s="205"/>
      <c r="D45" s="259"/>
      <c r="E45" s="259"/>
      <c r="F45" s="262"/>
      <c r="G45" s="259"/>
      <c r="H45" s="83"/>
      <c r="I45" s="262"/>
      <c r="J45" s="259"/>
      <c r="K45" s="83"/>
      <c r="L45" s="261">
        <f t="shared" si="1"/>
        <v>0</v>
      </c>
      <c r="M45" s="261">
        <f t="shared" si="2"/>
        <v>0</v>
      </c>
      <c r="N45" s="261">
        <f t="shared" si="3"/>
        <v>0</v>
      </c>
      <c r="O45" s="270"/>
    </row>
    <row r="46" spans="1:15" x14ac:dyDescent="0.3">
      <c r="A46" s="206" t="s">
        <v>493</v>
      </c>
      <c r="B46" s="207" t="s">
        <v>517</v>
      </c>
      <c r="C46" s="208" t="s">
        <v>347</v>
      </c>
      <c r="D46" s="662">
        <v>140</v>
      </c>
      <c r="E46" s="662">
        <v>263</v>
      </c>
      <c r="F46" s="262">
        <f t="shared" ref="F46:F49" si="13">$D46*E46</f>
        <v>36820</v>
      </c>
      <c r="G46" s="259">
        <f t="shared" ref="G46:G49" si="14">D46</f>
        <v>140</v>
      </c>
      <c r="H46" s="83">
        <v>0.95</v>
      </c>
      <c r="I46" s="262">
        <f t="shared" si="0"/>
        <v>-140</v>
      </c>
      <c r="J46" s="259">
        <f>'Phe Mb'!H49</f>
        <v>0</v>
      </c>
      <c r="K46" s="83">
        <v>0</v>
      </c>
      <c r="L46" s="261">
        <f t="shared" si="1"/>
        <v>34979</v>
      </c>
      <c r="M46" s="261">
        <f t="shared" si="2"/>
        <v>-34979</v>
      </c>
      <c r="N46" s="261">
        <f t="shared" si="3"/>
        <v>0</v>
      </c>
      <c r="O46" s="270"/>
    </row>
    <row r="47" spans="1:15" x14ac:dyDescent="0.3">
      <c r="A47" s="206" t="s">
        <v>495</v>
      </c>
      <c r="B47" s="207" t="s">
        <v>518</v>
      </c>
      <c r="C47" s="208" t="s">
        <v>347</v>
      </c>
      <c r="D47" s="662">
        <v>40</v>
      </c>
      <c r="E47" s="662">
        <v>290</v>
      </c>
      <c r="F47" s="262">
        <f t="shared" si="13"/>
        <v>11600</v>
      </c>
      <c r="G47" s="259">
        <f t="shared" si="14"/>
        <v>40</v>
      </c>
      <c r="H47" s="83">
        <v>0.95</v>
      </c>
      <c r="I47" s="262">
        <f t="shared" si="0"/>
        <v>35.5</v>
      </c>
      <c r="J47" s="259">
        <f>'Phe Mb'!H71</f>
        <v>75.5</v>
      </c>
      <c r="K47" s="83">
        <v>1</v>
      </c>
      <c r="L47" s="261">
        <f t="shared" si="1"/>
        <v>11020</v>
      </c>
      <c r="M47" s="261">
        <f t="shared" si="2"/>
        <v>10875</v>
      </c>
      <c r="N47" s="261">
        <f t="shared" si="3"/>
        <v>21895</v>
      </c>
      <c r="O47" s="270"/>
    </row>
    <row r="48" spans="1:15" x14ac:dyDescent="0.3">
      <c r="A48" s="206" t="s">
        <v>499</v>
      </c>
      <c r="B48" s="207" t="s">
        <v>519</v>
      </c>
      <c r="C48" s="208" t="s">
        <v>347</v>
      </c>
      <c r="D48" s="662">
        <v>25</v>
      </c>
      <c r="E48" s="662">
        <v>365</v>
      </c>
      <c r="F48" s="262">
        <f t="shared" si="13"/>
        <v>9125</v>
      </c>
      <c r="G48" s="259">
        <f t="shared" si="14"/>
        <v>25</v>
      </c>
      <c r="H48" s="83">
        <v>0.95</v>
      </c>
      <c r="I48" s="262">
        <f t="shared" si="0"/>
        <v>11</v>
      </c>
      <c r="J48" s="259">
        <f>'Phe Mb'!H84</f>
        <v>36</v>
      </c>
      <c r="K48" s="83">
        <v>1</v>
      </c>
      <c r="L48" s="261">
        <f t="shared" si="1"/>
        <v>8668.75</v>
      </c>
      <c r="M48" s="261">
        <f t="shared" si="2"/>
        <v>4471.25</v>
      </c>
      <c r="N48" s="261">
        <f t="shared" si="3"/>
        <v>13140</v>
      </c>
      <c r="O48" s="270"/>
    </row>
    <row r="49" spans="1:15" x14ac:dyDescent="0.3">
      <c r="A49" s="206" t="s">
        <v>520</v>
      </c>
      <c r="B49" s="207" t="s">
        <v>521</v>
      </c>
      <c r="C49" s="208" t="s">
        <v>347</v>
      </c>
      <c r="D49" s="662">
        <v>10</v>
      </c>
      <c r="E49" s="662">
        <v>432</v>
      </c>
      <c r="F49" s="262">
        <f t="shared" si="13"/>
        <v>4320</v>
      </c>
      <c r="G49" s="259">
        <f t="shared" si="14"/>
        <v>10</v>
      </c>
      <c r="H49" s="83">
        <v>0.95</v>
      </c>
      <c r="I49" s="262">
        <f t="shared" si="0"/>
        <v>83.8</v>
      </c>
      <c r="J49" s="259">
        <f>'Phe Mb'!H98</f>
        <v>93.8</v>
      </c>
      <c r="K49" s="83">
        <v>1</v>
      </c>
      <c r="L49" s="261">
        <f t="shared" si="1"/>
        <v>4104</v>
      </c>
      <c r="M49" s="261">
        <f t="shared" si="2"/>
        <v>36417.599999999999</v>
      </c>
      <c r="N49" s="261">
        <f t="shared" si="3"/>
        <v>40521.599999999999</v>
      </c>
      <c r="O49" s="270"/>
    </row>
    <row r="50" spans="1:15" x14ac:dyDescent="0.3">
      <c r="A50" s="214"/>
      <c r="B50" s="207"/>
      <c r="C50" s="205"/>
      <c r="D50" s="264"/>
      <c r="E50" s="259"/>
      <c r="F50" s="262"/>
      <c r="G50" s="259"/>
      <c r="H50" s="83"/>
      <c r="I50" s="262"/>
      <c r="J50" s="259"/>
      <c r="K50" s="83"/>
      <c r="L50" s="261"/>
      <c r="M50" s="261"/>
      <c r="N50" s="261"/>
      <c r="O50" s="270"/>
    </row>
    <row r="51" spans="1:15" x14ac:dyDescent="0.3">
      <c r="A51" s="215">
        <v>12</v>
      </c>
      <c r="B51" s="213" t="s">
        <v>522</v>
      </c>
      <c r="C51" s="206"/>
      <c r="D51" s="259"/>
      <c r="E51" s="259"/>
      <c r="F51" s="262"/>
      <c r="G51" s="259"/>
      <c r="H51" s="83"/>
      <c r="I51" s="262"/>
      <c r="J51" s="259"/>
      <c r="K51" s="83"/>
      <c r="L51" s="261">
        <f t="shared" si="1"/>
        <v>0</v>
      </c>
      <c r="M51" s="261">
        <f t="shared" si="2"/>
        <v>0</v>
      </c>
      <c r="N51" s="261">
        <f t="shared" si="3"/>
        <v>0</v>
      </c>
      <c r="O51" s="270"/>
    </row>
    <row r="52" spans="1:15" x14ac:dyDescent="0.3">
      <c r="A52" s="206" t="s">
        <v>493</v>
      </c>
      <c r="B52" s="207" t="s">
        <v>523</v>
      </c>
      <c r="C52" s="208" t="s">
        <v>398</v>
      </c>
      <c r="D52" s="662">
        <v>2</v>
      </c>
      <c r="E52" s="662">
        <v>320</v>
      </c>
      <c r="F52" s="262">
        <f t="shared" ref="F52:F54" si="15">$D52*E52</f>
        <v>640</v>
      </c>
      <c r="G52" s="259">
        <f t="shared" ref="G52:G54" si="16">D52</f>
        <v>2</v>
      </c>
      <c r="H52" s="83">
        <v>0</v>
      </c>
      <c r="I52" s="262">
        <f t="shared" si="0"/>
        <v>15</v>
      </c>
      <c r="J52" s="259">
        <f>'Phe Mb'!H101</f>
        <v>17</v>
      </c>
      <c r="K52" s="83">
        <v>1</v>
      </c>
      <c r="L52" s="261">
        <f t="shared" si="1"/>
        <v>0</v>
      </c>
      <c r="M52" s="261">
        <f t="shared" si="2"/>
        <v>5440</v>
      </c>
      <c r="N52" s="261">
        <f t="shared" si="3"/>
        <v>5440</v>
      </c>
      <c r="O52" s="270"/>
    </row>
    <row r="53" spans="1:15" x14ac:dyDescent="0.3">
      <c r="A53" s="206" t="s">
        <v>495</v>
      </c>
      <c r="B53" s="207" t="s">
        <v>524</v>
      </c>
      <c r="C53" s="208" t="s">
        <v>398</v>
      </c>
      <c r="D53" s="662">
        <v>2</v>
      </c>
      <c r="E53" s="662">
        <v>320</v>
      </c>
      <c r="F53" s="262">
        <f t="shared" si="15"/>
        <v>640</v>
      </c>
      <c r="G53" s="259">
        <f t="shared" si="16"/>
        <v>2</v>
      </c>
      <c r="H53" s="83">
        <v>0</v>
      </c>
      <c r="I53" s="262">
        <f t="shared" si="0"/>
        <v>0</v>
      </c>
      <c r="J53" s="259">
        <f>'Phe Mb'!H102</f>
        <v>2</v>
      </c>
      <c r="K53" s="83">
        <v>1</v>
      </c>
      <c r="L53" s="261">
        <f t="shared" si="1"/>
        <v>0</v>
      </c>
      <c r="M53" s="261">
        <f t="shared" si="2"/>
        <v>640</v>
      </c>
      <c r="N53" s="261">
        <f t="shared" si="3"/>
        <v>640</v>
      </c>
      <c r="O53" s="270"/>
    </row>
    <row r="54" spans="1:15" x14ac:dyDescent="0.3">
      <c r="A54" s="206" t="s">
        <v>499</v>
      </c>
      <c r="B54" s="207" t="s">
        <v>525</v>
      </c>
      <c r="C54" s="208" t="s">
        <v>398</v>
      </c>
      <c r="D54" s="662">
        <v>2</v>
      </c>
      <c r="E54" s="662">
        <v>320</v>
      </c>
      <c r="F54" s="262">
        <f t="shared" si="15"/>
        <v>640</v>
      </c>
      <c r="G54" s="259">
        <f t="shared" si="16"/>
        <v>2</v>
      </c>
      <c r="H54" s="83">
        <v>0</v>
      </c>
      <c r="I54" s="262">
        <f t="shared" si="0"/>
        <v>2</v>
      </c>
      <c r="J54" s="259">
        <f>'Phe Mb'!H103</f>
        <v>4</v>
      </c>
      <c r="K54" s="83">
        <v>1</v>
      </c>
      <c r="L54" s="261">
        <f t="shared" si="1"/>
        <v>0</v>
      </c>
      <c r="M54" s="261">
        <f t="shared" si="2"/>
        <v>1280</v>
      </c>
      <c r="N54" s="261">
        <f t="shared" si="3"/>
        <v>1280</v>
      </c>
      <c r="O54" s="270"/>
    </row>
    <row r="55" spans="1:15" x14ac:dyDescent="0.3">
      <c r="A55" s="206"/>
      <c r="B55" s="207"/>
      <c r="C55" s="208"/>
      <c r="D55" s="662"/>
      <c r="E55" s="662"/>
      <c r="F55" s="262"/>
      <c r="G55" s="259"/>
      <c r="H55" s="83"/>
      <c r="I55" s="262"/>
      <c r="J55" s="259"/>
      <c r="K55" s="83"/>
      <c r="L55" s="261"/>
      <c r="M55" s="261"/>
      <c r="N55" s="261"/>
      <c r="O55" s="270"/>
    </row>
    <row r="56" spans="1:15" x14ac:dyDescent="0.3">
      <c r="A56" s="215">
        <v>13</v>
      </c>
      <c r="B56" s="213" t="s">
        <v>526</v>
      </c>
      <c r="C56" s="208"/>
      <c r="D56" s="662"/>
      <c r="E56" s="662"/>
      <c r="F56" s="262"/>
      <c r="G56" s="259"/>
      <c r="H56" s="83"/>
      <c r="I56" s="262"/>
      <c r="J56" s="259"/>
      <c r="K56" s="83"/>
      <c r="L56" s="261">
        <f t="shared" si="1"/>
        <v>0</v>
      </c>
      <c r="M56" s="261">
        <f t="shared" si="2"/>
        <v>0</v>
      </c>
      <c r="N56" s="261">
        <f t="shared" si="3"/>
        <v>0</v>
      </c>
      <c r="O56" s="270"/>
    </row>
    <row r="57" spans="1:15" x14ac:dyDescent="0.3">
      <c r="A57" s="206" t="s">
        <v>493</v>
      </c>
      <c r="B57" s="207" t="s">
        <v>527</v>
      </c>
      <c r="C57" s="208" t="s">
        <v>398</v>
      </c>
      <c r="D57" s="662">
        <v>1</v>
      </c>
      <c r="E57" s="662">
        <v>3245</v>
      </c>
      <c r="F57" s="262">
        <f>$D57*E57</f>
        <v>3245</v>
      </c>
      <c r="G57" s="259">
        <f t="shared" ref="G57" si="17">D57</f>
        <v>1</v>
      </c>
      <c r="H57" s="83">
        <v>0</v>
      </c>
      <c r="I57" s="262">
        <f t="shared" si="0"/>
        <v>0</v>
      </c>
      <c r="J57" s="259">
        <f>'Phe Mb'!H106</f>
        <v>1</v>
      </c>
      <c r="K57" s="83">
        <v>1</v>
      </c>
      <c r="L57" s="261">
        <f t="shared" si="1"/>
        <v>0</v>
      </c>
      <c r="M57" s="261">
        <f t="shared" si="2"/>
        <v>3245</v>
      </c>
      <c r="N57" s="261">
        <f t="shared" si="3"/>
        <v>3245</v>
      </c>
      <c r="O57" s="270"/>
    </row>
    <row r="58" spans="1:15" x14ac:dyDescent="0.3">
      <c r="A58" s="206"/>
      <c r="B58" s="213"/>
      <c r="C58" s="206"/>
      <c r="D58" s="666"/>
      <c r="E58" s="662"/>
      <c r="F58" s="262"/>
      <c r="G58" s="259"/>
      <c r="H58" s="83"/>
      <c r="I58" s="262"/>
      <c r="J58" s="259"/>
      <c r="K58" s="83"/>
      <c r="L58" s="261"/>
      <c r="M58" s="261"/>
      <c r="N58" s="261"/>
      <c r="O58" s="270"/>
    </row>
    <row r="59" spans="1:15" x14ac:dyDescent="0.3">
      <c r="A59" s="206">
        <v>14</v>
      </c>
      <c r="B59" s="216" t="s">
        <v>528</v>
      </c>
      <c r="C59" s="205"/>
      <c r="D59" s="662"/>
      <c r="E59" s="662"/>
      <c r="F59" s="262"/>
      <c r="G59" s="259">
        <f t="shared" ref="G59:G62" si="18">D59</f>
        <v>0</v>
      </c>
      <c r="H59" s="83"/>
      <c r="I59" s="262">
        <f t="shared" si="0"/>
        <v>0</v>
      </c>
      <c r="J59" s="259"/>
      <c r="K59" s="83"/>
      <c r="L59" s="261">
        <f t="shared" si="1"/>
        <v>0</v>
      </c>
      <c r="M59" s="261">
        <f t="shared" si="2"/>
        <v>0</v>
      </c>
      <c r="N59" s="261">
        <f t="shared" si="3"/>
        <v>0</v>
      </c>
      <c r="O59" s="270"/>
    </row>
    <row r="60" spans="1:15" ht="24" x14ac:dyDescent="0.3">
      <c r="A60" s="206"/>
      <c r="B60" s="207" t="s">
        <v>613</v>
      </c>
      <c r="C60" s="208" t="s">
        <v>398</v>
      </c>
      <c r="D60" s="667">
        <v>1</v>
      </c>
      <c r="E60" s="662">
        <v>8863</v>
      </c>
      <c r="F60" s="262">
        <f>$D60*E60</f>
        <v>8863</v>
      </c>
      <c r="G60" s="259">
        <f t="shared" si="18"/>
        <v>1</v>
      </c>
      <c r="H60" s="83">
        <v>0.85</v>
      </c>
      <c r="I60" s="262">
        <f t="shared" si="0"/>
        <v>-1</v>
      </c>
      <c r="J60" s="259">
        <f>'Phe Mb'!H109</f>
        <v>0</v>
      </c>
      <c r="K60" s="83">
        <v>0</v>
      </c>
      <c r="L60" s="261">
        <f t="shared" si="1"/>
        <v>7533.55</v>
      </c>
      <c r="M60" s="261">
        <f t="shared" si="2"/>
        <v>-7533.55</v>
      </c>
      <c r="N60" s="261">
        <f t="shared" si="3"/>
        <v>0</v>
      </c>
      <c r="O60" s="270"/>
    </row>
    <row r="61" spans="1:15" x14ac:dyDescent="0.3">
      <c r="A61" s="206">
        <v>15</v>
      </c>
      <c r="B61" s="210" t="s">
        <v>614</v>
      </c>
      <c r="C61" s="217"/>
      <c r="D61" s="667"/>
      <c r="E61" s="662"/>
      <c r="F61" s="265"/>
      <c r="G61" s="259">
        <f t="shared" si="18"/>
        <v>0</v>
      </c>
      <c r="H61" s="84"/>
      <c r="I61" s="262">
        <f t="shared" si="0"/>
        <v>0</v>
      </c>
      <c r="J61" s="259">
        <f>'Phe Mb'!H110</f>
        <v>0</v>
      </c>
      <c r="K61" s="84"/>
      <c r="L61" s="261">
        <f t="shared" si="1"/>
        <v>0</v>
      </c>
      <c r="M61" s="261">
        <f t="shared" si="2"/>
        <v>0</v>
      </c>
      <c r="N61" s="261">
        <f t="shared" si="3"/>
        <v>0</v>
      </c>
      <c r="O61" s="270"/>
    </row>
    <row r="62" spans="1:15" x14ac:dyDescent="0.3">
      <c r="A62" s="205"/>
      <c r="B62" s="210" t="s">
        <v>529</v>
      </c>
      <c r="C62" s="218" t="s">
        <v>398</v>
      </c>
      <c r="D62" s="668">
        <v>2</v>
      </c>
      <c r="E62" s="662">
        <v>15234</v>
      </c>
      <c r="F62" s="262">
        <f>$D62*E62</f>
        <v>30468</v>
      </c>
      <c r="G62" s="259">
        <f t="shared" si="18"/>
        <v>2</v>
      </c>
      <c r="H62" s="83">
        <v>0.7</v>
      </c>
      <c r="I62" s="262">
        <f t="shared" si="0"/>
        <v>0</v>
      </c>
      <c r="J62" s="259">
        <f>'Phe Mb'!H111</f>
        <v>2</v>
      </c>
      <c r="K62" s="83">
        <v>1</v>
      </c>
      <c r="L62" s="261">
        <f t="shared" si="1"/>
        <v>21327.599999999999</v>
      </c>
      <c r="M62" s="261">
        <f t="shared" si="2"/>
        <v>9140.4000000000015</v>
      </c>
      <c r="N62" s="261">
        <f t="shared" si="3"/>
        <v>30468</v>
      </c>
      <c r="O62" s="270"/>
    </row>
    <row r="63" spans="1:15" x14ac:dyDescent="0.3">
      <c r="A63" s="206"/>
      <c r="B63" s="210"/>
      <c r="C63" s="208"/>
      <c r="D63" s="664"/>
      <c r="E63" s="662"/>
      <c r="F63" s="262"/>
      <c r="G63" s="259"/>
      <c r="H63" s="83"/>
      <c r="I63" s="262"/>
      <c r="J63" s="259">
        <f>'Phe Mb'!H112</f>
        <v>0</v>
      </c>
      <c r="K63" s="83"/>
      <c r="L63" s="261"/>
      <c r="M63" s="261"/>
      <c r="N63" s="261"/>
      <c r="O63" s="270"/>
    </row>
    <row r="64" spans="1:15" ht="24" x14ac:dyDescent="0.3">
      <c r="A64" s="206">
        <v>16</v>
      </c>
      <c r="B64" s="207" t="s">
        <v>615</v>
      </c>
      <c r="C64" s="208" t="s">
        <v>398</v>
      </c>
      <c r="D64" s="669">
        <v>20</v>
      </c>
      <c r="E64" s="662">
        <v>856</v>
      </c>
      <c r="F64" s="262">
        <f>$D64*E64</f>
        <v>17120</v>
      </c>
      <c r="G64" s="259">
        <f t="shared" ref="G64" si="19">D64</f>
        <v>20</v>
      </c>
      <c r="H64" s="83">
        <v>0</v>
      </c>
      <c r="I64" s="262">
        <f t="shared" si="0"/>
        <v>5</v>
      </c>
      <c r="J64" s="259">
        <f>'Phe Mb'!H113</f>
        <v>25</v>
      </c>
      <c r="K64" s="83">
        <v>1</v>
      </c>
      <c r="L64" s="261">
        <f t="shared" si="1"/>
        <v>0</v>
      </c>
      <c r="M64" s="261">
        <f t="shared" si="2"/>
        <v>21400</v>
      </c>
      <c r="N64" s="261">
        <f t="shared" si="3"/>
        <v>21400</v>
      </c>
      <c r="O64" s="270"/>
    </row>
    <row r="65" spans="1:15" x14ac:dyDescent="0.3">
      <c r="A65" s="214"/>
      <c r="B65" s="207"/>
      <c r="C65" s="205"/>
      <c r="D65" s="669"/>
      <c r="E65" s="662"/>
      <c r="F65" s="262"/>
      <c r="G65" s="259"/>
      <c r="H65" s="83"/>
      <c r="I65" s="262"/>
      <c r="J65" s="259">
        <f>'Phe Mb'!H114</f>
        <v>0</v>
      </c>
      <c r="K65" s="83"/>
      <c r="L65" s="261"/>
      <c r="M65" s="261"/>
      <c r="N65" s="261"/>
      <c r="O65" s="270"/>
    </row>
    <row r="66" spans="1:15" ht="24" x14ac:dyDescent="0.3">
      <c r="A66" s="206">
        <v>17</v>
      </c>
      <c r="B66" s="207" t="s">
        <v>616</v>
      </c>
      <c r="C66" s="208" t="s">
        <v>398</v>
      </c>
      <c r="D66" s="669">
        <v>20</v>
      </c>
      <c r="E66" s="662">
        <v>562</v>
      </c>
      <c r="F66" s="262">
        <f>$D66*E66</f>
        <v>11240</v>
      </c>
      <c r="G66" s="259">
        <f t="shared" ref="G66" si="20">D66</f>
        <v>20</v>
      </c>
      <c r="H66" s="83">
        <v>0</v>
      </c>
      <c r="I66" s="262">
        <f t="shared" si="0"/>
        <v>4</v>
      </c>
      <c r="J66" s="259">
        <f>'Phe Mb'!H115</f>
        <v>24</v>
      </c>
      <c r="K66" s="83">
        <v>1</v>
      </c>
      <c r="L66" s="261">
        <f t="shared" si="1"/>
        <v>0</v>
      </c>
      <c r="M66" s="261">
        <f t="shared" si="2"/>
        <v>13488</v>
      </c>
      <c r="N66" s="261">
        <f t="shared" si="3"/>
        <v>13488</v>
      </c>
      <c r="O66" s="270"/>
    </row>
    <row r="67" spans="1:15" x14ac:dyDescent="0.3">
      <c r="A67" s="206"/>
      <c r="B67" s="207"/>
      <c r="C67" s="208"/>
      <c r="D67" s="266"/>
      <c r="E67" s="259"/>
      <c r="F67" s="262"/>
      <c r="G67" s="259"/>
      <c r="H67" s="83"/>
      <c r="I67" s="262"/>
      <c r="J67" s="83"/>
      <c r="K67" s="262"/>
      <c r="L67" s="261"/>
      <c r="M67" s="261"/>
      <c r="N67" s="261"/>
      <c r="O67" s="270"/>
    </row>
    <row r="68" spans="1:15" x14ac:dyDescent="0.3">
      <c r="A68" s="324"/>
      <c r="B68" s="325" t="s">
        <v>530</v>
      </c>
      <c r="C68" s="326"/>
      <c r="D68" s="327"/>
      <c r="E68" s="327"/>
      <c r="F68" s="327">
        <f>SUM(F11:F66)</f>
        <v>311371</v>
      </c>
      <c r="G68" s="327"/>
      <c r="H68" s="328"/>
      <c r="I68" s="327">
        <f>SUM(I11:I66)</f>
        <v>-16.700000000000003</v>
      </c>
      <c r="J68" s="329"/>
      <c r="K68" s="327"/>
      <c r="L68" s="327">
        <f t="shared" ref="L68:N68" si="21">SUM(L11:L66)</f>
        <v>243982.9</v>
      </c>
      <c r="M68" s="327">
        <f t="shared" si="21"/>
        <v>53278.7</v>
      </c>
      <c r="N68" s="327">
        <f t="shared" si="21"/>
        <v>297261.59999999998</v>
      </c>
      <c r="O68" s="327"/>
    </row>
    <row r="69" spans="1:15" x14ac:dyDescent="0.3">
      <c r="A69" s="219"/>
      <c r="B69" s="178"/>
      <c r="C69" s="170"/>
      <c r="D69" s="255"/>
      <c r="E69" s="255"/>
      <c r="F69" s="267"/>
      <c r="G69" s="255"/>
      <c r="H69" s="85"/>
      <c r="I69" s="267"/>
      <c r="J69" s="85"/>
      <c r="K69" s="267"/>
      <c r="L69" s="261"/>
      <c r="M69" s="261"/>
      <c r="N69" s="261"/>
      <c r="O69" s="270"/>
    </row>
  </sheetData>
  <protectedRanges>
    <protectedRange sqref="C1:C5" name="Range1_8_1_1"/>
    <protectedRange sqref="F1:O5" name="Range1_6_3_1_1"/>
    <protectedRange sqref="F6:N6" name="Range1_9_1_1"/>
  </protectedRanges>
  <mergeCells count="12">
    <mergeCell ref="A1:O1"/>
    <mergeCell ref="A2:O2"/>
    <mergeCell ref="A3:O3"/>
    <mergeCell ref="A4:O4"/>
    <mergeCell ref="A5:O5"/>
    <mergeCell ref="L6:N6"/>
    <mergeCell ref="O6:O7"/>
    <mergeCell ref="A6:A7"/>
    <mergeCell ref="B6:B7"/>
    <mergeCell ref="C6:C7"/>
    <mergeCell ref="D6:F6"/>
    <mergeCell ref="G6:K6"/>
  </mergeCells>
  <printOptions horizontalCentered="1"/>
  <pageMargins left="0.39370078740157499" right="0.39370078740157499" top="0.74803149606299202" bottom="0.74803149606299202" header="0.31496062992126" footer="0.31496062992126"/>
  <pageSetup paperSize="9" scale="72" orientation="portrait" r:id="rId1"/>
  <headerFooter>
    <oddFooter>&amp;RFOUR SQUARE ENGINEERING SERVICES</oddFooter>
  </headerFooter>
  <rowBreaks count="3" manualBreakCount="3">
    <brk id="41" max="5" man="1"/>
    <brk id="62" max="5" man="1"/>
    <brk id="68"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19"/>
  <sheetViews>
    <sheetView topLeftCell="A76" workbookViewId="0">
      <selection activeCell="G111" sqref="G111"/>
    </sheetView>
  </sheetViews>
  <sheetFormatPr defaultColWidth="8.81640625" defaultRowHeight="12.5" x14ac:dyDescent="0.25"/>
  <cols>
    <col min="1" max="1" width="8.81640625" style="459"/>
    <col min="2" max="2" width="77.54296875" style="459" customWidth="1"/>
    <col min="3" max="3" width="8.81640625" style="492"/>
    <col min="4" max="6" width="9.453125" style="608" bestFit="1" customWidth="1"/>
    <col min="7" max="8" width="8.81640625" style="608"/>
    <col min="9" max="16384" width="8.81640625" style="459"/>
  </cols>
  <sheetData>
    <row r="1" spans="1:8" ht="16" thickBot="1" x14ac:dyDescent="0.3">
      <c r="A1" s="815" t="s">
        <v>807</v>
      </c>
      <c r="B1" s="815"/>
      <c r="C1" s="815"/>
      <c r="D1" s="815"/>
      <c r="E1" s="815"/>
      <c r="F1" s="815"/>
      <c r="G1" s="815"/>
      <c r="H1" s="815"/>
    </row>
    <row r="2" spans="1:8" ht="16" thickBot="1" x14ac:dyDescent="0.3">
      <c r="A2" s="816" t="s">
        <v>669</v>
      </c>
      <c r="B2" s="817" t="s">
        <v>670</v>
      </c>
      <c r="C2" s="818" t="s">
        <v>672</v>
      </c>
      <c r="D2" s="819" t="s">
        <v>805</v>
      </c>
      <c r="E2" s="820"/>
      <c r="F2" s="820"/>
      <c r="G2" s="820"/>
      <c r="H2" s="821"/>
    </row>
    <row r="3" spans="1:8" ht="16" thickBot="1" x14ac:dyDescent="0.3">
      <c r="A3" s="816"/>
      <c r="B3" s="817"/>
      <c r="C3" s="818"/>
      <c r="D3" s="598" t="s">
        <v>675</v>
      </c>
      <c r="E3" s="598" t="s">
        <v>162</v>
      </c>
      <c r="F3" s="598" t="s">
        <v>676</v>
      </c>
      <c r="G3" s="598" t="s">
        <v>677</v>
      </c>
      <c r="H3" s="598" t="s">
        <v>678</v>
      </c>
    </row>
    <row r="4" spans="1:8" ht="13" x14ac:dyDescent="0.25">
      <c r="A4" s="609" t="s">
        <v>158</v>
      </c>
      <c r="B4" s="610" t="s">
        <v>491</v>
      </c>
      <c r="C4" s="611"/>
      <c r="D4" s="612"/>
      <c r="E4" s="612"/>
      <c r="F4" s="612"/>
      <c r="G4" s="612"/>
      <c r="H4" s="613"/>
    </row>
    <row r="5" spans="1:8" x14ac:dyDescent="0.25">
      <c r="A5" s="614"/>
      <c r="B5" s="204" t="s">
        <v>492</v>
      </c>
      <c r="C5" s="205"/>
      <c r="D5" s="479"/>
      <c r="E5" s="479"/>
      <c r="F5" s="479"/>
      <c r="G5" s="479"/>
      <c r="H5" s="615"/>
    </row>
    <row r="6" spans="1:8" ht="84" x14ac:dyDescent="0.25">
      <c r="A6" s="614">
        <v>1</v>
      </c>
      <c r="B6" s="179" t="s">
        <v>610</v>
      </c>
      <c r="C6" s="206"/>
      <c r="D6" s="479"/>
      <c r="E6" s="479"/>
      <c r="F6" s="479"/>
      <c r="G6" s="479"/>
      <c r="H6" s="615"/>
    </row>
    <row r="7" spans="1:8" x14ac:dyDescent="0.25">
      <c r="A7" s="614" t="s">
        <v>493</v>
      </c>
      <c r="B7" s="207" t="s">
        <v>494</v>
      </c>
      <c r="C7" s="208" t="s">
        <v>347</v>
      </c>
      <c r="D7" s="479"/>
      <c r="E7" s="479"/>
      <c r="F7" s="479"/>
      <c r="G7" s="479"/>
      <c r="H7" s="615"/>
    </row>
    <row r="8" spans="1:8" x14ac:dyDescent="0.25">
      <c r="A8" s="614"/>
      <c r="B8" s="207" t="s">
        <v>808</v>
      </c>
      <c r="C8" s="208" t="s">
        <v>347</v>
      </c>
      <c r="D8" s="208"/>
      <c r="E8" s="479"/>
      <c r="F8" s="479"/>
      <c r="G8" s="479">
        <v>1</v>
      </c>
      <c r="H8" s="615">
        <f t="shared" ref="H8:H13" si="0">PRODUCT(D8:G8)</f>
        <v>1</v>
      </c>
    </row>
    <row r="9" spans="1:8" x14ac:dyDescent="0.25">
      <c r="A9" s="614"/>
      <c r="B9" s="207" t="s">
        <v>747</v>
      </c>
      <c r="C9" s="208" t="s">
        <v>347</v>
      </c>
      <c r="D9" s="479">
        <v>4</v>
      </c>
      <c r="E9" s="479"/>
      <c r="F9" s="479"/>
      <c r="G9" s="479">
        <v>1</v>
      </c>
      <c r="H9" s="615">
        <f t="shared" si="0"/>
        <v>4</v>
      </c>
    </row>
    <row r="10" spans="1:8" x14ac:dyDescent="0.25">
      <c r="A10" s="614"/>
      <c r="B10" s="207" t="s">
        <v>809</v>
      </c>
      <c r="C10" s="208" t="s">
        <v>347</v>
      </c>
      <c r="D10" s="479">
        <f>1.5+1.5+1+1.5+1.5+1.5+1+2+2+1+1+3+1.5+1+1.5+1.5+1+1+1</f>
        <v>27</v>
      </c>
      <c r="E10" s="479"/>
      <c r="F10" s="479"/>
      <c r="G10" s="479">
        <v>1</v>
      </c>
      <c r="H10" s="615">
        <f t="shared" si="0"/>
        <v>27</v>
      </c>
    </row>
    <row r="11" spans="1:8" x14ac:dyDescent="0.25">
      <c r="A11" s="614"/>
      <c r="B11" s="207" t="s">
        <v>810</v>
      </c>
      <c r="C11" s="208" t="s">
        <v>347</v>
      </c>
      <c r="D11" s="479">
        <v>2</v>
      </c>
      <c r="E11" s="479"/>
      <c r="F11" s="479"/>
      <c r="G11" s="479">
        <v>1</v>
      </c>
      <c r="H11" s="615">
        <f t="shared" si="0"/>
        <v>2</v>
      </c>
    </row>
    <row r="12" spans="1:8" x14ac:dyDescent="0.25">
      <c r="A12" s="614"/>
      <c r="B12" s="207" t="s">
        <v>811</v>
      </c>
      <c r="C12" s="208" t="s">
        <v>347</v>
      </c>
      <c r="D12" s="479">
        <v>25</v>
      </c>
      <c r="E12" s="479"/>
      <c r="F12" s="479"/>
      <c r="G12" s="479">
        <v>1</v>
      </c>
      <c r="H12" s="615">
        <f t="shared" si="0"/>
        <v>25</v>
      </c>
    </row>
    <row r="13" spans="1:8" x14ac:dyDescent="0.25">
      <c r="A13" s="614"/>
      <c r="B13" s="207"/>
      <c r="C13" s="208"/>
      <c r="D13" s="479"/>
      <c r="E13" s="479"/>
      <c r="F13" s="479"/>
      <c r="G13" s="479"/>
      <c r="H13" s="615">
        <f t="shared" si="0"/>
        <v>0</v>
      </c>
    </row>
    <row r="14" spans="1:8" x14ac:dyDescent="0.25">
      <c r="A14" s="614"/>
      <c r="B14" s="207"/>
      <c r="C14" s="208"/>
      <c r="D14" s="479"/>
      <c r="E14" s="479"/>
      <c r="F14" s="479"/>
      <c r="G14" s="479"/>
      <c r="H14" s="615"/>
    </row>
    <row r="15" spans="1:8" ht="13" x14ac:dyDescent="0.3">
      <c r="A15" s="614"/>
      <c r="B15" s="699" t="s">
        <v>800</v>
      </c>
      <c r="C15" s="700" t="s">
        <v>347</v>
      </c>
      <c r="D15" s="520"/>
      <c r="E15" s="520"/>
      <c r="F15" s="520"/>
      <c r="G15" s="520"/>
      <c r="H15" s="593">
        <f>SUM(H8:H14)</f>
        <v>59</v>
      </c>
    </row>
    <row r="16" spans="1:8" x14ac:dyDescent="0.25">
      <c r="A16" s="614"/>
      <c r="B16" s="207"/>
      <c r="C16" s="208"/>
      <c r="D16" s="479"/>
      <c r="E16" s="479"/>
      <c r="F16" s="479"/>
      <c r="G16" s="479"/>
      <c r="H16" s="615"/>
    </row>
    <row r="17" spans="1:8" x14ac:dyDescent="0.25">
      <c r="A17" s="614" t="s">
        <v>495</v>
      </c>
      <c r="B17" s="207" t="s">
        <v>496</v>
      </c>
      <c r="C17" s="208" t="s">
        <v>347</v>
      </c>
      <c r="D17" s="479"/>
      <c r="E17" s="479"/>
      <c r="F17" s="479"/>
      <c r="G17" s="479"/>
      <c r="H17" s="615"/>
    </row>
    <row r="18" spans="1:8" x14ac:dyDescent="0.25">
      <c r="A18" s="614"/>
      <c r="B18" s="207"/>
      <c r="C18" s="206"/>
      <c r="D18" s="479"/>
      <c r="E18" s="479"/>
      <c r="F18" s="479"/>
      <c r="G18" s="479"/>
      <c r="H18" s="615"/>
    </row>
    <row r="19" spans="1:8" ht="36" x14ac:dyDescent="0.25">
      <c r="A19" s="614">
        <v>2</v>
      </c>
      <c r="B19" s="207" t="s">
        <v>812</v>
      </c>
      <c r="C19" s="209"/>
      <c r="D19" s="479"/>
      <c r="E19" s="479"/>
      <c r="F19" s="479"/>
      <c r="G19" s="479"/>
      <c r="H19" s="615"/>
    </row>
    <row r="20" spans="1:8" x14ac:dyDescent="0.25">
      <c r="A20" s="614" t="s">
        <v>493</v>
      </c>
      <c r="B20" s="210" t="s">
        <v>497</v>
      </c>
      <c r="C20" s="208" t="s">
        <v>347</v>
      </c>
      <c r="D20" s="479"/>
      <c r="E20" s="479"/>
      <c r="F20" s="479"/>
      <c r="G20" s="479"/>
      <c r="H20" s="615"/>
    </row>
    <row r="21" spans="1:8" ht="13" x14ac:dyDescent="0.3">
      <c r="A21" s="614" t="s">
        <v>495</v>
      </c>
      <c r="B21" s="210" t="s">
        <v>813</v>
      </c>
      <c r="C21" s="208" t="s">
        <v>347</v>
      </c>
      <c r="D21" s="479">
        <v>10</v>
      </c>
      <c r="E21" s="479"/>
      <c r="F21" s="479"/>
      <c r="G21" s="479">
        <v>1</v>
      </c>
      <c r="H21" s="593">
        <f t="shared" ref="H21" si="1">PRODUCT(D21:G21)</f>
        <v>10</v>
      </c>
    </row>
    <row r="22" spans="1:8" x14ac:dyDescent="0.25">
      <c r="A22" s="614" t="s">
        <v>499</v>
      </c>
      <c r="B22" s="210" t="s">
        <v>500</v>
      </c>
      <c r="C22" s="208" t="s">
        <v>347</v>
      </c>
      <c r="D22" s="479"/>
      <c r="E22" s="479"/>
      <c r="F22" s="479"/>
      <c r="G22" s="479"/>
      <c r="H22" s="615"/>
    </row>
    <row r="23" spans="1:8" x14ac:dyDescent="0.25">
      <c r="A23" s="614"/>
      <c r="B23" s="207"/>
      <c r="C23" s="206"/>
      <c r="D23" s="479"/>
      <c r="E23" s="479"/>
      <c r="F23" s="479"/>
      <c r="G23" s="479"/>
      <c r="H23" s="615"/>
    </row>
    <row r="24" spans="1:8" ht="24" x14ac:dyDescent="0.25">
      <c r="A24" s="614">
        <v>3</v>
      </c>
      <c r="B24" s="207" t="s">
        <v>501</v>
      </c>
      <c r="C24" s="208"/>
      <c r="D24" s="479"/>
      <c r="E24" s="479"/>
      <c r="F24" s="479"/>
      <c r="G24" s="479"/>
      <c r="H24" s="615"/>
    </row>
    <row r="25" spans="1:8" x14ac:dyDescent="0.25">
      <c r="A25" s="614" t="s">
        <v>493</v>
      </c>
      <c r="B25" s="210" t="s">
        <v>502</v>
      </c>
      <c r="C25" s="208" t="s">
        <v>398</v>
      </c>
      <c r="D25" s="479"/>
      <c r="E25" s="479"/>
      <c r="F25" s="479"/>
      <c r="G25" s="479">
        <v>0</v>
      </c>
      <c r="H25" s="615"/>
    </row>
    <row r="26" spans="1:8" ht="13" x14ac:dyDescent="0.3">
      <c r="A26" s="614" t="s">
        <v>495</v>
      </c>
      <c r="B26" s="210" t="s">
        <v>503</v>
      </c>
      <c r="C26" s="208" t="s">
        <v>398</v>
      </c>
      <c r="D26" s="479"/>
      <c r="E26" s="479"/>
      <c r="F26" s="479"/>
      <c r="G26" s="479">
        <v>1</v>
      </c>
      <c r="H26" s="593">
        <f t="shared" ref="H26" si="2">PRODUCT(D26:G26)</f>
        <v>1</v>
      </c>
    </row>
    <row r="27" spans="1:8" x14ac:dyDescent="0.25">
      <c r="A27" s="614"/>
      <c r="B27" s="207"/>
      <c r="C27" s="206"/>
      <c r="D27" s="479"/>
      <c r="E27" s="479"/>
      <c r="F27" s="479"/>
      <c r="G27" s="479"/>
      <c r="H27" s="615"/>
    </row>
    <row r="28" spans="1:8" ht="36" x14ac:dyDescent="0.25">
      <c r="A28" s="614">
        <v>4</v>
      </c>
      <c r="B28" s="207" t="s">
        <v>504</v>
      </c>
      <c r="C28" s="206"/>
      <c r="D28" s="479"/>
      <c r="E28" s="479"/>
      <c r="F28" s="479"/>
      <c r="G28" s="479"/>
      <c r="H28" s="615"/>
    </row>
    <row r="29" spans="1:8" ht="13" x14ac:dyDescent="0.3">
      <c r="A29" s="614"/>
      <c r="B29" s="207" t="s">
        <v>505</v>
      </c>
      <c r="C29" s="208" t="s">
        <v>398</v>
      </c>
      <c r="D29" s="479"/>
      <c r="E29" s="479"/>
      <c r="F29" s="479"/>
      <c r="G29" s="479">
        <v>12</v>
      </c>
      <c r="H29" s="593">
        <f t="shared" ref="H29" si="3">PRODUCT(D29:G29)</f>
        <v>12</v>
      </c>
    </row>
    <row r="30" spans="1:8" x14ac:dyDescent="0.25">
      <c r="A30" s="614"/>
      <c r="B30" s="207"/>
      <c r="C30" s="208"/>
      <c r="D30" s="479"/>
      <c r="E30" s="479"/>
      <c r="F30" s="479"/>
      <c r="G30" s="479"/>
      <c r="H30" s="615"/>
    </row>
    <row r="31" spans="1:8" ht="24" x14ac:dyDescent="0.25">
      <c r="A31" s="614">
        <v>5</v>
      </c>
      <c r="B31" s="616" t="s">
        <v>506</v>
      </c>
      <c r="C31" s="208"/>
      <c r="D31" s="479"/>
      <c r="E31" s="479"/>
      <c r="F31" s="479"/>
      <c r="G31" s="479"/>
      <c r="H31" s="615"/>
    </row>
    <row r="32" spans="1:8" ht="13" x14ac:dyDescent="0.3">
      <c r="A32" s="614"/>
      <c r="B32" s="617" t="s">
        <v>507</v>
      </c>
      <c r="C32" s="208" t="s">
        <v>398</v>
      </c>
      <c r="D32" s="479"/>
      <c r="E32" s="479"/>
      <c r="F32" s="479"/>
      <c r="G32" s="479">
        <v>3</v>
      </c>
      <c r="H32" s="593">
        <f t="shared" ref="H32" si="4">PRODUCT(D32:G32)</f>
        <v>3</v>
      </c>
    </row>
    <row r="33" spans="1:8" x14ac:dyDescent="0.25">
      <c r="A33" s="614"/>
      <c r="B33" s="207"/>
      <c r="C33" s="208"/>
      <c r="D33" s="479"/>
      <c r="E33" s="479"/>
      <c r="F33" s="479"/>
      <c r="G33" s="479"/>
      <c r="H33" s="615"/>
    </row>
    <row r="34" spans="1:8" ht="24" x14ac:dyDescent="0.25">
      <c r="A34" s="614">
        <v>6</v>
      </c>
      <c r="B34" s="207" t="s">
        <v>508</v>
      </c>
      <c r="C34" s="208" t="s">
        <v>398</v>
      </c>
      <c r="D34" s="479"/>
      <c r="E34" s="479"/>
      <c r="F34" s="479"/>
      <c r="G34" s="479"/>
      <c r="H34" s="615"/>
    </row>
    <row r="35" spans="1:8" x14ac:dyDescent="0.25">
      <c r="A35" s="614"/>
      <c r="B35" s="213"/>
      <c r="C35" s="206"/>
      <c r="D35" s="479"/>
      <c r="E35" s="479"/>
      <c r="F35" s="479"/>
      <c r="G35" s="479"/>
      <c r="H35" s="615"/>
    </row>
    <row r="36" spans="1:8" ht="24" x14ac:dyDescent="0.3">
      <c r="A36" s="614">
        <v>7</v>
      </c>
      <c r="B36" s="207" t="s">
        <v>509</v>
      </c>
      <c r="C36" s="208" t="s">
        <v>398</v>
      </c>
      <c r="D36" s="479"/>
      <c r="E36" s="479"/>
      <c r="F36" s="479"/>
      <c r="G36" s="259">
        <v>16</v>
      </c>
      <c r="H36" s="593">
        <f t="shared" ref="H36" si="5">PRODUCT(D36:G36)</f>
        <v>16</v>
      </c>
    </row>
    <row r="37" spans="1:8" x14ac:dyDescent="0.25">
      <c r="A37" s="614"/>
      <c r="B37" s="213"/>
      <c r="C37" s="206"/>
      <c r="D37" s="479"/>
      <c r="E37" s="479"/>
      <c r="F37" s="479"/>
      <c r="G37" s="259"/>
      <c r="H37" s="615"/>
    </row>
    <row r="38" spans="1:8" x14ac:dyDescent="0.25">
      <c r="A38" s="614">
        <v>8</v>
      </c>
      <c r="B38" s="207" t="s">
        <v>510</v>
      </c>
      <c r="C38" s="206"/>
      <c r="D38" s="479"/>
      <c r="E38" s="479"/>
      <c r="F38" s="479"/>
      <c r="G38" s="259"/>
      <c r="H38" s="615"/>
    </row>
    <row r="39" spans="1:8" ht="13" x14ac:dyDescent="0.3">
      <c r="A39" s="614"/>
      <c r="B39" s="207" t="s">
        <v>511</v>
      </c>
      <c r="C39" s="208" t="s">
        <v>398</v>
      </c>
      <c r="D39" s="479"/>
      <c r="E39" s="479"/>
      <c r="F39" s="479"/>
      <c r="G39" s="259">
        <v>16</v>
      </c>
      <c r="H39" s="593">
        <f t="shared" ref="H39" si="6">PRODUCT(D39:G39)</f>
        <v>16</v>
      </c>
    </row>
    <row r="40" spans="1:8" x14ac:dyDescent="0.25">
      <c r="A40" s="614"/>
      <c r="B40" s="213"/>
      <c r="C40" s="206"/>
      <c r="D40" s="479"/>
      <c r="E40" s="479"/>
      <c r="F40" s="479"/>
      <c r="G40" s="259"/>
      <c r="H40" s="615"/>
    </row>
    <row r="41" spans="1:8" ht="24" x14ac:dyDescent="0.25">
      <c r="A41" s="614">
        <v>9</v>
      </c>
      <c r="B41" s="207" t="s">
        <v>512</v>
      </c>
      <c r="C41" s="206"/>
      <c r="D41" s="479"/>
      <c r="E41" s="479"/>
      <c r="F41" s="479"/>
      <c r="G41" s="259"/>
      <c r="H41" s="615"/>
    </row>
    <row r="42" spans="1:8" ht="13" x14ac:dyDescent="0.3">
      <c r="A42" s="614" t="s">
        <v>493</v>
      </c>
      <c r="B42" s="207" t="s">
        <v>513</v>
      </c>
      <c r="C42" s="208" t="s">
        <v>398</v>
      </c>
      <c r="D42" s="479"/>
      <c r="E42" s="479"/>
      <c r="F42" s="479"/>
      <c r="G42" s="259">
        <v>1</v>
      </c>
      <c r="H42" s="593">
        <f t="shared" ref="H42:H43" si="7">PRODUCT(D42:G42)</f>
        <v>1</v>
      </c>
    </row>
    <row r="43" spans="1:8" ht="13" x14ac:dyDescent="0.3">
      <c r="A43" s="614" t="s">
        <v>495</v>
      </c>
      <c r="B43" s="207" t="s">
        <v>514</v>
      </c>
      <c r="C43" s="208" t="s">
        <v>398</v>
      </c>
      <c r="D43" s="479"/>
      <c r="E43" s="479"/>
      <c r="F43" s="479"/>
      <c r="G43" s="259">
        <v>8</v>
      </c>
      <c r="H43" s="593">
        <f t="shared" si="7"/>
        <v>8</v>
      </c>
    </row>
    <row r="44" spans="1:8" x14ac:dyDescent="0.25">
      <c r="A44" s="614"/>
      <c r="B44" s="207"/>
      <c r="C44" s="206"/>
      <c r="D44" s="479"/>
      <c r="E44" s="479"/>
      <c r="F44" s="479"/>
      <c r="G44" s="479"/>
      <c r="H44" s="615"/>
    </row>
    <row r="45" spans="1:8" x14ac:dyDescent="0.25">
      <c r="A45" s="614">
        <v>10</v>
      </c>
      <c r="B45" s="207" t="s">
        <v>515</v>
      </c>
      <c r="C45" s="208" t="s">
        <v>398</v>
      </c>
      <c r="D45" s="479"/>
      <c r="E45" s="479"/>
      <c r="F45" s="479"/>
      <c r="G45" s="479"/>
      <c r="H45" s="615"/>
    </row>
    <row r="46" spans="1:8" x14ac:dyDescent="0.25">
      <c r="A46" s="614"/>
      <c r="B46" s="207"/>
      <c r="C46" s="205"/>
      <c r="D46" s="479"/>
      <c r="E46" s="479"/>
      <c r="F46" s="479"/>
      <c r="G46" s="479"/>
      <c r="H46" s="615"/>
    </row>
    <row r="47" spans="1:8" x14ac:dyDescent="0.25">
      <c r="A47" s="614"/>
      <c r="B47" s="213" t="s">
        <v>516</v>
      </c>
      <c r="C47" s="205"/>
      <c r="D47" s="479"/>
      <c r="E47" s="479"/>
      <c r="F47" s="479"/>
      <c r="G47" s="479"/>
      <c r="H47" s="615"/>
    </row>
    <row r="48" spans="1:8" ht="120" x14ac:dyDescent="0.25">
      <c r="A48" s="614">
        <v>11</v>
      </c>
      <c r="B48" s="207" t="s">
        <v>612</v>
      </c>
      <c r="C48" s="205"/>
      <c r="D48" s="479"/>
      <c r="E48" s="479"/>
      <c r="F48" s="479"/>
      <c r="G48" s="479"/>
      <c r="H48" s="615"/>
    </row>
    <row r="49" spans="1:8" x14ac:dyDescent="0.25">
      <c r="A49" s="614" t="s">
        <v>493</v>
      </c>
      <c r="B49" s="207" t="s">
        <v>517</v>
      </c>
      <c r="C49" s="208" t="s">
        <v>347</v>
      </c>
      <c r="D49" s="479"/>
      <c r="E49" s="479"/>
      <c r="F49" s="479"/>
      <c r="G49" s="479"/>
      <c r="H49" s="615"/>
    </row>
    <row r="50" spans="1:8" x14ac:dyDescent="0.25">
      <c r="A50" s="614" t="s">
        <v>495</v>
      </c>
      <c r="B50" s="207" t="s">
        <v>518</v>
      </c>
      <c r="C50" s="208" t="s">
        <v>347</v>
      </c>
      <c r="D50" s="479"/>
      <c r="E50" s="479"/>
      <c r="F50" s="479"/>
      <c r="G50" s="479"/>
      <c r="H50" s="615"/>
    </row>
    <row r="51" spans="1:8" x14ac:dyDescent="0.25">
      <c r="A51" s="614"/>
      <c r="B51" s="207" t="s">
        <v>814</v>
      </c>
      <c r="C51" s="208" t="s">
        <v>347</v>
      </c>
      <c r="D51" s="479"/>
      <c r="E51" s="479"/>
      <c r="F51" s="479"/>
      <c r="G51" s="479"/>
      <c r="H51" s="615"/>
    </row>
    <row r="52" spans="1:8" x14ac:dyDescent="0.25">
      <c r="A52" s="614"/>
      <c r="B52" s="207" t="s">
        <v>815</v>
      </c>
      <c r="C52" s="208" t="s">
        <v>347</v>
      </c>
      <c r="D52" s="479">
        <v>2.5</v>
      </c>
      <c r="E52" s="479"/>
      <c r="F52" s="479"/>
      <c r="G52" s="479">
        <v>1</v>
      </c>
      <c r="H52" s="615">
        <f>PRODUCT(D52:G52)</f>
        <v>2.5</v>
      </c>
    </row>
    <row r="53" spans="1:8" x14ac:dyDescent="0.25">
      <c r="A53" s="614"/>
      <c r="B53" s="207" t="s">
        <v>816</v>
      </c>
      <c r="C53" s="208" t="s">
        <v>347</v>
      </c>
      <c r="D53" s="479">
        <v>2.5</v>
      </c>
      <c r="E53" s="479"/>
      <c r="F53" s="479"/>
      <c r="G53" s="479">
        <v>1</v>
      </c>
      <c r="H53" s="615">
        <f t="shared" ref="H53:H68" si="8">PRODUCT(D53:G53)</f>
        <v>2.5</v>
      </c>
    </row>
    <row r="54" spans="1:8" x14ac:dyDescent="0.25">
      <c r="A54" s="614"/>
      <c r="B54" s="207" t="s">
        <v>817</v>
      </c>
      <c r="C54" s="208" t="s">
        <v>347</v>
      </c>
      <c r="D54" s="479">
        <v>0.5</v>
      </c>
      <c r="E54" s="479"/>
      <c r="F54" s="479"/>
      <c r="G54" s="479">
        <v>1</v>
      </c>
      <c r="H54" s="615">
        <f t="shared" si="8"/>
        <v>0.5</v>
      </c>
    </row>
    <row r="55" spans="1:8" x14ac:dyDescent="0.25">
      <c r="A55" s="614"/>
      <c r="B55" s="207" t="s">
        <v>818</v>
      </c>
      <c r="C55" s="208" t="s">
        <v>347</v>
      </c>
      <c r="D55" s="479">
        <v>6.5</v>
      </c>
      <c r="E55" s="479"/>
      <c r="F55" s="479"/>
      <c r="G55" s="479">
        <v>2</v>
      </c>
      <c r="H55" s="615">
        <f t="shared" si="8"/>
        <v>13</v>
      </c>
    </row>
    <row r="56" spans="1:8" x14ac:dyDescent="0.25">
      <c r="A56" s="614"/>
      <c r="B56" s="207" t="s">
        <v>819</v>
      </c>
      <c r="C56" s="208" t="s">
        <v>347</v>
      </c>
      <c r="D56" s="479">
        <v>6.5</v>
      </c>
      <c r="E56" s="479"/>
      <c r="F56" s="479"/>
      <c r="G56" s="479">
        <v>1</v>
      </c>
      <c r="H56" s="615">
        <f t="shared" si="8"/>
        <v>6.5</v>
      </c>
    </row>
    <row r="57" spans="1:8" x14ac:dyDescent="0.25">
      <c r="A57" s="614"/>
      <c r="B57" s="207" t="s">
        <v>820</v>
      </c>
      <c r="C57" s="208" t="s">
        <v>347</v>
      </c>
      <c r="D57" s="479">
        <v>6</v>
      </c>
      <c r="E57" s="479"/>
      <c r="F57" s="479"/>
      <c r="G57" s="479">
        <v>2</v>
      </c>
      <c r="H57" s="615">
        <f t="shared" si="8"/>
        <v>12</v>
      </c>
    </row>
    <row r="58" spans="1:8" x14ac:dyDescent="0.25">
      <c r="A58" s="614"/>
      <c r="B58" s="207" t="s">
        <v>821</v>
      </c>
      <c r="C58" s="208" t="s">
        <v>347</v>
      </c>
      <c r="D58" s="479">
        <v>6</v>
      </c>
      <c r="E58" s="479"/>
      <c r="F58" s="479"/>
      <c r="G58" s="479">
        <v>2</v>
      </c>
      <c r="H58" s="615">
        <f t="shared" si="8"/>
        <v>12</v>
      </c>
    </row>
    <row r="59" spans="1:8" x14ac:dyDescent="0.25">
      <c r="A59" s="614"/>
      <c r="B59" s="207" t="s">
        <v>822</v>
      </c>
      <c r="C59" s="208" t="s">
        <v>347</v>
      </c>
      <c r="D59" s="479"/>
      <c r="E59" s="479"/>
      <c r="F59" s="479"/>
      <c r="G59" s="479"/>
      <c r="H59" s="615">
        <f t="shared" si="8"/>
        <v>0</v>
      </c>
    </row>
    <row r="60" spans="1:8" x14ac:dyDescent="0.25">
      <c r="A60" s="614"/>
      <c r="B60" s="207" t="s">
        <v>823</v>
      </c>
      <c r="C60" s="208" t="s">
        <v>347</v>
      </c>
      <c r="D60" s="479">
        <v>3</v>
      </c>
      <c r="E60" s="479"/>
      <c r="F60" s="479"/>
      <c r="G60" s="479">
        <v>1</v>
      </c>
      <c r="H60" s="615">
        <f t="shared" si="8"/>
        <v>3</v>
      </c>
    </row>
    <row r="61" spans="1:8" x14ac:dyDescent="0.25">
      <c r="A61" s="614"/>
      <c r="B61" s="207" t="s">
        <v>816</v>
      </c>
      <c r="C61" s="208" t="s">
        <v>347</v>
      </c>
      <c r="D61" s="479">
        <v>3</v>
      </c>
      <c r="E61" s="479"/>
      <c r="F61" s="479"/>
      <c r="G61" s="479">
        <v>1</v>
      </c>
      <c r="H61" s="615">
        <f t="shared" si="8"/>
        <v>3</v>
      </c>
    </row>
    <row r="62" spans="1:8" x14ac:dyDescent="0.25">
      <c r="A62" s="614"/>
      <c r="B62" s="207" t="s">
        <v>824</v>
      </c>
      <c r="C62" s="208" t="s">
        <v>347</v>
      </c>
      <c r="D62" s="479">
        <v>2</v>
      </c>
      <c r="E62" s="479"/>
      <c r="F62" s="479"/>
      <c r="G62" s="479">
        <v>1</v>
      </c>
      <c r="H62" s="615">
        <f t="shared" si="8"/>
        <v>2</v>
      </c>
    </row>
    <row r="63" spans="1:8" x14ac:dyDescent="0.25">
      <c r="A63" s="614"/>
      <c r="B63" s="207" t="s">
        <v>825</v>
      </c>
      <c r="C63" s="208" t="s">
        <v>347</v>
      </c>
      <c r="D63" s="479">
        <v>3</v>
      </c>
      <c r="E63" s="479"/>
      <c r="F63" s="479"/>
      <c r="G63" s="479">
        <v>1</v>
      </c>
      <c r="H63" s="615">
        <f t="shared" si="8"/>
        <v>3</v>
      </c>
    </row>
    <row r="64" spans="1:8" x14ac:dyDescent="0.25">
      <c r="A64" s="614"/>
      <c r="B64" s="207" t="s">
        <v>826</v>
      </c>
      <c r="C64" s="208" t="s">
        <v>347</v>
      </c>
      <c r="D64" s="479">
        <v>2</v>
      </c>
      <c r="E64" s="479"/>
      <c r="F64" s="479"/>
      <c r="G64" s="479">
        <v>1</v>
      </c>
      <c r="H64" s="615">
        <f t="shared" si="8"/>
        <v>2</v>
      </c>
    </row>
    <row r="65" spans="1:8" x14ac:dyDescent="0.25">
      <c r="A65" s="614"/>
      <c r="B65" s="207" t="s">
        <v>827</v>
      </c>
      <c r="C65" s="208" t="s">
        <v>347</v>
      </c>
      <c r="D65" s="479"/>
      <c r="E65" s="479"/>
      <c r="F65" s="479"/>
      <c r="G65" s="479"/>
      <c r="H65" s="615">
        <f t="shared" si="8"/>
        <v>0</v>
      </c>
    </row>
    <row r="66" spans="1:8" x14ac:dyDescent="0.25">
      <c r="A66" s="614"/>
      <c r="B66" s="207" t="s">
        <v>828</v>
      </c>
      <c r="C66" s="208" t="s">
        <v>347</v>
      </c>
      <c r="D66" s="479">
        <v>3.5</v>
      </c>
      <c r="E66" s="479"/>
      <c r="F66" s="479"/>
      <c r="G66" s="479">
        <v>1</v>
      </c>
      <c r="H66" s="615">
        <f t="shared" si="8"/>
        <v>3.5</v>
      </c>
    </row>
    <row r="67" spans="1:8" x14ac:dyDescent="0.25">
      <c r="A67" s="614"/>
      <c r="B67" s="207" t="s">
        <v>829</v>
      </c>
      <c r="C67" s="208" t="s">
        <v>347</v>
      </c>
      <c r="D67" s="479">
        <v>3.5</v>
      </c>
      <c r="E67" s="479"/>
      <c r="F67" s="479"/>
      <c r="G67" s="479">
        <v>1</v>
      </c>
      <c r="H67" s="615">
        <f t="shared" si="8"/>
        <v>3.5</v>
      </c>
    </row>
    <row r="68" spans="1:8" x14ac:dyDescent="0.25">
      <c r="A68" s="614"/>
      <c r="B68" s="207" t="s">
        <v>830</v>
      </c>
      <c r="C68" s="208" t="s">
        <v>347</v>
      </c>
      <c r="D68" s="479">
        <v>3.5</v>
      </c>
      <c r="E68" s="479"/>
      <c r="F68" s="479"/>
      <c r="G68" s="479">
        <v>1</v>
      </c>
      <c r="H68" s="615">
        <f t="shared" si="8"/>
        <v>3.5</v>
      </c>
    </row>
    <row r="69" spans="1:8" x14ac:dyDescent="0.25">
      <c r="A69" s="614"/>
      <c r="B69" s="207" t="s">
        <v>969</v>
      </c>
      <c r="C69" s="208" t="s">
        <v>347</v>
      </c>
      <c r="D69" s="479">
        <v>3</v>
      </c>
      <c r="E69" s="479"/>
      <c r="F69" s="479"/>
      <c r="G69" s="479">
        <v>1</v>
      </c>
      <c r="H69" s="615">
        <f t="shared" ref="H69" si="9">PRODUCT(D69:G69)</f>
        <v>3</v>
      </c>
    </row>
    <row r="70" spans="1:8" x14ac:dyDescent="0.25">
      <c r="A70" s="614"/>
      <c r="B70" s="207"/>
      <c r="C70" s="208"/>
      <c r="D70" s="479"/>
      <c r="E70" s="479"/>
      <c r="F70" s="479"/>
      <c r="G70" s="479"/>
      <c r="H70" s="615"/>
    </row>
    <row r="71" spans="1:8" ht="13" x14ac:dyDescent="0.3">
      <c r="A71" s="614"/>
      <c r="B71" s="699" t="s">
        <v>800</v>
      </c>
      <c r="C71" s="700" t="s">
        <v>347</v>
      </c>
      <c r="D71" s="520"/>
      <c r="E71" s="520"/>
      <c r="F71" s="520"/>
      <c r="G71" s="520"/>
      <c r="H71" s="593">
        <f>SUM(H52:H69)</f>
        <v>75.5</v>
      </c>
    </row>
    <row r="72" spans="1:8" x14ac:dyDescent="0.25">
      <c r="A72" s="614"/>
      <c r="B72" s="207"/>
      <c r="C72" s="208"/>
      <c r="D72" s="479"/>
      <c r="E72" s="479"/>
      <c r="F72" s="479"/>
      <c r="G72" s="479"/>
      <c r="H72" s="615"/>
    </row>
    <row r="73" spans="1:8" x14ac:dyDescent="0.25">
      <c r="A73" s="614" t="s">
        <v>499</v>
      </c>
      <c r="B73" s="207" t="s">
        <v>519</v>
      </c>
      <c r="C73" s="208" t="s">
        <v>347</v>
      </c>
      <c r="D73" s="479"/>
      <c r="E73" s="479"/>
      <c r="F73" s="479"/>
      <c r="G73" s="479"/>
      <c r="H73" s="615"/>
    </row>
    <row r="74" spans="1:8" x14ac:dyDescent="0.25">
      <c r="A74" s="614"/>
      <c r="B74" s="207" t="s">
        <v>831</v>
      </c>
      <c r="C74" s="208" t="s">
        <v>347</v>
      </c>
      <c r="D74" s="208"/>
      <c r="E74" s="479"/>
      <c r="F74" s="479"/>
      <c r="G74" s="479"/>
      <c r="H74" s="615">
        <f t="shared" ref="H74:H82" si="10">PRODUCT(D74:G74)</f>
        <v>0</v>
      </c>
    </row>
    <row r="75" spans="1:8" x14ac:dyDescent="0.25">
      <c r="A75" s="614"/>
      <c r="B75" s="207" t="s">
        <v>815</v>
      </c>
      <c r="C75" s="208" t="s">
        <v>347</v>
      </c>
      <c r="D75" s="479">
        <v>10.5</v>
      </c>
      <c r="E75" s="479"/>
      <c r="F75" s="479"/>
      <c r="G75" s="479">
        <v>1</v>
      </c>
      <c r="H75" s="615">
        <f t="shared" si="10"/>
        <v>10.5</v>
      </c>
    </row>
    <row r="76" spans="1:8" x14ac:dyDescent="0.25">
      <c r="A76" s="614"/>
      <c r="B76" s="207" t="s">
        <v>816</v>
      </c>
      <c r="C76" s="208" t="s">
        <v>347</v>
      </c>
      <c r="D76" s="479">
        <v>10.5</v>
      </c>
      <c r="E76" s="479"/>
      <c r="F76" s="479"/>
      <c r="G76" s="479">
        <v>1</v>
      </c>
      <c r="H76" s="615">
        <f t="shared" si="10"/>
        <v>10.5</v>
      </c>
    </row>
    <row r="77" spans="1:8" x14ac:dyDescent="0.25">
      <c r="A77" s="614"/>
      <c r="B77" s="207" t="s">
        <v>832</v>
      </c>
      <c r="C77" s="208" t="s">
        <v>347</v>
      </c>
      <c r="D77" s="479"/>
      <c r="E77" s="479"/>
      <c r="F77" s="479"/>
      <c r="G77" s="479"/>
      <c r="H77" s="615">
        <f t="shared" si="10"/>
        <v>0</v>
      </c>
    </row>
    <row r="78" spans="1:8" x14ac:dyDescent="0.25">
      <c r="A78" s="614"/>
      <c r="B78" s="207" t="s">
        <v>823</v>
      </c>
      <c r="C78" s="208" t="s">
        <v>347</v>
      </c>
      <c r="D78" s="479">
        <v>3.5</v>
      </c>
      <c r="E78" s="479"/>
      <c r="F78" s="479"/>
      <c r="G78" s="479">
        <v>1</v>
      </c>
      <c r="H78" s="615">
        <f t="shared" si="10"/>
        <v>3.5</v>
      </c>
    </row>
    <row r="79" spans="1:8" x14ac:dyDescent="0.25">
      <c r="A79" s="614"/>
      <c r="B79" s="207" t="s">
        <v>816</v>
      </c>
      <c r="C79" s="208" t="s">
        <v>347</v>
      </c>
      <c r="D79" s="479">
        <v>3.5</v>
      </c>
      <c r="E79" s="479"/>
      <c r="F79" s="479"/>
      <c r="G79" s="479">
        <v>1</v>
      </c>
      <c r="H79" s="615">
        <f t="shared" si="10"/>
        <v>3.5</v>
      </c>
    </row>
    <row r="80" spans="1:8" x14ac:dyDescent="0.25">
      <c r="A80" s="614"/>
      <c r="B80" s="207" t="s">
        <v>833</v>
      </c>
      <c r="C80" s="208" t="s">
        <v>347</v>
      </c>
      <c r="D80" s="479">
        <v>4</v>
      </c>
      <c r="E80" s="479"/>
      <c r="F80" s="479"/>
      <c r="G80" s="479">
        <v>1</v>
      </c>
      <c r="H80" s="615">
        <f t="shared" si="10"/>
        <v>4</v>
      </c>
    </row>
    <row r="81" spans="1:8" x14ac:dyDescent="0.25">
      <c r="A81" s="614"/>
      <c r="B81" s="207" t="s">
        <v>834</v>
      </c>
      <c r="C81" s="208" t="s">
        <v>347</v>
      </c>
      <c r="D81" s="479">
        <v>4</v>
      </c>
      <c r="E81" s="479"/>
      <c r="F81" s="479"/>
      <c r="G81" s="479">
        <v>1</v>
      </c>
      <c r="H81" s="615">
        <f t="shared" si="10"/>
        <v>4</v>
      </c>
    </row>
    <row r="82" spans="1:8" x14ac:dyDescent="0.25">
      <c r="A82" s="614"/>
      <c r="B82" s="207"/>
      <c r="C82" s="208"/>
      <c r="D82" s="479"/>
      <c r="E82" s="479"/>
      <c r="F82" s="479"/>
      <c r="G82" s="479"/>
      <c r="H82" s="615">
        <f t="shared" si="10"/>
        <v>0</v>
      </c>
    </row>
    <row r="83" spans="1:8" x14ac:dyDescent="0.25">
      <c r="A83" s="614"/>
      <c r="B83" s="207"/>
      <c r="C83" s="208"/>
      <c r="D83" s="479"/>
      <c r="E83" s="479"/>
      <c r="F83" s="479"/>
      <c r="G83" s="479"/>
      <c r="H83" s="615"/>
    </row>
    <row r="84" spans="1:8" ht="13" x14ac:dyDescent="0.3">
      <c r="A84" s="614"/>
      <c r="B84" s="699" t="s">
        <v>800</v>
      </c>
      <c r="C84" s="700" t="s">
        <v>347</v>
      </c>
      <c r="D84" s="520"/>
      <c r="E84" s="520"/>
      <c r="F84" s="520"/>
      <c r="G84" s="520"/>
      <c r="H84" s="593">
        <f>SUM(H74:H83)</f>
        <v>36</v>
      </c>
    </row>
    <row r="85" spans="1:8" x14ac:dyDescent="0.25">
      <c r="A85" s="614"/>
      <c r="B85" s="207"/>
      <c r="C85" s="208"/>
      <c r="D85" s="479"/>
      <c r="E85" s="479"/>
      <c r="F85" s="479"/>
      <c r="G85" s="479"/>
      <c r="H85" s="615"/>
    </row>
    <row r="86" spans="1:8" x14ac:dyDescent="0.25">
      <c r="A86" s="614" t="s">
        <v>520</v>
      </c>
      <c r="B86" s="207" t="s">
        <v>521</v>
      </c>
      <c r="C86" s="208" t="s">
        <v>347</v>
      </c>
      <c r="D86" s="479"/>
      <c r="E86" s="479"/>
      <c r="F86" s="479"/>
      <c r="G86" s="479"/>
      <c r="H86" s="615"/>
    </row>
    <row r="87" spans="1:8" x14ac:dyDescent="0.25">
      <c r="A87" s="614"/>
      <c r="B87" s="207" t="s">
        <v>835</v>
      </c>
      <c r="C87" s="208" t="s">
        <v>347</v>
      </c>
      <c r="D87" s="479">
        <v>6.5</v>
      </c>
      <c r="E87" s="479"/>
      <c r="F87" s="479"/>
      <c r="G87" s="479">
        <v>1</v>
      </c>
      <c r="H87" s="615">
        <f t="shared" ref="H87:H94" si="11">PRODUCT(D87:G87)</f>
        <v>6.5</v>
      </c>
    </row>
    <row r="88" spans="1:8" x14ac:dyDescent="0.25">
      <c r="A88" s="614"/>
      <c r="B88" s="207" t="s">
        <v>836</v>
      </c>
      <c r="C88" s="208" t="s">
        <v>347</v>
      </c>
      <c r="D88" s="479"/>
      <c r="E88" s="479"/>
      <c r="F88" s="479"/>
      <c r="G88" s="479"/>
      <c r="H88" s="615">
        <f t="shared" si="11"/>
        <v>0</v>
      </c>
    </row>
    <row r="89" spans="1:8" x14ac:dyDescent="0.25">
      <c r="A89" s="614"/>
      <c r="B89" s="207" t="s">
        <v>837</v>
      </c>
      <c r="C89" s="208" t="s">
        <v>347</v>
      </c>
      <c r="D89" s="479">
        <v>3.5</v>
      </c>
      <c r="E89" s="479"/>
      <c r="F89" s="479"/>
      <c r="G89" s="479">
        <v>1</v>
      </c>
      <c r="H89" s="615">
        <f t="shared" si="11"/>
        <v>3.5</v>
      </c>
    </row>
    <row r="90" spans="1:8" x14ac:dyDescent="0.25">
      <c r="A90" s="614"/>
      <c r="B90" s="207" t="s">
        <v>838</v>
      </c>
      <c r="C90" s="208" t="s">
        <v>347</v>
      </c>
      <c r="D90" s="479">
        <v>3.5</v>
      </c>
      <c r="E90" s="479"/>
      <c r="F90" s="479"/>
      <c r="G90" s="479">
        <v>1</v>
      </c>
      <c r="H90" s="615">
        <f t="shared" si="11"/>
        <v>3.5</v>
      </c>
    </row>
    <row r="91" spans="1:8" x14ac:dyDescent="0.25">
      <c r="A91" s="614"/>
      <c r="B91" s="207" t="s">
        <v>839</v>
      </c>
      <c r="C91" s="208" t="s">
        <v>347</v>
      </c>
      <c r="D91" s="479">
        <v>12</v>
      </c>
      <c r="E91" s="479"/>
      <c r="F91" s="479"/>
      <c r="G91" s="479">
        <v>1</v>
      </c>
      <c r="H91" s="615">
        <f t="shared" si="11"/>
        <v>12</v>
      </c>
    </row>
    <row r="92" spans="1:8" x14ac:dyDescent="0.25">
      <c r="A92" s="614"/>
      <c r="B92" s="207" t="s">
        <v>840</v>
      </c>
      <c r="C92" s="208" t="s">
        <v>347</v>
      </c>
      <c r="D92" s="479"/>
      <c r="E92" s="479"/>
      <c r="F92" s="479"/>
      <c r="G92" s="479"/>
      <c r="H92" s="615">
        <f t="shared" si="11"/>
        <v>0</v>
      </c>
    </row>
    <row r="93" spans="1:8" x14ac:dyDescent="0.25">
      <c r="A93" s="614"/>
      <c r="B93" s="207" t="s">
        <v>841</v>
      </c>
      <c r="C93" s="208" t="s">
        <v>347</v>
      </c>
      <c r="D93" s="479">
        <v>8</v>
      </c>
      <c r="E93" s="479"/>
      <c r="F93" s="479"/>
      <c r="G93" s="479">
        <v>1</v>
      </c>
      <c r="H93" s="615">
        <f t="shared" si="11"/>
        <v>8</v>
      </c>
    </row>
    <row r="94" spans="1:8" x14ac:dyDescent="0.25">
      <c r="A94" s="614"/>
      <c r="B94" s="207" t="s">
        <v>842</v>
      </c>
      <c r="C94" s="208" t="s">
        <v>347</v>
      </c>
      <c r="D94" s="479">
        <v>10.5</v>
      </c>
      <c r="E94" s="479"/>
      <c r="F94" s="479"/>
      <c r="G94" s="479">
        <v>1</v>
      </c>
      <c r="H94" s="615">
        <f t="shared" si="11"/>
        <v>10.5</v>
      </c>
    </row>
    <row r="95" spans="1:8" x14ac:dyDescent="0.25">
      <c r="A95" s="614"/>
      <c r="B95" s="207" t="s">
        <v>873</v>
      </c>
      <c r="C95" s="208" t="s">
        <v>347</v>
      </c>
      <c r="D95" s="479">
        <v>4</v>
      </c>
      <c r="E95" s="479"/>
      <c r="F95" s="479"/>
      <c r="G95" s="479">
        <v>1</v>
      </c>
      <c r="H95" s="615">
        <f t="shared" ref="H95" si="12">PRODUCT(D95:G95)</f>
        <v>4</v>
      </c>
    </row>
    <row r="96" spans="1:8" x14ac:dyDescent="0.25">
      <c r="A96" s="614"/>
      <c r="B96" s="207" t="s">
        <v>874</v>
      </c>
      <c r="C96" s="208" t="s">
        <v>347</v>
      </c>
      <c r="D96" s="479">
        <v>45.8</v>
      </c>
      <c r="E96" s="479"/>
      <c r="F96" s="479"/>
      <c r="G96" s="479">
        <v>1</v>
      </c>
      <c r="H96" s="615">
        <f t="shared" ref="H96" si="13">PRODUCT(D96:G96)</f>
        <v>45.8</v>
      </c>
    </row>
    <row r="97" spans="1:8" x14ac:dyDescent="0.25">
      <c r="A97" s="614"/>
      <c r="B97" s="207"/>
      <c r="C97" s="208"/>
      <c r="D97" s="479"/>
      <c r="E97" s="479"/>
      <c r="F97" s="479"/>
      <c r="G97" s="479"/>
      <c r="H97" s="615"/>
    </row>
    <row r="98" spans="1:8" ht="13" x14ac:dyDescent="0.3">
      <c r="A98" s="614"/>
      <c r="B98" s="699" t="s">
        <v>800</v>
      </c>
      <c r="C98" s="700" t="s">
        <v>347</v>
      </c>
      <c r="D98" s="520"/>
      <c r="E98" s="520"/>
      <c r="F98" s="520"/>
      <c r="G98" s="520"/>
      <c r="H98" s="593">
        <f>SUM(H87:H96)</f>
        <v>93.8</v>
      </c>
    </row>
    <row r="99" spans="1:8" x14ac:dyDescent="0.25">
      <c r="A99" s="618"/>
      <c r="B99" s="207"/>
      <c r="C99" s="205"/>
      <c r="D99" s="479"/>
      <c r="E99" s="479"/>
      <c r="F99" s="479"/>
      <c r="G99" s="479"/>
      <c r="H99" s="615"/>
    </row>
    <row r="100" spans="1:8" x14ac:dyDescent="0.25">
      <c r="A100" s="619">
        <v>12</v>
      </c>
      <c r="B100" s="213" t="s">
        <v>522</v>
      </c>
      <c r="C100" s="206"/>
      <c r="D100" s="479"/>
      <c r="E100" s="479"/>
      <c r="F100" s="479"/>
      <c r="G100" s="479"/>
      <c r="H100" s="615"/>
    </row>
    <row r="101" spans="1:8" ht="13" x14ac:dyDescent="0.3">
      <c r="A101" s="614" t="s">
        <v>493</v>
      </c>
      <c r="B101" s="207" t="s">
        <v>523</v>
      </c>
      <c r="C101" s="208" t="s">
        <v>398</v>
      </c>
      <c r="D101" s="479"/>
      <c r="E101" s="479"/>
      <c r="F101" s="479"/>
      <c r="G101" s="479">
        <v>17</v>
      </c>
      <c r="H101" s="593">
        <f t="shared" ref="H101:H103" si="14">PRODUCT(D101:G101)</f>
        <v>17</v>
      </c>
    </row>
    <row r="102" spans="1:8" ht="13" x14ac:dyDescent="0.3">
      <c r="A102" s="614" t="s">
        <v>495</v>
      </c>
      <c r="B102" s="207" t="s">
        <v>524</v>
      </c>
      <c r="C102" s="208" t="s">
        <v>398</v>
      </c>
      <c r="D102" s="479"/>
      <c r="E102" s="479"/>
      <c r="F102" s="479"/>
      <c r="G102" s="479">
        <v>2</v>
      </c>
      <c r="H102" s="593">
        <f t="shared" si="14"/>
        <v>2</v>
      </c>
    </row>
    <row r="103" spans="1:8" ht="13" x14ac:dyDescent="0.3">
      <c r="A103" s="614" t="s">
        <v>499</v>
      </c>
      <c r="B103" s="207" t="s">
        <v>525</v>
      </c>
      <c r="C103" s="208" t="s">
        <v>398</v>
      </c>
      <c r="D103" s="479"/>
      <c r="E103" s="479"/>
      <c r="F103" s="479"/>
      <c r="G103" s="479">
        <v>4</v>
      </c>
      <c r="H103" s="593">
        <f t="shared" si="14"/>
        <v>4</v>
      </c>
    </row>
    <row r="104" spans="1:8" x14ac:dyDescent="0.25">
      <c r="A104" s="614"/>
      <c r="B104" s="207"/>
      <c r="C104" s="208"/>
      <c r="D104" s="479"/>
      <c r="E104" s="479"/>
      <c r="F104" s="479"/>
      <c r="G104" s="479"/>
      <c r="H104" s="615"/>
    </row>
    <row r="105" spans="1:8" x14ac:dyDescent="0.25">
      <c r="A105" s="619">
        <v>13</v>
      </c>
      <c r="B105" s="213" t="s">
        <v>526</v>
      </c>
      <c r="C105" s="208"/>
      <c r="D105" s="479"/>
      <c r="E105" s="479"/>
      <c r="F105" s="479"/>
      <c r="G105" s="479"/>
      <c r="H105" s="615"/>
    </row>
    <row r="106" spans="1:8" ht="13" x14ac:dyDescent="0.3">
      <c r="A106" s="614" t="s">
        <v>493</v>
      </c>
      <c r="B106" s="207" t="s">
        <v>527</v>
      </c>
      <c r="C106" s="208" t="s">
        <v>398</v>
      </c>
      <c r="D106" s="479"/>
      <c r="E106" s="479"/>
      <c r="F106" s="479"/>
      <c r="G106" s="479">
        <v>1</v>
      </c>
      <c r="H106" s="593">
        <f>PRODUCT(D106:G106)</f>
        <v>1</v>
      </c>
    </row>
    <row r="107" spans="1:8" x14ac:dyDescent="0.25">
      <c r="A107" s="614"/>
      <c r="B107" s="213"/>
      <c r="C107" s="206"/>
      <c r="D107" s="479"/>
      <c r="E107" s="479"/>
      <c r="F107" s="479"/>
      <c r="G107" s="479"/>
      <c r="H107" s="615"/>
    </row>
    <row r="108" spans="1:8" x14ac:dyDescent="0.25">
      <c r="A108" s="614">
        <v>14</v>
      </c>
      <c r="B108" s="216" t="s">
        <v>528</v>
      </c>
      <c r="C108" s="205"/>
      <c r="D108" s="479"/>
      <c r="E108" s="479"/>
      <c r="F108" s="479"/>
      <c r="G108" s="479"/>
      <c r="H108" s="615"/>
    </row>
    <row r="109" spans="1:8" ht="24" x14ac:dyDescent="0.3">
      <c r="A109" s="614"/>
      <c r="B109" s="207" t="s">
        <v>613</v>
      </c>
      <c r="C109" s="208" t="s">
        <v>398</v>
      </c>
      <c r="D109" s="479"/>
      <c r="E109" s="479"/>
      <c r="F109" s="479"/>
      <c r="G109" s="479"/>
      <c r="H109" s="593">
        <f>PRODUCT(D109:G109)</f>
        <v>0</v>
      </c>
    </row>
    <row r="110" spans="1:8" x14ac:dyDescent="0.25">
      <c r="A110" s="614">
        <v>15</v>
      </c>
      <c r="B110" s="210" t="s">
        <v>614</v>
      </c>
      <c r="C110" s="217"/>
      <c r="D110" s="479"/>
      <c r="E110" s="479"/>
      <c r="F110" s="479"/>
      <c r="G110" s="479"/>
      <c r="H110" s="615"/>
    </row>
    <row r="111" spans="1:8" ht="13" x14ac:dyDescent="0.3">
      <c r="A111" s="620"/>
      <c r="B111" s="210" t="s">
        <v>529</v>
      </c>
      <c r="C111" s="218" t="s">
        <v>398</v>
      </c>
      <c r="D111" s="479"/>
      <c r="E111" s="479"/>
      <c r="F111" s="479"/>
      <c r="G111" s="479">
        <v>2</v>
      </c>
      <c r="H111" s="593">
        <f>PRODUCT(D111:G111)</f>
        <v>2</v>
      </c>
    </row>
    <row r="112" spans="1:8" x14ac:dyDescent="0.25">
      <c r="A112" s="614"/>
      <c r="B112" s="210"/>
      <c r="C112" s="208"/>
      <c r="D112" s="479"/>
      <c r="E112" s="479"/>
      <c r="F112" s="479"/>
      <c r="G112" s="479"/>
      <c r="H112" s="615"/>
    </row>
    <row r="113" spans="1:8" ht="24" x14ac:dyDescent="0.3">
      <c r="A113" s="614">
        <v>16</v>
      </c>
      <c r="B113" s="207" t="s">
        <v>615</v>
      </c>
      <c r="C113" s="208" t="s">
        <v>398</v>
      </c>
      <c r="D113" s="479"/>
      <c r="E113" s="479"/>
      <c r="F113" s="479"/>
      <c r="G113" s="479">
        <v>25</v>
      </c>
      <c r="H113" s="593">
        <f>PRODUCT(D113:G113)</f>
        <v>25</v>
      </c>
    </row>
    <row r="114" spans="1:8" x14ac:dyDescent="0.25">
      <c r="A114" s="618"/>
      <c r="B114" s="207"/>
      <c r="C114" s="205"/>
      <c r="D114" s="479"/>
      <c r="E114" s="479"/>
      <c r="F114" s="479"/>
      <c r="G114" s="479"/>
      <c r="H114" s="615"/>
    </row>
    <row r="115" spans="1:8" ht="24" x14ac:dyDescent="0.3">
      <c r="A115" s="614">
        <v>17</v>
      </c>
      <c r="B115" s="207" t="s">
        <v>616</v>
      </c>
      <c r="C115" s="208" t="s">
        <v>398</v>
      </c>
      <c r="D115" s="479"/>
      <c r="E115" s="479"/>
      <c r="F115" s="479"/>
      <c r="G115" s="479">
        <v>24</v>
      </c>
      <c r="H115" s="593">
        <f>PRODUCT(D115:G115)</f>
        <v>24</v>
      </c>
    </row>
    <row r="116" spans="1:8" x14ac:dyDescent="0.25">
      <c r="A116" s="482"/>
      <c r="B116" s="483"/>
      <c r="C116" s="471"/>
      <c r="D116" s="479"/>
      <c r="E116" s="479"/>
      <c r="F116" s="479"/>
      <c r="G116" s="479"/>
      <c r="H116" s="480"/>
    </row>
    <row r="117" spans="1:8" x14ac:dyDescent="0.25">
      <c r="A117" s="482"/>
      <c r="B117" s="483"/>
      <c r="C117" s="471"/>
      <c r="D117" s="479"/>
      <c r="E117" s="479"/>
      <c r="F117" s="479"/>
      <c r="G117" s="479"/>
      <c r="H117" s="480"/>
    </row>
    <row r="118" spans="1:8" x14ac:dyDescent="0.25">
      <c r="A118" s="482"/>
      <c r="B118" s="483"/>
      <c r="C118" s="471"/>
      <c r="D118" s="479"/>
      <c r="E118" s="479"/>
      <c r="F118" s="479"/>
      <c r="G118" s="479"/>
      <c r="H118" s="480"/>
    </row>
    <row r="119" spans="1:8" ht="13" thickBot="1" x14ac:dyDescent="0.3">
      <c r="A119" s="487"/>
      <c r="B119" s="488"/>
      <c r="C119" s="489"/>
      <c r="D119" s="621"/>
      <c r="E119" s="621"/>
      <c r="F119" s="621"/>
      <c r="G119" s="621"/>
      <c r="H119" s="622"/>
    </row>
  </sheetData>
  <protectedRanges>
    <protectedRange sqref="F1" name="Range1"/>
  </protectedRanges>
  <mergeCells count="5">
    <mergeCell ref="A1:H1"/>
    <mergeCell ref="A2:A3"/>
    <mergeCell ref="B2:B3"/>
    <mergeCell ref="C2:C3"/>
    <mergeCell ref="D2:H2"/>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FCC832B86D5804DAB55AF6F03A87458" ma:contentTypeVersion="2" ma:contentTypeDescription="Create a new document." ma:contentTypeScope="" ma:versionID="bcaf122f3aab9594d6582da48dbd147a">
  <xsd:schema xmlns:xsd="http://www.w3.org/2001/XMLSchema" xmlns:xs="http://www.w3.org/2001/XMLSchema" xmlns:p="http://schemas.microsoft.com/office/2006/metadata/properties" xmlns:ns3="84d5ecd3-9e46-4f88-88f4-d7ee9e4f8f55" targetNamespace="http://schemas.microsoft.com/office/2006/metadata/properties" ma:root="true" ma:fieldsID="da8fe27b3a68ab74550d98ffe25266d6" ns3:_="">
    <xsd:import namespace="84d5ecd3-9e46-4f88-88f4-d7ee9e4f8f55"/>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4d5ecd3-9e46-4f88-88f4-d7ee9e4f8f5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B80E0FF-3F41-4E84-9DC4-9B00FE51DF49}">
  <ds:schemaRef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 ds:uri="http://purl.org/dc/terms/"/>
    <ds:schemaRef ds:uri="http://schemas.microsoft.com/office/2006/documentManagement/types"/>
    <ds:schemaRef ds:uri="84d5ecd3-9e46-4f88-88f4-d7ee9e4f8f55"/>
    <ds:schemaRef ds:uri="http://purl.org/dc/dcmitype/"/>
    <ds:schemaRef ds:uri="http://purl.org/dc/elements/1.1/"/>
  </ds:schemaRefs>
</ds:datastoreItem>
</file>

<file path=customXml/itemProps2.xml><?xml version="1.0" encoding="utf-8"?>
<ds:datastoreItem xmlns:ds="http://schemas.openxmlformats.org/officeDocument/2006/customXml" ds:itemID="{3FCAB002-966C-4E52-8A7B-E3055AE933A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4d5ecd3-9e46-4f88-88f4-d7ee9e4f8f5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69B3BDB-4933-4C18-9AA6-536999673A3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22</vt:i4>
      </vt:variant>
      <vt:variant>
        <vt:lpstr>Named Ranges</vt:lpstr>
      </vt:variant>
      <vt:variant>
        <vt:i4>5</vt:i4>
      </vt:variant>
    </vt:vector>
  </HeadingPairs>
  <TitlesOfParts>
    <vt:vector size="27" baseType="lpstr">
      <vt:lpstr>SUMMARY</vt:lpstr>
      <vt:lpstr>CIVIL WORK</vt:lpstr>
      <vt:lpstr>Civil MB</vt:lpstr>
      <vt:lpstr>INTERIOR WORK</vt:lpstr>
      <vt:lpstr>Int. MB</vt:lpstr>
      <vt:lpstr>BOQ-Electrical </vt:lpstr>
      <vt:lpstr>Elec Mb</vt:lpstr>
      <vt:lpstr>BOQ-PHE</vt:lpstr>
      <vt:lpstr>Phe Mb</vt:lpstr>
      <vt:lpstr>HVAC</vt:lpstr>
      <vt:lpstr>HvacMb</vt:lpstr>
      <vt:lpstr>Fire Fighting</vt:lpstr>
      <vt:lpstr>Firemb</vt:lpstr>
      <vt:lpstr>FACADE</vt:lpstr>
      <vt:lpstr>facademb</vt:lpstr>
      <vt:lpstr>FACADE SIGNAGE</vt:lpstr>
      <vt:lpstr>MISCELLANEOUS</vt:lpstr>
      <vt:lpstr>BELLS</vt:lpstr>
      <vt:lpstr>Bells MB</vt:lpstr>
      <vt:lpstr>NON BOQ</vt:lpstr>
      <vt:lpstr>NON BOQ (2)</vt:lpstr>
      <vt:lpstr>Non BOQ MB</vt:lpstr>
      <vt:lpstr>'BOQ-Electrical '!Print_Area</vt:lpstr>
      <vt:lpstr>'BOQ-PHE'!Print_Area</vt:lpstr>
      <vt:lpstr>'CIVIL WORK'!Print_Area</vt:lpstr>
      <vt:lpstr>HVAC!Print_Area</vt:lpstr>
      <vt:lpstr>SUMMARY!Print_Area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Sahidul</dc:creator>
  <cp:lastModifiedBy>Deep Kumar</cp:lastModifiedBy>
  <cp:lastPrinted>2019-08-30T11:32:01Z</cp:lastPrinted>
  <dcterms:created xsi:type="dcterms:W3CDTF">1996-10-14T23:33:28Z</dcterms:created>
  <dcterms:modified xsi:type="dcterms:W3CDTF">2023-08-22T04:52:54Z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0x0101001FCC832B86D5804DAB55AF6F03A87458</vt:lpwstr>
  </property>
</Properties>
</file>