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ilNallur/Desktop/ALL FILES DESKTOP/2023-2024 RETAINER PLAN AND INVOICES/TFS-INDIA/"/>
    </mc:Choice>
  </mc:AlternateContent>
  <xr:revisionPtr revIDLastSave="0" documentId="8_{E1EDFC3E-C65C-A844-9EB2-F2556F3A85DA}" xr6:coauthVersionLast="47" xr6:coauthVersionMax="47" xr10:uidLastSave="{00000000-0000-0000-0000-000000000000}"/>
  <bookViews>
    <workbookView xWindow="-2060" yWindow="740" windowWidth="33840" windowHeight="16840" activeTab="1" xr2:uid="{BA0FB6F7-08CA-3442-9DD3-AAB0BFFD4D8A}"/>
  </bookViews>
  <sheets>
    <sheet name="Payment Reconcillation 23-24  T" sheetId="3" r:id="rId1"/>
    <sheet name="Project Summary" sheetId="2" r:id="rId2"/>
  </sheets>
  <definedNames>
    <definedName name="_xlnm._FilterDatabase" localSheetId="0" hidden="1">'Payment Reconcillation 23-24  T'!$C$15:$I$48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2" i="2" l="1"/>
  <c r="P81" i="2"/>
  <c r="P80" i="2"/>
  <c r="P79" i="2"/>
  <c r="P78" i="2"/>
  <c r="O82" i="2"/>
  <c r="O81" i="2"/>
  <c r="O80" i="2"/>
  <c r="O79" i="2"/>
  <c r="O78" i="2"/>
  <c r="P38" i="2"/>
  <c r="P15" i="2"/>
  <c r="G49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54" i="3"/>
  <c r="F54" i="3"/>
  <c r="E55" i="3"/>
  <c r="F55" i="3"/>
  <c r="O66" i="2"/>
  <c r="M66" i="2"/>
  <c r="N66" i="2" s="1"/>
  <c r="O65" i="2"/>
  <c r="M65" i="2"/>
  <c r="O64" i="2"/>
  <c r="M64" i="2"/>
  <c r="N64" i="2" s="1"/>
  <c r="O63" i="2"/>
  <c r="M63" i="2"/>
  <c r="N63" i="2" s="1"/>
  <c r="E62" i="2"/>
  <c r="L62" i="2" s="1"/>
  <c r="L61" i="2"/>
  <c r="O61" i="2" s="1"/>
  <c r="L60" i="2"/>
  <c r="O60" i="2" s="1"/>
  <c r="E59" i="2"/>
  <c r="L59" i="2" s="1"/>
  <c r="O58" i="2"/>
  <c r="M58" i="2"/>
  <c r="O57" i="2"/>
  <c r="M57" i="2"/>
  <c r="N57" i="2" s="1"/>
  <c r="O56" i="2"/>
  <c r="M56" i="2"/>
  <c r="O55" i="2"/>
  <c r="M55" i="2"/>
  <c r="N55" i="2" s="1"/>
  <c r="L54" i="2"/>
  <c r="O53" i="2"/>
  <c r="M53" i="2"/>
  <c r="N53" i="2" s="1"/>
  <c r="O52" i="2"/>
  <c r="M52" i="2"/>
  <c r="N52" i="2" s="1"/>
  <c r="O51" i="2"/>
  <c r="M51" i="2"/>
  <c r="N51" i="2" s="1"/>
  <c r="O50" i="2"/>
  <c r="M50" i="2"/>
  <c r="N50" i="2" s="1"/>
  <c r="O49" i="2"/>
  <c r="M49" i="2"/>
  <c r="N49" i="2" s="1"/>
  <c r="O48" i="2"/>
  <c r="M48" i="2"/>
  <c r="N48" i="2" s="1"/>
  <c r="O47" i="2"/>
  <c r="M47" i="2"/>
  <c r="N47" i="2" s="1"/>
  <c r="O46" i="2"/>
  <c r="M46" i="2"/>
  <c r="N46" i="2" s="1"/>
  <c r="O35" i="2"/>
  <c r="P35" i="2" s="1"/>
  <c r="N35" i="2"/>
  <c r="O34" i="2"/>
  <c r="P34" i="2" s="1"/>
  <c r="N34" i="2"/>
  <c r="O33" i="2"/>
  <c r="P33" i="2" s="1"/>
  <c r="N33" i="2"/>
  <c r="O32" i="2"/>
  <c r="P32" i="2" s="1"/>
  <c r="N32" i="2"/>
  <c r="O31" i="2"/>
  <c r="P31" i="2" s="1"/>
  <c r="N31" i="2"/>
  <c r="O30" i="2"/>
  <c r="P30" i="2" s="1"/>
  <c r="N30" i="2"/>
  <c r="O29" i="2"/>
  <c r="P29" i="2" s="1"/>
  <c r="N29" i="2"/>
  <c r="O28" i="2"/>
  <c r="P28" i="2" s="1"/>
  <c r="N28" i="2"/>
  <c r="O27" i="2"/>
  <c r="P27" i="2" s="1"/>
  <c r="N27" i="2"/>
  <c r="O26" i="2"/>
  <c r="P26" i="2" s="1"/>
  <c r="N26" i="2"/>
  <c r="O25" i="2"/>
  <c r="P25" i="2" s="1"/>
  <c r="N25" i="2"/>
  <c r="O24" i="2"/>
  <c r="P24" i="2" s="1"/>
  <c r="N24" i="2"/>
  <c r="O23" i="2"/>
  <c r="P23" i="2" s="1"/>
  <c r="N23" i="2"/>
  <c r="O22" i="2"/>
  <c r="P22" i="2" s="1"/>
  <c r="N22" i="2"/>
  <c r="O12" i="2"/>
  <c r="M12" i="2"/>
  <c r="N12" i="2" s="1"/>
  <c r="O11" i="2"/>
  <c r="P11" i="2" s="1"/>
  <c r="N11" i="2"/>
  <c r="O10" i="2"/>
  <c r="P10" i="2" s="1"/>
  <c r="N10" i="2"/>
  <c r="L9" i="2"/>
  <c r="N9" i="2" s="1"/>
  <c r="L8" i="2"/>
  <c r="O8" i="2" s="1"/>
  <c r="M7" i="2"/>
  <c r="L7" i="2" s="1"/>
  <c r="P40" i="2" l="1"/>
  <c r="P37" i="2"/>
  <c r="P41" i="2" s="1"/>
  <c r="P66" i="2"/>
  <c r="Q66" i="2" s="1"/>
  <c r="P65" i="2"/>
  <c r="P53" i="2"/>
  <c r="P57" i="2"/>
  <c r="P63" i="2"/>
  <c r="P50" i="2"/>
  <c r="P47" i="2"/>
  <c r="P51" i="2"/>
  <c r="P52" i="2"/>
  <c r="M60" i="2"/>
  <c r="N60" i="2" s="1"/>
  <c r="P60" i="2" s="1"/>
  <c r="P48" i="2"/>
  <c r="P49" i="2"/>
  <c r="P58" i="2"/>
  <c r="Q58" i="2" s="1"/>
  <c r="P64" i="2"/>
  <c r="Q64" i="2" s="1"/>
  <c r="P55" i="2"/>
  <c r="P12" i="2"/>
  <c r="P46" i="2"/>
  <c r="O9" i="2"/>
  <c r="P9" i="2" s="1"/>
  <c r="P56" i="2"/>
  <c r="N7" i="2"/>
  <c r="P14" i="2" s="1"/>
  <c r="O7" i="2"/>
  <c r="M54" i="2"/>
  <c r="N54" i="2" s="1"/>
  <c r="M59" i="2"/>
  <c r="N59" i="2" s="1"/>
  <c r="M62" i="2"/>
  <c r="N62" i="2" s="1"/>
  <c r="N65" i="2"/>
  <c r="P8" i="2"/>
  <c r="O54" i="2"/>
  <c r="N56" i="2"/>
  <c r="N58" i="2"/>
  <c r="O59" i="2"/>
  <c r="M61" i="2"/>
  <c r="N61" i="2" s="1"/>
  <c r="P61" i="2" s="1"/>
  <c r="O62" i="2"/>
  <c r="N8" i="2"/>
  <c r="P69" i="2" l="1"/>
  <c r="P72" i="2"/>
  <c r="P71" i="2"/>
  <c r="P7" i="2"/>
  <c r="P17" i="2"/>
  <c r="P18" i="2" s="1"/>
  <c r="P59" i="2"/>
  <c r="P54" i="2"/>
  <c r="Q54" i="2" s="1"/>
  <c r="P62" i="2"/>
  <c r="P70" i="2" l="1"/>
  <c r="P73" i="2" s="1"/>
</calcChain>
</file>

<file path=xl/sharedStrings.xml><?xml version="1.0" encoding="utf-8"?>
<sst xmlns="http://schemas.openxmlformats.org/spreadsheetml/2006/main" count="329" uniqueCount="206">
  <si>
    <t>Sl. No.</t>
  </si>
  <si>
    <t>Date</t>
  </si>
  <si>
    <t>Description</t>
  </si>
  <si>
    <t>Chq / Ref number</t>
  </si>
  <si>
    <t>Amount</t>
  </si>
  <si>
    <t>Dr / Cr</t>
  </si>
  <si>
    <t>CR</t>
  </si>
  <si>
    <t>SLNO</t>
  </si>
  <si>
    <t>Invoice Number</t>
  </si>
  <si>
    <t>Invoice Address</t>
  </si>
  <si>
    <t xml:space="preserve">Location </t>
  </si>
  <si>
    <t>BRAND</t>
  </si>
  <si>
    <t>PO NUMBER</t>
  </si>
  <si>
    <t>Taxable Value</t>
  </si>
  <si>
    <t>IGST</t>
  </si>
  <si>
    <t>TOTAL VALUE</t>
  </si>
  <si>
    <t>TDS- Less 10% on Actual Value</t>
  </si>
  <si>
    <t>Net Payable</t>
  </si>
  <si>
    <t>Advance Paid</t>
  </si>
  <si>
    <t>Payment Input Date</t>
  </si>
  <si>
    <t>INVOICE 21</t>
  </si>
  <si>
    <t>TFS DELHI-1</t>
  </si>
  <si>
    <t>DELHI</t>
  </si>
  <si>
    <t>CBTL ( CHANGED TO THIRD WAVE COFFEE)</t>
  </si>
  <si>
    <t>23-24/00124</t>
  </si>
  <si>
    <t>INVOICE 22</t>
  </si>
  <si>
    <t>TFS DELHI-2</t>
  </si>
  <si>
    <t>Dilli Street</t>
  </si>
  <si>
    <t>23-24/00125</t>
  </si>
  <si>
    <t>INVOICE 23</t>
  </si>
  <si>
    <t>TFS DELHI-3</t>
  </si>
  <si>
    <t>Subway</t>
  </si>
  <si>
    <t>23-24/00126</t>
  </si>
  <si>
    <t>INVOICE 58</t>
  </si>
  <si>
    <t>TFS DELHI-4</t>
  </si>
  <si>
    <t>Irish House ( MEP Scope Only)</t>
  </si>
  <si>
    <t>INVOICE 59</t>
  </si>
  <si>
    <t>TFS DELHI-5</t>
  </si>
  <si>
    <t>Budweiser ( MEP Scope Only)</t>
  </si>
  <si>
    <t>DELHI-PHASE-2</t>
  </si>
  <si>
    <t>INVOICE 71</t>
  </si>
  <si>
    <t>TFS-DELHI-6</t>
  </si>
  <si>
    <t>GORDON RAMSAY STREET BURGER</t>
  </si>
  <si>
    <t>23-24/'000006</t>
  </si>
  <si>
    <t>INVOICE 29</t>
  </si>
  <si>
    <t>TFS NOIDA-1</t>
  </si>
  <si>
    <t>NOIDA</t>
  </si>
  <si>
    <t>Gully Kitchen</t>
  </si>
  <si>
    <t>23-24/000165</t>
  </si>
  <si>
    <t>INVOICE 30</t>
  </si>
  <si>
    <t>TFS NOIDA-2</t>
  </si>
  <si>
    <t>Wagamama</t>
  </si>
  <si>
    <t>23-24/000164</t>
  </si>
  <si>
    <t>INVOICE 31</t>
  </si>
  <si>
    <t>TFS NOIDA-3</t>
  </si>
  <si>
    <t>Third Wave Coffee</t>
  </si>
  <si>
    <t>23-24/000148</t>
  </si>
  <si>
    <t>INVOICE 32</t>
  </si>
  <si>
    <t>TFS NOIDA-4</t>
  </si>
  <si>
    <t>Domino's</t>
  </si>
  <si>
    <t>23-24/000149</t>
  </si>
  <si>
    <t>INVOICE 33</t>
  </si>
  <si>
    <t>TFS NOIDA-5</t>
  </si>
  <si>
    <t>Curated Tea Concept</t>
  </si>
  <si>
    <t>23-24/000150</t>
  </si>
  <si>
    <t>INVOICE 34</t>
  </si>
  <si>
    <t>TFS NOIDA-6</t>
  </si>
  <si>
    <t>Idli.com</t>
  </si>
  <si>
    <t>23-24/000151</t>
  </si>
  <si>
    <t>INVOICE 35</t>
  </si>
  <si>
    <t>TFS NOIDA-7</t>
  </si>
  <si>
    <t>Hoegarden</t>
  </si>
  <si>
    <t>23-24/000153</t>
  </si>
  <si>
    <t>INVOICE 36</t>
  </si>
  <si>
    <t>TFS NOIDA-8</t>
  </si>
  <si>
    <t>Carl's Junior</t>
  </si>
  <si>
    <t>23-24/000154</t>
  </si>
  <si>
    <t>INVOICE 37</t>
  </si>
  <si>
    <t>TFS NOIDA-9</t>
  </si>
  <si>
    <t>23-24/000155</t>
  </si>
  <si>
    <t>INVOICE 38</t>
  </si>
  <si>
    <t>TFS NOIDA-10</t>
  </si>
  <si>
    <t>Chai Point</t>
  </si>
  <si>
    <t>23-24/000156</t>
  </si>
  <si>
    <t>INVOICE 39</t>
  </si>
  <si>
    <t>TFS NOIDA-11</t>
  </si>
  <si>
    <t>Choco Bay</t>
  </si>
  <si>
    <t>23-24/000157</t>
  </si>
  <si>
    <t>INVOICE 40</t>
  </si>
  <si>
    <t>TFS NOIDA-12</t>
  </si>
  <si>
    <t>Flying Bites</t>
  </si>
  <si>
    <t>23-24/000158</t>
  </si>
  <si>
    <t>INVOICE 41</t>
  </si>
  <si>
    <t>TFS NOIDA-13</t>
  </si>
  <si>
    <t>Common Seating</t>
  </si>
  <si>
    <t>23-24/000159</t>
  </si>
  <si>
    <t>INVOICE 42</t>
  </si>
  <si>
    <t>TFS NOIDA-14</t>
  </si>
  <si>
    <t>Concept Development Seating</t>
  </si>
  <si>
    <t>23-24/000160</t>
  </si>
  <si>
    <t>ADVANCE PAID</t>
  </si>
  <si>
    <t>INVOICE 48</t>
  </si>
  <si>
    <t>GMR HYDERABAD-1</t>
  </si>
  <si>
    <t>HYDERABAD</t>
  </si>
  <si>
    <t>Millies Cookies</t>
  </si>
  <si>
    <t>23-24-100004</t>
  </si>
  <si>
    <t>INVOICE 49</t>
  </si>
  <si>
    <t>GMR HYDERABAD-2</t>
  </si>
  <si>
    <t>Franks</t>
  </si>
  <si>
    <t>23-24-100005</t>
  </si>
  <si>
    <t>INVOICE 51</t>
  </si>
  <si>
    <t>GMR HYDERABAD-4</t>
  </si>
  <si>
    <t>23-24-100009</t>
  </si>
  <si>
    <t>INVOICE 52</t>
  </si>
  <si>
    <t>GMR HYDERABAD-5</t>
  </si>
  <si>
    <t>Doner &amp; Gyros</t>
  </si>
  <si>
    <t>23-24-100010</t>
  </si>
  <si>
    <t>INVOICE 53</t>
  </si>
  <si>
    <t>GMR HYDERABAD-6</t>
  </si>
  <si>
    <t>Haati Kaapi-1</t>
  </si>
  <si>
    <t>23-24-100011</t>
  </si>
  <si>
    <t>INVOICE 54</t>
  </si>
  <si>
    <t>GMR HYDERABAD-7</t>
  </si>
  <si>
    <t>23-24-100013</t>
  </si>
  <si>
    <t>INVOICE 55</t>
  </si>
  <si>
    <t>GMR HYDERABAD-8</t>
  </si>
  <si>
    <t>23-24-100015</t>
  </si>
  <si>
    <t>INVOICE 65</t>
  </si>
  <si>
    <t>GMR HYDERABAD-15</t>
  </si>
  <si>
    <t>Briochee Diorre</t>
  </si>
  <si>
    <t>23-24-100062</t>
  </si>
  <si>
    <t>Coordination charge</t>
  </si>
  <si>
    <t>INVOICE 66</t>
  </si>
  <si>
    <t>GMR HYDERABAD-16</t>
  </si>
  <si>
    <t>Creamstone (Only M&amp;E) FF 44</t>
  </si>
  <si>
    <t>23-24-100063</t>
  </si>
  <si>
    <t>INVOICE 57</t>
  </si>
  <si>
    <t>GMR HYDERABAD-10</t>
  </si>
  <si>
    <t>Haati Kaapi-2</t>
  </si>
  <si>
    <t>23-24-100007</t>
  </si>
  <si>
    <t>INVOICE 56</t>
  </si>
  <si>
    <t>GMR HYDERABAD-9</t>
  </si>
  <si>
    <t>Jamies Pizzeria</t>
  </si>
  <si>
    <t>23-24-100016</t>
  </si>
  <si>
    <t>INVOICE 86</t>
  </si>
  <si>
    <t>GMR HYDERABAD-9 A</t>
  </si>
  <si>
    <t>Jamies Pizzeria RE WORK</t>
  </si>
  <si>
    <t xml:space="preserve">23-24/100125 </t>
  </si>
  <si>
    <t>INVOICE 62</t>
  </si>
  <si>
    <t>GMR HYDERABAD-12</t>
  </si>
  <si>
    <t>Ulava Charu</t>
  </si>
  <si>
    <t>23-24-100057</t>
  </si>
  <si>
    <t>ARCH &amp; M&amp;E DESIGN ( 275 / SFT)</t>
  </si>
  <si>
    <t>(Full Design) Ammended PO Requred</t>
  </si>
  <si>
    <t>Ulave Charu Ammedned Area</t>
  </si>
  <si>
    <t>Coordination chrage &amp; 50 / SFT</t>
  </si>
  <si>
    <t>New PO Required</t>
  </si>
  <si>
    <t>KFC</t>
  </si>
  <si>
    <t>50/sft</t>
  </si>
  <si>
    <t xml:space="preserve">(Coordination Charge ) - New PO REQUIRED </t>
  </si>
  <si>
    <t>Creamstone (Only M&amp;E) FF 25</t>
  </si>
  <si>
    <t>M&amp;E Design ( 110 / SFT)</t>
  </si>
  <si>
    <t>(M&amp;E Design ) Ammended PO Required ( 263-98)= 167 Sqmt</t>
  </si>
  <si>
    <t>IRISH HOUSE AMMENDMENT (167 SQMT)</t>
  </si>
  <si>
    <t>M&amp;E Design</t>
  </si>
  <si>
    <t>INVOICE 50</t>
  </si>
  <si>
    <t>GMR HYDERABAD-3</t>
  </si>
  <si>
    <t>IRISH HOUSE (98 SQMT)</t>
  </si>
  <si>
    <t>23-24-100006</t>
  </si>
  <si>
    <t>INVOICE 63</t>
  </si>
  <si>
    <t>GMR HYDERABAD-13</t>
  </si>
  <si>
    <t>Carl's Jr</t>
  </si>
  <si>
    <t>23-24-100059</t>
  </si>
  <si>
    <t>INVOICE 61</t>
  </si>
  <si>
    <t>GMR HYDERABAD-11</t>
  </si>
  <si>
    <t>Haati Kaapi-3( ON HOLD BY AIRPORT)</t>
  </si>
  <si>
    <t>23-24-100029</t>
  </si>
  <si>
    <t>INVOICE 64</t>
  </si>
  <si>
    <t>GMR HYDERABAD-14</t>
  </si>
  <si>
    <t>Barista/Blue Tokai ( CANCELLED)</t>
  </si>
  <si>
    <t>23-24-100060</t>
  </si>
  <si>
    <t>TFS NOIDA BD PROJECTS</t>
  </si>
  <si>
    <t>TFS DELHI CAPITAL PROJECTS</t>
  </si>
  <si>
    <t>GMR HYDERABAD CAPITAL PROJECTS</t>
  </si>
  <si>
    <t>ADVANCE PAID , PROJECT CANCELLED</t>
  </si>
  <si>
    <t>AWAITING PO FOR INVOICE</t>
  </si>
  <si>
    <t>SLNO ( Payment Reconcillation Sheet)</t>
  </si>
  <si>
    <t>NEFT N121243010299125 GMR HOSPITALITY LIMITED HDF</t>
  </si>
  <si>
    <t>NEFTINW-0841825652</t>
  </si>
  <si>
    <t>BAMK STATEMENT FOR ALL CREDITS</t>
  </si>
  <si>
    <t>PAYMENT RECEIVED ON 30 APRIL ?</t>
  </si>
  <si>
    <t>PROJECT CANCELLED</t>
  </si>
  <si>
    <t>Travel Reimbursement</t>
  </si>
  <si>
    <t>TAXABLE VALUE OF PROJECTS</t>
  </si>
  <si>
    <t>BALANCE PAYABLE</t>
  </si>
  <si>
    <t>PROJECTS CANCELLED  FOR WHICH ADVANCE IS PAID</t>
  </si>
  <si>
    <t>TFS DELHI
CAPITAL PROJECTS</t>
  </si>
  <si>
    <t>TFS NOIDA
BD PROJECTS</t>
  </si>
  <si>
    <t>10% TDS DEDUCTION</t>
  </si>
  <si>
    <t>GMR HYDERABAD 
CAPITAL PROJECTS</t>
  </si>
  <si>
    <t>SUMMARY</t>
  </si>
  <si>
    <t>Payment Pending  Project completed</t>
  </si>
  <si>
    <t>AWAITING  PO AND PAYMENT</t>
  </si>
  <si>
    <t>Awaiting PO</t>
  </si>
  <si>
    <t>AWAITING ADVANCE PAYMENT</t>
  </si>
  <si>
    <t>AWAITING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</si>
</sst>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₹-4009]\ #,##0"/>
    <numFmt numFmtId="165" formatCode="[$₹-4009]\ #,##0.00"/>
  </numFmts>
  <fonts count="2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2"/>
      <color rgb="FFFFFF00"/>
      <name val="Aptos Narrow"/>
      <scheme val="minor"/>
    </font>
    <font>
      <b/>
      <sz val="13"/>
      <color theme="1"/>
      <name val="Aptos Narrow"/>
      <scheme val="minor"/>
    </font>
    <font>
      <b/>
      <sz val="11"/>
      <color rgb="FFFF0000"/>
      <name val="Aptos Narrow"/>
      <scheme val="minor"/>
    </font>
    <font>
      <sz val="11"/>
      <color theme="1"/>
      <name val="Aptos Narrow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right" vertical="center" indent="1"/>
    </xf>
    <xf numFmtId="0" fontId="18" fillId="34" borderId="10" xfId="0" applyFont="1" applyFill="1" applyBorder="1" applyAlignment="1">
      <alignment horizontal="right" vertical="center" indent="2"/>
    </xf>
    <xf numFmtId="0" fontId="0" fillId="0" borderId="10" xfId="0" applyBorder="1" applyAlignment="1">
      <alignment horizontal="right" vertical="center" indent="1"/>
    </xf>
    <xf numFmtId="14" fontId="0" fillId="0" borderId="10" xfId="0" applyNumberFormat="1" applyBorder="1" applyAlignment="1">
      <alignment horizontal="right" vertical="center" indent="1"/>
    </xf>
    <xf numFmtId="0" fontId="19" fillId="0" borderId="0" xfId="42" applyAlignment="1">
      <alignment horizontal="right" indent="1"/>
    </xf>
    <xf numFmtId="0" fontId="19" fillId="0" borderId="0" xfId="42"/>
    <xf numFmtId="0" fontId="19" fillId="0" borderId="10" xfId="42" applyBorder="1" applyAlignment="1">
      <alignment horizontal="right" indent="1"/>
    </xf>
    <xf numFmtId="0" fontId="19" fillId="33" borderId="10" xfId="42" applyFill="1" applyBorder="1" applyAlignment="1">
      <alignment horizontal="right" indent="1"/>
    </xf>
    <xf numFmtId="164" fontId="19" fillId="33" borderId="10" xfId="42" applyNumberFormat="1" applyFill="1" applyBorder="1" applyAlignment="1">
      <alignment horizontal="right" indent="1"/>
    </xf>
    <xf numFmtId="164" fontId="19" fillId="33" borderId="10" xfId="42" applyNumberFormat="1" applyFill="1" applyBorder="1"/>
    <xf numFmtId="164" fontId="19" fillId="33" borderId="10" xfId="42" applyNumberFormat="1" applyFill="1" applyBorder="1" applyAlignment="1">
      <alignment horizontal="right" vertical="center" indent="1"/>
    </xf>
    <xf numFmtId="15" fontId="19" fillId="33" borderId="10" xfId="42" applyNumberFormat="1" applyFill="1" applyBorder="1" applyAlignment="1">
      <alignment horizontal="right" indent="1"/>
    </xf>
    <xf numFmtId="164" fontId="19" fillId="0" borderId="0" xfId="42" applyNumberFormat="1" applyAlignment="1">
      <alignment horizontal="right" indent="1"/>
    </xf>
    <xf numFmtId="165" fontId="19" fillId="0" borderId="0" xfId="42" applyNumberFormat="1"/>
    <xf numFmtId="0" fontId="19" fillId="33" borderId="10" xfId="42" applyFill="1" applyBorder="1" applyAlignment="1">
      <alignment horizontal="right" vertical="center" indent="1"/>
    </xf>
    <xf numFmtId="0" fontId="19" fillId="0" borderId="0" xfId="42" applyAlignment="1">
      <alignment horizontal="right" indent="2"/>
    </xf>
    <xf numFmtId="165" fontId="19" fillId="0" borderId="0" xfId="42" applyNumberFormat="1" applyAlignment="1">
      <alignment horizontal="right" indent="2"/>
    </xf>
    <xf numFmtId="1" fontId="22" fillId="0" borderId="0" xfId="42" applyNumberFormat="1" applyFont="1" applyAlignment="1">
      <alignment horizontal="right" vertical="center" indent="1"/>
    </xf>
    <xf numFmtId="0" fontId="19" fillId="36" borderId="10" xfId="42" applyFill="1" applyBorder="1" applyAlignment="1">
      <alignment horizontal="right" indent="1"/>
    </xf>
    <xf numFmtId="164" fontId="19" fillId="36" borderId="10" xfId="42" applyNumberFormat="1" applyFill="1" applyBorder="1" applyAlignment="1">
      <alignment horizontal="right" indent="1"/>
    </xf>
    <xf numFmtId="164" fontId="19" fillId="36" borderId="10" xfId="42" applyNumberFormat="1" applyFill="1" applyBorder="1" applyAlignment="1">
      <alignment horizontal="right" vertical="center" indent="1"/>
    </xf>
    <xf numFmtId="15" fontId="19" fillId="36" borderId="10" xfId="42" applyNumberFormat="1" applyFill="1" applyBorder="1" applyAlignment="1">
      <alignment horizontal="right" indent="1"/>
    </xf>
    <xf numFmtId="0" fontId="19" fillId="36" borderId="10" xfId="42" applyFill="1" applyBorder="1" applyAlignment="1">
      <alignment horizontal="right" vertical="center" indent="1"/>
    </xf>
    <xf numFmtId="164" fontId="20" fillId="0" borderId="0" xfId="42" applyNumberFormat="1" applyFont="1"/>
    <xf numFmtId="1" fontId="0" fillId="0" borderId="10" xfId="0" applyNumberFormat="1" applyBorder="1" applyAlignment="1">
      <alignment horizontal="right" vertical="center" indent="1"/>
    </xf>
    <xf numFmtId="3" fontId="0" fillId="0" borderId="10" xfId="0" applyNumberFormat="1" applyBorder="1" applyAlignment="1">
      <alignment horizontal="right" vertical="center" indent="1"/>
    </xf>
    <xf numFmtId="3" fontId="0" fillId="0" borderId="0" xfId="0" applyNumberFormat="1"/>
    <xf numFmtId="0" fontId="19" fillId="0" borderId="0" xfId="42" applyAlignment="1">
      <alignment horizontal="right" vertical="center" indent="1"/>
    </xf>
    <xf numFmtId="0" fontId="19" fillId="0" borderId="11" xfId="42" applyBorder="1" applyAlignment="1">
      <alignment horizontal="right" indent="2"/>
    </xf>
    <xf numFmtId="0" fontId="19" fillId="0" borderId="11" xfId="42" applyBorder="1" applyAlignment="1">
      <alignment horizontal="right" indent="1"/>
    </xf>
    <xf numFmtId="0" fontId="19" fillId="37" borderId="10" xfId="42" applyFill="1" applyBorder="1" applyAlignment="1">
      <alignment horizontal="right" indent="1"/>
    </xf>
    <xf numFmtId="164" fontId="19" fillId="37" borderId="10" xfId="42" applyNumberFormat="1" applyFill="1" applyBorder="1" applyAlignment="1">
      <alignment horizontal="right" indent="1"/>
    </xf>
    <xf numFmtId="15" fontId="19" fillId="37" borderId="10" xfId="42" applyNumberFormat="1" applyFill="1" applyBorder="1" applyAlignment="1">
      <alignment horizontal="right" indent="1"/>
    </xf>
    <xf numFmtId="164" fontId="19" fillId="37" borderId="10" xfId="42" applyNumberFormat="1" applyFill="1" applyBorder="1"/>
    <xf numFmtId="0" fontId="19" fillId="38" borderId="10" xfId="42" applyFill="1" applyBorder="1" applyAlignment="1">
      <alignment horizontal="right" indent="1"/>
    </xf>
    <xf numFmtId="164" fontId="19" fillId="38" borderId="10" xfId="42" applyNumberFormat="1" applyFill="1" applyBorder="1" applyAlignment="1">
      <alignment horizontal="right" indent="1"/>
    </xf>
    <xf numFmtId="164" fontId="19" fillId="38" borderId="10" xfId="42" applyNumberFormat="1" applyFill="1" applyBorder="1" applyAlignment="1">
      <alignment horizontal="right" vertical="center" indent="1"/>
    </xf>
    <xf numFmtId="15" fontId="19" fillId="38" borderId="10" xfId="42" applyNumberFormat="1" applyFill="1" applyBorder="1" applyAlignment="1">
      <alignment horizontal="right" indent="1"/>
    </xf>
    <xf numFmtId="164" fontId="19" fillId="38" borderId="10" xfId="42" applyNumberFormat="1" applyFill="1" applyBorder="1"/>
    <xf numFmtId="0" fontId="19" fillId="39" borderId="10" xfId="42" applyFill="1" applyBorder="1" applyAlignment="1">
      <alignment horizontal="right" indent="1"/>
    </xf>
    <xf numFmtId="164" fontId="19" fillId="39" borderId="10" xfId="42" applyNumberFormat="1" applyFill="1" applyBorder="1" applyAlignment="1">
      <alignment horizontal="right" indent="1"/>
    </xf>
    <xf numFmtId="164" fontId="19" fillId="39" borderId="10" xfId="42" applyNumberFormat="1" applyFill="1" applyBorder="1" applyAlignment="1">
      <alignment horizontal="right" vertical="center" indent="1"/>
    </xf>
    <xf numFmtId="15" fontId="19" fillId="39" borderId="10" xfId="42" applyNumberFormat="1" applyFill="1" applyBorder="1" applyAlignment="1">
      <alignment horizontal="right" indent="1"/>
    </xf>
    <xf numFmtId="0" fontId="19" fillId="39" borderId="10" xfId="42" applyFill="1" applyBorder="1" applyAlignment="1">
      <alignment horizontal="right" vertical="center" wrapText="1" indent="1"/>
    </xf>
    <xf numFmtId="0" fontId="19" fillId="39" borderId="10" xfId="42" applyFill="1" applyBorder="1" applyAlignment="1">
      <alignment horizontal="right" vertical="center" indent="1"/>
    </xf>
    <xf numFmtId="1" fontId="19" fillId="39" borderId="10" xfId="42" applyNumberFormat="1" applyFill="1" applyBorder="1" applyAlignment="1">
      <alignment horizontal="right" indent="1"/>
    </xf>
    <xf numFmtId="3" fontId="0" fillId="39" borderId="10" xfId="0" applyNumberFormat="1" applyFill="1" applyBorder="1" applyAlignment="1">
      <alignment horizontal="right" vertical="center" indent="1"/>
    </xf>
    <xf numFmtId="3" fontId="0" fillId="38" borderId="10" xfId="0" applyNumberFormat="1" applyFill="1" applyBorder="1" applyAlignment="1">
      <alignment horizontal="right" vertical="center" indent="1"/>
    </xf>
    <xf numFmtId="1" fontId="19" fillId="38" borderId="10" xfId="42" applyNumberFormat="1" applyFill="1" applyBorder="1" applyAlignment="1">
      <alignment horizontal="right" indent="1"/>
    </xf>
    <xf numFmtId="1" fontId="19" fillId="0" borderId="0" xfId="42" applyNumberFormat="1" applyAlignment="1">
      <alignment horizontal="right" indent="1"/>
    </xf>
    <xf numFmtId="0" fontId="24" fillId="34" borderId="10" xfId="42" applyFont="1" applyFill="1" applyBorder="1" applyAlignment="1">
      <alignment horizontal="right" vertical="center" wrapText="1" indent="1"/>
    </xf>
    <xf numFmtId="1" fontId="19" fillId="37" borderId="10" xfId="42" applyNumberFormat="1" applyFill="1" applyBorder="1" applyAlignment="1">
      <alignment horizontal="right" indent="1"/>
    </xf>
    <xf numFmtId="1" fontId="19" fillId="36" borderId="10" xfId="42" applyNumberFormat="1" applyFill="1" applyBorder="1" applyAlignment="1">
      <alignment horizontal="right" indent="1"/>
    </xf>
    <xf numFmtId="3" fontId="0" fillId="37" borderId="10" xfId="0" applyNumberFormat="1" applyFill="1" applyBorder="1" applyAlignment="1">
      <alignment horizontal="right" vertical="center" indent="1"/>
    </xf>
    <xf numFmtId="3" fontId="0" fillId="36" borderId="10" xfId="0" applyNumberFormat="1" applyFill="1" applyBorder="1" applyAlignment="1">
      <alignment horizontal="right" vertical="center" indent="1"/>
    </xf>
    <xf numFmtId="164" fontId="23" fillId="37" borderId="10" xfId="42" applyNumberFormat="1" applyFont="1" applyFill="1" applyBorder="1" applyAlignment="1">
      <alignment horizontal="right" indent="1"/>
    </xf>
    <xf numFmtId="15" fontId="23" fillId="37" borderId="10" xfId="42" applyNumberFormat="1" applyFont="1" applyFill="1" applyBorder="1" applyAlignment="1">
      <alignment horizontal="right" indent="1"/>
    </xf>
    <xf numFmtId="1" fontId="23" fillId="37" borderId="10" xfId="42" applyNumberFormat="1" applyFont="1" applyFill="1" applyBorder="1" applyAlignment="1">
      <alignment horizontal="right" indent="1"/>
    </xf>
    <xf numFmtId="0" fontId="18" fillId="0" borderId="0" xfId="0" applyFont="1" applyAlignment="1">
      <alignment horizontal="right" vertical="center" indent="2"/>
    </xf>
    <xf numFmtId="1" fontId="19" fillId="33" borderId="10" xfId="42" applyNumberFormat="1" applyFill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0" fillId="33" borderId="10" xfId="0" applyFill="1" applyBorder="1" applyAlignment="1">
      <alignment horizontal="right" vertical="center" indent="1"/>
    </xf>
    <xf numFmtId="3" fontId="0" fillId="33" borderId="10" xfId="0" applyNumberFormat="1" applyFill="1" applyBorder="1" applyAlignment="1">
      <alignment horizontal="right" vertical="center" indent="1"/>
    </xf>
    <xf numFmtId="14" fontId="0" fillId="33" borderId="10" xfId="0" applyNumberFormat="1" applyFill="1" applyBorder="1" applyAlignment="1">
      <alignment horizontal="right" vertical="center" indent="1"/>
    </xf>
    <xf numFmtId="0" fontId="0" fillId="33" borderId="10" xfId="0" applyFill="1" applyBorder="1" applyAlignment="1">
      <alignment horizontal="right" indent="1"/>
    </xf>
    <xf numFmtId="0" fontId="25" fillId="36" borderId="0" xfId="0" applyFont="1" applyFill="1"/>
    <xf numFmtId="0" fontId="18" fillId="33" borderId="10" xfId="0" applyFont="1" applyFill="1" applyBorder="1" applyAlignment="1">
      <alignment horizontal="right" vertical="center" indent="1"/>
    </xf>
    <xf numFmtId="3" fontId="26" fillId="34" borderId="0" xfId="0" applyNumberFormat="1" applyFont="1" applyFill="1"/>
    <xf numFmtId="164" fontId="19" fillId="0" borderId="0" xfId="42" applyNumberFormat="1"/>
    <xf numFmtId="164" fontId="19" fillId="0" borderId="0" xfId="42" applyNumberFormat="1" applyAlignment="1">
      <alignment horizontal="right" vertical="center" indent="1"/>
    </xf>
    <xf numFmtId="15" fontId="19" fillId="0" borderId="0" xfId="42" applyNumberFormat="1" applyAlignment="1">
      <alignment horizontal="right" indent="1"/>
    </xf>
    <xf numFmtId="0" fontId="19" fillId="0" borderId="0" xfId="42" applyAlignment="1">
      <alignment horizontal="center" vertical="center"/>
    </xf>
    <xf numFmtId="164" fontId="19" fillId="0" borderId="10" xfId="42" applyNumberFormat="1" applyBorder="1" applyAlignment="1">
      <alignment horizontal="right" indent="1"/>
    </xf>
    <xf numFmtId="0" fontId="19" fillId="0" borderId="10" xfId="42" applyBorder="1"/>
    <xf numFmtId="164" fontId="19" fillId="34" borderId="10" xfId="42" applyNumberFormat="1" applyFill="1" applyBorder="1" applyAlignment="1">
      <alignment horizontal="right" indent="1"/>
    </xf>
    <xf numFmtId="164" fontId="24" fillId="34" borderId="10" xfId="42" applyNumberFormat="1" applyFont="1" applyFill="1" applyBorder="1" applyAlignment="1">
      <alignment horizontal="right" indent="1"/>
    </xf>
    <xf numFmtId="164" fontId="24" fillId="0" borderId="0" xfId="42" applyNumberFormat="1" applyFont="1" applyAlignment="1">
      <alignment horizontal="right" indent="1"/>
    </xf>
    <xf numFmtId="164" fontId="24" fillId="0" borderId="0" xfId="42" applyNumberFormat="1" applyFont="1" applyAlignment="1">
      <alignment horizontal="center" vertical="center"/>
    </xf>
    <xf numFmtId="1" fontId="22" fillId="0" borderId="11" xfId="42" applyNumberFormat="1" applyFont="1" applyBorder="1" applyAlignment="1">
      <alignment horizontal="right" vertical="center" indent="1"/>
    </xf>
    <xf numFmtId="1" fontId="22" fillId="35" borderId="13" xfId="42" applyNumberFormat="1" applyFont="1" applyFill="1" applyBorder="1" applyAlignment="1">
      <alignment horizontal="right" vertical="center" indent="1"/>
    </xf>
    <xf numFmtId="1" fontId="22" fillId="35" borderId="11" xfId="42" applyNumberFormat="1" applyFont="1" applyFill="1" applyBorder="1" applyAlignment="1">
      <alignment horizontal="right" vertical="center" indent="1"/>
    </xf>
    <xf numFmtId="0" fontId="19" fillId="35" borderId="11" xfId="42" applyFill="1" applyBorder="1" applyAlignment="1">
      <alignment horizontal="right" indent="1"/>
    </xf>
    <xf numFmtId="15" fontId="19" fillId="33" borderId="10" xfId="42" applyNumberFormat="1" applyFill="1" applyBorder="1" applyAlignment="1">
      <alignment horizontal="left" indent="2"/>
    </xf>
    <xf numFmtId="0" fontId="23" fillId="0" borderId="10" xfId="42" applyFont="1" applyBorder="1" applyAlignment="1">
      <alignment horizontal="right" indent="1"/>
    </xf>
    <xf numFmtId="164" fontId="28" fillId="0" borderId="10" xfId="42" applyNumberFormat="1" applyFont="1" applyBorder="1" applyAlignment="1">
      <alignment horizontal="right" indent="1"/>
    </xf>
    <xf numFmtId="0" fontId="28" fillId="0" borderId="10" xfId="42" applyFont="1" applyBorder="1" applyAlignment="1">
      <alignment horizontal="right" indent="1"/>
    </xf>
    <xf numFmtId="164" fontId="28" fillId="34" borderId="10" xfId="42" applyNumberFormat="1" applyFont="1" applyFill="1" applyBorder="1" applyAlignment="1">
      <alignment horizontal="right" indent="1"/>
    </xf>
    <xf numFmtId="0" fontId="24" fillId="0" borderId="0" xfId="42" applyFont="1"/>
    <xf numFmtId="0" fontId="27" fillId="0" borderId="10" xfId="42" applyFont="1" applyBorder="1"/>
    <xf numFmtId="0" fontId="18" fillId="33" borderId="0" xfId="0" applyFont="1" applyFill="1" applyAlignment="1">
      <alignment horizontal="center"/>
    </xf>
    <xf numFmtId="0" fontId="24" fillId="34" borderId="11" xfId="42" applyFont="1" applyFill="1" applyBorder="1" applyAlignment="1">
      <alignment horizontal="center"/>
    </xf>
    <xf numFmtId="0" fontId="24" fillId="34" borderId="12" xfId="42" applyFont="1" applyFill="1" applyBorder="1" applyAlignment="1">
      <alignment horizontal="center"/>
    </xf>
    <xf numFmtId="0" fontId="21" fillId="0" borderId="0" xfId="42" applyFont="1" applyAlignment="1">
      <alignment horizontal="right" vertical="center" indent="1"/>
    </xf>
    <xf numFmtId="0" fontId="19" fillId="37" borderId="10" xfId="42" applyFill="1" applyBorder="1" applyAlignment="1">
      <alignment horizontal="center" vertical="center"/>
    </xf>
    <xf numFmtId="0" fontId="19" fillId="38" borderId="10" xfId="42" applyFill="1" applyBorder="1" applyAlignment="1">
      <alignment horizontal="center" vertical="center"/>
    </xf>
    <xf numFmtId="164" fontId="19" fillId="39" borderId="10" xfId="42" applyNumberFormat="1" applyFill="1" applyBorder="1" applyAlignment="1">
      <alignment horizontal="center" vertical="center"/>
    </xf>
    <xf numFmtId="0" fontId="19" fillId="0" borderId="0" xfId="42" applyAlignment="1">
      <alignment horizontal="right" indent="2"/>
    </xf>
    <xf numFmtId="164" fontId="24" fillId="0" borderId="10" xfId="42" applyNumberFormat="1" applyFont="1" applyBorder="1" applyAlignment="1">
      <alignment horizontal="center" vertical="center" wrapText="1"/>
    </xf>
    <xf numFmtId="164" fontId="24" fillId="0" borderId="10" xfId="42" applyNumberFormat="1" applyFont="1" applyBorder="1" applyAlignment="1">
      <alignment horizontal="center" vertical="center"/>
    </xf>
    <xf numFmtId="0" fontId="19" fillId="33" borderId="14" xfId="42" applyFill="1" applyBorder="1" applyAlignment="1">
      <alignment horizontal="right" vertical="center" indent="1"/>
    </xf>
    <xf numFmtId="0" fontId="19" fillId="33" borderId="15" xfId="42" applyFill="1" applyBorder="1" applyAlignment="1">
      <alignment horizontal="right" vertical="center" indent="1"/>
    </xf>
    <xf numFmtId="0" fontId="19" fillId="0" borderId="10" xfId="42" applyFill="1" applyBorder="1" applyAlignment="1">
      <alignment horizontal="right" indent="1"/>
    </xf>
    <xf numFmtId="0" fontId="19" fillId="38" borderId="10" xfId="42" applyFill="1" applyBorder="1"/>
    <xf numFmtId="15" fontId="19" fillId="38" borderId="10" xfId="42" applyNumberFormat="1" applyFill="1" applyBorder="1" applyAlignment="1">
      <alignment horizontal="left" indent="1"/>
    </xf>
    <xf numFmtId="0" fontId="19" fillId="33" borderId="16" xfId="42" applyFill="1" applyBorder="1" applyAlignment="1">
      <alignment horizontal="right" vertical="center" inden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6817E9A4-71CB-3D4F-80A6-959E23B4EA37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B11C971-3608-DA48-9894-E2C0A692D33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2103-C6E3-8C44-B8A6-4AE4F34403BA}">
  <dimension ref="C7:J66"/>
  <sheetViews>
    <sheetView showGridLines="0" topLeftCell="A9" zoomScale="80" zoomScaleNormal="80" workbookViewId="0">
      <selection activeCell="E13" sqref="E13"/>
    </sheetView>
  </sheetViews>
  <sheetFormatPr baseColWidth="10" defaultRowHeight="16" x14ac:dyDescent="0.2"/>
  <cols>
    <col min="2" max="2" width="3.5" bestFit="1" customWidth="1"/>
    <col min="3" max="3" width="9.1640625" bestFit="1" customWidth="1"/>
    <col min="4" max="4" width="12" bestFit="1" customWidth="1"/>
    <col min="5" max="5" width="51.33203125" bestFit="1" customWidth="1"/>
    <col min="6" max="6" width="21.5" bestFit="1" customWidth="1"/>
    <col min="7" max="7" width="10.33203125" bestFit="1" customWidth="1"/>
    <col min="8" max="8" width="9" bestFit="1" customWidth="1"/>
    <col min="9" max="9" width="31.83203125" bestFit="1" customWidth="1"/>
  </cols>
  <sheetData>
    <row r="7" spans="3:9" x14ac:dyDescent="0.2">
      <c r="C7" s="90" t="s">
        <v>189</v>
      </c>
      <c r="D7" s="90"/>
      <c r="E7" s="90"/>
      <c r="F7" s="90"/>
      <c r="G7" s="90"/>
      <c r="H7" s="90"/>
    </row>
    <row r="11" spans="3:9" x14ac:dyDescent="0.2">
      <c r="C11" s="2" t="s">
        <v>0</v>
      </c>
      <c r="D11" s="2" t="s">
        <v>1</v>
      </c>
      <c r="E11" s="2" t="s">
        <v>2</v>
      </c>
      <c r="F11" s="2" t="s">
        <v>3</v>
      </c>
      <c r="G11" s="2" t="s">
        <v>4</v>
      </c>
      <c r="H11" s="2" t="s">
        <v>5</v>
      </c>
    </row>
    <row r="12" spans="3:9" x14ac:dyDescent="0.2">
      <c r="C12" s="59"/>
      <c r="D12" s="59"/>
      <c r="E12" s="59"/>
      <c r="F12" s="59"/>
      <c r="G12" s="59"/>
      <c r="H12" s="59"/>
    </row>
    <row r="13" spans="3:9" x14ac:dyDescent="0.2">
      <c r="C13" s="65">
        <v>1</v>
      </c>
      <c r="D13" s="64">
        <v>45412</v>
      </c>
      <c r="E13" s="62" t="s">
        <v>187</v>
      </c>
      <c r="F13" s="62" t="s">
        <v>188</v>
      </c>
      <c r="G13" s="63">
        <v>104901</v>
      </c>
      <c r="H13" s="62" t="s">
        <v>6</v>
      </c>
      <c r="I13" s="67" t="s">
        <v>190</v>
      </c>
    </row>
    <row r="14" spans="3:9" x14ac:dyDescent="0.2">
      <c r="C14" s="61">
        <v>2</v>
      </c>
      <c r="D14" s="4">
        <v>45356</v>
      </c>
      <c r="E14" s="3" t="str">
        <f>"NEFT N065242916950826 GMR HOSPITALITY LIMITED HDF"</f>
        <v>NEFT N065242916950826 GMR HOSPITALITY LIMITED HDF</v>
      </c>
      <c r="F14" s="3" t="str">
        <f>"NEFTINW-0792032609"</f>
        <v>NEFTINW-0792032609</v>
      </c>
      <c r="G14" s="47">
        <v>50860</v>
      </c>
      <c r="H14" s="3" t="s">
        <v>6</v>
      </c>
    </row>
    <row r="15" spans="3:9" x14ac:dyDescent="0.2">
      <c r="C15" s="61">
        <v>3</v>
      </c>
      <c r="D15" s="4">
        <v>45279</v>
      </c>
      <c r="E15" s="3" t="str">
        <f>"NEFT N353232791933286 GMR HOSPITALITY LIMITED HDF"</f>
        <v>NEFT N353232791933286 GMR HOSPITALITY LIMITED HDF</v>
      </c>
      <c r="F15" s="3" t="str">
        <f>"NEFTINW-0731059053"</f>
        <v>NEFTINW-0731059053</v>
      </c>
      <c r="G15" s="47">
        <v>11625</v>
      </c>
      <c r="H15" s="3" t="s">
        <v>6</v>
      </c>
    </row>
    <row r="16" spans="3:9" x14ac:dyDescent="0.2">
      <c r="C16" s="61">
        <v>4</v>
      </c>
      <c r="D16" s="4">
        <v>45279</v>
      </c>
      <c r="E16" s="3" t="str">
        <f>"NEFT N353232791933285 GMR HOSPITALITY LIMITED HDF"</f>
        <v>NEFT N353232791933285 GMR HOSPITALITY LIMITED HDF</v>
      </c>
      <c r="F16" s="3" t="str">
        <f>"NEFTINW-0731059052"</f>
        <v>NEFTINW-0731059052</v>
      </c>
      <c r="G16" s="55">
        <v>47954</v>
      </c>
      <c r="H16" s="3" t="s">
        <v>6</v>
      </c>
      <c r="I16" s="66" t="s">
        <v>191</v>
      </c>
    </row>
    <row r="17" spans="3:10" x14ac:dyDescent="0.2">
      <c r="C17" s="61">
        <v>5</v>
      </c>
      <c r="D17" s="4">
        <v>45279</v>
      </c>
      <c r="E17" s="3" t="str">
        <f>"NEFT N353232791933284 GMR HOSPITALITY LIMITED HDF"</f>
        <v>NEFT N353232791933284 GMR HOSPITALITY LIMITED HDF</v>
      </c>
      <c r="F17" s="3" t="str">
        <f>"NEFTINW-0731059051"</f>
        <v>NEFTINW-0731059051</v>
      </c>
      <c r="G17" s="47">
        <v>190216</v>
      </c>
      <c r="H17" s="3" t="s">
        <v>6</v>
      </c>
    </row>
    <row r="18" spans="3:10" x14ac:dyDescent="0.2">
      <c r="C18" s="61">
        <v>6</v>
      </c>
      <c r="D18" s="4">
        <v>45279</v>
      </c>
      <c r="E18" s="3" t="str">
        <f>"RTGS HDFCR52023121963659877 GMR HOSPITALITY LIM"</f>
        <v>RTGS HDFCR52023121963659877 GMR HOSPITALITY LIM</v>
      </c>
      <c r="F18" s="3" t="str">
        <f>"RTGSINW-0067983173"</f>
        <v>RTGSINW-0067983173</v>
      </c>
      <c r="G18" s="47">
        <v>273336</v>
      </c>
      <c r="H18" s="3" t="s">
        <v>6</v>
      </c>
    </row>
    <row r="19" spans="3:10" x14ac:dyDescent="0.2">
      <c r="C19" s="61">
        <v>7</v>
      </c>
      <c r="D19" s="4">
        <v>45279</v>
      </c>
      <c r="E19" s="3" t="str">
        <f>"RTGS HDFCR52023121963667592 GMR HOSPITALITY LIM"</f>
        <v>RTGS HDFCR52023121963667592 GMR HOSPITALITY LIM</v>
      </c>
      <c r="F19" s="3" t="str">
        <f>"RTGSINW-0067983146"</f>
        <v>RTGSINW-0067983146</v>
      </c>
      <c r="G19" s="47">
        <v>215791</v>
      </c>
      <c r="H19" s="3" t="s">
        <v>6</v>
      </c>
    </row>
    <row r="20" spans="3:10" x14ac:dyDescent="0.2">
      <c r="C20" s="61">
        <v>8</v>
      </c>
      <c r="D20" s="4">
        <v>45259</v>
      </c>
      <c r="E20" s="3" t="str">
        <f>"NEFT N333232756469722 GMR HOSPITALITY LIMITED HDF"</f>
        <v>NEFT N333232756469722 GMR HOSPITALITY LIMITED HDF</v>
      </c>
      <c r="F20" s="3" t="str">
        <f>"NEFTINW-0715299738"</f>
        <v>NEFTINW-0715299738</v>
      </c>
      <c r="G20" s="47">
        <v>33750</v>
      </c>
      <c r="H20" s="3" t="s">
        <v>6</v>
      </c>
    </row>
    <row r="21" spans="3:10" x14ac:dyDescent="0.2">
      <c r="C21" s="61">
        <v>9</v>
      </c>
      <c r="D21" s="4">
        <v>45233</v>
      </c>
      <c r="E21" s="3" t="str">
        <f>"NEFT N307232717105790 GMR HOSPITALITY LIMITED HDF"</f>
        <v>NEFT N307232717105790 GMR HOSPITALITY LIMITED HDF</v>
      </c>
      <c r="F21" s="3" t="str">
        <f>"NEFTINW-0696799976"</f>
        <v>NEFTINW-0696799976</v>
      </c>
      <c r="G21" s="55">
        <v>33750</v>
      </c>
      <c r="H21" s="3" t="s">
        <v>6</v>
      </c>
      <c r="I21" s="66" t="s">
        <v>191</v>
      </c>
    </row>
    <row r="22" spans="3:10" x14ac:dyDescent="0.2">
      <c r="C22" s="61">
        <v>10</v>
      </c>
      <c r="D22" s="4">
        <v>45233</v>
      </c>
      <c r="E22" s="3" t="str">
        <f>"NEFT N307232717123023 GMR HOSPITALITY LIMITED HDF"</f>
        <v>NEFT N307232717123023 GMR HOSPITALITY LIMITED HDF</v>
      </c>
      <c r="F22" s="3" t="str">
        <f>"NEFTINW-0696803882"</f>
        <v>NEFTINW-0696803882</v>
      </c>
      <c r="G22" s="47">
        <v>61274</v>
      </c>
      <c r="H22" s="3" t="s">
        <v>6</v>
      </c>
    </row>
    <row r="23" spans="3:10" x14ac:dyDescent="0.2">
      <c r="C23" s="61">
        <v>11</v>
      </c>
      <c r="D23" s="4">
        <v>45233</v>
      </c>
      <c r="E23" s="3" t="str">
        <f>"NEFT N307232717123016 GMR HOSPITALITY LIMITED HDF"</f>
        <v>NEFT N307232717123016 GMR HOSPITALITY LIMITED HDF</v>
      </c>
      <c r="F23" s="3" t="str">
        <f>"NEFTINW-0696803881"</f>
        <v>NEFTINW-0696803881</v>
      </c>
      <c r="G23" s="47">
        <v>89214</v>
      </c>
      <c r="H23" s="3" t="s">
        <v>6</v>
      </c>
    </row>
    <row r="24" spans="3:10" x14ac:dyDescent="0.2">
      <c r="C24" s="61">
        <v>12</v>
      </c>
      <c r="D24" s="4">
        <v>45233</v>
      </c>
      <c r="E24" s="3" t="str">
        <f>"NEFT N307232717097113 GMR HOSPITALITY LIMITED HDF"</f>
        <v>NEFT N307232717097113 GMR HOSPITALITY LIMITED HDF</v>
      </c>
      <c r="F24" s="3" t="str">
        <f>"NEFTINW-0696802255"</f>
        <v>NEFTINW-0696802255</v>
      </c>
      <c r="G24" s="47">
        <v>43025</v>
      </c>
      <c r="H24" s="3" t="s">
        <v>6</v>
      </c>
    </row>
    <row r="25" spans="3:10" x14ac:dyDescent="0.2">
      <c r="C25" s="61">
        <v>13</v>
      </c>
      <c r="D25" s="4">
        <v>45233</v>
      </c>
      <c r="E25" s="3" t="str">
        <f>"NEFT N307232717123033 GMR HOSPITALITY LIMITED HDF"</f>
        <v>NEFT N307232717123033 GMR HOSPITALITY LIMITED HDF</v>
      </c>
      <c r="F25" s="3" t="str">
        <f>"NEFTINW-0696803525"</f>
        <v>NEFTINW-0696803525</v>
      </c>
      <c r="G25" s="47">
        <v>102568</v>
      </c>
      <c r="H25" s="3" t="s">
        <v>6</v>
      </c>
    </row>
    <row r="26" spans="3:10" x14ac:dyDescent="0.2">
      <c r="C26" s="61">
        <v>14</v>
      </c>
      <c r="D26" s="4">
        <v>45233</v>
      </c>
      <c r="E26" s="3" t="str">
        <f>"NEFT N307232717123042 GMR HOSPITALITY LIMITED HDF"</f>
        <v>NEFT N307232717123042 GMR HOSPITALITY LIMITED HDF</v>
      </c>
      <c r="F26" s="3" t="str">
        <f>"NEFTINW-0696803524"</f>
        <v>NEFTINW-0696803524</v>
      </c>
      <c r="G26" s="47">
        <v>117712</v>
      </c>
      <c r="H26" s="3" t="s">
        <v>6</v>
      </c>
    </row>
    <row r="27" spans="3:10" x14ac:dyDescent="0.2">
      <c r="C27" s="61">
        <v>15</v>
      </c>
      <c r="D27" s="4">
        <v>45233</v>
      </c>
      <c r="E27" s="3" t="str">
        <f>"NEFT N307232717115057 GMR HOSPITALITY LIMITED HDF"</f>
        <v>NEFT N307232717115057 GMR HOSPITALITY LIMITED HDF</v>
      </c>
      <c r="F27" s="3" t="str">
        <f>"NEFTINW-0696803523"</f>
        <v>NEFTINW-0696803523</v>
      </c>
      <c r="G27" s="47">
        <v>38630</v>
      </c>
      <c r="H27" s="3" t="s">
        <v>6</v>
      </c>
    </row>
    <row r="28" spans="3:10" x14ac:dyDescent="0.2">
      <c r="C28" s="61">
        <v>16</v>
      </c>
      <c r="D28" s="4">
        <v>45232</v>
      </c>
      <c r="E28" s="3" t="str">
        <f>"NEFT N306232716934765 GMR HOSPITALITY LIMITED HDF"</f>
        <v>NEFT N306232716934765 GMR HOSPITALITY LIMITED HDF</v>
      </c>
      <c r="F28" s="3" t="str">
        <f>"NEFTINW-0696550213"</f>
        <v>NEFTINW-0696550213</v>
      </c>
      <c r="G28" s="47">
        <v>43957</v>
      </c>
      <c r="H28" s="3" t="s">
        <v>6</v>
      </c>
    </row>
    <row r="29" spans="3:10" x14ac:dyDescent="0.2">
      <c r="C29" s="61">
        <v>17</v>
      </c>
      <c r="D29" s="4">
        <v>45232</v>
      </c>
      <c r="E29" s="3" t="str">
        <f>"NEFT N306232716934762 GMR HOSPITALITY LIMITED HDF"</f>
        <v>NEFT N306232716934762 GMR HOSPITALITY LIMITED HDF</v>
      </c>
      <c r="F29" s="3" t="str">
        <f>"NEFTINW-0696550212"</f>
        <v>NEFTINW-0696550212</v>
      </c>
      <c r="G29" s="47">
        <v>96573</v>
      </c>
      <c r="H29" s="3" t="s">
        <v>6</v>
      </c>
    </row>
    <row r="30" spans="3:10" x14ac:dyDescent="0.2">
      <c r="C30" s="61">
        <v>18</v>
      </c>
      <c r="D30" s="4">
        <v>45232</v>
      </c>
      <c r="E30" s="3" t="str">
        <f>"NEFT N306232716934759 GMR HOSPITALITY LIMITED HDF"</f>
        <v>NEFT N306232716934759 GMR HOSPITALITY LIMITED HDF</v>
      </c>
      <c r="F30" s="3" t="str">
        <f>"NEFTINW-0696550211"</f>
        <v>NEFTINW-0696550211</v>
      </c>
      <c r="G30" s="47">
        <v>52216</v>
      </c>
      <c r="H30" s="3" t="s">
        <v>6</v>
      </c>
    </row>
    <row r="31" spans="3:10" x14ac:dyDescent="0.2">
      <c r="C31" s="61">
        <v>19</v>
      </c>
      <c r="D31" s="4">
        <v>45217</v>
      </c>
      <c r="E31" s="3" t="str">
        <f>"NEFT YESIG32910005715 TRAVEL FOOD SERVICES YESB00"</f>
        <v>NEFT YESIG32910005715 TRAVEL FOOD SERVICES YESB00</v>
      </c>
      <c r="F31" s="3" t="str">
        <f>"NEFTINW-0685665124"</f>
        <v>NEFTINW-0685665124</v>
      </c>
      <c r="G31" s="54">
        <v>81004</v>
      </c>
      <c r="H31" s="3" t="s">
        <v>6</v>
      </c>
      <c r="J31" s="50"/>
    </row>
    <row r="32" spans="3:10" x14ac:dyDescent="0.2">
      <c r="C32" s="61">
        <v>20</v>
      </c>
      <c r="D32" s="4">
        <v>45217</v>
      </c>
      <c r="E32" s="3" t="str">
        <f>"NEFT YESIG32910005710 TRAVEL FOOD SERVICES YESB00"</f>
        <v>NEFT YESIG32910005710 TRAVEL FOOD SERVICES YESB00</v>
      </c>
      <c r="F32" s="3" t="str">
        <f>"NEFTINW-0685665123"</f>
        <v>NEFTINW-0685665123</v>
      </c>
      <c r="G32" s="54">
        <v>102597</v>
      </c>
      <c r="H32" s="3" t="s">
        <v>6</v>
      </c>
      <c r="J32" s="50"/>
    </row>
    <row r="33" spans="3:10" x14ac:dyDescent="0.2">
      <c r="C33" s="61">
        <v>21</v>
      </c>
      <c r="D33" s="4">
        <v>45217</v>
      </c>
      <c r="E33" s="3" t="str">
        <f>"NEFT YESIG32910005716 TRAVEL FOOD SERVICES YESB00"</f>
        <v>NEFT YESIG32910005716 TRAVEL FOOD SERVICES YESB00</v>
      </c>
      <c r="F33" s="3" t="str">
        <f>"NEFTINW-0685665122"</f>
        <v>NEFTINW-0685665122</v>
      </c>
      <c r="G33" s="54">
        <v>81004</v>
      </c>
      <c r="H33" s="3" t="s">
        <v>6</v>
      </c>
      <c r="J33" s="50"/>
    </row>
    <row r="34" spans="3:10" x14ac:dyDescent="0.2">
      <c r="C34" s="61">
        <v>22</v>
      </c>
      <c r="D34" s="4">
        <v>45217</v>
      </c>
      <c r="E34" s="3" t="str">
        <f>"NEFT YESIG32910005713 TRAVEL FOOD SERVICES YESB00"</f>
        <v>NEFT YESIG32910005713 TRAVEL FOOD SERVICES YESB00</v>
      </c>
      <c r="F34" s="3" t="str">
        <f>"NEFTINW-0685665121"</f>
        <v>NEFTINW-0685665121</v>
      </c>
      <c r="G34" s="54">
        <v>309096</v>
      </c>
      <c r="H34" s="3" t="s">
        <v>6</v>
      </c>
      <c r="J34" s="50"/>
    </row>
    <row r="35" spans="3:10" x14ac:dyDescent="0.2">
      <c r="C35" s="61">
        <v>23</v>
      </c>
      <c r="D35" s="4">
        <v>45217</v>
      </c>
      <c r="E35" s="3" t="str">
        <f>"NEFT YESIG32910005718 TRAVEL FOOD SERVICES YESB00"</f>
        <v>NEFT YESIG32910005718 TRAVEL FOOD SERVICES YESB00</v>
      </c>
      <c r="F35" s="3" t="str">
        <f>"NEFTINW-0685665120"</f>
        <v>NEFTINW-0685665120</v>
      </c>
      <c r="G35" s="54">
        <v>81004</v>
      </c>
      <c r="H35" s="3" t="s">
        <v>6</v>
      </c>
      <c r="J35" s="50"/>
    </row>
    <row r="36" spans="3:10" x14ac:dyDescent="0.2">
      <c r="C36" s="61">
        <v>24</v>
      </c>
      <c r="D36" s="4">
        <v>45217</v>
      </c>
      <c r="E36" s="3" t="str">
        <f>"NEFT YESIG32910005719 TRAVEL FOOD SERVICES YESB00"</f>
        <v>NEFT YESIG32910005719 TRAVEL FOOD SERVICES YESB00</v>
      </c>
      <c r="F36" s="3" t="str">
        <f>"NEFTINW-0685665119"</f>
        <v>NEFTINW-0685665119</v>
      </c>
      <c r="G36" s="54">
        <v>189035</v>
      </c>
      <c r="H36" s="3" t="s">
        <v>6</v>
      </c>
      <c r="J36" s="50"/>
    </row>
    <row r="37" spans="3:10" x14ac:dyDescent="0.2">
      <c r="C37" s="61">
        <v>25</v>
      </c>
      <c r="D37" s="4">
        <v>45217</v>
      </c>
      <c r="E37" s="3" t="str">
        <f>"NEFT YESIG32910005712 TRAVEL FOOD SERVICES YESB00"</f>
        <v>NEFT YESIG32910005712 TRAVEL FOOD SERVICES YESB00</v>
      </c>
      <c r="F37" s="3" t="str">
        <f>"NEFTINW-0685665118"</f>
        <v>NEFTINW-0685665118</v>
      </c>
      <c r="G37" s="54">
        <v>80997</v>
      </c>
      <c r="H37" s="3" t="s">
        <v>6</v>
      </c>
      <c r="J37" s="50"/>
    </row>
    <row r="38" spans="3:10" x14ac:dyDescent="0.2">
      <c r="C38" s="61">
        <v>26</v>
      </c>
      <c r="D38" s="4">
        <v>45217</v>
      </c>
      <c r="E38" s="3" t="str">
        <f>"NEFT YESIG32910007613 TRAVEL FOOD SERVICES YESB00"</f>
        <v>NEFT YESIG32910007613 TRAVEL FOOD SERVICES YESB00</v>
      </c>
      <c r="F38" s="3" t="str">
        <f>"NEFTINW-0685665101"</f>
        <v>NEFTINW-0685665101</v>
      </c>
      <c r="G38" s="54">
        <v>409104</v>
      </c>
      <c r="H38" s="3" t="s">
        <v>6</v>
      </c>
      <c r="J38" s="50"/>
    </row>
    <row r="39" spans="3:10" x14ac:dyDescent="0.2">
      <c r="C39" s="61">
        <v>27</v>
      </c>
      <c r="D39" s="4">
        <v>45217</v>
      </c>
      <c r="E39" s="3" t="str">
        <f>"NEFT YESIG32910005721 TRAVEL FOOD SERVICES YESB00"</f>
        <v>NEFT YESIG32910005721 TRAVEL FOOD SERVICES YESB00</v>
      </c>
      <c r="F39" s="3" t="str">
        <f>"NEFTINW-0685665100"</f>
        <v>NEFTINW-0685665100</v>
      </c>
      <c r="G39" s="54">
        <v>218484</v>
      </c>
      <c r="H39" s="3" t="s">
        <v>6</v>
      </c>
      <c r="J39" s="50"/>
    </row>
    <row r="40" spans="3:10" x14ac:dyDescent="0.2">
      <c r="C40" s="61">
        <v>28</v>
      </c>
      <c r="D40" s="4">
        <v>45217</v>
      </c>
      <c r="E40" s="3" t="str">
        <f>"NEFT YESIG32910005717 TRAVEL FOOD SERVICES YESB00"</f>
        <v>NEFT YESIG32910005717 TRAVEL FOOD SERVICES YESB00</v>
      </c>
      <c r="F40" s="3" t="str">
        <f>"NEFTINW-0685665099"</f>
        <v>NEFTINW-0685665099</v>
      </c>
      <c r="G40" s="54">
        <v>81004</v>
      </c>
      <c r="H40" s="3" t="s">
        <v>6</v>
      </c>
      <c r="J40" s="50"/>
    </row>
    <row r="41" spans="3:10" x14ac:dyDescent="0.2">
      <c r="C41" s="61">
        <v>29</v>
      </c>
      <c r="D41" s="4">
        <v>45217</v>
      </c>
      <c r="E41" s="3" t="str">
        <f>"NEFT YESIG32910007547 TRAVEL FOOD SERVICES YESB00"</f>
        <v>NEFT YESIG32910007547 TRAVEL FOOD SERVICES YESB00</v>
      </c>
      <c r="F41" s="3" t="str">
        <f>"NEFTINW-0685665098"</f>
        <v>NEFTINW-0685665098</v>
      </c>
      <c r="G41" s="54">
        <v>80999</v>
      </c>
      <c r="H41" s="3" t="s">
        <v>6</v>
      </c>
      <c r="J41" s="50"/>
    </row>
    <row r="42" spans="3:10" x14ac:dyDescent="0.2">
      <c r="C42" s="61">
        <v>30</v>
      </c>
      <c r="D42" s="4">
        <v>45217</v>
      </c>
      <c r="E42" s="3" t="str">
        <f>"NEFT YESIG32910005711 TRAVEL FOOD SERVICES YESB00"</f>
        <v>NEFT YESIG32910005711 TRAVEL FOOD SERVICES YESB00</v>
      </c>
      <c r="F42" s="3" t="str">
        <f>"NEFTINW-0685665097"</f>
        <v>NEFTINW-0685665097</v>
      </c>
      <c r="G42" s="54">
        <v>80997</v>
      </c>
      <c r="H42" s="3" t="s">
        <v>6</v>
      </c>
      <c r="J42" s="50"/>
    </row>
    <row r="43" spans="3:10" x14ac:dyDescent="0.2">
      <c r="C43" s="61">
        <v>31</v>
      </c>
      <c r="D43" s="4">
        <v>45217</v>
      </c>
      <c r="E43" s="3" t="str">
        <f>"NEFT YESIG32910005714 TRAVEL FOOD SERVICES YESB00"</f>
        <v>NEFT YESIG32910005714 TRAVEL FOOD SERVICES YESB00</v>
      </c>
      <c r="F43" s="3" t="str">
        <f>"NEFTINW-0685665096"</f>
        <v>NEFTINW-0685665096</v>
      </c>
      <c r="G43" s="48">
        <v>81004</v>
      </c>
      <c r="H43" s="3" t="s">
        <v>6</v>
      </c>
    </row>
    <row r="44" spans="3:10" x14ac:dyDescent="0.2">
      <c r="C44" s="61">
        <v>32</v>
      </c>
      <c r="D44" s="4">
        <v>45217</v>
      </c>
      <c r="E44" s="3" t="str">
        <f>"NEFT YESIG32910005720 TRAVEL FOOD SERVICES YESB00"</f>
        <v>NEFT YESIG32910005720 TRAVEL FOOD SERVICES YESB00</v>
      </c>
      <c r="F44" s="3" t="str">
        <f>"NEFTINW-0685665095"</f>
        <v>NEFTINW-0685665095</v>
      </c>
      <c r="G44" s="54">
        <v>189001</v>
      </c>
      <c r="H44" s="3" t="s">
        <v>6</v>
      </c>
      <c r="J44" s="50"/>
    </row>
    <row r="45" spans="3:10" x14ac:dyDescent="0.2">
      <c r="C45" s="61">
        <v>33</v>
      </c>
      <c r="D45" s="4">
        <v>45166</v>
      </c>
      <c r="E45" s="3" t="str">
        <f>"NEFT HSBCN23240857000 TRAVEL FOOD SERVICES PRIVAT"</f>
        <v>NEFT HSBCN23240857000 TRAVEL FOOD SERVICES PRIVAT</v>
      </c>
      <c r="F45" s="3" t="str">
        <f>"NEFTINW-0651592998"</f>
        <v>NEFTINW-0651592998</v>
      </c>
      <c r="G45" s="48">
        <v>444636</v>
      </c>
      <c r="H45" s="3" t="s">
        <v>6</v>
      </c>
    </row>
    <row r="46" spans="3:10" x14ac:dyDescent="0.2">
      <c r="C46" s="61">
        <v>34</v>
      </c>
      <c r="D46" s="4">
        <v>45140</v>
      </c>
      <c r="E46" s="3" t="str">
        <f>"NEFT YESB32143897919 TRAVEL FOOD SERVICES YESB000"</f>
        <v>NEFT YESB32143897919 TRAVEL FOOD SERVICES YESB000</v>
      </c>
      <c r="F46" s="3" t="str">
        <f>"NEFTINW-0636232194"</f>
        <v>NEFTINW-0636232194</v>
      </c>
      <c r="G46" s="48">
        <v>105851</v>
      </c>
      <c r="H46" s="3" t="s">
        <v>6</v>
      </c>
    </row>
    <row r="47" spans="3:10" x14ac:dyDescent="0.2">
      <c r="C47" s="61">
        <v>35</v>
      </c>
      <c r="D47" s="4">
        <v>45140</v>
      </c>
      <c r="E47" s="3" t="str">
        <f>"NEFT YESB32143897918 TRAVEL FOOD SERVICES YESB000"</f>
        <v>NEFT YESB32143897918 TRAVEL FOOD SERVICES YESB000</v>
      </c>
      <c r="F47" s="3" t="str">
        <f>"NEFTINW-0636232193"</f>
        <v>NEFTINW-0636232193</v>
      </c>
      <c r="G47" s="48">
        <v>192456</v>
      </c>
      <c r="H47" s="3" t="s">
        <v>6</v>
      </c>
    </row>
    <row r="48" spans="3:10" x14ac:dyDescent="0.2">
      <c r="C48" s="61">
        <v>36</v>
      </c>
      <c r="D48" s="4">
        <v>45140</v>
      </c>
      <c r="E48" s="3" t="str">
        <f>"NEFT YESB32143898338 TRAVEL FOOD SERVICES YESB000"</f>
        <v>NEFT YESB32143898338 TRAVEL FOOD SERVICES YESB000</v>
      </c>
      <c r="F48" s="3" t="str">
        <f>"NEFTINW-0636232191"</f>
        <v>NEFTINW-0636232191</v>
      </c>
      <c r="G48" s="48">
        <v>712087</v>
      </c>
      <c r="H48" s="3" t="s">
        <v>6</v>
      </c>
    </row>
    <row r="49" spans="3:9" ht="18" x14ac:dyDescent="0.25">
      <c r="G49" s="68">
        <f>SUM(G13:G48)</f>
        <v>5127712</v>
      </c>
    </row>
    <row r="50" spans="3:9" x14ac:dyDescent="0.2">
      <c r="G50" s="27"/>
    </row>
    <row r="54" spans="3:9" x14ac:dyDescent="0.2">
      <c r="C54" s="25">
        <v>1</v>
      </c>
      <c r="D54" s="4">
        <v>45190</v>
      </c>
      <c r="E54" s="3" t="str">
        <f>"NEFT YESB32642943997 TRAVEL FOOD SERVICES YESB000"</f>
        <v>NEFT YESB32642943997 TRAVEL FOOD SERVICES YESB000</v>
      </c>
      <c r="F54" s="3" t="str">
        <f>"NEFTINW-0667117243"</f>
        <v>NEFTINW-0667117243</v>
      </c>
      <c r="G54" s="26">
        <v>2530</v>
      </c>
      <c r="H54" s="3" t="s">
        <v>6</v>
      </c>
      <c r="I54" t="s">
        <v>192</v>
      </c>
    </row>
    <row r="55" spans="3:9" x14ac:dyDescent="0.2">
      <c r="C55" s="25">
        <v>2</v>
      </c>
      <c r="D55" s="4">
        <v>45182</v>
      </c>
      <c r="E55" s="3" t="str">
        <f>"NEFT YESB32568543676 TRAVEL FOOD SERVICES YESB000"</f>
        <v>NEFT YESB32568543676 TRAVEL FOOD SERVICES YESB000</v>
      </c>
      <c r="F55" s="3" t="str">
        <f>"NEFTINW-0662449299"</f>
        <v>NEFTINW-0662449299</v>
      </c>
      <c r="G55" s="26">
        <v>3226</v>
      </c>
      <c r="H55" s="3" t="s">
        <v>6</v>
      </c>
      <c r="I55" t="s">
        <v>192</v>
      </c>
    </row>
    <row r="56" spans="3:9" x14ac:dyDescent="0.2">
      <c r="C56" s="1"/>
      <c r="D56" s="1"/>
      <c r="E56" s="1"/>
      <c r="F56" s="1"/>
      <c r="H56" s="1"/>
    </row>
    <row r="66" spans="7:7" x14ac:dyDescent="0.2">
      <c r="G66" s="58"/>
    </row>
  </sheetData>
  <mergeCells count="1">
    <mergeCell ref="C7:H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E67A-1AF9-3548-AAFF-25F485CFC779}">
  <dimension ref="B4:Z82"/>
  <sheetViews>
    <sheetView showGridLines="0" tabSelected="1" topLeftCell="C21" zoomScale="80" zoomScaleNormal="80" workbookViewId="0">
      <selection activeCell="K59" sqref="K59:K62"/>
    </sheetView>
  </sheetViews>
  <sheetFormatPr baseColWidth="10" defaultColWidth="8.83203125" defaultRowHeight="15" x14ac:dyDescent="0.2"/>
  <cols>
    <col min="1" max="1" width="8.83203125" style="6"/>
    <col min="2" max="2" width="17" style="6" bestFit="1" customWidth="1"/>
    <col min="3" max="3" width="28.6640625" style="6" bestFit="1" customWidth="1"/>
    <col min="4" max="4" width="36.6640625" style="6" bestFit="1" customWidth="1"/>
    <col min="5" max="5" width="17.6640625" style="6" customWidth="1"/>
    <col min="6" max="6" width="6.83203125" style="6" customWidth="1"/>
    <col min="7" max="7" width="24" style="6" bestFit="1" customWidth="1"/>
    <col min="8" max="8" width="22.33203125" style="6" customWidth="1"/>
    <col min="9" max="9" width="28.5" style="6" bestFit="1" customWidth="1"/>
    <col min="10" max="10" width="38.5" style="6" customWidth="1"/>
    <col min="11" max="11" width="21.1640625" style="6" bestFit="1" customWidth="1"/>
    <col min="12" max="12" width="19" style="6" bestFit="1" customWidth="1"/>
    <col min="13" max="13" width="12.83203125" style="6" bestFit="1" customWidth="1"/>
    <col min="14" max="14" width="13.6640625" style="6" bestFit="1" customWidth="1"/>
    <col min="15" max="15" width="45.33203125" style="6" bestFit="1" customWidth="1"/>
    <col min="16" max="16" width="19.33203125" style="6" bestFit="1" customWidth="1"/>
    <col min="17" max="17" width="16.5" style="6" bestFit="1" customWidth="1"/>
    <col min="18" max="18" width="16.5" style="6" customWidth="1"/>
    <col min="19" max="19" width="27" style="6" bestFit="1" customWidth="1"/>
    <col min="20" max="20" width="15.1640625" style="6" bestFit="1" customWidth="1"/>
    <col min="21" max="21" width="34" style="6" bestFit="1" customWidth="1"/>
    <col min="22" max="22" width="31.1640625" style="6" bestFit="1" customWidth="1"/>
    <col min="23" max="23" width="11.1640625" style="6" bestFit="1" customWidth="1"/>
    <col min="24" max="24" width="11.5" style="6" bestFit="1" customWidth="1"/>
    <col min="25" max="25" width="10.5" style="6" bestFit="1" customWidth="1"/>
    <col min="26" max="26" width="11.5" style="6" bestFit="1" customWidth="1"/>
    <col min="27" max="16384" width="8.83203125" style="6"/>
  </cols>
  <sheetData>
    <row r="4" spans="5:22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5:22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5:22" ht="51" customHeight="1" x14ac:dyDescent="0.2">
      <c r="E6" s="5"/>
      <c r="F6" s="51" t="s">
        <v>7</v>
      </c>
      <c r="G6" s="51" t="s">
        <v>8</v>
      </c>
      <c r="H6" s="51" t="s">
        <v>9</v>
      </c>
      <c r="I6" s="51" t="s">
        <v>10</v>
      </c>
      <c r="J6" s="51" t="s">
        <v>11</v>
      </c>
      <c r="K6" s="51" t="s">
        <v>12</v>
      </c>
      <c r="L6" s="51" t="s">
        <v>13</v>
      </c>
      <c r="M6" s="51" t="s">
        <v>14</v>
      </c>
      <c r="N6" s="51" t="s">
        <v>15</v>
      </c>
      <c r="O6" s="51" t="s">
        <v>16</v>
      </c>
      <c r="P6" s="51" t="s">
        <v>17</v>
      </c>
      <c r="Q6" s="51" t="s">
        <v>18</v>
      </c>
      <c r="R6" s="51"/>
      <c r="S6" s="51" t="s">
        <v>19</v>
      </c>
      <c r="T6" s="51" t="s">
        <v>186</v>
      </c>
    </row>
    <row r="7" spans="5:22" x14ac:dyDescent="0.2">
      <c r="E7" s="5"/>
      <c r="F7" s="35">
        <v>1</v>
      </c>
      <c r="G7" s="35" t="s">
        <v>20</v>
      </c>
      <c r="H7" s="35" t="s">
        <v>21</v>
      </c>
      <c r="I7" s="35" t="s">
        <v>22</v>
      </c>
      <c r="J7" s="35" t="s">
        <v>23</v>
      </c>
      <c r="K7" s="35" t="s">
        <v>24</v>
      </c>
      <c r="L7" s="36">
        <f>115652-M7</f>
        <v>98010</v>
      </c>
      <c r="M7" s="36">
        <f>11227+6415</f>
        <v>17642</v>
      </c>
      <c r="N7" s="36">
        <f>SUM(L7:M7)</f>
        <v>115652</v>
      </c>
      <c r="O7" s="36">
        <f t="shared" ref="O7:O12" si="0">L7*0.1</f>
        <v>9801</v>
      </c>
      <c r="P7" s="36">
        <f t="shared" ref="P7:P12" si="1">(L7-O7)+M7</f>
        <v>105851</v>
      </c>
      <c r="Q7" s="37">
        <v>105851</v>
      </c>
      <c r="R7" s="37"/>
      <c r="S7" s="38">
        <v>45139</v>
      </c>
      <c r="T7" s="49">
        <v>34</v>
      </c>
      <c r="V7" s="95" t="s">
        <v>182</v>
      </c>
    </row>
    <row r="8" spans="5:22" x14ac:dyDescent="0.2">
      <c r="E8" s="5"/>
      <c r="F8" s="35">
        <v>2</v>
      </c>
      <c r="G8" s="35" t="s">
        <v>25</v>
      </c>
      <c r="H8" s="35" t="s">
        <v>26</v>
      </c>
      <c r="I8" s="35" t="s">
        <v>22</v>
      </c>
      <c r="J8" s="35" t="s">
        <v>27</v>
      </c>
      <c r="K8" s="35" t="s">
        <v>28</v>
      </c>
      <c r="L8" s="36">
        <f>778021-M8</f>
        <v>659340</v>
      </c>
      <c r="M8" s="36">
        <v>118681</v>
      </c>
      <c r="N8" s="36">
        <f t="shared" ref="N8:N35" si="2">SUM(L8:M8)</f>
        <v>778021</v>
      </c>
      <c r="O8" s="36">
        <f t="shared" si="0"/>
        <v>65934</v>
      </c>
      <c r="P8" s="36">
        <f t="shared" si="1"/>
        <v>712087</v>
      </c>
      <c r="Q8" s="37">
        <v>712087</v>
      </c>
      <c r="R8" s="37"/>
      <c r="S8" s="38">
        <v>45139</v>
      </c>
      <c r="T8" s="49">
        <v>36</v>
      </c>
      <c r="V8" s="95"/>
    </row>
    <row r="9" spans="5:22" x14ac:dyDescent="0.2">
      <c r="E9" s="5"/>
      <c r="F9" s="35">
        <v>3</v>
      </c>
      <c r="G9" s="35" t="s">
        <v>29</v>
      </c>
      <c r="H9" s="35" t="s">
        <v>30</v>
      </c>
      <c r="I9" s="35" t="s">
        <v>22</v>
      </c>
      <c r="J9" s="35" t="s">
        <v>31</v>
      </c>
      <c r="K9" s="35" t="s">
        <v>32</v>
      </c>
      <c r="L9" s="36">
        <f>210276-M9</f>
        <v>178200</v>
      </c>
      <c r="M9" s="36">
        <v>32076</v>
      </c>
      <c r="N9" s="36">
        <f t="shared" si="2"/>
        <v>210276</v>
      </c>
      <c r="O9" s="36">
        <f t="shared" si="0"/>
        <v>17820</v>
      </c>
      <c r="P9" s="36">
        <f t="shared" si="1"/>
        <v>192456</v>
      </c>
      <c r="Q9" s="37">
        <v>192456</v>
      </c>
      <c r="R9" s="37"/>
      <c r="S9" s="38">
        <v>45139</v>
      </c>
      <c r="T9" s="49">
        <v>35</v>
      </c>
      <c r="V9" s="95"/>
    </row>
    <row r="10" spans="5:22" x14ac:dyDescent="0.2">
      <c r="E10" s="5"/>
      <c r="F10" s="8">
        <v>4</v>
      </c>
      <c r="G10" s="8" t="s">
        <v>33</v>
      </c>
      <c r="H10" s="8" t="s">
        <v>34</v>
      </c>
      <c r="I10" s="8" t="s">
        <v>22</v>
      </c>
      <c r="J10" s="8" t="s">
        <v>35</v>
      </c>
      <c r="K10" s="100" t="s">
        <v>203</v>
      </c>
      <c r="L10" s="9">
        <v>266409</v>
      </c>
      <c r="M10" s="10">
        <v>47954</v>
      </c>
      <c r="N10" s="9">
        <f>SUM(L10:M10)</f>
        <v>314363</v>
      </c>
      <c r="O10" s="9">
        <f t="shared" si="0"/>
        <v>26640.9</v>
      </c>
      <c r="P10" s="9">
        <f t="shared" si="1"/>
        <v>287722.09999999998</v>
      </c>
      <c r="Q10" s="11">
        <v>444636</v>
      </c>
      <c r="R10" s="11"/>
      <c r="S10" s="12">
        <v>45163</v>
      </c>
      <c r="T10" s="60">
        <v>33</v>
      </c>
      <c r="V10" s="95"/>
    </row>
    <row r="11" spans="5:22" x14ac:dyDescent="0.2">
      <c r="E11" s="5"/>
      <c r="F11" s="8">
        <v>5</v>
      </c>
      <c r="G11" s="8" t="s">
        <v>36</v>
      </c>
      <c r="H11" s="8" t="s">
        <v>37</v>
      </c>
      <c r="I11" s="8" t="s">
        <v>22</v>
      </c>
      <c r="J11" s="8" t="s">
        <v>38</v>
      </c>
      <c r="K11" s="101"/>
      <c r="L11" s="9">
        <v>235506</v>
      </c>
      <c r="M11" s="10">
        <v>42391</v>
      </c>
      <c r="N11" s="9">
        <f>SUM(L11:M11)</f>
        <v>277897</v>
      </c>
      <c r="O11" s="9">
        <f t="shared" si="0"/>
        <v>23550.600000000002</v>
      </c>
      <c r="P11" s="9">
        <f t="shared" si="1"/>
        <v>254346.4</v>
      </c>
      <c r="Q11" s="11">
        <v>81004</v>
      </c>
      <c r="R11" s="11"/>
      <c r="S11" s="12">
        <v>45155</v>
      </c>
      <c r="T11" s="60">
        <v>31</v>
      </c>
      <c r="V11" s="95"/>
    </row>
    <row r="12" spans="5:22" x14ac:dyDescent="0.2">
      <c r="E12" s="102" t="s">
        <v>39</v>
      </c>
      <c r="F12" s="35">
        <v>6</v>
      </c>
      <c r="G12" s="35" t="s">
        <v>40</v>
      </c>
      <c r="H12" s="35" t="s">
        <v>41</v>
      </c>
      <c r="I12" s="35" t="s">
        <v>22</v>
      </c>
      <c r="J12" s="35" t="s">
        <v>42</v>
      </c>
      <c r="K12" s="35" t="s">
        <v>43</v>
      </c>
      <c r="L12" s="36">
        <v>666022</v>
      </c>
      <c r="M12" s="39">
        <f>L12*0.18</f>
        <v>119883.95999999999</v>
      </c>
      <c r="N12" s="36">
        <f>SUM(L12:M12)</f>
        <v>785905.96</v>
      </c>
      <c r="O12" s="36">
        <f t="shared" si="0"/>
        <v>66602.2</v>
      </c>
      <c r="P12" s="36">
        <f t="shared" si="1"/>
        <v>719303.76</v>
      </c>
      <c r="Q12" s="37">
        <v>0</v>
      </c>
      <c r="R12" s="37"/>
      <c r="S12" s="103"/>
      <c r="T12" s="49"/>
      <c r="U12" s="104" t="s">
        <v>204</v>
      </c>
      <c r="V12" s="95"/>
    </row>
    <row r="13" spans="5:22" x14ac:dyDescent="0.2">
      <c r="E13" s="5"/>
      <c r="F13" s="5"/>
      <c r="G13" s="5"/>
      <c r="H13" s="5"/>
      <c r="I13" s="5"/>
      <c r="J13" s="5"/>
      <c r="K13" s="5"/>
      <c r="L13" s="13"/>
      <c r="M13" s="69"/>
      <c r="N13" s="13"/>
      <c r="O13" s="13"/>
      <c r="P13" s="13"/>
      <c r="Q13" s="70"/>
      <c r="R13" s="70"/>
      <c r="T13" s="50"/>
      <c r="U13" s="71"/>
      <c r="V13" s="72"/>
    </row>
    <row r="14" spans="5:22" x14ac:dyDescent="0.2">
      <c r="E14" s="5"/>
      <c r="F14" s="5"/>
      <c r="G14" s="5"/>
      <c r="H14" s="5"/>
      <c r="I14" s="5"/>
      <c r="J14" s="5"/>
      <c r="K14" s="5"/>
      <c r="L14" s="13"/>
      <c r="M14" s="69"/>
      <c r="N14" s="98" t="s">
        <v>196</v>
      </c>
      <c r="O14" s="73" t="s">
        <v>193</v>
      </c>
      <c r="P14" s="73">
        <f>SUM(N7:N12)</f>
        <v>2482114.96</v>
      </c>
      <c r="Q14" s="70"/>
      <c r="R14" s="70"/>
      <c r="T14" s="50"/>
      <c r="U14" s="71"/>
      <c r="V14" s="72"/>
    </row>
    <row r="15" spans="5:22" x14ac:dyDescent="0.2">
      <c r="E15" s="5"/>
      <c r="F15" s="5"/>
      <c r="G15" s="5"/>
      <c r="H15" s="5"/>
      <c r="I15" s="5"/>
      <c r="J15" s="5"/>
      <c r="K15" s="5"/>
      <c r="L15" s="13"/>
      <c r="M15" s="69"/>
      <c r="N15" s="99"/>
      <c r="O15" s="73" t="s">
        <v>100</v>
      </c>
      <c r="P15" s="73">
        <f>SUM(Q7:Q12)</f>
        <v>1536034</v>
      </c>
      <c r="Q15" s="70"/>
      <c r="R15" s="70"/>
      <c r="T15" s="50"/>
      <c r="U15" s="71"/>
      <c r="V15" s="72"/>
    </row>
    <row r="16" spans="5:22" x14ac:dyDescent="0.2">
      <c r="E16" s="5"/>
      <c r="F16" s="5"/>
      <c r="G16" s="5"/>
      <c r="H16" s="5"/>
      <c r="I16" s="5"/>
      <c r="J16" s="5"/>
      <c r="K16" s="5"/>
      <c r="L16" s="13"/>
      <c r="M16" s="69"/>
      <c r="N16" s="99"/>
      <c r="O16" s="74" t="s">
        <v>195</v>
      </c>
      <c r="P16" s="73">
        <v>0</v>
      </c>
      <c r="Q16" s="70"/>
      <c r="R16" s="70"/>
      <c r="T16" s="50"/>
      <c r="U16" s="71"/>
      <c r="V16" s="72"/>
    </row>
    <row r="17" spans="2:22" x14ac:dyDescent="0.2">
      <c r="E17" s="5"/>
      <c r="F17" s="5"/>
      <c r="G17" s="5"/>
      <c r="H17" s="5"/>
      <c r="I17" s="5"/>
      <c r="J17" s="5"/>
      <c r="K17" s="5"/>
      <c r="L17" s="13"/>
      <c r="M17" s="69"/>
      <c r="N17" s="99"/>
      <c r="O17" s="7" t="s">
        <v>198</v>
      </c>
      <c r="P17" s="73">
        <f>SUM(O7:O12)</f>
        <v>210348.7</v>
      </c>
      <c r="Q17" s="70"/>
      <c r="R17" s="70"/>
      <c r="T17" s="50"/>
      <c r="U17" s="71"/>
      <c r="V17" s="72"/>
    </row>
    <row r="18" spans="2:22" x14ac:dyDescent="0.2">
      <c r="E18" s="5"/>
      <c r="F18" s="5"/>
      <c r="G18" s="5"/>
      <c r="H18" s="5"/>
      <c r="I18" s="5"/>
      <c r="J18" s="5"/>
      <c r="K18" s="5"/>
      <c r="L18" s="13"/>
      <c r="M18" s="69"/>
      <c r="N18" s="99"/>
      <c r="O18" s="76" t="s">
        <v>194</v>
      </c>
      <c r="P18" s="76">
        <f>P14-(P15+P16+P17)</f>
        <v>735732.26</v>
      </c>
      <c r="Q18" s="70"/>
      <c r="R18" s="70"/>
      <c r="T18" s="50"/>
      <c r="U18" s="71"/>
      <c r="V18" s="72"/>
    </row>
    <row r="19" spans="2:22" x14ac:dyDescent="0.2">
      <c r="E19" s="5"/>
      <c r="F19" s="5"/>
      <c r="G19" s="5"/>
      <c r="H19" s="5"/>
      <c r="I19" s="5"/>
      <c r="J19" s="5"/>
      <c r="K19" s="5"/>
      <c r="L19" s="13"/>
      <c r="M19" s="69"/>
      <c r="N19" s="78"/>
      <c r="O19" s="77"/>
      <c r="P19" s="77"/>
      <c r="Q19" s="70"/>
      <c r="R19" s="70"/>
      <c r="T19" s="50"/>
      <c r="U19" s="71"/>
      <c r="V19" s="72"/>
    </row>
    <row r="20" spans="2:22" x14ac:dyDescent="0.2">
      <c r="E20" s="5"/>
      <c r="F20" s="5"/>
      <c r="G20" s="5"/>
      <c r="H20" s="5"/>
      <c r="I20" s="5"/>
      <c r="J20" s="5"/>
      <c r="K20" s="5"/>
      <c r="L20" s="13"/>
      <c r="M20" s="69"/>
      <c r="N20" s="78"/>
      <c r="O20" s="77"/>
      <c r="P20" s="77"/>
      <c r="Q20" s="70"/>
      <c r="R20" s="70"/>
      <c r="T20" s="50"/>
      <c r="U20" s="71"/>
      <c r="V20" s="72"/>
    </row>
    <row r="21" spans="2:22" ht="48" x14ac:dyDescent="0.2">
      <c r="E21" s="5"/>
      <c r="F21" s="51" t="s">
        <v>7</v>
      </c>
      <c r="G21" s="51" t="s">
        <v>8</v>
      </c>
      <c r="H21" s="51" t="s">
        <v>9</v>
      </c>
      <c r="I21" s="51" t="s">
        <v>10</v>
      </c>
      <c r="J21" s="51" t="s">
        <v>11</v>
      </c>
      <c r="K21" s="51" t="s">
        <v>12</v>
      </c>
      <c r="L21" s="51" t="s">
        <v>13</v>
      </c>
      <c r="M21" s="51" t="s">
        <v>14</v>
      </c>
      <c r="N21" s="51" t="s">
        <v>15</v>
      </c>
      <c r="O21" s="51" t="s">
        <v>16</v>
      </c>
      <c r="P21" s="51" t="s">
        <v>17</v>
      </c>
      <c r="Q21" s="51" t="s">
        <v>18</v>
      </c>
      <c r="R21" s="51"/>
      <c r="S21" s="51" t="s">
        <v>19</v>
      </c>
      <c r="T21" s="51" t="s">
        <v>186</v>
      </c>
    </row>
    <row r="22" spans="2:22" x14ac:dyDescent="0.2">
      <c r="E22" s="5"/>
      <c r="F22" s="31">
        <v>1</v>
      </c>
      <c r="G22" s="31" t="s">
        <v>44</v>
      </c>
      <c r="H22" s="31" t="s">
        <v>45</v>
      </c>
      <c r="I22" s="31" t="s">
        <v>46</v>
      </c>
      <c r="J22" s="31" t="s">
        <v>47</v>
      </c>
      <c r="K22" s="31" t="s">
        <v>48</v>
      </c>
      <c r="L22" s="32">
        <v>378800</v>
      </c>
      <c r="M22" s="32">
        <v>68184</v>
      </c>
      <c r="N22" s="32">
        <f t="shared" si="2"/>
        <v>446984</v>
      </c>
      <c r="O22" s="32">
        <f t="shared" ref="O22:O35" si="3">L22*0.1</f>
        <v>37880</v>
      </c>
      <c r="P22" s="32">
        <f t="shared" ref="P22:P35" si="4">(L22-O22)+M22</f>
        <v>409104</v>
      </c>
      <c r="Q22" s="32">
        <v>409104</v>
      </c>
      <c r="R22" s="32"/>
      <c r="S22" s="33">
        <v>45217</v>
      </c>
      <c r="T22" s="52">
        <v>26</v>
      </c>
      <c r="V22" s="94" t="s">
        <v>181</v>
      </c>
    </row>
    <row r="23" spans="2:22" x14ac:dyDescent="0.2">
      <c r="F23" s="31">
        <v>2</v>
      </c>
      <c r="G23" s="31" t="s">
        <v>49</v>
      </c>
      <c r="H23" s="31" t="s">
        <v>50</v>
      </c>
      <c r="I23" s="31" t="s">
        <v>46</v>
      </c>
      <c r="J23" s="31" t="s">
        <v>51</v>
      </c>
      <c r="K23" s="31" t="s">
        <v>52</v>
      </c>
      <c r="L23" s="32">
        <v>202300</v>
      </c>
      <c r="M23" s="32">
        <v>36414</v>
      </c>
      <c r="N23" s="32">
        <f t="shared" si="2"/>
        <v>238714</v>
      </c>
      <c r="O23" s="32">
        <f t="shared" si="3"/>
        <v>20230</v>
      </c>
      <c r="P23" s="32">
        <f t="shared" si="4"/>
        <v>218484</v>
      </c>
      <c r="Q23" s="32">
        <v>218484</v>
      </c>
      <c r="R23" s="32"/>
      <c r="S23" s="33">
        <v>45217</v>
      </c>
      <c r="T23" s="52">
        <v>27</v>
      </c>
      <c r="V23" s="94"/>
    </row>
    <row r="24" spans="2:22" x14ac:dyDescent="0.2">
      <c r="B24" s="5"/>
      <c r="C24" s="13"/>
      <c r="D24" s="5"/>
      <c r="F24" s="31">
        <v>3</v>
      </c>
      <c r="G24" s="31" t="s">
        <v>53</v>
      </c>
      <c r="H24" s="31" t="s">
        <v>54</v>
      </c>
      <c r="I24" s="31" t="s">
        <v>46</v>
      </c>
      <c r="J24" s="31" t="s">
        <v>55</v>
      </c>
      <c r="K24" s="31" t="s">
        <v>56</v>
      </c>
      <c r="L24" s="32">
        <v>75000</v>
      </c>
      <c r="M24" s="32">
        <v>13500</v>
      </c>
      <c r="N24" s="32">
        <f t="shared" si="2"/>
        <v>88500</v>
      </c>
      <c r="O24" s="32">
        <f t="shared" si="3"/>
        <v>7500</v>
      </c>
      <c r="P24" s="32">
        <f t="shared" si="4"/>
        <v>81000</v>
      </c>
      <c r="Q24" s="32">
        <v>81004</v>
      </c>
      <c r="R24" s="32"/>
      <c r="S24" s="33">
        <v>45217</v>
      </c>
      <c r="T24" s="52">
        <v>28</v>
      </c>
      <c r="V24" s="94"/>
    </row>
    <row r="25" spans="2:22" x14ac:dyDescent="0.2">
      <c r="B25" s="93"/>
      <c r="C25" s="93"/>
      <c r="D25" s="5"/>
      <c r="F25" s="31">
        <v>4</v>
      </c>
      <c r="G25" s="31" t="s">
        <v>57</v>
      </c>
      <c r="H25" s="31" t="s">
        <v>58</v>
      </c>
      <c r="I25" s="31" t="s">
        <v>46</v>
      </c>
      <c r="J25" s="31" t="s">
        <v>59</v>
      </c>
      <c r="K25" s="31" t="s">
        <v>60</v>
      </c>
      <c r="L25" s="32">
        <v>95000</v>
      </c>
      <c r="M25" s="32">
        <v>17100</v>
      </c>
      <c r="N25" s="32">
        <f t="shared" si="2"/>
        <v>112100</v>
      </c>
      <c r="O25" s="32">
        <f t="shared" si="3"/>
        <v>9500</v>
      </c>
      <c r="P25" s="32">
        <f t="shared" si="4"/>
        <v>102600</v>
      </c>
      <c r="Q25" s="32">
        <v>102597</v>
      </c>
      <c r="R25" s="32"/>
      <c r="S25" s="33">
        <v>45217</v>
      </c>
      <c r="T25" s="52">
        <v>20</v>
      </c>
      <c r="V25" s="94"/>
    </row>
    <row r="26" spans="2:22" x14ac:dyDescent="0.2">
      <c r="B26" s="5"/>
      <c r="C26" s="5"/>
      <c r="D26" s="5"/>
      <c r="F26" s="31">
        <v>5</v>
      </c>
      <c r="G26" s="31" t="s">
        <v>61</v>
      </c>
      <c r="H26" s="31" t="s">
        <v>62</v>
      </c>
      <c r="I26" s="31" t="s">
        <v>46</v>
      </c>
      <c r="J26" s="31" t="s">
        <v>63</v>
      </c>
      <c r="K26" s="31" t="s">
        <v>64</v>
      </c>
      <c r="L26" s="34">
        <v>75000</v>
      </c>
      <c r="M26" s="34">
        <v>13500</v>
      </c>
      <c r="N26" s="32">
        <f t="shared" si="2"/>
        <v>88500</v>
      </c>
      <c r="O26" s="32">
        <f t="shared" si="3"/>
        <v>7500</v>
      </c>
      <c r="P26" s="32">
        <f t="shared" si="4"/>
        <v>81000</v>
      </c>
      <c r="Q26" s="32">
        <v>81004</v>
      </c>
      <c r="R26" s="32"/>
      <c r="S26" s="33">
        <v>45217</v>
      </c>
      <c r="T26" s="52">
        <v>19</v>
      </c>
      <c r="V26" s="94"/>
    </row>
    <row r="27" spans="2:22" x14ac:dyDescent="0.2">
      <c r="B27" s="5"/>
      <c r="F27" s="31">
        <v>6</v>
      </c>
      <c r="G27" s="31" t="s">
        <v>65</v>
      </c>
      <c r="H27" s="31" t="s">
        <v>66</v>
      </c>
      <c r="I27" s="31" t="s">
        <v>46</v>
      </c>
      <c r="J27" s="31" t="s">
        <v>67</v>
      </c>
      <c r="K27" s="31" t="s">
        <v>68</v>
      </c>
      <c r="L27" s="34">
        <v>75000</v>
      </c>
      <c r="M27" s="34">
        <v>13500</v>
      </c>
      <c r="N27" s="32">
        <f t="shared" si="2"/>
        <v>88500</v>
      </c>
      <c r="O27" s="32">
        <f t="shared" si="3"/>
        <v>7500</v>
      </c>
      <c r="P27" s="32">
        <f t="shared" si="4"/>
        <v>81000</v>
      </c>
      <c r="Q27" s="32">
        <v>81004</v>
      </c>
      <c r="R27" s="32"/>
      <c r="S27" s="33">
        <v>45217</v>
      </c>
      <c r="T27" s="52">
        <v>23</v>
      </c>
      <c r="V27" s="94"/>
    </row>
    <row r="28" spans="2:22" x14ac:dyDescent="0.2">
      <c r="B28" s="5"/>
      <c r="F28" s="31">
        <v>7</v>
      </c>
      <c r="G28" s="31" t="s">
        <v>69</v>
      </c>
      <c r="H28" s="31" t="s">
        <v>70</v>
      </c>
      <c r="I28" s="31" t="s">
        <v>46</v>
      </c>
      <c r="J28" s="31" t="s">
        <v>71</v>
      </c>
      <c r="K28" s="31" t="s">
        <v>72</v>
      </c>
      <c r="L28" s="34">
        <v>286200</v>
      </c>
      <c r="M28" s="34">
        <v>51516</v>
      </c>
      <c r="N28" s="32">
        <f t="shared" si="2"/>
        <v>337716</v>
      </c>
      <c r="O28" s="32">
        <f t="shared" si="3"/>
        <v>28620</v>
      </c>
      <c r="P28" s="32">
        <f t="shared" si="4"/>
        <v>309096</v>
      </c>
      <c r="Q28" s="32">
        <v>309096</v>
      </c>
      <c r="R28" s="32"/>
      <c r="S28" s="33">
        <v>45217</v>
      </c>
      <c r="T28" s="52">
        <v>22</v>
      </c>
      <c r="V28" s="94"/>
    </row>
    <row r="29" spans="2:22" x14ac:dyDescent="0.2">
      <c r="B29" s="5"/>
      <c r="F29" s="31">
        <v>8</v>
      </c>
      <c r="G29" s="31" t="s">
        <v>73</v>
      </c>
      <c r="H29" s="31" t="s">
        <v>74</v>
      </c>
      <c r="I29" s="31" t="s">
        <v>46</v>
      </c>
      <c r="J29" s="31" t="s">
        <v>75</v>
      </c>
      <c r="K29" s="31" t="s">
        <v>76</v>
      </c>
      <c r="L29" s="34">
        <v>75000</v>
      </c>
      <c r="M29" s="34">
        <v>13500</v>
      </c>
      <c r="N29" s="32">
        <f t="shared" si="2"/>
        <v>88500</v>
      </c>
      <c r="O29" s="32">
        <f t="shared" si="3"/>
        <v>7500</v>
      </c>
      <c r="P29" s="32">
        <f t="shared" si="4"/>
        <v>81000</v>
      </c>
      <c r="Q29" s="32">
        <v>81004</v>
      </c>
      <c r="R29" s="32"/>
      <c r="S29" s="33">
        <v>45217</v>
      </c>
      <c r="T29" s="52">
        <v>21</v>
      </c>
      <c r="V29" s="94"/>
    </row>
    <row r="30" spans="2:22" x14ac:dyDescent="0.2">
      <c r="B30" s="5"/>
      <c r="F30" s="31">
        <v>9</v>
      </c>
      <c r="G30" s="31" t="s">
        <v>77</v>
      </c>
      <c r="H30" s="31" t="s">
        <v>78</v>
      </c>
      <c r="I30" s="31" t="s">
        <v>46</v>
      </c>
      <c r="J30" s="31" t="s">
        <v>31</v>
      </c>
      <c r="K30" s="31" t="s">
        <v>79</v>
      </c>
      <c r="L30" s="34">
        <v>75000</v>
      </c>
      <c r="M30" s="34">
        <v>13500</v>
      </c>
      <c r="N30" s="32">
        <f t="shared" si="2"/>
        <v>88500</v>
      </c>
      <c r="O30" s="32">
        <f t="shared" si="3"/>
        <v>7500</v>
      </c>
      <c r="P30" s="32">
        <f t="shared" si="4"/>
        <v>81000</v>
      </c>
      <c r="Q30" s="32">
        <v>80999</v>
      </c>
      <c r="R30" s="32"/>
      <c r="S30" s="33">
        <v>45217</v>
      </c>
      <c r="T30" s="52">
        <v>29</v>
      </c>
      <c r="V30" s="94"/>
    </row>
    <row r="31" spans="2:22" x14ac:dyDescent="0.2">
      <c r="B31" s="5"/>
      <c r="F31" s="31">
        <v>10</v>
      </c>
      <c r="G31" s="31" t="s">
        <v>80</v>
      </c>
      <c r="H31" s="31" t="s">
        <v>81</v>
      </c>
      <c r="I31" s="31" t="s">
        <v>46</v>
      </c>
      <c r="J31" s="31" t="s">
        <v>82</v>
      </c>
      <c r="K31" s="31" t="s">
        <v>83</v>
      </c>
      <c r="L31" s="34">
        <v>75000</v>
      </c>
      <c r="M31" s="34">
        <v>13500</v>
      </c>
      <c r="N31" s="32">
        <f t="shared" si="2"/>
        <v>88500</v>
      </c>
      <c r="O31" s="32">
        <f t="shared" si="3"/>
        <v>7500</v>
      </c>
      <c r="P31" s="32">
        <f t="shared" si="4"/>
        <v>81000</v>
      </c>
      <c r="Q31" s="32">
        <v>80997</v>
      </c>
      <c r="R31" s="32"/>
      <c r="S31" s="33">
        <v>45217</v>
      </c>
      <c r="T31" s="52">
        <v>30</v>
      </c>
      <c r="V31" s="94"/>
    </row>
    <row r="32" spans="2:22" x14ac:dyDescent="0.2">
      <c r="B32" s="5"/>
      <c r="F32" s="31">
        <v>11</v>
      </c>
      <c r="G32" s="31" t="s">
        <v>84</v>
      </c>
      <c r="H32" s="31" t="s">
        <v>85</v>
      </c>
      <c r="I32" s="31" t="s">
        <v>46</v>
      </c>
      <c r="J32" s="31" t="s">
        <v>86</v>
      </c>
      <c r="K32" s="31" t="s">
        <v>87</v>
      </c>
      <c r="L32" s="34">
        <v>75000</v>
      </c>
      <c r="M32" s="34">
        <v>13500</v>
      </c>
      <c r="N32" s="32">
        <f t="shared" si="2"/>
        <v>88500</v>
      </c>
      <c r="O32" s="32">
        <f t="shared" si="3"/>
        <v>7500</v>
      </c>
      <c r="P32" s="32">
        <f t="shared" si="4"/>
        <v>81000</v>
      </c>
      <c r="Q32" s="32">
        <v>80997</v>
      </c>
      <c r="R32" s="32"/>
      <c r="S32" s="33">
        <v>45217</v>
      </c>
      <c r="T32" s="52">
        <v>25</v>
      </c>
      <c r="V32" s="94"/>
    </row>
    <row r="33" spans="2:26" x14ac:dyDescent="0.2">
      <c r="B33" s="5"/>
      <c r="F33" s="31">
        <v>12</v>
      </c>
      <c r="G33" s="31" t="s">
        <v>88</v>
      </c>
      <c r="H33" s="31" t="s">
        <v>89</v>
      </c>
      <c r="I33" s="31" t="s">
        <v>46</v>
      </c>
      <c r="J33" s="31" t="s">
        <v>90</v>
      </c>
      <c r="K33" s="31" t="s">
        <v>91</v>
      </c>
      <c r="L33" s="34">
        <v>75000</v>
      </c>
      <c r="M33" s="34">
        <v>13500</v>
      </c>
      <c r="N33" s="32">
        <f t="shared" si="2"/>
        <v>88500</v>
      </c>
      <c r="O33" s="32">
        <f t="shared" si="3"/>
        <v>7500</v>
      </c>
      <c r="P33" s="32">
        <f t="shared" si="4"/>
        <v>81000</v>
      </c>
      <c r="Q33" s="56">
        <v>0</v>
      </c>
      <c r="R33" s="56"/>
      <c r="S33" s="57"/>
      <c r="T33" s="58"/>
      <c r="U33" s="89" t="s">
        <v>201</v>
      </c>
      <c r="V33" s="94"/>
    </row>
    <row r="34" spans="2:26" x14ac:dyDescent="0.2">
      <c r="B34" s="5"/>
      <c r="F34" s="31">
        <v>13</v>
      </c>
      <c r="G34" s="31" t="s">
        <v>92</v>
      </c>
      <c r="H34" s="31" t="s">
        <v>93</v>
      </c>
      <c r="I34" s="31" t="s">
        <v>46</v>
      </c>
      <c r="J34" s="31" t="s">
        <v>94</v>
      </c>
      <c r="K34" s="31" t="s">
        <v>95</v>
      </c>
      <c r="L34" s="34">
        <v>175000</v>
      </c>
      <c r="M34" s="34">
        <v>31500</v>
      </c>
      <c r="N34" s="32">
        <f t="shared" si="2"/>
        <v>206500</v>
      </c>
      <c r="O34" s="32">
        <f t="shared" si="3"/>
        <v>17500</v>
      </c>
      <c r="P34" s="32">
        <f t="shared" si="4"/>
        <v>189000</v>
      </c>
      <c r="Q34" s="32">
        <v>189001</v>
      </c>
      <c r="R34" s="32"/>
      <c r="S34" s="33">
        <v>45217</v>
      </c>
      <c r="T34" s="52">
        <v>32</v>
      </c>
      <c r="V34" s="94"/>
    </row>
    <row r="35" spans="2:26" x14ac:dyDescent="0.2">
      <c r="B35" s="5"/>
      <c r="F35" s="31">
        <v>14</v>
      </c>
      <c r="G35" s="31" t="s">
        <v>96</v>
      </c>
      <c r="H35" s="31" t="s">
        <v>97</v>
      </c>
      <c r="I35" s="31" t="s">
        <v>46</v>
      </c>
      <c r="J35" s="31" t="s">
        <v>98</v>
      </c>
      <c r="K35" s="31" t="s">
        <v>99</v>
      </c>
      <c r="L35" s="34">
        <v>175000</v>
      </c>
      <c r="M35" s="34">
        <v>31500</v>
      </c>
      <c r="N35" s="32">
        <f t="shared" si="2"/>
        <v>206500</v>
      </c>
      <c r="O35" s="32">
        <f t="shared" si="3"/>
        <v>17500</v>
      </c>
      <c r="P35" s="32">
        <f t="shared" si="4"/>
        <v>189000</v>
      </c>
      <c r="Q35" s="32">
        <v>189035</v>
      </c>
      <c r="R35" s="32"/>
      <c r="S35" s="33">
        <v>45217</v>
      </c>
      <c r="T35" s="52">
        <v>24</v>
      </c>
      <c r="V35" s="94"/>
    </row>
    <row r="36" spans="2:26" x14ac:dyDescent="0.2">
      <c r="B36" s="5"/>
      <c r="F36" s="5"/>
      <c r="G36" s="5"/>
      <c r="H36" s="5"/>
      <c r="I36" s="5"/>
      <c r="J36" s="5"/>
      <c r="K36" s="5"/>
      <c r="L36" s="69"/>
      <c r="M36" s="69"/>
      <c r="N36" s="13"/>
      <c r="O36" s="13"/>
      <c r="P36" s="13"/>
      <c r="Q36" s="13"/>
      <c r="R36" s="13"/>
      <c r="S36" s="71"/>
      <c r="T36" s="50"/>
      <c r="V36" s="72"/>
    </row>
    <row r="37" spans="2:26" x14ac:dyDescent="0.2">
      <c r="B37" s="5"/>
      <c r="F37" s="5"/>
      <c r="G37" s="5"/>
      <c r="H37" s="5"/>
      <c r="I37" s="5"/>
      <c r="J37" s="5"/>
      <c r="K37" s="5"/>
      <c r="L37" s="69"/>
      <c r="M37" s="69"/>
      <c r="N37" s="98" t="s">
        <v>197</v>
      </c>
      <c r="O37" s="73" t="s">
        <v>193</v>
      </c>
      <c r="P37" s="73">
        <f>SUM(N22:N35)</f>
        <v>2256514</v>
      </c>
      <c r="Q37" s="13"/>
      <c r="R37" s="13"/>
      <c r="S37" s="71"/>
      <c r="T37" s="50"/>
      <c r="V37" s="72"/>
    </row>
    <row r="38" spans="2:26" x14ac:dyDescent="0.2">
      <c r="B38" s="5"/>
      <c r="F38" s="5"/>
      <c r="G38" s="5"/>
      <c r="H38" s="5"/>
      <c r="I38" s="5"/>
      <c r="J38" s="5"/>
      <c r="K38" s="5"/>
      <c r="L38" s="69"/>
      <c r="M38" s="69"/>
      <c r="N38" s="99"/>
      <c r="O38" s="73" t="s">
        <v>100</v>
      </c>
      <c r="P38" s="73">
        <f>SUM(Q22:Q35)</f>
        <v>1984326</v>
      </c>
      <c r="Q38" s="13"/>
      <c r="R38" s="13"/>
      <c r="S38" s="71"/>
      <c r="T38" s="50"/>
      <c r="V38" s="72"/>
    </row>
    <row r="39" spans="2:26" x14ac:dyDescent="0.2">
      <c r="B39" s="5"/>
      <c r="F39" s="5"/>
      <c r="G39" s="5"/>
      <c r="H39" s="5"/>
      <c r="I39" s="5"/>
      <c r="J39" s="5"/>
      <c r="K39" s="5"/>
      <c r="L39" s="69"/>
      <c r="M39" s="69"/>
      <c r="N39" s="99"/>
      <c r="O39" s="74" t="s">
        <v>195</v>
      </c>
      <c r="P39" s="73">
        <v>0</v>
      </c>
      <c r="Q39" s="13"/>
      <c r="R39" s="13"/>
      <c r="S39" s="71"/>
      <c r="T39" s="50"/>
      <c r="V39" s="72"/>
    </row>
    <row r="40" spans="2:26" x14ac:dyDescent="0.2">
      <c r="B40" s="5"/>
      <c r="F40" s="5"/>
      <c r="G40" s="5"/>
      <c r="H40" s="5"/>
      <c r="I40" s="5"/>
      <c r="J40" s="5"/>
      <c r="K40" s="5"/>
      <c r="L40" s="69"/>
      <c r="M40" s="69"/>
      <c r="N40" s="99"/>
      <c r="O40" s="7" t="s">
        <v>198</v>
      </c>
      <c r="P40" s="73">
        <f>SUM(O22:O35)</f>
        <v>191230</v>
      </c>
      <c r="Q40" s="13"/>
      <c r="R40" s="13"/>
      <c r="S40" s="71"/>
      <c r="T40" s="50"/>
      <c r="V40" s="72"/>
    </row>
    <row r="41" spans="2:26" x14ac:dyDescent="0.2">
      <c r="B41" s="5"/>
      <c r="F41" s="5"/>
      <c r="G41" s="5"/>
      <c r="H41" s="5"/>
      <c r="I41" s="5"/>
      <c r="J41" s="5"/>
      <c r="K41" s="5"/>
      <c r="L41" s="69"/>
      <c r="M41" s="69"/>
      <c r="N41" s="99"/>
      <c r="O41" s="76" t="s">
        <v>194</v>
      </c>
      <c r="P41" s="76">
        <f>P37-(P38+P39+P40)</f>
        <v>80958</v>
      </c>
      <c r="Q41" s="13"/>
      <c r="R41" s="13"/>
      <c r="S41" s="71"/>
      <c r="T41" s="50"/>
      <c r="V41" s="72"/>
    </row>
    <row r="42" spans="2:26" x14ac:dyDescent="0.2">
      <c r="B42" s="5"/>
      <c r="F42" s="5"/>
      <c r="G42" s="5"/>
      <c r="H42" s="5"/>
      <c r="I42" s="5"/>
      <c r="J42" s="5"/>
      <c r="K42" s="5"/>
      <c r="L42" s="69"/>
      <c r="M42" s="69"/>
      <c r="N42" s="13"/>
      <c r="O42" s="13"/>
      <c r="P42" s="13"/>
      <c r="Q42" s="13"/>
      <c r="R42" s="13"/>
      <c r="S42" s="71"/>
      <c r="T42" s="50"/>
      <c r="V42" s="72"/>
    </row>
    <row r="43" spans="2:26" x14ac:dyDescent="0.2">
      <c r="B43" s="5"/>
      <c r="F43" s="5"/>
      <c r="G43" s="5"/>
      <c r="H43" s="5"/>
      <c r="I43" s="5"/>
      <c r="J43" s="5"/>
      <c r="K43" s="5"/>
      <c r="L43" s="69"/>
      <c r="M43" s="69"/>
      <c r="N43" s="13"/>
      <c r="O43" s="13"/>
      <c r="P43" s="13"/>
      <c r="Q43" s="13"/>
      <c r="R43" s="13"/>
      <c r="S43" s="71"/>
      <c r="T43" s="50"/>
      <c r="V43" s="72"/>
    </row>
    <row r="44" spans="2:26" x14ac:dyDescent="0.2">
      <c r="B44" s="5"/>
      <c r="F44" s="5"/>
      <c r="G44" s="5"/>
      <c r="H44" s="5"/>
      <c r="I44" s="5"/>
      <c r="J44" s="5"/>
      <c r="K44" s="5"/>
      <c r="L44" s="69"/>
      <c r="M44" s="69"/>
      <c r="N44" s="13"/>
      <c r="O44" s="13"/>
      <c r="P44" s="13"/>
      <c r="Q44" s="13"/>
      <c r="R44" s="13"/>
      <c r="S44" s="71"/>
      <c r="T44" s="50"/>
      <c r="V44" s="72"/>
    </row>
    <row r="45" spans="2:26" ht="48" x14ac:dyDescent="0.2">
      <c r="B45" s="5"/>
      <c r="F45" s="51" t="s">
        <v>7</v>
      </c>
      <c r="G45" s="51" t="s">
        <v>8</v>
      </c>
      <c r="H45" s="51" t="s">
        <v>9</v>
      </c>
      <c r="I45" s="51" t="s">
        <v>10</v>
      </c>
      <c r="J45" s="51" t="s">
        <v>11</v>
      </c>
      <c r="K45" s="51" t="s">
        <v>12</v>
      </c>
      <c r="L45" s="51" t="s">
        <v>13</v>
      </c>
      <c r="M45" s="51" t="s">
        <v>14</v>
      </c>
      <c r="N45" s="51" t="s">
        <v>15</v>
      </c>
      <c r="O45" s="51" t="s">
        <v>16</v>
      </c>
      <c r="P45" s="51" t="s">
        <v>17</v>
      </c>
      <c r="Q45" s="51" t="s">
        <v>18</v>
      </c>
      <c r="R45" s="51"/>
      <c r="S45" s="51" t="s">
        <v>19</v>
      </c>
      <c r="T45" s="51" t="s">
        <v>186</v>
      </c>
      <c r="V45" s="5"/>
    </row>
    <row r="46" spans="2:26" x14ac:dyDescent="0.2">
      <c r="B46" s="5"/>
      <c r="E46" s="5"/>
      <c r="F46" s="40">
        <v>1</v>
      </c>
      <c r="G46" s="40" t="s">
        <v>101</v>
      </c>
      <c r="H46" s="40" t="s">
        <v>102</v>
      </c>
      <c r="I46" s="40" t="s">
        <v>103</v>
      </c>
      <c r="J46" s="40" t="s">
        <v>104</v>
      </c>
      <c r="K46" s="40" t="s">
        <v>105</v>
      </c>
      <c r="L46" s="41">
        <v>97625</v>
      </c>
      <c r="M46" s="42">
        <f>L46*0.18</f>
        <v>17572.5</v>
      </c>
      <c r="N46" s="41">
        <f>L46+M46</f>
        <v>115197.5</v>
      </c>
      <c r="O46" s="41">
        <f t="shared" ref="O46:O66" si="5">L46*0.1</f>
        <v>9762.5</v>
      </c>
      <c r="P46" s="41">
        <f t="shared" ref="P46:P56" si="6">(L46-O46)+M46</f>
        <v>105435</v>
      </c>
      <c r="Q46" s="41">
        <v>43957</v>
      </c>
      <c r="R46" s="41"/>
      <c r="S46" s="43">
        <v>45233</v>
      </c>
      <c r="T46" s="46">
        <v>16</v>
      </c>
      <c r="U46" s="5"/>
      <c r="V46" s="96" t="s">
        <v>183</v>
      </c>
      <c r="X46" s="14"/>
      <c r="Y46" s="14"/>
      <c r="Z46" s="14"/>
    </row>
    <row r="47" spans="2:26" x14ac:dyDescent="0.2">
      <c r="B47" s="5"/>
      <c r="E47" s="5"/>
      <c r="F47" s="40">
        <v>2</v>
      </c>
      <c r="G47" s="40" t="s">
        <v>106</v>
      </c>
      <c r="H47" s="40" t="s">
        <v>107</v>
      </c>
      <c r="I47" s="40" t="s">
        <v>103</v>
      </c>
      <c r="J47" s="40" t="s">
        <v>108</v>
      </c>
      <c r="K47" s="40" t="s">
        <v>109</v>
      </c>
      <c r="L47" s="41">
        <v>136125</v>
      </c>
      <c r="M47" s="42">
        <f t="shared" ref="M47" si="7">L47*0.18</f>
        <v>24502.5</v>
      </c>
      <c r="N47" s="41">
        <f t="shared" ref="N47:N65" si="8">L47+M47</f>
        <v>160627.5</v>
      </c>
      <c r="O47" s="41">
        <f t="shared" si="5"/>
        <v>13612.5</v>
      </c>
      <c r="P47" s="41">
        <f t="shared" si="6"/>
        <v>147015</v>
      </c>
      <c r="Q47" s="41">
        <v>61274</v>
      </c>
      <c r="R47" s="41"/>
      <c r="S47" s="43">
        <v>45233</v>
      </c>
      <c r="T47" s="46">
        <v>10</v>
      </c>
      <c r="U47" s="5"/>
      <c r="V47" s="96"/>
      <c r="X47" s="14"/>
      <c r="Y47" s="14"/>
      <c r="Z47" s="14"/>
    </row>
    <row r="48" spans="2:26" x14ac:dyDescent="0.2">
      <c r="B48" s="5"/>
      <c r="E48" s="5"/>
      <c r="F48" s="40">
        <v>3</v>
      </c>
      <c r="G48" s="40" t="s">
        <v>110</v>
      </c>
      <c r="H48" s="40" t="s">
        <v>111</v>
      </c>
      <c r="I48" s="40" t="s">
        <v>103</v>
      </c>
      <c r="J48" s="40" t="s">
        <v>104</v>
      </c>
      <c r="K48" s="40" t="s">
        <v>112</v>
      </c>
      <c r="L48" s="41">
        <v>198275</v>
      </c>
      <c r="M48" s="42">
        <f>L48*0.18</f>
        <v>35689.5</v>
      </c>
      <c r="N48" s="41">
        <f t="shared" si="8"/>
        <v>233964.5</v>
      </c>
      <c r="O48" s="41">
        <f t="shared" si="5"/>
        <v>19827.5</v>
      </c>
      <c r="P48" s="41">
        <f t="shared" si="6"/>
        <v>214137</v>
      </c>
      <c r="Q48" s="41">
        <v>89214</v>
      </c>
      <c r="R48" s="41"/>
      <c r="S48" s="43">
        <v>45233</v>
      </c>
      <c r="T48" s="46">
        <v>11</v>
      </c>
      <c r="U48" s="5"/>
      <c r="V48" s="96"/>
      <c r="X48" s="14"/>
      <c r="Y48" s="14"/>
      <c r="Z48" s="14"/>
    </row>
    <row r="49" spans="2:26" x14ac:dyDescent="0.2">
      <c r="B49" s="5"/>
      <c r="E49" s="5"/>
      <c r="F49" s="40">
        <v>4</v>
      </c>
      <c r="G49" s="40" t="s">
        <v>113</v>
      </c>
      <c r="H49" s="40" t="s">
        <v>114</v>
      </c>
      <c r="I49" s="40" t="s">
        <v>103</v>
      </c>
      <c r="J49" s="40" t="s">
        <v>115</v>
      </c>
      <c r="K49" s="40" t="s">
        <v>116</v>
      </c>
      <c r="L49" s="41">
        <v>214500</v>
      </c>
      <c r="M49" s="42">
        <f t="shared" ref="M49:M65" si="9">L49*0.18</f>
        <v>38610</v>
      </c>
      <c r="N49" s="41">
        <f t="shared" si="8"/>
        <v>253110</v>
      </c>
      <c r="O49" s="41">
        <f t="shared" si="5"/>
        <v>21450</v>
      </c>
      <c r="P49" s="41">
        <f t="shared" si="6"/>
        <v>231660</v>
      </c>
      <c r="Q49" s="41">
        <v>96573</v>
      </c>
      <c r="R49" s="41"/>
      <c r="S49" s="43">
        <v>45233</v>
      </c>
      <c r="T49" s="46">
        <v>17</v>
      </c>
      <c r="U49" s="5"/>
      <c r="V49" s="96"/>
      <c r="X49" s="14"/>
      <c r="Y49" s="14"/>
      <c r="Z49" s="14"/>
    </row>
    <row r="50" spans="2:26" x14ac:dyDescent="0.2">
      <c r="B50" s="5"/>
      <c r="C50" s="13"/>
      <c r="D50" s="13"/>
      <c r="E50" s="5"/>
      <c r="F50" s="40">
        <v>5</v>
      </c>
      <c r="G50" s="40" t="s">
        <v>117</v>
      </c>
      <c r="H50" s="40" t="s">
        <v>118</v>
      </c>
      <c r="I50" s="40" t="s">
        <v>103</v>
      </c>
      <c r="J50" s="40" t="s">
        <v>119</v>
      </c>
      <c r="K50" s="40" t="s">
        <v>120</v>
      </c>
      <c r="L50" s="41">
        <v>95700</v>
      </c>
      <c r="M50" s="42">
        <f t="shared" si="9"/>
        <v>17226</v>
      </c>
      <c r="N50" s="41">
        <f t="shared" si="8"/>
        <v>112926</v>
      </c>
      <c r="O50" s="41">
        <f t="shared" si="5"/>
        <v>9570</v>
      </c>
      <c r="P50" s="41">
        <f t="shared" si="6"/>
        <v>103356</v>
      </c>
      <c r="Q50" s="41">
        <v>43025</v>
      </c>
      <c r="R50" s="41"/>
      <c r="S50" s="43">
        <v>45233</v>
      </c>
      <c r="T50" s="46">
        <v>12</v>
      </c>
      <c r="U50" s="5"/>
      <c r="V50" s="96"/>
      <c r="X50" s="14"/>
      <c r="Y50" s="14"/>
      <c r="Z50" s="14"/>
    </row>
    <row r="51" spans="2:26" x14ac:dyDescent="0.2">
      <c r="B51" s="93"/>
      <c r="C51" s="93"/>
      <c r="D51" s="5"/>
      <c r="E51" s="5"/>
      <c r="F51" s="40">
        <v>6</v>
      </c>
      <c r="G51" s="40" t="s">
        <v>121</v>
      </c>
      <c r="H51" s="40" t="s">
        <v>122</v>
      </c>
      <c r="I51" s="40" t="s">
        <v>103</v>
      </c>
      <c r="J51" s="40" t="s">
        <v>108</v>
      </c>
      <c r="K51" s="40" t="s">
        <v>123</v>
      </c>
      <c r="L51" s="41">
        <v>85800</v>
      </c>
      <c r="M51" s="42">
        <f t="shared" si="9"/>
        <v>15444</v>
      </c>
      <c r="N51" s="41">
        <f t="shared" si="8"/>
        <v>101244</v>
      </c>
      <c r="O51" s="41">
        <f t="shared" si="5"/>
        <v>8580</v>
      </c>
      <c r="P51" s="41">
        <f t="shared" si="6"/>
        <v>92664</v>
      </c>
      <c r="Q51" s="41">
        <v>38630</v>
      </c>
      <c r="R51" s="41"/>
      <c r="S51" s="43">
        <v>45233</v>
      </c>
      <c r="T51" s="46">
        <v>15</v>
      </c>
      <c r="U51" s="5"/>
      <c r="V51" s="96"/>
      <c r="X51" s="14"/>
      <c r="Y51" s="14"/>
      <c r="Z51" s="14"/>
    </row>
    <row r="52" spans="2:26" x14ac:dyDescent="0.2">
      <c r="B52" s="5"/>
      <c r="C52" s="5"/>
      <c r="D52" s="5"/>
      <c r="E52" s="5"/>
      <c r="F52" s="40">
        <v>7</v>
      </c>
      <c r="G52" s="40" t="s">
        <v>124</v>
      </c>
      <c r="H52" s="40" t="s">
        <v>125</v>
      </c>
      <c r="I52" s="40" t="s">
        <v>103</v>
      </c>
      <c r="J52" s="40" t="s">
        <v>115</v>
      </c>
      <c r="K52" s="40" t="s">
        <v>126</v>
      </c>
      <c r="L52" s="41">
        <v>261525</v>
      </c>
      <c r="M52" s="42">
        <f t="shared" si="9"/>
        <v>47074.5</v>
      </c>
      <c r="N52" s="41">
        <f t="shared" si="8"/>
        <v>308599.5</v>
      </c>
      <c r="O52" s="41">
        <f t="shared" si="5"/>
        <v>26152.5</v>
      </c>
      <c r="P52" s="41">
        <f t="shared" si="6"/>
        <v>282447</v>
      </c>
      <c r="Q52" s="41">
        <v>117712</v>
      </c>
      <c r="R52" s="41"/>
      <c r="S52" s="43">
        <v>45233</v>
      </c>
      <c r="T52" s="46">
        <v>14</v>
      </c>
      <c r="U52" s="5"/>
      <c r="V52" s="96"/>
      <c r="X52" s="14"/>
      <c r="Y52" s="14"/>
      <c r="Z52" s="14"/>
    </row>
    <row r="53" spans="2:26" ht="16" x14ac:dyDescent="0.2">
      <c r="B53" s="5"/>
      <c r="C53" s="5"/>
      <c r="D53" s="5"/>
      <c r="E53" s="79">
        <v>1453.14</v>
      </c>
      <c r="F53" s="40">
        <v>8</v>
      </c>
      <c r="G53" s="40" t="s">
        <v>127</v>
      </c>
      <c r="H53" s="40" t="s">
        <v>128</v>
      </c>
      <c r="I53" s="40" t="s">
        <v>103</v>
      </c>
      <c r="J53" s="44" t="s">
        <v>129</v>
      </c>
      <c r="K53" s="40" t="s">
        <v>130</v>
      </c>
      <c r="L53" s="41">
        <v>399614</v>
      </c>
      <c r="M53" s="42">
        <f>L53*0.18</f>
        <v>71930.52</v>
      </c>
      <c r="N53" s="41">
        <f>L53+M53</f>
        <v>471544.52</v>
      </c>
      <c r="O53" s="41">
        <f t="shared" si="5"/>
        <v>39961.4</v>
      </c>
      <c r="P53" s="41">
        <f t="shared" si="6"/>
        <v>431583.12</v>
      </c>
      <c r="Q53" s="41">
        <v>215791</v>
      </c>
      <c r="R53" s="41"/>
      <c r="S53" s="43">
        <v>45279</v>
      </c>
      <c r="T53" s="46">
        <v>7</v>
      </c>
      <c r="U53" s="5"/>
      <c r="V53" s="96"/>
      <c r="X53" s="14"/>
      <c r="Y53" s="14"/>
      <c r="Z53" s="14"/>
    </row>
    <row r="54" spans="2:26" x14ac:dyDescent="0.2">
      <c r="B54" s="5"/>
      <c r="C54" s="5"/>
      <c r="D54" s="29" t="s">
        <v>131</v>
      </c>
      <c r="E54" s="79">
        <v>215.28</v>
      </c>
      <c r="F54" s="40">
        <v>9</v>
      </c>
      <c r="G54" s="40" t="s">
        <v>132</v>
      </c>
      <c r="H54" s="40" t="s">
        <v>133</v>
      </c>
      <c r="I54" s="40" t="s">
        <v>103</v>
      </c>
      <c r="J54" s="45" t="s">
        <v>134</v>
      </c>
      <c r="K54" s="40" t="s">
        <v>135</v>
      </c>
      <c r="L54" s="41">
        <f>E54*100</f>
        <v>21528</v>
      </c>
      <c r="M54" s="42">
        <f>L54*0.18</f>
        <v>3875.04</v>
      </c>
      <c r="N54" s="41">
        <f>L54+M54</f>
        <v>25403.040000000001</v>
      </c>
      <c r="O54" s="41">
        <f t="shared" si="5"/>
        <v>2152.8000000000002</v>
      </c>
      <c r="P54" s="41">
        <f t="shared" si="6"/>
        <v>23250.240000000002</v>
      </c>
      <c r="Q54" s="41">
        <f>P54*0.5</f>
        <v>11625.12</v>
      </c>
      <c r="R54" s="41"/>
      <c r="S54" s="43">
        <v>45279</v>
      </c>
      <c r="T54" s="46">
        <v>3</v>
      </c>
      <c r="U54" s="5"/>
      <c r="V54" s="96"/>
      <c r="X54" s="14"/>
      <c r="Y54" s="14"/>
      <c r="Z54" s="14"/>
    </row>
    <row r="55" spans="2:26" x14ac:dyDescent="0.2">
      <c r="B55" s="5"/>
      <c r="C55" s="16"/>
      <c r="D55" s="17"/>
      <c r="E55" s="5"/>
      <c r="F55" s="40">
        <v>10</v>
      </c>
      <c r="G55" s="40" t="s">
        <v>136</v>
      </c>
      <c r="H55" s="40" t="s">
        <v>137</v>
      </c>
      <c r="I55" s="40" t="s">
        <v>103</v>
      </c>
      <c r="J55" s="40" t="s">
        <v>138</v>
      </c>
      <c r="K55" s="40" t="s">
        <v>139</v>
      </c>
      <c r="L55" s="41">
        <v>75000</v>
      </c>
      <c r="M55" s="42">
        <f>L55*0.18</f>
        <v>13500</v>
      </c>
      <c r="N55" s="41">
        <f>L55+M55</f>
        <v>88500</v>
      </c>
      <c r="O55" s="41">
        <f t="shared" si="5"/>
        <v>7500</v>
      </c>
      <c r="P55" s="41">
        <f t="shared" si="6"/>
        <v>81000</v>
      </c>
      <c r="Q55" s="41">
        <v>33750</v>
      </c>
      <c r="R55" s="41"/>
      <c r="S55" s="43">
        <v>45233</v>
      </c>
      <c r="T55" s="46">
        <v>8</v>
      </c>
      <c r="U55" s="5"/>
      <c r="V55" s="96"/>
      <c r="X55" s="14"/>
      <c r="Y55" s="14"/>
      <c r="Z55" s="14"/>
    </row>
    <row r="56" spans="2:26" x14ac:dyDescent="0.2">
      <c r="C56" s="5"/>
      <c r="D56" s="5"/>
      <c r="E56" s="5"/>
      <c r="F56" s="40">
        <v>11</v>
      </c>
      <c r="G56" s="40" t="s">
        <v>140</v>
      </c>
      <c r="H56" s="40" t="s">
        <v>141</v>
      </c>
      <c r="I56" s="40" t="s">
        <v>103</v>
      </c>
      <c r="J56" s="40" t="s">
        <v>142</v>
      </c>
      <c r="K56" s="40" t="s">
        <v>143</v>
      </c>
      <c r="L56" s="41">
        <v>227975</v>
      </c>
      <c r="M56" s="42">
        <f t="shared" si="9"/>
        <v>41035.5</v>
      </c>
      <c r="N56" s="41">
        <f t="shared" si="8"/>
        <v>269010.5</v>
      </c>
      <c r="O56" s="41">
        <f t="shared" si="5"/>
        <v>22797.5</v>
      </c>
      <c r="P56" s="41">
        <f t="shared" si="6"/>
        <v>246213</v>
      </c>
      <c r="Q56" s="41">
        <v>102568</v>
      </c>
      <c r="R56" s="41"/>
      <c r="S56" s="43">
        <v>45233</v>
      </c>
      <c r="T56" s="46">
        <v>13</v>
      </c>
      <c r="U56" s="5"/>
      <c r="V56" s="96"/>
      <c r="X56" s="14"/>
      <c r="Y56" s="14"/>
      <c r="Z56" s="14"/>
    </row>
    <row r="57" spans="2:26" x14ac:dyDescent="0.2">
      <c r="C57" s="5"/>
      <c r="D57" s="5"/>
      <c r="E57" s="5"/>
      <c r="F57" s="40">
        <v>12</v>
      </c>
      <c r="G57" s="40" t="s">
        <v>144</v>
      </c>
      <c r="H57" s="40" t="s">
        <v>145</v>
      </c>
      <c r="I57" s="40" t="s">
        <v>103</v>
      </c>
      <c r="J57" s="40" t="s">
        <v>146</v>
      </c>
      <c r="K57" s="40" t="s">
        <v>147</v>
      </c>
      <c r="L57" s="41">
        <v>113022</v>
      </c>
      <c r="M57" s="42">
        <f t="shared" si="9"/>
        <v>20343.96</v>
      </c>
      <c r="N57" s="41">
        <f t="shared" si="8"/>
        <v>133365.96</v>
      </c>
      <c r="O57" s="41">
        <f t="shared" si="5"/>
        <v>11302.2</v>
      </c>
      <c r="P57" s="41">
        <f>N57-O57</f>
        <v>122063.76</v>
      </c>
      <c r="Q57" s="41">
        <v>50860</v>
      </c>
      <c r="R57" s="41"/>
      <c r="S57" s="43">
        <v>45356</v>
      </c>
      <c r="T57" s="46">
        <v>2</v>
      </c>
      <c r="U57" s="5"/>
      <c r="V57" s="96"/>
      <c r="X57" s="14"/>
      <c r="Y57" s="14"/>
      <c r="Z57" s="14"/>
    </row>
    <row r="58" spans="2:26" x14ac:dyDescent="0.2">
      <c r="C58" s="5"/>
      <c r="D58" s="5"/>
      <c r="E58" s="18">
        <v>1840.644</v>
      </c>
      <c r="F58" s="40">
        <v>13</v>
      </c>
      <c r="G58" s="40" t="s">
        <v>148</v>
      </c>
      <c r="H58" s="40" t="s">
        <v>149</v>
      </c>
      <c r="I58" s="40" t="s">
        <v>103</v>
      </c>
      <c r="J58" s="45" t="s">
        <v>150</v>
      </c>
      <c r="K58" s="40" t="s">
        <v>151</v>
      </c>
      <c r="L58" s="41">
        <v>506177</v>
      </c>
      <c r="M58" s="42">
        <f t="shared" si="9"/>
        <v>91111.86</v>
      </c>
      <c r="N58" s="41">
        <f>L58+M58</f>
        <v>597288.86</v>
      </c>
      <c r="O58" s="41">
        <f t="shared" si="5"/>
        <v>50617.700000000004</v>
      </c>
      <c r="P58" s="41">
        <f>(L58-O58)+M58</f>
        <v>546671.16</v>
      </c>
      <c r="Q58" s="41">
        <f>P58*0.5</f>
        <v>273335.58</v>
      </c>
      <c r="R58" s="41"/>
      <c r="S58" s="43">
        <v>45279</v>
      </c>
      <c r="T58" s="46">
        <v>6</v>
      </c>
      <c r="U58" s="28"/>
      <c r="V58" s="96"/>
      <c r="X58" s="14"/>
      <c r="Y58" s="14"/>
      <c r="Z58" s="14"/>
    </row>
    <row r="59" spans="2:26" x14ac:dyDescent="0.2">
      <c r="C59" s="7" t="s">
        <v>152</v>
      </c>
      <c r="D59" s="30" t="s">
        <v>153</v>
      </c>
      <c r="E59" s="80">
        <f>2787-1841</f>
        <v>946</v>
      </c>
      <c r="F59" s="8">
        <v>14</v>
      </c>
      <c r="G59" s="8" t="s">
        <v>185</v>
      </c>
      <c r="H59" s="8"/>
      <c r="I59" s="8"/>
      <c r="J59" s="15" t="s">
        <v>154</v>
      </c>
      <c r="K59" s="100" t="s">
        <v>205</v>
      </c>
      <c r="L59" s="9">
        <f>E59*275</f>
        <v>260150</v>
      </c>
      <c r="M59" s="11">
        <f t="shared" si="9"/>
        <v>46827</v>
      </c>
      <c r="N59" s="9">
        <f>SUM(L59:M59)</f>
        <v>306977</v>
      </c>
      <c r="O59" s="9">
        <f t="shared" si="5"/>
        <v>26015</v>
      </c>
      <c r="P59" s="9">
        <f>N59-O59</f>
        <v>280962</v>
      </c>
      <c r="Q59" s="9">
        <v>0</v>
      </c>
      <c r="R59" s="9"/>
      <c r="S59" s="12"/>
      <c r="T59" s="60"/>
      <c r="U59" s="83" t="s">
        <v>202</v>
      </c>
      <c r="V59" s="96"/>
      <c r="X59" s="14"/>
      <c r="Y59" s="14"/>
      <c r="Z59" s="14"/>
    </row>
    <row r="60" spans="2:26" x14ac:dyDescent="0.2">
      <c r="C60" s="7" t="s">
        <v>155</v>
      </c>
      <c r="D60" s="30" t="s">
        <v>156</v>
      </c>
      <c r="E60" s="81">
        <v>960</v>
      </c>
      <c r="F60" s="8">
        <v>15</v>
      </c>
      <c r="G60" s="8" t="s">
        <v>185</v>
      </c>
      <c r="H60" s="8"/>
      <c r="I60" s="8"/>
      <c r="J60" s="15" t="s">
        <v>157</v>
      </c>
      <c r="K60" s="105"/>
      <c r="L60" s="9">
        <f>E60*50</f>
        <v>48000</v>
      </c>
      <c r="M60" s="11">
        <f t="shared" si="9"/>
        <v>8640</v>
      </c>
      <c r="N60" s="9">
        <f>SUM(L60:M60)</f>
        <v>56640</v>
      </c>
      <c r="O60" s="9">
        <f t="shared" si="5"/>
        <v>4800</v>
      </c>
      <c r="P60" s="9">
        <f>N60-O60</f>
        <v>51840</v>
      </c>
      <c r="Q60" s="9">
        <v>0</v>
      </c>
      <c r="R60" s="9"/>
      <c r="S60" s="12"/>
      <c r="T60" s="60"/>
      <c r="U60" s="83" t="s">
        <v>202</v>
      </c>
      <c r="V60" s="96"/>
      <c r="X60" s="14"/>
      <c r="Y60" s="14"/>
      <c r="Z60" s="14"/>
    </row>
    <row r="61" spans="2:26" x14ac:dyDescent="0.2">
      <c r="C61" s="7" t="s">
        <v>158</v>
      </c>
      <c r="D61" s="30" t="s">
        <v>159</v>
      </c>
      <c r="E61" s="82">
        <v>452</v>
      </c>
      <c r="F61" s="8">
        <v>16</v>
      </c>
      <c r="G61" s="8" t="s">
        <v>185</v>
      </c>
      <c r="H61" s="8"/>
      <c r="I61" s="8"/>
      <c r="J61" s="15" t="s">
        <v>160</v>
      </c>
      <c r="K61" s="105"/>
      <c r="L61" s="9">
        <f>E61*50</f>
        <v>22600</v>
      </c>
      <c r="M61" s="11">
        <f t="shared" si="9"/>
        <v>4068</v>
      </c>
      <c r="N61" s="9">
        <f>SUM(L61:M61)</f>
        <v>26668</v>
      </c>
      <c r="O61" s="9">
        <f t="shared" si="5"/>
        <v>2260</v>
      </c>
      <c r="P61" s="9">
        <f>N61-O61</f>
        <v>24408</v>
      </c>
      <c r="Q61" s="9">
        <v>0</v>
      </c>
      <c r="R61" s="9"/>
      <c r="S61" s="12"/>
      <c r="T61" s="60"/>
      <c r="U61" s="83" t="s">
        <v>202</v>
      </c>
      <c r="V61" s="96"/>
      <c r="X61" s="14"/>
      <c r="Y61" s="14"/>
      <c r="Z61" s="14"/>
    </row>
    <row r="62" spans="2:26" x14ac:dyDescent="0.2">
      <c r="C62" s="7" t="s">
        <v>161</v>
      </c>
      <c r="D62" s="30" t="s">
        <v>162</v>
      </c>
      <c r="E62" s="81">
        <f>167*10.764</f>
        <v>1797.588</v>
      </c>
      <c r="F62" s="8">
        <v>17</v>
      </c>
      <c r="G62" s="8" t="s">
        <v>185</v>
      </c>
      <c r="H62" s="8"/>
      <c r="I62" s="8"/>
      <c r="J62" s="8" t="s">
        <v>163</v>
      </c>
      <c r="K62" s="101"/>
      <c r="L62" s="9">
        <f>E62*100</f>
        <v>179758.8</v>
      </c>
      <c r="M62" s="11">
        <f t="shared" si="9"/>
        <v>32356.583999999995</v>
      </c>
      <c r="N62" s="9">
        <f>SUM(L62:M62)</f>
        <v>212115.38399999999</v>
      </c>
      <c r="O62" s="9">
        <f t="shared" si="5"/>
        <v>17975.88</v>
      </c>
      <c r="P62" s="9">
        <f>N62-O62</f>
        <v>194139.50399999999</v>
      </c>
      <c r="Q62" s="9">
        <v>0</v>
      </c>
      <c r="R62" s="9"/>
      <c r="S62" s="12"/>
      <c r="T62" s="60"/>
      <c r="U62" s="83" t="s">
        <v>202</v>
      </c>
      <c r="V62" s="96"/>
      <c r="X62" s="14"/>
      <c r="Y62" s="14"/>
      <c r="Z62" s="14"/>
    </row>
    <row r="63" spans="2:26" x14ac:dyDescent="0.2">
      <c r="C63" s="7" t="s">
        <v>161</v>
      </c>
      <c r="D63" s="30" t="s">
        <v>164</v>
      </c>
      <c r="E63" s="30"/>
      <c r="F63" s="40">
        <v>18</v>
      </c>
      <c r="G63" s="40" t="s">
        <v>165</v>
      </c>
      <c r="H63" s="40" t="s">
        <v>166</v>
      </c>
      <c r="I63" s="40" t="s">
        <v>103</v>
      </c>
      <c r="J63" s="40" t="s">
        <v>167</v>
      </c>
      <c r="K63" s="40" t="s">
        <v>168</v>
      </c>
      <c r="L63" s="41">
        <v>116050</v>
      </c>
      <c r="M63" s="42">
        <f t="shared" si="9"/>
        <v>20889</v>
      </c>
      <c r="N63" s="41">
        <f>L63+M63</f>
        <v>136939</v>
      </c>
      <c r="O63" s="41">
        <f t="shared" si="5"/>
        <v>11605</v>
      </c>
      <c r="P63" s="41">
        <f>(L63-O63)+M63</f>
        <v>125334</v>
      </c>
      <c r="Q63" s="41">
        <v>52216</v>
      </c>
      <c r="R63" s="41"/>
      <c r="S63" s="43">
        <v>45233</v>
      </c>
      <c r="T63" s="46">
        <v>18</v>
      </c>
      <c r="U63" s="5"/>
      <c r="V63" s="96"/>
      <c r="X63" s="14"/>
      <c r="Y63" s="14"/>
      <c r="Z63" s="14"/>
    </row>
    <row r="64" spans="2:26" x14ac:dyDescent="0.2">
      <c r="B64" s="14"/>
      <c r="E64" s="79">
        <v>1280.9159999999999</v>
      </c>
      <c r="F64" s="40">
        <v>19</v>
      </c>
      <c r="G64" s="40" t="s">
        <v>169</v>
      </c>
      <c r="H64" s="40" t="s">
        <v>170</v>
      </c>
      <c r="I64" s="40" t="s">
        <v>103</v>
      </c>
      <c r="J64" s="45" t="s">
        <v>171</v>
      </c>
      <c r="K64" s="40" t="s">
        <v>172</v>
      </c>
      <c r="L64" s="41">
        <v>352252</v>
      </c>
      <c r="M64" s="42">
        <f t="shared" si="9"/>
        <v>63405.36</v>
      </c>
      <c r="N64" s="41">
        <f>L64+M64</f>
        <v>415657.36</v>
      </c>
      <c r="O64" s="41">
        <f t="shared" si="5"/>
        <v>35225.200000000004</v>
      </c>
      <c r="P64" s="41">
        <f>N64-O64</f>
        <v>380432.16</v>
      </c>
      <c r="Q64" s="41">
        <f>P64*0.5</f>
        <v>190216.08</v>
      </c>
      <c r="R64" s="41"/>
      <c r="S64" s="43">
        <v>45279</v>
      </c>
      <c r="T64" s="46">
        <v>5</v>
      </c>
      <c r="U64" s="28"/>
      <c r="V64" s="96"/>
      <c r="X64" s="14"/>
      <c r="Y64" s="14"/>
      <c r="Z64" s="14"/>
    </row>
    <row r="65" spans="5:26" x14ac:dyDescent="0.2">
      <c r="E65" s="5"/>
      <c r="F65" s="7">
        <v>20</v>
      </c>
      <c r="G65" s="19" t="s">
        <v>173</v>
      </c>
      <c r="H65" s="19" t="s">
        <v>174</v>
      </c>
      <c r="I65" s="19" t="s">
        <v>103</v>
      </c>
      <c r="J65" s="19" t="s">
        <v>175</v>
      </c>
      <c r="K65" s="19" t="s">
        <v>176</v>
      </c>
      <c r="L65" s="20">
        <v>75000</v>
      </c>
      <c r="M65" s="21">
        <f t="shared" si="9"/>
        <v>13500</v>
      </c>
      <c r="N65" s="20">
        <f t="shared" si="8"/>
        <v>88500</v>
      </c>
      <c r="O65" s="20">
        <f t="shared" si="5"/>
        <v>7500</v>
      </c>
      <c r="P65" s="20">
        <f>(L65-O65)+M65</f>
        <v>81000</v>
      </c>
      <c r="Q65" s="20">
        <v>33750</v>
      </c>
      <c r="R65" s="20"/>
      <c r="S65" s="22">
        <v>45259</v>
      </c>
      <c r="T65" s="53">
        <v>9</v>
      </c>
      <c r="U65" s="84" t="s">
        <v>184</v>
      </c>
      <c r="V65" s="96"/>
      <c r="X65" s="14"/>
      <c r="Y65" s="14"/>
      <c r="Z65" s="14"/>
    </row>
    <row r="66" spans="5:26" x14ac:dyDescent="0.2">
      <c r="E66" s="18"/>
      <c r="F66" s="7">
        <v>21</v>
      </c>
      <c r="G66" s="19" t="s">
        <v>177</v>
      </c>
      <c r="H66" s="19" t="s">
        <v>178</v>
      </c>
      <c r="I66" s="19" t="s">
        <v>103</v>
      </c>
      <c r="J66" s="23" t="s">
        <v>179</v>
      </c>
      <c r="K66" s="19" t="s">
        <v>180</v>
      </c>
      <c r="L66" s="20">
        <v>88803</v>
      </c>
      <c r="M66" s="21">
        <f>L66*0.18</f>
        <v>15984.539999999999</v>
      </c>
      <c r="N66" s="20">
        <f>L66+M66</f>
        <v>104787.54</v>
      </c>
      <c r="O66" s="20">
        <f t="shared" si="5"/>
        <v>8880.3000000000011</v>
      </c>
      <c r="P66" s="20">
        <f>(L66-O66)+M66</f>
        <v>95907.239999999991</v>
      </c>
      <c r="Q66" s="20">
        <f>P66*0.5</f>
        <v>47953.619999999995</v>
      </c>
      <c r="R66" s="20"/>
      <c r="S66" s="22">
        <v>45279</v>
      </c>
      <c r="T66" s="53">
        <v>4</v>
      </c>
      <c r="U66" s="84" t="s">
        <v>184</v>
      </c>
      <c r="V66" s="96"/>
      <c r="X66" s="14"/>
      <c r="Y66" s="14"/>
      <c r="Z66" s="14"/>
    </row>
    <row r="67" spans="5:26" x14ac:dyDescent="0.2">
      <c r="U67" s="28"/>
      <c r="V67" s="13"/>
      <c r="X67" s="14"/>
      <c r="Y67" s="14"/>
      <c r="Z67" s="14"/>
    </row>
    <row r="68" spans="5:26" x14ac:dyDescent="0.2">
      <c r="U68" s="28"/>
      <c r="V68" s="13"/>
      <c r="X68" s="14"/>
      <c r="Y68" s="14"/>
      <c r="Z68" s="14"/>
    </row>
    <row r="69" spans="5:26" x14ac:dyDescent="0.2">
      <c r="N69" s="98" t="s">
        <v>199</v>
      </c>
      <c r="O69" s="73" t="s">
        <v>193</v>
      </c>
      <c r="P69" s="73">
        <f>SUM(N46:N67)</f>
        <v>4219066.1639999999</v>
      </c>
      <c r="U69" s="28"/>
      <c r="V69" s="13"/>
      <c r="X69" s="14"/>
      <c r="Y69" s="14"/>
      <c r="Z69" s="14"/>
    </row>
    <row r="70" spans="5:26" x14ac:dyDescent="0.2">
      <c r="N70" s="99"/>
      <c r="O70" s="73" t="s">
        <v>100</v>
      </c>
      <c r="P70" s="73">
        <f>SUM(Q46:Q67)</f>
        <v>1502450.4</v>
      </c>
      <c r="U70" s="28"/>
      <c r="V70" s="13"/>
      <c r="X70" s="14"/>
      <c r="Y70" s="14"/>
      <c r="Z70" s="14"/>
    </row>
    <row r="71" spans="5:26" x14ac:dyDescent="0.2">
      <c r="N71" s="99"/>
      <c r="O71" s="74" t="s">
        <v>195</v>
      </c>
      <c r="P71" s="73">
        <f>SUM(Q65:Q66)</f>
        <v>81703.62</v>
      </c>
      <c r="Q71" s="24"/>
      <c r="R71" s="24"/>
      <c r="U71" s="5"/>
    </row>
    <row r="72" spans="5:26" x14ac:dyDescent="0.2">
      <c r="N72" s="99"/>
      <c r="O72" s="7" t="s">
        <v>198</v>
      </c>
      <c r="P72" s="73">
        <f>SUM(O46:O67)</f>
        <v>357547.98</v>
      </c>
    </row>
    <row r="73" spans="5:26" x14ac:dyDescent="0.2">
      <c r="N73" s="99"/>
      <c r="O73" s="76" t="s">
        <v>194</v>
      </c>
      <c r="P73" s="76">
        <f>P69-(P70+P71+P72)</f>
        <v>2277364.1639999999</v>
      </c>
    </row>
    <row r="74" spans="5:26" x14ac:dyDescent="0.2">
      <c r="N74" s="78"/>
      <c r="O74" s="77"/>
      <c r="P74" s="77"/>
    </row>
    <row r="75" spans="5:26" x14ac:dyDescent="0.2">
      <c r="N75" s="78"/>
      <c r="O75" s="77"/>
      <c r="P75" s="77"/>
    </row>
    <row r="76" spans="5:26" ht="16" customHeight="1" x14ac:dyDescent="0.2">
      <c r="L76" s="97"/>
      <c r="M76" s="97"/>
      <c r="N76" s="97"/>
      <c r="O76" s="69"/>
    </row>
    <row r="77" spans="5:26" ht="16" customHeight="1" x14ac:dyDescent="0.2">
      <c r="O77" s="91" t="s">
        <v>200</v>
      </c>
      <c r="P77" s="92"/>
    </row>
    <row r="78" spans="5:26" ht="16" customHeight="1" x14ac:dyDescent="0.2">
      <c r="O78" s="85" t="str">
        <f>O69</f>
        <v>TAXABLE VALUE OF PROJECTS</v>
      </c>
      <c r="P78" s="73">
        <f>P69+P37+P14</f>
        <v>8957695.1239999998</v>
      </c>
    </row>
    <row r="79" spans="5:26" ht="16" customHeight="1" x14ac:dyDescent="0.2">
      <c r="O79" s="85" t="str">
        <f>O70</f>
        <v>ADVANCE PAID</v>
      </c>
      <c r="P79" s="73">
        <f>P70+P38+P15</f>
        <v>5022810.4000000004</v>
      </c>
    </row>
    <row r="80" spans="5:26" ht="16" customHeight="1" x14ac:dyDescent="0.2">
      <c r="L80" s="88"/>
      <c r="M80" s="88"/>
      <c r="N80" s="88"/>
      <c r="O80" s="85" t="str">
        <f>O71</f>
        <v>PROJECTS CANCELLED  FOR WHICH ADVANCE IS PAID</v>
      </c>
      <c r="P80" s="73">
        <f>P71+P39+P16</f>
        <v>81703.62</v>
      </c>
    </row>
    <row r="81" spans="15:16" x14ac:dyDescent="0.2">
      <c r="O81" s="86" t="str">
        <f>O72</f>
        <v>10% TDS DEDUCTION</v>
      </c>
      <c r="P81" s="73">
        <f>P72+P40+P17</f>
        <v>759126.67999999993</v>
      </c>
    </row>
    <row r="82" spans="15:16" x14ac:dyDescent="0.2">
      <c r="O82" s="87" t="str">
        <f>O73</f>
        <v>BALANCE PAYABLE</v>
      </c>
      <c r="P82" s="75">
        <f>P73+P41+P18</f>
        <v>3094054.4239999996</v>
      </c>
    </row>
  </sheetData>
  <mergeCells count="12">
    <mergeCell ref="O77:P77"/>
    <mergeCell ref="B51:C51"/>
    <mergeCell ref="B25:C25"/>
    <mergeCell ref="V22:V35"/>
    <mergeCell ref="V7:V12"/>
    <mergeCell ref="V46:V66"/>
    <mergeCell ref="L76:N76"/>
    <mergeCell ref="N14:N18"/>
    <mergeCell ref="N37:N41"/>
    <mergeCell ref="N69:N73"/>
    <mergeCell ref="K10:K11"/>
    <mergeCell ref="K59:K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Reconcillation 23-24  T</vt:lpstr>
      <vt:lpstr>Project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Kumar Nallur</dc:creator>
  <cp:lastModifiedBy>Anil Kumar Nallur</cp:lastModifiedBy>
  <dcterms:created xsi:type="dcterms:W3CDTF">2024-05-01T03:11:00Z</dcterms:created>
  <dcterms:modified xsi:type="dcterms:W3CDTF">2024-05-07T05:35:53Z</dcterms:modified>
</cp:coreProperties>
</file>